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871b7034787fda6/Real Estate/New Underwriting/Website/Town Center/"/>
    </mc:Choice>
  </mc:AlternateContent>
  <xr:revisionPtr revIDLastSave="1664" documentId="8_{DE35D54D-74F7-43BE-89AC-1B9ABBA1BD74}" xr6:coauthVersionLast="47" xr6:coauthVersionMax="47" xr10:uidLastSave="{35DFFA07-617A-4671-B437-49A42AD271A2}"/>
  <bookViews>
    <workbookView xWindow="57480" yWindow="-120" windowWidth="29040" windowHeight="16440" tabRatio="820" xr2:uid="{00000000-000D-0000-FFFF-FFFF00000000}"/>
  </bookViews>
  <sheets>
    <sheet name="Summary" sheetId="2" r:id="rId1"/>
    <sheet name="Unit Mix" sheetId="4" r:id="rId2"/>
    <sheet name="Retail Rent Roll" sheetId="20" r:id="rId3"/>
    <sheet name="Untrended Proforma" sheetId="22" r:id="rId4"/>
    <sheet name="Trended Proforma" sheetId="8" r:id="rId5"/>
    <sheet name="Dev Costs" sheetId="5" r:id="rId6"/>
    <sheet name="Source &amp; Use" sheetId="6" r:id="rId7"/>
    <sheet name="Absorption" sheetId="9" r:id="rId8"/>
    <sheet name="Monthly DCF" sheetId="10" r:id="rId9"/>
    <sheet name="Yearly DCF" sheetId="11" r:id="rId10"/>
    <sheet name="Equity Waterfall" sheetId="14" r:id="rId11"/>
    <sheet name="Rent Comps" sheetId="18" r:id="rId12"/>
    <sheet name="Sale Comps" sheetId="19" r:id="rId13"/>
    <sheet name="Construction Spend Curve" sheetId="13" state="hidden" r:id="rId14"/>
  </sheets>
  <externalReferences>
    <externalReference r:id="rId15"/>
  </externalReferences>
  <definedNames>
    <definedName name="_Key9">#REF!</definedName>
    <definedName name="_MRG2">{"INCOME",#N/A,FALSE,"ProNet";"VALUE",#N/A,FALSE,"ProNet"}</definedName>
    <definedName name="_Order1">255</definedName>
    <definedName name="_Order2">255</definedName>
    <definedName name="_Sort">#REF!</definedName>
    <definedName name="_Table2_In1">#REF!</definedName>
    <definedName name="_Table2_In2">#REF!</definedName>
    <definedName name="a">#REF!</definedName>
    <definedName name="aaaaaa">#REF!</definedName>
    <definedName name="aaaaaaa">{"Outflow 1",#N/A,FALSE,"Outflows-Inflows";"Outflow 2",#N/A,FALSE,"Outflows-Inflows";"Inflow 1",#N/A,FALSE,"Outflows-Inflows";"Inflow 2",#N/A,FALSE,"Outflows-Inflows"}</definedName>
    <definedName name="aasdfa">{"rtn",#N/A,FALSE,"RTN";"tables",#N/A,FALSE,"RTN";"cf",#N/A,FALSE,"CF";"stats",#N/A,FALSE,"Stats";"prop",#N/A,FALSE,"Prop"}</definedName>
    <definedName name="AMORT">Summary!$K$26</definedName>
    <definedName name="Analysis_Length_Years">[1]Summary!$M$6</definedName>
    <definedName name="Analysis_Start_Date">[1]Summary!$L$7</definedName>
    <definedName name="ANNPMT">Summary!$M$40</definedName>
    <definedName name="anscount">1</definedName>
    <definedName name="as">{"Outflow 1",#N/A,FALSE,"Outflows-Inflows";"Outflow 2",#N/A,FALSE,"Outflows-Inflows";"Inflow 1",#N/A,FALSE,"Outflows-Inflows";"Inflow 2",#N/A,FALSE,"Outflows-Inflows"}</definedName>
    <definedName name="asd">#REF!</definedName>
    <definedName name="asdfas">{"print 1.6",#N/A,FALSE,"Sheet1";"print 2.6",#N/A,FALSE,"Sheet1";"print 3.6",#N/A,FALSE,"Sheet1";"print 4.6",#N/A,FALSE,"Sheet1";"print 5.6",#N/A,FALSE,"Sheet1";"print 6.6",#N/A,FALSE,"Sheet1"}</definedName>
    <definedName name="asdfasaa">{"print 1.6",#N/A,FALSE,"Sheet1";"print 2.6",#N/A,FALSE,"Sheet1";"print 3.6",#N/A,FALSE,"Sheet1";"print 4.6",#N/A,FALSE,"Sheet1";"print 5.6",#N/A,FALSE,"Sheet1";"print 6.6",#N/A,FALSE,"Sheet1"}</definedName>
    <definedName name="asdfasdf">{"rtn",#N/A,FALSE,"RTN";"tables",#N/A,FALSE,"RTN";"cf",#N/A,FALSE,"CF";"stats",#N/A,FALSE,"Stats";"prop",#N/A,FALSE,"Prop"}</definedName>
    <definedName name="asfag2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fasg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s">{"print 1.6",#N/A,FALSE,"Sheet1";"print 2.6",#N/A,FALSE,"Sheet1";"print 3.6",#N/A,FALSE,"Sheet1";"print 4.6",#N/A,FALSE,"Sheet1";"print 5.6",#N/A,FALSE,"Sheet1";"print 6.6",#N/A,FALSE,"Sheet1"}</definedName>
    <definedName name="asss">{"rtn",#N/A,FALSE,"RTN";"tables",#N/A,FALSE,"RTN";"cf",#N/A,FALSE,"CF";"stats",#N/A,FALSE,"Stats";"prop",#N/A,FALSE,"Prop"}</definedName>
    <definedName name="az">{#N/A,#N/A,FALSE,"Trans Summary";#N/A,#N/A,FALSE,"Proforma Five Yr";#N/A,#N/A,FALSE,"Occ and Rate"}</definedName>
    <definedName name="BadLink">#REF!</definedName>
    <definedName name="Bond">#REF!</definedName>
    <definedName name="Builders_Risk">#REF!</definedName>
    <definedName name="CAP">Summary!$D$16</definedName>
    <definedName name="ccc">{#N/A,#N/A,FALSE,"LoanAssumptions"}</definedName>
    <definedName name="CITY">Summary!$D$9</definedName>
    <definedName name="construction">{"Construction Costs",#N/A,FALSE,"Total Costs"}</definedName>
    <definedName name="Construction_Length">[1]Summary!$M$13</definedName>
    <definedName name="Construction_Module_On?">[1]Summary!$E$33</definedName>
    <definedName name="Contingency">#REF!</definedName>
    <definedName name="COST">Summary!$D$43</definedName>
    <definedName name="Cottage">{"cot1",#N/A,FALSE,"Cottages";"cot2",#N/A,FALSE,"Cottages";"cot3",#N/A,FALSE,"Cottages"}</definedName>
    <definedName name="dc">{#N/A,#N/A,FALSE,"Proforma Five Yr";#N/A,#N/A,FALSE,"Capital Input";#N/A,#N/A,FALSE,"Calculations";#N/A,#N/A,FALSE,"Transaction Summary-DTW"}</definedName>
    <definedName name="del">{"Page1",#N/A,FALSE,"7979";"Page2",#N/A,FALSE,"7979";"Page3",#N/A,FALSE,"7979"}</definedName>
    <definedName name="EGI">Summary!$D$34</definedName>
    <definedName name="EQUITY">'Source &amp; Use'!$C$11</definedName>
    <definedName name="Equity_Share_LP">'Equity Waterfall'!$C$10</definedName>
    <definedName name="Equity_Share_LP_Monthly">'Equity Waterfall'!$C$143</definedName>
    <definedName name="Equity_Share_Sponsor">'Equity Waterfall'!$C$9</definedName>
    <definedName name="Equity_Share_Sponsor_Monthly">'Equity Waterfall'!$C$142</definedName>
    <definedName name="er">{"demand",#N/A,FALSE,"Sheet3";"Market Mix",#N/A,FALSE,"Sheet4";"Occ Projection",#N/A,FALSE,"Sheet6"}</definedName>
    <definedName name="fds">{"Annual Cash Flows",#N/A,FALSE,"Annual Summary";"qtrl1",#N/A,FALSE,"QTLY Summary";"qtrl2",#N/A,FALSE,"QTLY Summary";"qtrl3",#N/A,FALSE,"QTLY Summary";"qtrl4",#N/A,FALSE,"QTLY Summary";"qtrl5",#N/A,FALSE,"QTLY Summary";"qtrl6",#N/A,FALSE,"QTLY Summary"}</definedName>
    <definedName name="Fee">#REF!</definedName>
    <definedName name="ff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filler">{"Annual Cash Flows",#N/A,FALSE,"Annual Summary"}</definedName>
    <definedName name="filler2">{"Assumptions",#N/A,FALSE,"Assumptions"}</definedName>
    <definedName name="filler3">{"Construction Costs",#N/A,FALSE,"Total Costs"}</definedName>
    <definedName name="fv">{"Project Input",#N/A,FALSE,"Sheet1";"additions",#N/A,FALSE,"Sheet2";"demand",#N/A,FALSE,"Sheet3";"Market Mix",#N/A,FALSE,"Sheet4";"Occ projection",#N/A,FALSE,"Sheet6"}</definedName>
    <definedName name="gb">{#N/A,#N/A,FALSE,"Proforma Five Yr";#N/A,#N/A,FALSE,"Occ and Rate";#N/A,#N/A,FALSE,"PF Input";#N/A,#N/A,FALSE,"Hotcomps"}</definedName>
    <definedName name="gg">{"View1",#N/A,FALSE,"Sheet1";"View2",#N/A,FALSE,"Sheet1"}</definedName>
    <definedName name="ggg">{"View1",#N/A,FALSE,"Sheet1";"View2",#N/A,FALSE,"Sheet1"}</definedName>
    <definedName name="gggg2">{"View1",#N/A,FALSE,"Sheet1";"View2",#N/A,FALSE,"Sheet1"}</definedName>
    <definedName name="GI">Summary!#REF!</definedName>
    <definedName name="GL_Insurance">#REF!</definedName>
    <definedName name="h">{#N/A,#N/A,FALSE,"PropertyInfo"}</definedName>
    <definedName name="hh">{#N/A,#N/A,FALSE,"Summary"}</definedName>
    <definedName name="hn">{#N/A,#N/A,FALSE,"Proforma Five Yr";#N/A,#N/A,FALSE,"Occ and Rate";#N/A,#N/A,FALSE,"PF Input";#N/A,#N/A,FALSE,"Ops Summary";#N/A,#N/A,FALSE,"Hotcomps"}</definedName>
    <definedName name="HTML1_10">""</definedName>
    <definedName name="HTML1_11">1</definedName>
    <definedName name="HTML1_12">"Aswath:Adobe SiteMill™ 1.0.2:MyHomePage:FCFF3.html"</definedName>
    <definedName name="HTML1_2">1</definedName>
    <definedName name="HTML1_3">"FCFF3"</definedName>
    <definedName name="HTML1_4">"Three-Stage FCFF Model"</definedName>
    <definedName name="HTML1_5">""</definedName>
    <definedName name="HTML1_6">-4146</definedName>
    <definedName name="HTML1_7">-4146</definedName>
    <definedName name="HTML1_8">"10/22/96"</definedName>
    <definedName name="HTML1_9">"Aswath Damodaran"</definedName>
    <definedName name="HTMLCount">1</definedName>
    <definedName name="Investment_Name">[1]Summary!$F$6</definedName>
    <definedName name="IRR_Type">'Equity Waterfall'!$D$20</definedName>
    <definedName name="JVEQUITY">'Source &amp; Use'!$C$10</definedName>
    <definedName name="K">Summary!$K$27</definedName>
    <definedName name="l">{#N/A,#N/A,FALSE,"Yield Graph";#N/A,#N/A,FALSE,"Rent Roll";#N/A,#N/A,FALSE,"OE Yr1";#N/A,#N/A,FALSE,"Repl.Cst.+Ins."}</definedName>
    <definedName name="LOAN">Summary!$D$45</definedName>
    <definedName name="MAXLTV">Summary!$M$25</definedName>
    <definedName name="MEZZ">'Source &amp; Use'!$C$8</definedName>
    <definedName name="MEZZPREF">'Source &amp; Use'!#REF!</definedName>
    <definedName name="MOPMT">Summary!$M$39</definedName>
    <definedName name="MRG">{"INCOME",#N/A,FALSE,"ProNet";"VALUE",#N/A,FALSE,"ProNet"}</definedName>
    <definedName name="NAME">Summary!$D$7</definedName>
    <definedName name="Name1">{"cot1",#N/A,FALSE,"Cottages";"cot2",#N/A,FALSE,"Cottages";"cot3",#N/A,FALSE,"Cottages"}</definedName>
    <definedName name="newrange">{"Annual Cash Flows",#N/A,FALSE,"Annual Summary"}</definedName>
    <definedName name="NOI">Summary!$D$39</definedName>
    <definedName name="NRSF">'Unit Mix'!$F$36</definedName>
    <definedName name="OPEX">Summary!$D$61</definedName>
    <definedName name="ORI_Module_On">[1]Summary!$E$30</definedName>
    <definedName name="PJAM3Yr">{"INCOME",#N/A,FALSE,"ProNet";"VALUE",#N/A,FALSE,"ProNet"}</definedName>
    <definedName name="PREF">'Source &amp; Use'!$C$9</definedName>
    <definedName name="Preferred_Return">'Equity Waterfall'!$E$15</definedName>
    <definedName name="Print_Mode">[1]Summary!$U$47</definedName>
    <definedName name="Promote_Structure_Monthly">'Equity Waterfall'!$B$147:$I$151</definedName>
    <definedName name="promte">{"Assumptions",#N/A,FALSE,"Assumptions"}</definedName>
    <definedName name="qw">{#N/A,#N/A,FALSE,"Transaction Summary-DTW";#N/A,#N/A,FALSE,"Proforma Five Yr";#N/A,#N/A,FALSE,"Occ and Rate"}</definedName>
    <definedName name="RATE">Summary!$K$25</definedName>
    <definedName name="results">{#N/A,#N/A,FALSE,"Yield Graph";#N/A,#N/A,FALSE,"Rent Roll";#N/A,#N/A,FALSE,"OE Yr1";#N/A,#N/A,FALSE,"Repl.Cst.+Ins."}</definedName>
    <definedName name="saa">{"rtn",#N/A,FALSE,"RTN";"tables",#N/A,FALSE,"RTN";"cf",#N/A,FALSE,"CF";"stats",#N/A,FALSE,"Stats";"prop",#N/A,FALSE,"Prop"}</definedName>
    <definedName name="Sales_Tax">#REF!</definedName>
    <definedName name="sas">{"Outflow 1",#N/A,FALSE,"Outflows-Inflows";"Outflow 2",#N/A,FALSE,"Outflows-Inflows";"Inflow 1",#N/A,FALSE,"Outflows-Inflows";"Inflow 2",#N/A,FALSE,"Outflows-Inflows"}</definedName>
    <definedName name="sdfass">{"Outflow 1",#N/A,FALSE,"Outflows-Inflows";"Outflow 2",#N/A,FALSE,"Outflows-Inflows";"Inflow 1",#N/A,FALSE,"Outflows-Inflows";"Inflow 2",#N/A,FALSE,"Outflows-Inflows"}</definedName>
    <definedName name="STABEGI">'Trended Proforma'!$F$21</definedName>
    <definedName name="STABILIZED_OPEX">Summary!#REF!</definedName>
    <definedName name="STREET">Summary!$D$8</definedName>
    <definedName name="sx">{#N/A,#N/A,FALSE,"Occ and Rate";#N/A,#N/A,FALSE,"PF Input";#N/A,#N/A,FALSE,"Capital Input";#N/A,#N/A,FALSE,"Proforma Five Yr";#N/A,#N/A,FALSE,"Calculations";#N/A,#N/A,FALSE,"Transaction Summary-DTW"}</definedName>
    <definedName name="Table_3out">#REF!</definedName>
    <definedName name="TERM">Summary!$K$24</definedName>
    <definedName name="Test">{"INCOME",#N/A,FALSE,"ProNet";"VALUE",#N/A,FALSE,"ProNet"}</definedName>
    <definedName name="Test2">{"INCOME",#N/A,FALSE,"ProNet";"VALUE",#N/A,FALSE,"ProNet"}</definedName>
    <definedName name="Test3">{"INCOME",#N/A,FALSE,"ProNet";"VALUE",#N/A,FALSE,"ProNet"}</definedName>
    <definedName name="test4">{"CHART",#N/A,FALSE,"Arch Communications"}</definedName>
    <definedName name="Total_Equity">'Equity Waterfall'!$D$11</definedName>
    <definedName name="Total_Equity_Monthly">'Equity Waterfall'!$D$144</definedName>
    <definedName name="Total_payments">#REF!</definedName>
    <definedName name="UCF">Summary!#REF!</definedName>
    <definedName name="UNITS">'Unit Mix'!$D$36</definedName>
    <definedName name="VAC">Summary!$D$17</definedName>
    <definedName name="VALUE">Summary!$D$41</definedName>
    <definedName name="we">{#N/A,#N/A,FALSE,"Occ and Rate";#N/A,#N/A,FALSE,"PF Input";#N/A,#N/A,FALSE,"Proforma Five Yr";#N/A,#N/A,FALSE,"Hotcomps"}</definedName>
    <definedName name="what">{"Page1",#N/A,FALSE,"7979";"Page2",#N/A,FALSE,"7979";"Page3",#N/A,FALSE,"7979"}</definedName>
    <definedName name="wrn.Acq._.Model.">{"RTN",#N/A,FALSE,"RTN";"Inc Stmt",#N/A,FALSE,"Inc Stmt";"Stats",#N/A,FALSE,"Stats";"Rnds",#N/A,FALSE,"Rnds";"Capx",#N/A,FALSE,"CapX";"Dues",#N/A,FALSE,"Dues";"Hist",#N/A,FALSE,"Hist";"Rev1",#N/A,FALSE,"Rev";"Rev2",#N/A,FALSE,"Rev";"Exp",#N/A,FALSE,"Exp";"Rounds",#N/A,FALSE,"Rounds";"Cap Imp",#N/A,FALSE,"Cap Imp"}</definedName>
    <definedName name="wrn.Acquisition._.Model.">{"Return",#N/A,FALSE,"RTN";"Inc Stmt",#N/A,FALSE,"Inc Stmt";"Stats",#N/A,FALSE,"Stats";"Rnds",#N/A,FALSE,"Rnds";"Dues",#N/A,FALSE,"Dues";"Capx",#N/A,FALSE,"CapX";"History",#N/A,FALSE,"Hist";"Rev",#N/A,FALSE,"Rev";"Expenses",#N/A,FALSE,"Exp";"Rounds",#N/A,FALSE,"Rounds";"Capex",#N/A,FALSE,"Capex"}</definedName>
    <definedName name="wrn.ALL.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nnual._.Summary.">{"Annual Cash Flows",#N/A,FALSE,"Annual Summary"}</definedName>
    <definedName name="wrn.AnnualRentRoll.">{"AnnualRentRoll",#N/A,FALSE,"RentRoll"}</definedName>
    <definedName name="wrn.Assumptions.">{"Assumptions",#N/A,FALSE,"Assumptions"}</definedName>
    <definedName name="wrn.Birdie.">{#N/A,#N/A,FALSE,"Trans Summary";#N/A,#N/A,FALSE,"Proforma Five Yr";#N/A,#N/A,FALSE,"Occ and Rate"}</definedName>
    <definedName name="wrn.Capx.">{"Capx/exp",#N/A,FALSE,"CapX"}</definedName>
    <definedName name="wrn.CHART.">{"CHART",#N/A,FALSE,"Arch Communications"}</definedName>
    <definedName name="wrn.Complete._.Review.">{#N/A,#N/A,FALSE,"Occ and Rate";#N/A,#N/A,FALSE,"PF Input";#N/A,#N/A,FALSE,"Capital Input";#N/A,#N/A,FALSE,"Proforma Five Yr";#N/A,#N/A,FALSE,"Calculations";#N/A,#N/A,FALSE,"Transaction Summary-DTW"}</definedName>
    <definedName name="wrn.Construction._.Costs.">{"Construction Costs",#N/A,FALSE,"Total Costs"}</definedName>
    <definedName name="wrn.Cottage._.Summary.">{"cot1",#N/A,FALSE,"Cottages";"cot2",#N/A,FALSE,"Cottages";"cot3",#N/A,FALSE,"Cottages"}</definedName>
    <definedName name="wrn.DETAIL._.SCHEDULES.">{"ACCOUNT DETAIL",#N/A,FALSE,"SCHEDULE E";"ACCOUNT DETAIL",#N/A,FALSE,"SCHEDULE G";"ACCOUNT DETAIL",#N/A,FALSE,"SCHEDULE H";"ACCOUNT DETAIL",#N/A,FALSE,"SCHEDULE I"}</definedName>
    <definedName name="wrn.Downside.">{"Downside",#N/A,FALSE,"Downside"}</definedName>
    <definedName name="wrn.ExitAndSalesAssumptions.">{#N/A,#N/A,FALSE,"ExitStratigy"}</definedName>
    <definedName name="wrn.Freq_Res.">{#N/A,#N/A,TRUE,"FR_HC";#N/A,#N/A,TRUE,"FR_REST";#N/A,#N/A,TRUE,"FR_RETA";#N/A,#N/A,TRUE,"FR_TECSOF";#N/A,#N/A,TRUE,"FR_NETTEC";#N/A,#N/A,TRUE,"FR_CLISER"}</definedName>
    <definedName name="wrn.Golf._.Summary.">{"View1",#N/A,FALSE,"Golf";"View2",#N/A,FALSE,"Golf";"View3",#N/A,FALSE,"Golf";"View4",#N/A,FALSE,"Golf";"View5",#N/A,FALSE,"Golf";"View6",#N/A,FALSE,"Golf";"View7",#N/A,FALSE,"Golf";"View8",#N/A,FALSE,"Golf";"View9",#N/A,FALSE,"Golf";"View10",#N/A,FALSE,"Golf";"View11",#N/A,FALSE,"Golf";"View12",#N/A,FALSE,"Golf"}</definedName>
    <definedName name="wrn.Investment._.Review.">{#N/A,#N/A,FALSE,"Proforma Five Yr";#N/A,#N/A,FALSE,"Capital Input";#N/A,#N/A,FALSE,"Calculations";#N/A,#N/A,FALSE,"Transaction Summary-DTW"}</definedName>
    <definedName name="wrn.Land._.Takedown._.Summary.">{"land1",#N/A,FALSE,"Land";"land2",#N/A,FALSE,"Land";"land3",#N/A,FALSE,"Land"}</definedName>
    <definedName name="wrn.LETTERED.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oan._.Summary.">{"Loan Summary",#N/A,FALSE,"Phase 1 loan &amp; data"}</definedName>
    <definedName name="wrn.LoanInformation.">{#N/A,#N/A,FALSE,"LoanAssumptions"}</definedName>
    <definedName name="wrn.Lot._.Inventory.">{"lot inventory",#N/A,FALSE,"Lot List"}</definedName>
    <definedName name="wrn.Lot._.Summary.">{"Lot Prices",#N/A,FALSE,"LOTS-PRICING";"lot1",#N/A,FALSE,"Lots";"lot2",#N/A,FALSE,"Lots";"Lot3",#N/A,FALSE,"Lots";"lot4",#N/A,FALSE,"Lots";"lot5",#N/A,FALSE,"Lots";"lot6",#N/A,FALSE,"Lots";"lot7",#N/A,FALSE,"Lots";"lot8",#N/A,FALSE,"Lots";"lot9",#N/A,FALSE,"Lots";"lot10",#N/A,FALSE,"Lots";"lot11",#N/A,FALSE,"Lots";"lot12",#N/A,FALSE,"Lots"}</definedName>
    <definedName name="wrn.MARKETING.">{#N/A,#N/A,FALSE,"MARKETING I";#N/A,#N/A,FALSE,"MARKETING II";#N/A,#N/A,FALSE,"MARKETING III"}</definedName>
    <definedName name="wrn.MINRENT.">{"MINRENT2",#N/A,FALSE,"SCHEDULE B"}</definedName>
    <definedName name="wrn.mktstd.">{"Project Input",#N/A,FALSE,"Sheet1";"additions",#N/A,FALSE,"Sheet2";"demand",#N/A,FALSE,"Sheet3";"Market Mix",#N/A,FALSE,"Sheet4";"Occ projection",#N/A,FALSE,"Sheet6"}</definedName>
    <definedName name="wrn.MonthlyRentRoll.">{"MonthlyRentRoll",#N/A,FALSE,"RentRoll"}</definedName>
    <definedName name="wrn.OperatingAssumtions.">{#N/A,#N/A,FALSE,"OperatingAssumptions"}</definedName>
    <definedName name="wrn.Operations._.Review.">{#N/A,#N/A,FALSE,"Proforma Five Yr";#N/A,#N/A,FALSE,"Occ and Rate";#N/A,#N/A,FALSE,"PF Input";#N/A,#N/A,FALSE,"Hotcomps"}</definedName>
    <definedName name="wrn.Ops._.Charlie._.Packet.">{#N/A,#N/A,FALSE,"Proforma Five Yr";#N/A,#N/A,FALSE,"Occ and Rate";#N/A,#N/A,FALSE,"PF Input";#N/A,#N/A,FALSE,"Ops Summary";#N/A,#N/A,FALSE,"Hotcomps"}</definedName>
    <definedName name="wrn.PERCENTAGE._.RENT.">{"PERCENTAGE RENT",#N/A,TRUE,"SCHEDULE B"}</definedName>
    <definedName name="wrn.Phase._.I.">{#N/A,#N/A,FALSE,"Transaction Summary-DTW";#N/A,#N/A,FALSE,"Proforma Five Yr";#N/A,#N/A,FALSE,"Occ and Rate"}</definedName>
    <definedName name="wrn.Presentation.">{#N/A,#N/A,TRUE,"Summary";"AnnualRentRoll",#N/A,TRUE,"RentRoll";#N/A,#N/A,TRUE,"ExitStratigy";#N/A,#N/A,TRUE,"OperatingAssumptions"}</definedName>
    <definedName name="wrn.Print.">{"View1",#N/A,FALSE,"Sheet1";"View2",#N/A,FALSE,"Sheet1"}</definedName>
    <definedName name="wrn.Print._.4.">{"Outflow 1",#N/A,FALSE,"Outflows-Inflows";"Outflow 2",#N/A,FALSE,"Outflows-Inflows";"Inflow 1",#N/A,FALSE,"Outflows-Inflows";"Inflow 2",#N/A,FALSE,"Outflows-Inflows"}</definedName>
    <definedName name="wrn.Print._.6.">{"print 1.6",#N/A,FALSE,"Sheet1";"print 2.6",#N/A,FALSE,"Sheet1";"print 3.6",#N/A,FALSE,"Sheet1";"print 4.6",#N/A,FALSE,"Sheet1";"print 5.6",#N/A,FALSE,"Sheet1";"print 6.6",#N/A,FALSE,"Sheet1"}</definedName>
    <definedName name="wrn.Print._.Entire._.Workbook.">{"Assumptions",#N/A,TRUE,"Assumptions";"qtrl1",#N/A,TRUE,"Annual Summary";"qtrl2",#N/A,TRUE,"Annual Summary";"qtrl3",#N/A,TRUE,"Annual Summary";"qtrl4",#N/A,TRUE,"QTLY Summary";"qtrl5",#N/A,TRUE,"QTLY Summary";"qtrl6",#N/A,TRUE,"QTLY Summary";"Lot Prices",#N/A,TRUE,"Annual Summary";"Construction Costs",#N/A,TRUE,"Annual Summary";"land1",#N/A,TRUE,"Annual Summary";"land2",#N/A,TRUE,"Annual Summary";"land3",#N/A,TRUE,"Annual Summary";"lot1",#N/A,TRUE,"Annual Summary";"lot2",#N/A,TRUE,"Annual Summary";"Lot3",#N/A,TRUE,"Annual Summary";"lot4",#N/A,TRUE,"Annual Summary";"lot5",#N/A,TRUE,"Annual Summary";"lot6",#N/A,TRUE,"Annual Summary";"lot7",#N/A,TRUE,"Annual Summary";"lot8",#N/A,TRUE,"Annual Summary";"lot9",#N/A,TRUE,"Annual Summary";"lot10",#N/A,TRUE,"Annual Summary";"lot11",#N/A,TRUE,"Annual Summary";"lot12",#N/A,TRUE,"Annual Summary";"lot inventory",#N/A,TRUE,"Annual Summary";"scen1",#N/A,TRUE,"Annual Summary";"scen2",#N/A,TRUE,"Annual Summary";"View1",#N/A,TRUE,"Annual Summary";"View2",#N/A,TRUE,"Annual Summary";"View3",#N/A,TRUE,"Annual Summary";"View4",#N/A,TRUE,"Annual Summary";"View5",#N/A,TRUE,"Annual Summary";"View6",#N/A,TRUE,"Annual Summary";"View7",#N/A,TRUE,"Annual Summary";"View8",#N/A,TRUE,"Annual Summary";"View9",#N/A,TRUE,"Annual Summary";"View10",#N/A,TRUE,"Annual Summary";"View11",#N/A,TRUE,"Annual Summary";"View12",#N/A,TRUE,"Annual Summary";"cot1",#N/A,TRUE,"Annual Summary";"cot2",#N/A,TRUE,"Annual Summary";"cot3",#N/A,TRUE,"Annual Summary"}</definedName>
    <definedName name="wrn.Print.B">{"View1",#N/A,FALSE,"Sheet1";"View2",#N/A,FALSE,"Sheet1"}</definedName>
    <definedName name="wrn.print2">{"View1",#N/A,FALSE,"Sheet1";"View2",#N/A,FALSE,"Sheet1"}</definedName>
    <definedName name="wrn.printb2">{"View1",#N/A,FALSE,"Sheet1";"View2",#N/A,FALSE,"Sheet1"}</definedName>
    <definedName name="wrn.Prints._.All.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All.B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forma._.Review.">{#N/A,#N/A,FALSE,"Occ and Rate";#N/A,#N/A,FALSE,"PF Input";#N/A,#N/A,FALSE,"Proforma Five Yr";#N/A,#N/A,FALSE,"Hotcomps"}</definedName>
    <definedName name="wrn.PropertyInformation.">{#N/A,#N/A,FALSE,"PropertyInfo"}</definedName>
    <definedName name="wrn.Quarterly._.Summary.">{"qtrl1",#N/A,TRUE,"Annual Summary";"qtrl2",#N/A,TRUE,"Annual Summary";"qtrl3",#N/A,TRUE,"Annual Summary";"qtrl4",#N/A,TRUE,"QTLY Summary";"qtrl5",#N/A,TRUE,"QTLY Summary";"qtrl6",#N/A,TRUE,"QTLY Summary"}</definedName>
    <definedName name="wrn.RATES.">{"RATES",#N/A,FALSE,"RECOVERY RATES";"CONTRIBUTIONS",#N/A,FALSE,"RECOVERY RATES";"GLA CATEGORY SUMMARY",#N/A,FALSE,"RECOVERY RATES"}</definedName>
    <definedName name="wrn.RV._.SAR.">{#N/A,#N/A,FALSE,"COVER";#N/A,#N/A,FALSE,"WEEKLY SUMMARY";"RiverView I",#N/A,FALSE,"EAST TOWER";#N/A,#N/A,FALSE,"WEST TOWER";"Parking",#N/A,FALSE,"EAST TOWER"}</definedName>
    <definedName name="wrn.Scenario.">{"scen1",#N/A,FALSE,"Scenarios";"scen2",#N/A,FALSE,"Scenarios"}</definedName>
    <definedName name="wrn.SCHAs.">{"ACCOUNTING COPY",#N/A,FALSE,"SCHEDULE A";"FINANCE COPY",#N/A,FALSE,"SCHEDULE A";"P.L. COPY",#N/A,FALSE,"SCHEDULE A"}</definedName>
    <definedName name="wrn.SCHEDULES._.ABC.">{#N/A,#N/A,FALSE,"SCHEDULE A";"MINIMUM RENT",#N/A,FALSE,"SCHEDULES B &amp; C";"PERCENTAGE RENT",#N/A,FALSE,"SCHEDULES B &amp; C"}</definedName>
    <definedName name="wrn.Summary.">{"Annual Cash Flows",#N/A,FALSE,"Annual Summary";"qtrl1",#N/A,FALSE,"QTLY Summary";"qtrl2",#N/A,FALSE,"QTLY Summary";"qtrl3",#N/A,FALSE,"QTLY Summary";"qtrl4",#N/A,FALSE,"QTLY Summary";"qtrl5",#N/A,FALSE,"QTLY Summary";"qtrl6",#N/A,FALSE,"QTLY Summary"}</definedName>
    <definedName name="wrn.SupplyDemand.">{"demand",#N/A,FALSE,"Sheet3";"Market Mix",#N/A,FALSE,"Sheet4";"Occ Projection",#N/A,FALSE,"Sheet6"}</definedName>
    <definedName name="wrn.TEST.">{#N/A,#N/A,FALSE,"SCHEDULE G"}</definedName>
    <definedName name="wrn.Tycon._.Model.">{"rtn",#N/A,FALSE,"RTN";"tables",#N/A,FALSE,"RTN";"cf",#N/A,FALSE,"CF";"stats",#N/A,FALSE,"Stats";"prop",#N/A,FALSE,"Prop"}</definedName>
    <definedName name="wrn.valuation.">{"Page1",#N/A,FALSE,"7979";"Page2",#N/A,FALSE,"7979";"Page3",#N/A,FALSE,"7979"}</definedName>
    <definedName name="wrn.Yield._.Graph.">{#N/A,#N/A,FALSE,"Yield Graph"}</definedName>
    <definedName name="wrn.Yield._.Graph._.plus._.Input.">{#N/A,#N/A,FALSE,"Yield Graph";#N/A,#N/A,FALSE,"Rent Roll";#N/A,#N/A,FALSE,"OE Yr1";#N/A,#N/A,FALSE,"Repl.Cst.+Ins."}</definedName>
    <definedName name="wrnprintall2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printallb2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xfg">{"scen1",#N/A,FALSE,"Scenarios";"scen2",#N/A,FALSE,"Scenarios"}</definedName>
    <definedName name="Z_3B7E6FBC_CC8D_4962_8AE3_5DAB988B8D35_.wvu.Rows" localSheetId="1">'Unit Mix'!$10:$10</definedName>
    <definedName name="Z_57C3E8B0_A7E3_47A9_BCBF_C46C113ADE09_.wvu.Rows" localSheetId="1">'Unit Mix'!$10:$10</definedName>
  </definedNames>
  <calcPr calcId="191029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8vb1HmlUke1pm0dGNJyiV+OVBiG4CPJP8BrVbUjLYsQ="/>
    </ext>
  </extLst>
</workbook>
</file>

<file path=xl/calcChain.xml><?xml version="1.0" encoding="utf-8"?>
<calcChain xmlns="http://schemas.openxmlformats.org/spreadsheetml/2006/main">
  <c r="H53" i="19" l="1"/>
  <c r="H55" i="19" s="1"/>
  <c r="H56" i="19"/>
  <c r="F54" i="19"/>
  <c r="F53" i="19"/>
  <c r="H31" i="19"/>
  <c r="H30" i="19"/>
  <c r="H27" i="19"/>
  <c r="H26" i="19"/>
  <c r="H23" i="19"/>
  <c r="H22" i="19"/>
  <c r="H19" i="19"/>
  <c r="H18" i="19"/>
  <c r="H15" i="19"/>
  <c r="D77" i="18"/>
  <c r="D78" i="18"/>
  <c r="E79" i="18"/>
  <c r="F81" i="18"/>
  <c r="F82" i="18" s="1"/>
  <c r="G81" i="18"/>
  <c r="G82" i="18" s="1"/>
  <c r="E81" i="18"/>
  <c r="E82" i="18" s="1"/>
  <c r="F80" i="18"/>
  <c r="G80" i="18"/>
  <c r="E80" i="18"/>
  <c r="F79" i="18"/>
  <c r="G79" i="18"/>
  <c r="G13" i="18"/>
  <c r="G12" i="18"/>
  <c r="G11" i="18"/>
  <c r="F13" i="18"/>
  <c r="F12" i="18"/>
  <c r="F11" i="18"/>
  <c r="E13" i="18"/>
  <c r="E12" i="18"/>
  <c r="E11" i="18"/>
  <c r="M76" i="2"/>
  <c r="K76" i="2"/>
  <c r="C2" i="19"/>
  <c r="C1" i="19"/>
  <c r="B2" i="18"/>
  <c r="B2" i="14"/>
  <c r="B1" i="14"/>
  <c r="B2" i="9"/>
  <c r="U3" i="9"/>
  <c r="C2" i="8"/>
  <c r="C2" i="22"/>
  <c r="B2" i="6"/>
  <c r="B2" i="5"/>
  <c r="R3" i="20"/>
  <c r="B2" i="20"/>
  <c r="B1" i="20"/>
  <c r="B2" i="4"/>
  <c r="J46" i="2"/>
  <c r="L46" i="2"/>
  <c r="E11" i="22"/>
  <c r="G50" i="10" s="1"/>
  <c r="E11" i="8" s="1"/>
  <c r="F58" i="22"/>
  <c r="F58" i="8"/>
  <c r="H141" i="10"/>
  <c r="H142" i="10" s="1"/>
  <c r="H143" i="10" s="1"/>
  <c r="H144" i="10" s="1"/>
  <c r="H145" i="10" s="1"/>
  <c r="H146" i="10" s="1"/>
  <c r="H147" i="10" s="1"/>
  <c r="H140" i="10"/>
  <c r="H178" i="11"/>
  <c r="H137" i="11"/>
  <c r="H139" i="11"/>
  <c r="I139" i="11"/>
  <c r="J139" i="11"/>
  <c r="I140" i="11"/>
  <c r="J140" i="11"/>
  <c r="I141" i="11"/>
  <c r="J141" i="11"/>
  <c r="I142" i="11"/>
  <c r="J142" i="11"/>
  <c r="I143" i="11"/>
  <c r="J143" i="11"/>
  <c r="I144" i="11"/>
  <c r="J144" i="11"/>
  <c r="I145" i="11"/>
  <c r="J145" i="11"/>
  <c r="I146" i="11"/>
  <c r="J146" i="11"/>
  <c r="I147" i="11"/>
  <c r="J147" i="11"/>
  <c r="H149" i="11"/>
  <c r="H151" i="11"/>
  <c r="I151" i="11"/>
  <c r="J151" i="11"/>
  <c r="K151" i="11"/>
  <c r="L151" i="11"/>
  <c r="M151" i="11"/>
  <c r="H152" i="11"/>
  <c r="I152" i="11"/>
  <c r="J152" i="11"/>
  <c r="K152" i="11"/>
  <c r="L152" i="11"/>
  <c r="M152" i="11"/>
  <c r="H153" i="11"/>
  <c r="I153" i="11"/>
  <c r="J153" i="11"/>
  <c r="K153" i="11"/>
  <c r="L153" i="11"/>
  <c r="M153" i="11"/>
  <c r="H154" i="11"/>
  <c r="I154" i="11"/>
  <c r="J154" i="11"/>
  <c r="K154" i="11"/>
  <c r="L154" i="11"/>
  <c r="M154" i="11"/>
  <c r="H155" i="11"/>
  <c r="I155" i="11"/>
  <c r="J155" i="11"/>
  <c r="K155" i="11"/>
  <c r="L155" i="11"/>
  <c r="M155" i="11"/>
  <c r="H156" i="11"/>
  <c r="I156" i="11"/>
  <c r="J156" i="11"/>
  <c r="K156" i="11"/>
  <c r="L156" i="11"/>
  <c r="M156" i="11"/>
  <c r="H157" i="11"/>
  <c r="I157" i="11"/>
  <c r="J157" i="11"/>
  <c r="K157" i="11"/>
  <c r="L157" i="11"/>
  <c r="M157" i="11"/>
  <c r="H158" i="11"/>
  <c r="I158" i="11"/>
  <c r="J158" i="11"/>
  <c r="K158" i="11"/>
  <c r="L158" i="11"/>
  <c r="M158" i="11"/>
  <c r="H159" i="11"/>
  <c r="I159" i="11"/>
  <c r="J159" i="11"/>
  <c r="K159" i="11"/>
  <c r="L159" i="11"/>
  <c r="M159" i="11"/>
  <c r="H162" i="11"/>
  <c r="H164" i="11"/>
  <c r="I164" i="11"/>
  <c r="J164" i="11"/>
  <c r="K164" i="11"/>
  <c r="L164" i="11"/>
  <c r="M164" i="11"/>
  <c r="N164" i="11"/>
  <c r="H165" i="11"/>
  <c r="I165" i="11"/>
  <c r="J165" i="11"/>
  <c r="K165" i="11"/>
  <c r="L165" i="11"/>
  <c r="M165" i="11"/>
  <c r="N165" i="11"/>
  <c r="H166" i="11"/>
  <c r="I166" i="11"/>
  <c r="J166" i="11"/>
  <c r="K166" i="11"/>
  <c r="L166" i="11"/>
  <c r="M166" i="11"/>
  <c r="N166" i="11"/>
  <c r="H167" i="11"/>
  <c r="I167" i="11"/>
  <c r="J167" i="11"/>
  <c r="K167" i="11"/>
  <c r="L167" i="11"/>
  <c r="M167" i="11"/>
  <c r="N167" i="11"/>
  <c r="H168" i="11"/>
  <c r="I168" i="11"/>
  <c r="J168" i="11"/>
  <c r="K168" i="11"/>
  <c r="L168" i="11"/>
  <c r="M168" i="11"/>
  <c r="N168" i="11"/>
  <c r="H170" i="11"/>
  <c r="H172" i="11"/>
  <c r="I172" i="11"/>
  <c r="J172" i="11"/>
  <c r="K172" i="11"/>
  <c r="L172" i="11"/>
  <c r="M172" i="11"/>
  <c r="N172" i="11"/>
  <c r="H173" i="11"/>
  <c r="I173" i="11"/>
  <c r="J173" i="11"/>
  <c r="K173" i="11"/>
  <c r="L173" i="11"/>
  <c r="M173" i="11"/>
  <c r="N173" i="11"/>
  <c r="H174" i="11"/>
  <c r="I174" i="11"/>
  <c r="J174" i="11"/>
  <c r="K174" i="11"/>
  <c r="L174" i="11"/>
  <c r="M174" i="11"/>
  <c r="N174" i="11"/>
  <c r="H175" i="11"/>
  <c r="I175" i="11"/>
  <c r="J175" i="11"/>
  <c r="K175" i="11"/>
  <c r="L175" i="11"/>
  <c r="M175" i="11"/>
  <c r="N175" i="11"/>
  <c r="H176" i="11"/>
  <c r="I176" i="11"/>
  <c r="J176" i="11"/>
  <c r="K176" i="11"/>
  <c r="L176" i="11"/>
  <c r="M176" i="11"/>
  <c r="N176" i="11"/>
  <c r="H180" i="11"/>
  <c r="I180" i="11"/>
  <c r="J180" i="11"/>
  <c r="K180" i="11"/>
  <c r="L180" i="11"/>
  <c r="M180" i="11"/>
  <c r="N180" i="11"/>
  <c r="H181" i="11"/>
  <c r="I181" i="11"/>
  <c r="J181" i="11"/>
  <c r="K181" i="11"/>
  <c r="L181" i="11"/>
  <c r="M181" i="11"/>
  <c r="N181" i="11"/>
  <c r="H182" i="11"/>
  <c r="I182" i="11"/>
  <c r="J182" i="11"/>
  <c r="K182" i="11"/>
  <c r="L182" i="11"/>
  <c r="M182" i="11"/>
  <c r="N182" i="11"/>
  <c r="H183" i="11"/>
  <c r="I183" i="11"/>
  <c r="J183" i="11"/>
  <c r="K183" i="11"/>
  <c r="L183" i="11"/>
  <c r="M183" i="11"/>
  <c r="N183" i="11"/>
  <c r="H184" i="11"/>
  <c r="I184" i="11"/>
  <c r="J184" i="11"/>
  <c r="K184" i="11"/>
  <c r="L184" i="11"/>
  <c r="M184" i="11"/>
  <c r="N184" i="11"/>
  <c r="H135" i="11"/>
  <c r="G84" i="11"/>
  <c r="G88" i="11"/>
  <c r="G89" i="11"/>
  <c r="G93" i="11"/>
  <c r="G94" i="11"/>
  <c r="G95" i="11"/>
  <c r="G83" i="11"/>
  <c r="D75" i="11"/>
  <c r="D76" i="11"/>
  <c r="D77" i="11"/>
  <c r="D78" i="11"/>
  <c r="E75" i="11"/>
  <c r="E76" i="11"/>
  <c r="E77" i="11"/>
  <c r="E78" i="11"/>
  <c r="D80" i="11"/>
  <c r="E80" i="11"/>
  <c r="D83" i="11"/>
  <c r="E83" i="11"/>
  <c r="D84" i="11"/>
  <c r="E84" i="11"/>
  <c r="D88" i="11"/>
  <c r="E88" i="11"/>
  <c r="D89" i="11"/>
  <c r="E89" i="11"/>
  <c r="D90" i="11"/>
  <c r="E90" i="11"/>
  <c r="D94" i="11"/>
  <c r="E94" i="11"/>
  <c r="F94" i="11"/>
  <c r="E95" i="11"/>
  <c r="C88" i="11"/>
  <c r="C94" i="11"/>
  <c r="F100" i="11"/>
  <c r="B110" i="11"/>
  <c r="E110" i="11"/>
  <c r="F110" i="11"/>
  <c r="B111" i="11"/>
  <c r="B112" i="11"/>
  <c r="D112" i="11"/>
  <c r="E112" i="11"/>
  <c r="F112" i="11"/>
  <c r="B113" i="11"/>
  <c r="F113" i="11"/>
  <c r="B114" i="11"/>
  <c r="B115" i="11"/>
  <c r="B116" i="11"/>
  <c r="B118" i="11"/>
  <c r="E118" i="11"/>
  <c r="F118" i="11"/>
  <c r="B119" i="11"/>
  <c r="B120" i="11"/>
  <c r="D120" i="11"/>
  <c r="E120" i="11"/>
  <c r="F120" i="11"/>
  <c r="B121" i="11"/>
  <c r="B122" i="11"/>
  <c r="B123" i="11"/>
  <c r="B124" i="11"/>
  <c r="E125" i="11"/>
  <c r="F125" i="11"/>
  <c r="B126" i="11"/>
  <c r="F126" i="11"/>
  <c r="B128" i="11"/>
  <c r="B104" i="11"/>
  <c r="E104" i="11"/>
  <c r="F104" i="11"/>
  <c r="B105" i="11"/>
  <c r="B106" i="11"/>
  <c r="B107" i="11"/>
  <c r="B108" i="11"/>
  <c r="C3" i="11"/>
  <c r="D3" i="11"/>
  <c r="E3" i="11"/>
  <c r="F3" i="11"/>
  <c r="G3" i="11"/>
  <c r="G4" i="11"/>
  <c r="G5" i="11"/>
  <c r="G6" i="11"/>
  <c r="B7" i="11"/>
  <c r="G7" i="11"/>
  <c r="B9" i="11"/>
  <c r="C9" i="11"/>
  <c r="D9" i="11"/>
  <c r="E9" i="11"/>
  <c r="F9" i="11"/>
  <c r="G9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B39" i="11"/>
  <c r="E39" i="11"/>
  <c r="B40" i="11"/>
  <c r="B42" i="11"/>
  <c r="D42" i="11"/>
  <c r="E42" i="11"/>
  <c r="F42" i="11"/>
  <c r="B43" i="11"/>
  <c r="B44" i="11"/>
  <c r="B45" i="11"/>
  <c r="B47" i="11"/>
  <c r="B48" i="11"/>
  <c r="G48" i="11"/>
  <c r="B49" i="11"/>
  <c r="B50" i="11"/>
  <c r="B52" i="11"/>
  <c r="B54" i="11"/>
  <c r="C55" i="11"/>
  <c r="D55" i="11"/>
  <c r="E55" i="11"/>
  <c r="G55" i="11"/>
  <c r="E56" i="11"/>
  <c r="E57" i="11"/>
  <c r="E58" i="11"/>
  <c r="E59" i="11"/>
  <c r="E60" i="11"/>
  <c r="E61" i="11"/>
  <c r="E62" i="11"/>
  <c r="E63" i="11"/>
  <c r="E64" i="11"/>
  <c r="E65" i="11"/>
  <c r="E66" i="11"/>
  <c r="D67" i="11"/>
  <c r="E67" i="11"/>
  <c r="C68" i="11"/>
  <c r="D68" i="11"/>
  <c r="E68" i="11"/>
  <c r="E69" i="11"/>
  <c r="B70" i="11"/>
  <c r="B74" i="11"/>
  <c r="B79" i="11"/>
  <c r="B83" i="11"/>
  <c r="C83" i="11"/>
  <c r="B84" i="11"/>
  <c r="B86" i="11"/>
  <c r="B88" i="11"/>
  <c r="B91" i="11"/>
  <c r="B94" i="11"/>
  <c r="B96" i="11"/>
  <c r="B99" i="11"/>
  <c r="B100" i="11"/>
  <c r="B102" i="11"/>
  <c r="B130" i="11"/>
  <c r="F130" i="11"/>
  <c r="F131" i="11"/>
  <c r="G131" i="11"/>
  <c r="B132" i="11"/>
  <c r="C132" i="11"/>
  <c r="D132" i="11"/>
  <c r="B135" i="11"/>
  <c r="B137" i="11"/>
  <c r="C137" i="11"/>
  <c r="B138" i="11"/>
  <c r="B139" i="11"/>
  <c r="B140" i="11"/>
  <c r="C140" i="11"/>
  <c r="B141" i="11"/>
  <c r="C141" i="11"/>
  <c r="B142" i="11"/>
  <c r="B143" i="11"/>
  <c r="C143" i="11"/>
  <c r="B144" i="11"/>
  <c r="C144" i="11"/>
  <c r="B145" i="11"/>
  <c r="B146" i="11"/>
  <c r="B147" i="11"/>
  <c r="B148" i="11"/>
  <c r="B149" i="11"/>
  <c r="B150" i="11"/>
  <c r="C150" i="11"/>
  <c r="B151" i="11"/>
  <c r="C151" i="11"/>
  <c r="B152" i="11"/>
  <c r="B153" i="11"/>
  <c r="B154" i="11"/>
  <c r="B155" i="11"/>
  <c r="B156" i="11"/>
  <c r="B157" i="11"/>
  <c r="B158" i="11"/>
  <c r="B160" i="11"/>
  <c r="C160" i="11"/>
  <c r="B161" i="11"/>
  <c r="B162" i="11"/>
  <c r="B163" i="11"/>
  <c r="F18" i="2"/>
  <c r="F20" i="2" s="1"/>
  <c r="E111" i="10"/>
  <c r="D113" i="10" s="1"/>
  <c r="D113" i="11" s="1"/>
  <c r="H114" i="10"/>
  <c r="H115" i="10" s="1"/>
  <c r="C10" i="6"/>
  <c r="C32" i="6" s="1"/>
  <c r="J7" i="4"/>
  <c r="C2" i="2"/>
  <c r="L65" i="2"/>
  <c r="C11" i="8"/>
  <c r="C10" i="8"/>
  <c r="D45" i="10"/>
  <c r="D45" i="11" s="1"/>
  <c r="B67" i="10"/>
  <c r="B69" i="10"/>
  <c r="C67" i="10"/>
  <c r="C67" i="11" s="1"/>
  <c r="C69" i="10"/>
  <c r="C69" i="11" s="1"/>
  <c r="E33" i="22"/>
  <c r="C27" i="22"/>
  <c r="B66" i="10" s="1"/>
  <c r="B66" i="11" s="1"/>
  <c r="C26" i="22"/>
  <c r="B65" i="10" s="1"/>
  <c r="B65" i="11" s="1"/>
  <c r="C25" i="22"/>
  <c r="B64" i="10" s="1"/>
  <c r="B64" i="11" s="1"/>
  <c r="C24" i="22"/>
  <c r="B63" i="10" s="1"/>
  <c r="B63" i="11" s="1"/>
  <c r="C23" i="22"/>
  <c r="B62" i="10" s="1"/>
  <c r="B62" i="11" s="1"/>
  <c r="C22" i="22"/>
  <c r="B61" i="10" s="1"/>
  <c r="B61" i="11" s="1"/>
  <c r="C21" i="22"/>
  <c r="B60" i="10" s="1"/>
  <c r="B60" i="11" s="1"/>
  <c r="C20" i="22"/>
  <c r="B59" i="10" s="1"/>
  <c r="B59" i="11" s="1"/>
  <c r="C19" i="22"/>
  <c r="B58" i="10" s="1"/>
  <c r="B58" i="11" s="1"/>
  <c r="C18" i="22"/>
  <c r="B57" i="10" s="1"/>
  <c r="B57" i="11" s="1"/>
  <c r="C17" i="22"/>
  <c r="B56" i="10" s="1"/>
  <c r="B56" i="11" s="1"/>
  <c r="E10" i="22"/>
  <c r="I3" i="22"/>
  <c r="C1" i="22"/>
  <c r="J46" i="20"/>
  <c r="E44" i="20"/>
  <c r="J44" i="20" s="1"/>
  <c r="G7" i="20"/>
  <c r="E45" i="10" s="1"/>
  <c r="E45" i="11" s="1"/>
  <c r="H7" i="20"/>
  <c r="H54" i="19" l="1"/>
  <c r="F7" i="20"/>
  <c r="G44" i="20"/>
  <c r="G45" i="20" s="1"/>
  <c r="E45" i="20"/>
  <c r="J45" i="20" s="1"/>
  <c r="D10" i="14"/>
  <c r="G50" i="11"/>
  <c r="E111" i="11"/>
  <c r="F73" i="2"/>
  <c r="D73" i="2"/>
  <c r="H8" i="4"/>
  <c r="G12" i="19"/>
  <c r="F12" i="19"/>
  <c r="G18" i="19"/>
  <c r="H51" i="19"/>
  <c r="H50" i="19"/>
  <c r="G50" i="19"/>
  <c r="H47" i="19"/>
  <c r="H46" i="19"/>
  <c r="G46" i="19"/>
  <c r="H43" i="19"/>
  <c r="H42" i="19"/>
  <c r="G42" i="19"/>
  <c r="H39" i="19"/>
  <c r="H38" i="19"/>
  <c r="G38" i="19"/>
  <c r="H35" i="19"/>
  <c r="H34" i="19"/>
  <c r="G34" i="19"/>
  <c r="G30" i="19"/>
  <c r="G26" i="19"/>
  <c r="H14" i="19"/>
  <c r="G14" i="19"/>
  <c r="H12" i="19"/>
  <c r="D11" i="19"/>
  <c r="D10" i="19"/>
  <c r="D9" i="19"/>
  <c r="L3" i="19"/>
  <c r="H68" i="18"/>
  <c r="H70" i="18" s="1"/>
  <c r="G68" i="18"/>
  <c r="G70" i="18" s="1"/>
  <c r="F68" i="18"/>
  <c r="F70" i="18" s="1"/>
  <c r="E68" i="18"/>
  <c r="E70" i="18" s="1"/>
  <c r="D66" i="18"/>
  <c r="G16" i="18"/>
  <c r="G102" i="18" s="1"/>
  <c r="F99" i="18"/>
  <c r="F98" i="18"/>
  <c r="D15" i="18"/>
  <c r="D11" i="18"/>
  <c r="E110" i="18"/>
  <c r="H109" i="18"/>
  <c r="H110" i="18" s="1"/>
  <c r="G109" i="18"/>
  <c r="G110" i="18" s="1"/>
  <c r="F109" i="18"/>
  <c r="F110" i="18" s="1"/>
  <c r="G104" i="18"/>
  <c r="H101" i="18"/>
  <c r="G101" i="18"/>
  <c r="F101" i="18"/>
  <c r="E101" i="18"/>
  <c r="H99" i="18"/>
  <c r="E99" i="18"/>
  <c r="H98" i="18"/>
  <c r="E98" i="18"/>
  <c r="D98" i="18"/>
  <c r="H97" i="18"/>
  <c r="G97" i="18"/>
  <c r="F97" i="18"/>
  <c r="E97" i="18"/>
  <c r="H96" i="18"/>
  <c r="G96" i="18"/>
  <c r="F96" i="18"/>
  <c r="E96" i="18"/>
  <c r="H95" i="18"/>
  <c r="G95" i="18"/>
  <c r="F95" i="18"/>
  <c r="E95" i="18"/>
  <c r="H94" i="18"/>
  <c r="G94" i="18"/>
  <c r="F94" i="18"/>
  <c r="E94" i="18"/>
  <c r="H92" i="18"/>
  <c r="G92" i="18"/>
  <c r="F92" i="18"/>
  <c r="E92" i="18"/>
  <c r="H91" i="18"/>
  <c r="G91" i="18"/>
  <c r="F91" i="18"/>
  <c r="E91" i="18"/>
  <c r="H90" i="18"/>
  <c r="G90" i="18"/>
  <c r="F90" i="18"/>
  <c r="E90" i="18"/>
  <c r="H89" i="18"/>
  <c r="G89" i="18"/>
  <c r="F89" i="18"/>
  <c r="E89" i="18"/>
  <c r="H87" i="18"/>
  <c r="G87" i="18"/>
  <c r="F87" i="18"/>
  <c r="E87" i="18"/>
  <c r="H86" i="18"/>
  <c r="G86" i="18"/>
  <c r="F86" i="18"/>
  <c r="E86" i="18"/>
  <c r="H78" i="18"/>
  <c r="G78" i="18"/>
  <c r="F78" i="18"/>
  <c r="E78" i="18"/>
  <c r="G76" i="18"/>
  <c r="H74" i="18"/>
  <c r="H76" i="18" s="1"/>
  <c r="G74" i="18"/>
  <c r="F74" i="18"/>
  <c r="F76" i="18" s="1"/>
  <c r="E74" i="18"/>
  <c r="E76" i="18" s="1"/>
  <c r="D72" i="18"/>
  <c r="H62" i="18"/>
  <c r="H64" i="18" s="1"/>
  <c r="G62" i="18"/>
  <c r="G64" i="18" s="1"/>
  <c r="F62" i="18"/>
  <c r="F64" i="18" s="1"/>
  <c r="E62" i="18"/>
  <c r="E64" i="18" s="1"/>
  <c r="D60" i="18"/>
  <c r="H56" i="18"/>
  <c r="H58" i="18" s="1"/>
  <c r="G56" i="18"/>
  <c r="G58" i="18" s="1"/>
  <c r="F56" i="18"/>
  <c r="F58" i="18" s="1"/>
  <c r="E56" i="18"/>
  <c r="E58" i="18" s="1"/>
  <c r="D54" i="18"/>
  <c r="H50" i="18"/>
  <c r="H52" i="18" s="1"/>
  <c r="G50" i="18"/>
  <c r="G52" i="18" s="1"/>
  <c r="F50" i="18"/>
  <c r="F52" i="18" s="1"/>
  <c r="E50" i="18"/>
  <c r="E52" i="18" s="1"/>
  <c r="D48" i="18"/>
  <c r="H44" i="18"/>
  <c r="H46" i="18" s="1"/>
  <c r="G44" i="18"/>
  <c r="G46" i="18" s="1"/>
  <c r="F44" i="18"/>
  <c r="F46" i="18" s="1"/>
  <c r="E44" i="18"/>
  <c r="E46" i="18" s="1"/>
  <c r="D42" i="18"/>
  <c r="H38" i="18"/>
  <c r="H40" i="18" s="1"/>
  <c r="G38" i="18"/>
  <c r="G40" i="18" s="1"/>
  <c r="F38" i="18"/>
  <c r="F40" i="18" s="1"/>
  <c r="E38" i="18"/>
  <c r="E40" i="18" s="1"/>
  <c r="D36" i="18"/>
  <c r="H32" i="18"/>
  <c r="H34" i="18" s="1"/>
  <c r="G32" i="18"/>
  <c r="G34" i="18" s="1"/>
  <c r="F32" i="18"/>
  <c r="F34" i="18" s="1"/>
  <c r="E32" i="18"/>
  <c r="E34" i="18" s="1"/>
  <c r="D30" i="18"/>
  <c r="H26" i="18"/>
  <c r="H28" i="18" s="1"/>
  <c r="G26" i="18"/>
  <c r="G28" i="18" s="1"/>
  <c r="F26" i="18"/>
  <c r="F28" i="18" s="1"/>
  <c r="E26" i="18"/>
  <c r="E28" i="18" s="1"/>
  <c r="D24" i="18"/>
  <c r="B23" i="18"/>
  <c r="B29" i="18" s="1"/>
  <c r="B35" i="18" s="1"/>
  <c r="B41" i="18" s="1"/>
  <c r="B47" i="18" s="1"/>
  <c r="B53" i="18" s="1"/>
  <c r="B59" i="18" s="1"/>
  <c r="B65" i="18" s="1"/>
  <c r="B71" i="18" s="1"/>
  <c r="H20" i="18"/>
  <c r="H22" i="18" s="1"/>
  <c r="G20" i="18"/>
  <c r="G22" i="18" s="1"/>
  <c r="F20" i="18"/>
  <c r="F22" i="18" s="1"/>
  <c r="E20" i="18"/>
  <c r="E22" i="18" s="1"/>
  <c r="H16" i="18"/>
  <c r="H102" i="18" s="1"/>
  <c r="F16" i="18"/>
  <c r="F102" i="18" s="1"/>
  <c r="E16" i="18"/>
  <c r="E102" i="18" s="1"/>
  <c r="H14" i="18"/>
  <c r="H100" i="18" s="1"/>
  <c r="E14" i="18"/>
  <c r="E100" i="18" s="1"/>
  <c r="C13" i="18"/>
  <c r="C12" i="18"/>
  <c r="C11" i="18"/>
  <c r="K3" i="18"/>
  <c r="B1" i="18"/>
  <c r="F104" i="18" l="1"/>
  <c r="H105" i="18"/>
  <c r="E88" i="18"/>
  <c r="E103" i="18"/>
  <c r="H88" i="18"/>
  <c r="F88" i="18"/>
  <c r="H106" i="18"/>
  <c r="H104" i="18"/>
  <c r="G88" i="18"/>
  <c r="E104" i="18"/>
  <c r="H103" i="18"/>
  <c r="F45" i="10"/>
  <c r="F45" i="11" s="1"/>
  <c r="F44" i="20"/>
  <c r="F55" i="19"/>
  <c r="F105" i="18"/>
  <c r="F103" i="18"/>
  <c r="F106" i="18"/>
  <c r="F14" i="18"/>
  <c r="F100" i="18" s="1"/>
  <c r="E105" i="18"/>
  <c r="E106" i="18"/>
  <c r="G99" i="18"/>
  <c r="G106" i="18" s="1"/>
  <c r="G14" i="18"/>
  <c r="G100" i="18" s="1"/>
  <c r="G98" i="18"/>
  <c r="G105" i="18" l="1"/>
  <c r="H44" i="20"/>
  <c r="H45" i="20" s="1"/>
  <c r="D25" i="2"/>
  <c r="F45" i="20"/>
  <c r="G103" i="18"/>
  <c r="H140" i="11"/>
  <c r="C124" i="5"/>
  <c r="C125" i="5"/>
  <c r="C126" i="5"/>
  <c r="C127" i="5"/>
  <c r="C123" i="5"/>
  <c r="B124" i="5"/>
  <c r="B125" i="5"/>
  <c r="B126" i="5"/>
  <c r="B127" i="5"/>
  <c r="B123" i="5"/>
  <c r="I8" i="4"/>
  <c r="I7" i="4"/>
  <c r="D28" i="2" l="1"/>
  <c r="F11" i="22" s="1"/>
  <c r="F9" i="22"/>
  <c r="H141" i="11"/>
  <c r="B21" i="6"/>
  <c r="B18" i="6"/>
  <c r="B17" i="6"/>
  <c r="C115" i="5"/>
  <c r="C18" i="6" s="1"/>
  <c r="C109" i="5"/>
  <c r="C17" i="6" s="1"/>
  <c r="G9" i="22" l="1"/>
  <c r="G11" i="22"/>
  <c r="H142" i="11"/>
  <c r="B211" i="14"/>
  <c r="B204" i="14"/>
  <c r="B198" i="14"/>
  <c r="B189" i="14"/>
  <c r="B183" i="14"/>
  <c r="B174" i="14"/>
  <c r="E158" i="14"/>
  <c r="D158" i="14"/>
  <c r="B158" i="14"/>
  <c r="E157" i="14"/>
  <c r="D157" i="14"/>
  <c r="B157" i="14"/>
  <c r="F156" i="14"/>
  <c r="E156" i="14"/>
  <c r="D156" i="14"/>
  <c r="B156" i="14"/>
  <c r="F154" i="14"/>
  <c r="F179" i="14" s="1"/>
  <c r="F151" i="14"/>
  <c r="G151" i="14" s="1"/>
  <c r="D151" i="14"/>
  <c r="C193" i="14" s="1"/>
  <c r="B200" i="14" s="1"/>
  <c r="C151" i="14"/>
  <c r="F150" i="14"/>
  <c r="G150" i="14" s="1"/>
  <c r="D150" i="14"/>
  <c r="C150" i="14"/>
  <c r="F149" i="14"/>
  <c r="G149" i="14" s="1"/>
  <c r="D149" i="14"/>
  <c r="C164" i="14" s="1"/>
  <c r="B170" i="14" s="1"/>
  <c r="C149" i="14"/>
  <c r="B112" i="14"/>
  <c r="B105" i="14"/>
  <c r="B99" i="14"/>
  <c r="B90" i="14"/>
  <c r="B84" i="14"/>
  <c r="F80" i="14"/>
  <c r="B75" i="14"/>
  <c r="F63" i="14"/>
  <c r="E55" i="14"/>
  <c r="D55" i="14"/>
  <c r="E54" i="14"/>
  <c r="D54" i="14"/>
  <c r="F53" i="14"/>
  <c r="E53" i="14"/>
  <c r="D53" i="14"/>
  <c r="G51" i="14"/>
  <c r="B28" i="14"/>
  <c r="E25" i="14"/>
  <c r="E24" i="14"/>
  <c r="E23" i="14"/>
  <c r="E17" i="14"/>
  <c r="C94" i="14" s="1"/>
  <c r="E16" i="14"/>
  <c r="C79" i="14" s="1"/>
  <c r="B86" i="14" s="1"/>
  <c r="E15" i="14"/>
  <c r="C62" i="14" s="1"/>
  <c r="B69" i="14" s="1"/>
  <c r="B14" i="14"/>
  <c r="E5" i="14"/>
  <c r="L423" i="13"/>
  <c r="N422" i="13"/>
  <c r="L422" i="13"/>
  <c r="H422" i="13"/>
  <c r="N421" i="13"/>
  <c r="H421" i="13"/>
  <c r="L377" i="13"/>
  <c r="L376" i="13"/>
  <c r="N375" i="13"/>
  <c r="H375" i="13"/>
  <c r="N339" i="13"/>
  <c r="H338" i="13"/>
  <c r="N337" i="13"/>
  <c r="H336" i="13"/>
  <c r="N335" i="13"/>
  <c r="N334" i="13"/>
  <c r="H334" i="13"/>
  <c r="N333" i="13"/>
  <c r="N332" i="13"/>
  <c r="H332" i="13"/>
  <c r="N331" i="13"/>
  <c r="N330" i="13"/>
  <c r="L330" i="13"/>
  <c r="L331" i="13" s="1"/>
  <c r="L332" i="13" s="1"/>
  <c r="L333" i="13" s="1"/>
  <c r="L334" i="13" s="1"/>
  <c r="L335" i="13" s="1"/>
  <c r="L336" i="13" s="1"/>
  <c r="L337" i="13" s="1"/>
  <c r="L338" i="13" s="1"/>
  <c r="L339" i="13" s="1"/>
  <c r="H339" i="13" s="1"/>
  <c r="H330" i="13"/>
  <c r="N329" i="13"/>
  <c r="H329" i="13"/>
  <c r="L284" i="13"/>
  <c r="N283" i="13"/>
  <c r="H283" i="13"/>
  <c r="N239" i="13"/>
  <c r="L238" i="13"/>
  <c r="L239" i="13" s="1"/>
  <c r="N237" i="13"/>
  <c r="H237" i="13"/>
  <c r="L193" i="13"/>
  <c r="N192" i="13"/>
  <c r="L192" i="13"/>
  <c r="H192" i="13"/>
  <c r="N191" i="13"/>
  <c r="H191" i="13"/>
  <c r="L146" i="13"/>
  <c r="N145" i="13"/>
  <c r="H145" i="13"/>
  <c r="L100" i="13"/>
  <c r="N100" i="13" s="1"/>
  <c r="N99" i="13"/>
  <c r="H99" i="13"/>
  <c r="N54" i="13"/>
  <c r="L54" i="13"/>
  <c r="L55" i="13" s="1"/>
  <c r="H54" i="13"/>
  <c r="N53" i="13"/>
  <c r="H53" i="13"/>
  <c r="N8" i="13"/>
  <c r="L8" i="13"/>
  <c r="L9" i="13" s="1"/>
  <c r="H8" i="13"/>
  <c r="N7" i="13"/>
  <c r="H7" i="13"/>
  <c r="R6" i="13"/>
  <c r="S6" i="13" s="1"/>
  <c r="Q6" i="13"/>
  <c r="L3" i="11"/>
  <c r="H156" i="10"/>
  <c r="H154" i="10"/>
  <c r="C139" i="10"/>
  <c r="B95" i="10"/>
  <c r="B95" i="11" s="1"/>
  <c r="B90" i="10"/>
  <c r="B90" i="11" s="1"/>
  <c r="B89" i="10"/>
  <c r="B89" i="11" s="1"/>
  <c r="G85" i="10"/>
  <c r="G86" i="11" s="1"/>
  <c r="E81" i="10"/>
  <c r="E81" i="11" s="1"/>
  <c r="D81" i="10"/>
  <c r="G56" i="10"/>
  <c r="G56" i="11" s="1"/>
  <c r="G49" i="10"/>
  <c r="F38" i="10"/>
  <c r="F38" i="11" s="1"/>
  <c r="D38" i="10"/>
  <c r="D38" i="11" s="1"/>
  <c r="C38" i="10"/>
  <c r="C38" i="11" s="1"/>
  <c r="B38" i="10"/>
  <c r="B38" i="11" s="1"/>
  <c r="F37" i="10"/>
  <c r="F37" i="11" s="1"/>
  <c r="D37" i="10"/>
  <c r="D37" i="11" s="1"/>
  <c r="C37" i="10"/>
  <c r="C37" i="11" s="1"/>
  <c r="B37" i="10"/>
  <c r="B37" i="11" s="1"/>
  <c r="F36" i="10"/>
  <c r="F36" i="11" s="1"/>
  <c r="D36" i="10"/>
  <c r="D36" i="11" s="1"/>
  <c r="C36" i="10"/>
  <c r="C36" i="11" s="1"/>
  <c r="B36" i="10"/>
  <c r="B36" i="11" s="1"/>
  <c r="F35" i="10"/>
  <c r="F35" i="11" s="1"/>
  <c r="D35" i="10"/>
  <c r="D35" i="11" s="1"/>
  <c r="C35" i="10"/>
  <c r="C35" i="11" s="1"/>
  <c r="B35" i="10"/>
  <c r="B35" i="11" s="1"/>
  <c r="F34" i="10"/>
  <c r="F34" i="11" s="1"/>
  <c r="D34" i="10"/>
  <c r="D34" i="11" s="1"/>
  <c r="C34" i="10"/>
  <c r="C34" i="11" s="1"/>
  <c r="B34" i="10"/>
  <c r="B34" i="11" s="1"/>
  <c r="F33" i="10"/>
  <c r="F33" i="11" s="1"/>
  <c r="D33" i="10"/>
  <c r="D33" i="11" s="1"/>
  <c r="C33" i="10"/>
  <c r="C33" i="11" s="1"/>
  <c r="B33" i="10"/>
  <c r="B33" i="11" s="1"/>
  <c r="F32" i="10"/>
  <c r="F32" i="11" s="1"/>
  <c r="D32" i="10"/>
  <c r="D32" i="11" s="1"/>
  <c r="C32" i="10"/>
  <c r="C32" i="11" s="1"/>
  <c r="B32" i="10"/>
  <c r="B32" i="11" s="1"/>
  <c r="F31" i="10"/>
  <c r="F31" i="11" s="1"/>
  <c r="D31" i="10"/>
  <c r="D31" i="11" s="1"/>
  <c r="C31" i="10"/>
  <c r="C31" i="11" s="1"/>
  <c r="B31" i="10"/>
  <c r="B31" i="11" s="1"/>
  <c r="F30" i="10"/>
  <c r="F30" i="11" s="1"/>
  <c r="D30" i="10"/>
  <c r="D30" i="11" s="1"/>
  <c r="C30" i="10"/>
  <c r="C30" i="11" s="1"/>
  <c r="B30" i="10"/>
  <c r="B30" i="11" s="1"/>
  <c r="F29" i="10"/>
  <c r="F29" i="11" s="1"/>
  <c r="D29" i="10"/>
  <c r="D29" i="11" s="1"/>
  <c r="C29" i="10"/>
  <c r="C29" i="11" s="1"/>
  <c r="B29" i="10"/>
  <c r="B29" i="11" s="1"/>
  <c r="F28" i="10"/>
  <c r="F28" i="11" s="1"/>
  <c r="D28" i="10"/>
  <c r="D28" i="11" s="1"/>
  <c r="C28" i="10"/>
  <c r="C28" i="11" s="1"/>
  <c r="B28" i="10"/>
  <c r="B28" i="11" s="1"/>
  <c r="F27" i="10"/>
  <c r="F27" i="11" s="1"/>
  <c r="D27" i="10"/>
  <c r="D27" i="11" s="1"/>
  <c r="C27" i="10"/>
  <c r="C27" i="11" s="1"/>
  <c r="B27" i="10"/>
  <c r="B27" i="11" s="1"/>
  <c r="F26" i="10"/>
  <c r="F26" i="11" s="1"/>
  <c r="D26" i="10"/>
  <c r="D26" i="11" s="1"/>
  <c r="C26" i="10"/>
  <c r="C26" i="11" s="1"/>
  <c r="B26" i="10"/>
  <c r="B26" i="11" s="1"/>
  <c r="F25" i="10"/>
  <c r="F25" i="11" s="1"/>
  <c r="D25" i="10"/>
  <c r="D25" i="11" s="1"/>
  <c r="C25" i="10"/>
  <c r="C25" i="11" s="1"/>
  <c r="B25" i="10"/>
  <c r="B25" i="11" s="1"/>
  <c r="F24" i="10"/>
  <c r="F24" i="11" s="1"/>
  <c r="D24" i="10"/>
  <c r="D24" i="11" s="1"/>
  <c r="C24" i="10"/>
  <c r="C24" i="11" s="1"/>
  <c r="B24" i="10"/>
  <c r="B24" i="11" s="1"/>
  <c r="F23" i="10"/>
  <c r="F23" i="11" s="1"/>
  <c r="D23" i="10"/>
  <c r="D23" i="11" s="1"/>
  <c r="C23" i="10"/>
  <c r="C23" i="11" s="1"/>
  <c r="B23" i="10"/>
  <c r="B23" i="11" s="1"/>
  <c r="F22" i="10"/>
  <c r="F22" i="11" s="1"/>
  <c r="D22" i="10"/>
  <c r="D22" i="11" s="1"/>
  <c r="C22" i="10"/>
  <c r="C22" i="11" s="1"/>
  <c r="B22" i="10"/>
  <c r="B22" i="11" s="1"/>
  <c r="F21" i="10"/>
  <c r="F21" i="11" s="1"/>
  <c r="D21" i="10"/>
  <c r="D21" i="11" s="1"/>
  <c r="C21" i="10"/>
  <c r="C21" i="11" s="1"/>
  <c r="B21" i="10"/>
  <c r="B21" i="11" s="1"/>
  <c r="F20" i="10"/>
  <c r="F20" i="11" s="1"/>
  <c r="D20" i="10"/>
  <c r="D20" i="11" s="1"/>
  <c r="C20" i="10"/>
  <c r="C20" i="11" s="1"/>
  <c r="B20" i="10"/>
  <c r="B20" i="11" s="1"/>
  <c r="F19" i="10"/>
  <c r="F19" i="11" s="1"/>
  <c r="D19" i="10"/>
  <c r="D19" i="11" s="1"/>
  <c r="C19" i="10"/>
  <c r="C19" i="11" s="1"/>
  <c r="B19" i="10"/>
  <c r="B19" i="11" s="1"/>
  <c r="F18" i="10"/>
  <c r="F18" i="11" s="1"/>
  <c r="D18" i="10"/>
  <c r="D18" i="11" s="1"/>
  <c r="C18" i="10"/>
  <c r="C18" i="11" s="1"/>
  <c r="B18" i="10"/>
  <c r="B18" i="11" s="1"/>
  <c r="F17" i="10"/>
  <c r="F17" i="11" s="1"/>
  <c r="D17" i="10"/>
  <c r="D17" i="11" s="1"/>
  <c r="C17" i="10"/>
  <c r="C17" i="11" s="1"/>
  <c r="B17" i="10"/>
  <c r="B17" i="11" s="1"/>
  <c r="F16" i="10"/>
  <c r="F16" i="11" s="1"/>
  <c r="D16" i="10"/>
  <c r="D16" i="11" s="1"/>
  <c r="C16" i="10"/>
  <c r="C16" i="11" s="1"/>
  <c r="B16" i="10"/>
  <c r="B16" i="11" s="1"/>
  <c r="F15" i="10"/>
  <c r="F15" i="11" s="1"/>
  <c r="D15" i="10"/>
  <c r="D15" i="11" s="1"/>
  <c r="C15" i="10"/>
  <c r="C15" i="11" s="1"/>
  <c r="B15" i="10"/>
  <c r="B15" i="11" s="1"/>
  <c r="F14" i="10"/>
  <c r="F14" i="11" s="1"/>
  <c r="D14" i="10"/>
  <c r="D14" i="11" s="1"/>
  <c r="C14" i="10"/>
  <c r="C14" i="11" s="1"/>
  <c r="B14" i="10"/>
  <c r="B14" i="11" s="1"/>
  <c r="F13" i="10"/>
  <c r="F13" i="11" s="1"/>
  <c r="D13" i="10"/>
  <c r="D13" i="11" s="1"/>
  <c r="C13" i="10"/>
  <c r="C13" i="11" s="1"/>
  <c r="B13" i="10"/>
  <c r="F12" i="10"/>
  <c r="F12" i="11" s="1"/>
  <c r="D12" i="10"/>
  <c r="D12" i="11" s="1"/>
  <c r="C12" i="10"/>
  <c r="C12" i="11" s="1"/>
  <c r="B12" i="10"/>
  <c r="B12" i="11" s="1"/>
  <c r="F11" i="10"/>
  <c r="F11" i="11" s="1"/>
  <c r="D11" i="10"/>
  <c r="D11" i="11" s="1"/>
  <c r="C11" i="10"/>
  <c r="C11" i="11" s="1"/>
  <c r="B11" i="10"/>
  <c r="B11" i="11" s="1"/>
  <c r="G10" i="10"/>
  <c r="G10" i="11" s="1"/>
  <c r="F10" i="10"/>
  <c r="F10" i="11" s="1"/>
  <c r="D10" i="10"/>
  <c r="D10" i="11" s="1"/>
  <c r="C10" i="10"/>
  <c r="B10" i="10"/>
  <c r="B10" i="11" s="1"/>
  <c r="I5" i="10"/>
  <c r="B2" i="10"/>
  <c r="B2" i="11" s="1"/>
  <c r="C17" i="9"/>
  <c r="D14" i="9" s="1"/>
  <c r="B1" i="9"/>
  <c r="E33" i="8"/>
  <c r="C27" i="8"/>
  <c r="C26" i="8"/>
  <c r="C25" i="8"/>
  <c r="C24" i="8"/>
  <c r="C23" i="8"/>
  <c r="C22" i="8"/>
  <c r="C21" i="8"/>
  <c r="C20" i="8"/>
  <c r="C19" i="8"/>
  <c r="C18" i="8"/>
  <c r="C17" i="8"/>
  <c r="I3" i="8"/>
  <c r="C1" i="8"/>
  <c r="B16" i="6"/>
  <c r="B15" i="6"/>
  <c r="G3" i="6"/>
  <c r="B1" i="6"/>
  <c r="D128" i="5"/>
  <c r="B122" i="5"/>
  <c r="B121" i="5"/>
  <c r="B120" i="5"/>
  <c r="D115" i="5"/>
  <c r="E112" i="5"/>
  <c r="E115" i="5" s="1"/>
  <c r="D109" i="5"/>
  <c r="E93" i="5"/>
  <c r="E92" i="5"/>
  <c r="C54" i="5"/>
  <c r="C16" i="6" s="1"/>
  <c r="E53" i="5"/>
  <c r="D52" i="5"/>
  <c r="E52" i="5" s="1"/>
  <c r="D24" i="5"/>
  <c r="E24" i="5" s="1"/>
  <c r="D23" i="5"/>
  <c r="E23" i="5" s="1"/>
  <c r="D22" i="5"/>
  <c r="C19" i="5"/>
  <c r="C15" i="6" s="1"/>
  <c r="E18" i="5"/>
  <c r="E17" i="5"/>
  <c r="E16" i="5"/>
  <c r="E15" i="5"/>
  <c r="E14" i="5"/>
  <c r="D13" i="5"/>
  <c r="E13" i="5" s="1"/>
  <c r="E12" i="5"/>
  <c r="D11" i="5"/>
  <c r="E11" i="5" s="1"/>
  <c r="E10" i="5"/>
  <c r="D9" i="5"/>
  <c r="E8" i="5"/>
  <c r="E7" i="5"/>
  <c r="B1" i="5"/>
  <c r="E56" i="4"/>
  <c r="C52" i="4"/>
  <c r="C51" i="4"/>
  <c r="C50" i="4"/>
  <c r="C49" i="4"/>
  <c r="C48" i="4"/>
  <c r="C47" i="4"/>
  <c r="C46" i="4"/>
  <c r="C45" i="4"/>
  <c r="J38" i="4"/>
  <c r="D36" i="4"/>
  <c r="J35" i="4"/>
  <c r="I35" i="4"/>
  <c r="H35" i="4"/>
  <c r="E38" i="10" s="1"/>
  <c r="E38" i="11" s="1"/>
  <c r="F35" i="4"/>
  <c r="J34" i="4"/>
  <c r="I34" i="4"/>
  <c r="H34" i="4"/>
  <c r="E37" i="10" s="1"/>
  <c r="E37" i="11" s="1"/>
  <c r="F34" i="4"/>
  <c r="J33" i="4"/>
  <c r="I33" i="4"/>
  <c r="H33" i="4"/>
  <c r="E36" i="10" s="1"/>
  <c r="E36" i="11" s="1"/>
  <c r="F33" i="4"/>
  <c r="J32" i="4"/>
  <c r="I32" i="4"/>
  <c r="H32" i="4"/>
  <c r="E35" i="10" s="1"/>
  <c r="E35" i="11" s="1"/>
  <c r="F32" i="4"/>
  <c r="J31" i="4"/>
  <c r="I31" i="4"/>
  <c r="H31" i="4"/>
  <c r="E34" i="10" s="1"/>
  <c r="E34" i="11" s="1"/>
  <c r="F31" i="4"/>
  <c r="J30" i="4"/>
  <c r="I30" i="4"/>
  <c r="H30" i="4"/>
  <c r="E33" i="10" s="1"/>
  <c r="E33" i="11" s="1"/>
  <c r="F30" i="4"/>
  <c r="J29" i="4"/>
  <c r="I29" i="4"/>
  <c r="H29" i="4"/>
  <c r="E32" i="10" s="1"/>
  <c r="E32" i="11" s="1"/>
  <c r="F29" i="4"/>
  <c r="J28" i="4"/>
  <c r="I28" i="4"/>
  <c r="H28" i="4"/>
  <c r="E31" i="10" s="1"/>
  <c r="E31" i="11" s="1"/>
  <c r="F28" i="4"/>
  <c r="J27" i="4"/>
  <c r="I27" i="4"/>
  <c r="H27" i="4"/>
  <c r="E30" i="10" s="1"/>
  <c r="E30" i="11" s="1"/>
  <c r="F27" i="4"/>
  <c r="J26" i="4"/>
  <c r="I26" i="4"/>
  <c r="H26" i="4"/>
  <c r="E29" i="10" s="1"/>
  <c r="E29" i="11" s="1"/>
  <c r="F26" i="4"/>
  <c r="J25" i="4"/>
  <c r="I25" i="4"/>
  <c r="H25" i="4"/>
  <c r="E28" i="10" s="1"/>
  <c r="E28" i="11" s="1"/>
  <c r="F25" i="4"/>
  <c r="J24" i="4"/>
  <c r="I24" i="4"/>
  <c r="H24" i="4"/>
  <c r="E27" i="10" s="1"/>
  <c r="E27" i="11" s="1"/>
  <c r="F24" i="4"/>
  <c r="J23" i="4"/>
  <c r="I23" i="4"/>
  <c r="H23" i="4"/>
  <c r="E26" i="10" s="1"/>
  <c r="E26" i="11" s="1"/>
  <c r="F23" i="4"/>
  <c r="J22" i="4"/>
  <c r="I22" i="4"/>
  <c r="H22" i="4"/>
  <c r="E25" i="10" s="1"/>
  <c r="E25" i="11" s="1"/>
  <c r="F22" i="4"/>
  <c r="J21" i="4"/>
  <c r="I21" i="4"/>
  <c r="H21" i="4"/>
  <c r="E24" i="10" s="1"/>
  <c r="E24" i="11" s="1"/>
  <c r="F21" i="4"/>
  <c r="J20" i="4"/>
  <c r="I20" i="4"/>
  <c r="H20" i="4"/>
  <c r="E23" i="10" s="1"/>
  <c r="E23" i="11" s="1"/>
  <c r="F20" i="4"/>
  <c r="J19" i="4"/>
  <c r="I19" i="4"/>
  <c r="H19" i="4"/>
  <c r="E22" i="10" s="1"/>
  <c r="E22" i="11" s="1"/>
  <c r="F19" i="4"/>
  <c r="J18" i="4"/>
  <c r="I18" i="4"/>
  <c r="H18" i="4"/>
  <c r="E21" i="10" s="1"/>
  <c r="E21" i="11" s="1"/>
  <c r="F18" i="4"/>
  <c r="J17" i="4"/>
  <c r="I17" i="4"/>
  <c r="H17" i="4"/>
  <c r="E20" i="10" s="1"/>
  <c r="E20" i="11" s="1"/>
  <c r="F17" i="4"/>
  <c r="J16" i="4"/>
  <c r="I16" i="4"/>
  <c r="H16" i="4"/>
  <c r="E19" i="10" s="1"/>
  <c r="E19" i="11" s="1"/>
  <c r="F16" i="4"/>
  <c r="J15" i="4"/>
  <c r="I15" i="4"/>
  <c r="H15" i="4"/>
  <c r="E18" i="10" s="1"/>
  <c r="E18" i="11" s="1"/>
  <c r="F15" i="4"/>
  <c r="J14" i="4"/>
  <c r="I14" i="4"/>
  <c r="H14" i="4"/>
  <c r="E17" i="10" s="1"/>
  <c r="E17" i="11" s="1"/>
  <c r="F14" i="4"/>
  <c r="J13" i="4"/>
  <c r="I13" i="4"/>
  <c r="H13" i="4"/>
  <c r="E16" i="10" s="1"/>
  <c r="E16" i="11" s="1"/>
  <c r="F13" i="4"/>
  <c r="J12" i="4"/>
  <c r="I12" i="4"/>
  <c r="H12" i="4"/>
  <c r="E15" i="10" s="1"/>
  <c r="E15" i="11" s="1"/>
  <c r="F12" i="4"/>
  <c r="J11" i="4"/>
  <c r="I11" i="4"/>
  <c r="H11" i="4"/>
  <c r="E14" i="10" s="1"/>
  <c r="E14" i="11" s="1"/>
  <c r="F11" i="4"/>
  <c r="J10" i="4"/>
  <c r="I10" i="4"/>
  <c r="E13" i="10"/>
  <c r="E13" i="11" s="1"/>
  <c r="F10" i="4"/>
  <c r="J9" i="4"/>
  <c r="I9" i="4"/>
  <c r="H9" i="4"/>
  <c r="E12" i="10" s="1"/>
  <c r="E12" i="11" s="1"/>
  <c r="F9" i="4"/>
  <c r="J8" i="4"/>
  <c r="E11" i="10"/>
  <c r="E11" i="11" s="1"/>
  <c r="F8" i="4"/>
  <c r="H7" i="4"/>
  <c r="E10" i="10" s="1"/>
  <c r="E10" i="11" s="1"/>
  <c r="F7" i="4"/>
  <c r="H6" i="4"/>
  <c r="G6" i="4"/>
  <c r="B1" i="4"/>
  <c r="M84" i="2"/>
  <c r="L84" i="2"/>
  <c r="K84" i="2"/>
  <c r="M83" i="2"/>
  <c r="L83" i="2"/>
  <c r="K83" i="2"/>
  <c r="M78" i="2"/>
  <c r="C11" i="9"/>
  <c r="D11" i="9" s="1"/>
  <c r="E11" i="9" s="1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S11" i="9" s="1"/>
  <c r="T11" i="9" s="1"/>
  <c r="U11" i="9" s="1"/>
  <c r="L58" i="2"/>
  <c r="J58" i="2"/>
  <c r="L57" i="2"/>
  <c r="J57" i="2"/>
  <c r="L56" i="2"/>
  <c r="J56" i="2"/>
  <c r="L55" i="2"/>
  <c r="J55" i="2"/>
  <c r="J54" i="2"/>
  <c r="L53" i="2"/>
  <c r="J53" i="2"/>
  <c r="K25" i="2"/>
  <c r="L52" i="2"/>
  <c r="J24" i="2"/>
  <c r="L51" i="2"/>
  <c r="J51" i="2"/>
  <c r="L50" i="2"/>
  <c r="K50" i="2"/>
  <c r="J50" i="2"/>
  <c r="L49" i="2"/>
  <c r="K49" i="2"/>
  <c r="J49" i="2"/>
  <c r="L48" i="2"/>
  <c r="J48" i="2"/>
  <c r="L47" i="2"/>
  <c r="J47" i="2"/>
  <c r="C4" i="2"/>
  <c r="C1" i="2"/>
  <c r="D44" i="4" l="1"/>
  <c r="F44" i="4"/>
  <c r="C44" i="4" s="1"/>
  <c r="F8" i="5"/>
  <c r="C10" i="11"/>
  <c r="F39" i="10"/>
  <c r="F65" i="14"/>
  <c r="E150" i="14"/>
  <c r="E148" i="14"/>
  <c r="F165" i="14"/>
  <c r="F166" i="14" s="1"/>
  <c r="C84" i="10"/>
  <c r="C84" i="11" s="1"/>
  <c r="D81" i="11"/>
  <c r="E10" i="8"/>
  <c r="G49" i="11"/>
  <c r="H150" i="10"/>
  <c r="H150" i="11" s="1"/>
  <c r="C139" i="11"/>
  <c r="H143" i="11"/>
  <c r="K48" i="2"/>
  <c r="F41" i="22"/>
  <c r="D56" i="10"/>
  <c r="D56" i="11" s="1"/>
  <c r="D66" i="10"/>
  <c r="D66" i="11" s="1"/>
  <c r="B32" i="4"/>
  <c r="I3" i="10"/>
  <c r="J380" i="13" s="1"/>
  <c r="C122" i="5"/>
  <c r="D53" i="2"/>
  <c r="B20" i="4"/>
  <c r="E25" i="2"/>
  <c r="D57" i="2"/>
  <c r="B24" i="4"/>
  <c r="F31" i="2"/>
  <c r="B12" i="4"/>
  <c r="B28" i="4"/>
  <c r="F33" i="2"/>
  <c r="B16" i="4"/>
  <c r="F11" i="19"/>
  <c r="G10" i="19" s="1"/>
  <c r="D14" i="18"/>
  <c r="D12" i="18" s="1"/>
  <c r="F125" i="5"/>
  <c r="D60" i="2"/>
  <c r="F124" i="5"/>
  <c r="F127" i="5"/>
  <c r="F126" i="5"/>
  <c r="D46" i="4"/>
  <c r="E46" i="4" s="1"/>
  <c r="E32" i="2"/>
  <c r="D59" i="2"/>
  <c r="B7" i="4"/>
  <c r="B8" i="4"/>
  <c r="B9" i="4"/>
  <c r="B13" i="4"/>
  <c r="B21" i="4"/>
  <c r="B25" i="4"/>
  <c r="B33" i="4"/>
  <c r="G36" i="4"/>
  <c r="J36" i="4" s="1"/>
  <c r="D49" i="4"/>
  <c r="E49" i="4" s="1"/>
  <c r="F11" i="2"/>
  <c r="D12" i="2" s="1"/>
  <c r="F32" i="2"/>
  <c r="D51" i="2"/>
  <c r="D55" i="2"/>
  <c r="F36" i="4"/>
  <c r="B10" i="4"/>
  <c r="B14" i="4"/>
  <c r="B18" i="4"/>
  <c r="B22" i="4"/>
  <c r="B26" i="4"/>
  <c r="B30" i="4"/>
  <c r="B34" i="4"/>
  <c r="D45" i="4"/>
  <c r="D47" i="4"/>
  <c r="F25" i="2"/>
  <c r="D50" i="2"/>
  <c r="D54" i="2"/>
  <c r="B17" i="4"/>
  <c r="B29" i="4"/>
  <c r="E31" i="2"/>
  <c r="E33" i="2"/>
  <c r="D52" i="2"/>
  <c r="D56" i="2"/>
  <c r="B11" i="4"/>
  <c r="B15" i="4"/>
  <c r="B19" i="4"/>
  <c r="B23" i="4"/>
  <c r="B27" i="4"/>
  <c r="B31" i="4"/>
  <c r="B35" i="4"/>
  <c r="I4" i="10"/>
  <c r="D130" i="5"/>
  <c r="I36" i="4"/>
  <c r="D24" i="2" s="1"/>
  <c r="F7" i="5"/>
  <c r="F114" i="5"/>
  <c r="F113" i="5"/>
  <c r="F25" i="5"/>
  <c r="F30" i="5"/>
  <c r="F36" i="5"/>
  <c r="F41" i="5"/>
  <c r="F46" i="5"/>
  <c r="F52" i="5"/>
  <c r="F57" i="5"/>
  <c r="F62" i="5"/>
  <c r="F68" i="5"/>
  <c r="F73" i="5"/>
  <c r="F78" i="5"/>
  <c r="F84" i="5"/>
  <c r="F89" i="5"/>
  <c r="F94" i="5"/>
  <c r="F99" i="5"/>
  <c r="F104" i="5"/>
  <c r="F115" i="5"/>
  <c r="D48" i="4"/>
  <c r="E48" i="4" s="1"/>
  <c r="D50" i="4"/>
  <c r="E50" i="4" s="1"/>
  <c r="D52" i="4"/>
  <c r="E52" i="4" s="1"/>
  <c r="F23" i="5"/>
  <c r="F26" i="5"/>
  <c r="F32" i="5"/>
  <c r="F37" i="5"/>
  <c r="F42" i="5"/>
  <c r="F48" i="5"/>
  <c r="F58" i="5"/>
  <c r="F64" i="5"/>
  <c r="F69" i="5"/>
  <c r="F74" i="5"/>
  <c r="F80" i="5"/>
  <c r="F85" i="5"/>
  <c r="F90" i="5"/>
  <c r="F95" i="5"/>
  <c r="F100" i="5"/>
  <c r="F106" i="5"/>
  <c r="D9" i="6"/>
  <c r="C5" i="9"/>
  <c r="D6" i="9" s="1"/>
  <c r="F28" i="5"/>
  <c r="F33" i="5"/>
  <c r="F38" i="5"/>
  <c r="F44" i="5"/>
  <c r="F50" i="5"/>
  <c r="F53" i="5"/>
  <c r="F60" i="5"/>
  <c r="F65" i="5"/>
  <c r="F70" i="5"/>
  <c r="F76" i="5"/>
  <c r="F81" i="5"/>
  <c r="F86" i="5"/>
  <c r="F96" i="5"/>
  <c r="F102" i="5"/>
  <c r="F107" i="5"/>
  <c r="F112" i="5"/>
  <c r="D10" i="6"/>
  <c r="D18" i="6"/>
  <c r="C15" i="9"/>
  <c r="D51" i="4"/>
  <c r="E51" i="4" s="1"/>
  <c r="F24" i="5"/>
  <c r="F29" i="5"/>
  <c r="F34" i="5"/>
  <c r="F40" i="5"/>
  <c r="F45" i="5"/>
  <c r="F61" i="5"/>
  <c r="F66" i="5"/>
  <c r="F72" i="5"/>
  <c r="F77" i="5"/>
  <c r="F82" i="5"/>
  <c r="F88" i="5"/>
  <c r="F98" i="5"/>
  <c r="F103" i="5"/>
  <c r="F108" i="5"/>
  <c r="D15" i="9"/>
  <c r="F41" i="8"/>
  <c r="K27" i="2"/>
  <c r="F121" i="10" s="1"/>
  <c r="F121" i="11" s="1"/>
  <c r="J5" i="10"/>
  <c r="H179" i="10"/>
  <c r="H179" i="11" s="1"/>
  <c r="H157" i="10"/>
  <c r="C4" i="10"/>
  <c r="C4" i="11" s="1"/>
  <c r="D19" i="5"/>
  <c r="F54" i="5"/>
  <c r="F19" i="5"/>
  <c r="C39" i="10"/>
  <c r="C39" i="11" s="1"/>
  <c r="F109" i="5"/>
  <c r="E109" i="5"/>
  <c r="E130" i="5" s="1"/>
  <c r="D16" i="6"/>
  <c r="D54" i="5"/>
  <c r="E22" i="5"/>
  <c r="E54" i="5" s="1"/>
  <c r="D17" i="9"/>
  <c r="E14" i="9" s="1"/>
  <c r="E9" i="5"/>
  <c r="E19" i="5" s="1"/>
  <c r="F31" i="5"/>
  <c r="F39" i="5"/>
  <c r="F43" i="5"/>
  <c r="F47" i="5"/>
  <c r="F51" i="5"/>
  <c r="F59" i="5"/>
  <c r="F63" i="5"/>
  <c r="F67" i="5"/>
  <c r="F71" i="5"/>
  <c r="F75" i="5"/>
  <c r="F79" i="5"/>
  <c r="F83" i="5"/>
  <c r="F87" i="5"/>
  <c r="F91" i="5"/>
  <c r="F92" i="5"/>
  <c r="F93" i="5"/>
  <c r="F97" i="5"/>
  <c r="F101" i="5"/>
  <c r="F105" i="5"/>
  <c r="D8" i="6"/>
  <c r="D15" i="6"/>
  <c r="D24" i="6"/>
  <c r="D39" i="10"/>
  <c r="D39" i="11" s="1"/>
  <c r="C90" i="10"/>
  <c r="C90" i="11" s="1"/>
  <c r="C89" i="10"/>
  <c r="C89" i="11" s="1"/>
  <c r="C95" i="10"/>
  <c r="C95" i="11" s="1"/>
  <c r="F119" i="5"/>
  <c r="F39" i="11"/>
  <c r="F40" i="10"/>
  <c r="F40" i="11" s="1"/>
  <c r="H163" i="10"/>
  <c r="H163" i="11" s="1"/>
  <c r="H171" i="10"/>
  <c r="H171" i="11" s="1"/>
  <c r="D57" i="10"/>
  <c r="D57" i="11" s="1"/>
  <c r="D58" i="10"/>
  <c r="D58" i="11" s="1"/>
  <c r="D59" i="10"/>
  <c r="D59" i="11" s="1"/>
  <c r="D60" i="10"/>
  <c r="D60" i="11" s="1"/>
  <c r="D61" i="10"/>
  <c r="D61" i="11" s="1"/>
  <c r="D62" i="10"/>
  <c r="D62" i="11" s="1"/>
  <c r="D63" i="10"/>
  <c r="D63" i="11" s="1"/>
  <c r="D64" i="10"/>
  <c r="D64" i="11" s="1"/>
  <c r="D65" i="10"/>
  <c r="D65" i="11" s="1"/>
  <c r="D69" i="10"/>
  <c r="D69" i="11" s="1"/>
  <c r="T6" i="13"/>
  <c r="D95" i="10"/>
  <c r="D95" i="11" s="1"/>
  <c r="H153" i="10"/>
  <c r="M3" i="11"/>
  <c r="N9" i="13"/>
  <c r="H9" i="13"/>
  <c r="L10" i="13"/>
  <c r="L56" i="13"/>
  <c r="N55" i="13"/>
  <c r="H55" i="13"/>
  <c r="N146" i="13"/>
  <c r="H146" i="13"/>
  <c r="L147" i="13"/>
  <c r="L240" i="13"/>
  <c r="H239" i="13"/>
  <c r="L101" i="13"/>
  <c r="N193" i="13"/>
  <c r="L285" i="13"/>
  <c r="H284" i="13"/>
  <c r="N284" i="13"/>
  <c r="H100" i="13"/>
  <c r="H193" i="13"/>
  <c r="L194" i="13"/>
  <c r="N238" i="13"/>
  <c r="H238" i="13"/>
  <c r="L340" i="13"/>
  <c r="H331" i="13"/>
  <c r="H333" i="13"/>
  <c r="H335" i="13"/>
  <c r="H337" i="13"/>
  <c r="N377" i="13"/>
  <c r="H377" i="13"/>
  <c r="L378" i="13"/>
  <c r="N336" i="13"/>
  <c r="N338" i="13"/>
  <c r="L424" i="13"/>
  <c r="H423" i="13"/>
  <c r="N423" i="13"/>
  <c r="B101" i="14"/>
  <c r="C109" i="14"/>
  <c r="N376" i="13"/>
  <c r="H376" i="13"/>
  <c r="F87" i="14"/>
  <c r="F81" i="14"/>
  <c r="C178" i="14"/>
  <c r="B185" i="14" s="1"/>
  <c r="E149" i="14"/>
  <c r="F186" i="14"/>
  <c r="D27" i="2" l="1"/>
  <c r="F8" i="22"/>
  <c r="D26" i="2"/>
  <c r="D29" i="2" s="1"/>
  <c r="E36" i="4"/>
  <c r="F12" i="2" s="1"/>
  <c r="F74" i="2"/>
  <c r="G8" i="5"/>
  <c r="H11" i="22"/>
  <c r="H9" i="22"/>
  <c r="F171" i="14"/>
  <c r="F180" i="14"/>
  <c r="H144" i="11"/>
  <c r="J35" i="13"/>
  <c r="K5" i="10"/>
  <c r="K4" i="10" s="1"/>
  <c r="J4" i="10"/>
  <c r="J99" i="13"/>
  <c r="K99" i="13" s="1"/>
  <c r="J177" i="13"/>
  <c r="J69" i="13"/>
  <c r="J271" i="13"/>
  <c r="J111" i="13"/>
  <c r="J76" i="13"/>
  <c r="J91" i="13"/>
  <c r="J121" i="13"/>
  <c r="J230" i="13"/>
  <c r="J452" i="13"/>
  <c r="J98" i="13"/>
  <c r="J23" i="13"/>
  <c r="J132" i="13"/>
  <c r="J154" i="13"/>
  <c r="J334" i="13"/>
  <c r="K334" i="13" s="1"/>
  <c r="J461" i="13"/>
  <c r="J194" i="13"/>
  <c r="K194" i="13" s="1"/>
  <c r="J15" i="13"/>
  <c r="J374" i="13"/>
  <c r="J143" i="13"/>
  <c r="J293" i="13"/>
  <c r="J440" i="13"/>
  <c r="J436" i="13"/>
  <c r="J428" i="13"/>
  <c r="J453" i="13"/>
  <c r="J405" i="13"/>
  <c r="J385" i="13"/>
  <c r="J369" i="13"/>
  <c r="J458" i="13"/>
  <c r="J378" i="13"/>
  <c r="K378" i="13" s="1"/>
  <c r="J348" i="13"/>
  <c r="J277" i="13"/>
  <c r="J269" i="13"/>
  <c r="J260" i="13"/>
  <c r="J249" i="13"/>
  <c r="J240" i="13"/>
  <c r="K240" i="13" s="1"/>
  <c r="J370" i="13"/>
  <c r="J335" i="13"/>
  <c r="K335" i="13" s="1"/>
  <c r="J418" i="13"/>
  <c r="J392" i="13"/>
  <c r="J332" i="13"/>
  <c r="K332" i="13" s="1"/>
  <c r="J382" i="13"/>
  <c r="J300" i="13"/>
  <c r="J288" i="13"/>
  <c r="J228" i="13"/>
  <c r="J212" i="13"/>
  <c r="J189" i="13"/>
  <c r="J183" i="13"/>
  <c r="J175" i="13"/>
  <c r="J341" i="13"/>
  <c r="J330" i="13"/>
  <c r="K330" i="13" s="1"/>
  <c r="J303" i="13"/>
  <c r="J291" i="13"/>
  <c r="J229" i="13"/>
  <c r="J166" i="13"/>
  <c r="J159" i="13"/>
  <c r="J153" i="13"/>
  <c r="J398" i="13"/>
  <c r="J205" i="13"/>
  <c r="J53" i="13"/>
  <c r="K53" i="13" s="1"/>
  <c r="J45" i="13"/>
  <c r="J39" i="13"/>
  <c r="J32" i="13"/>
  <c r="J201" i="13"/>
  <c r="J140" i="13"/>
  <c r="J135" i="13"/>
  <c r="J129" i="13"/>
  <c r="J124" i="13"/>
  <c r="J119" i="13"/>
  <c r="J113" i="13"/>
  <c r="J108" i="13"/>
  <c r="J103" i="13"/>
  <c r="J193" i="13"/>
  <c r="K193" i="13" s="1"/>
  <c r="J26" i="13"/>
  <c r="J21" i="13"/>
  <c r="J95" i="13"/>
  <c r="J85" i="13"/>
  <c r="J75" i="13"/>
  <c r="J63" i="13"/>
  <c r="J18" i="13"/>
  <c r="J13" i="13"/>
  <c r="J195" i="13"/>
  <c r="J92" i="13"/>
  <c r="J82" i="13"/>
  <c r="J70" i="13"/>
  <c r="J60" i="13"/>
  <c r="J7" i="13"/>
  <c r="K7" i="13" s="1"/>
  <c r="J433" i="13"/>
  <c r="J397" i="13"/>
  <c r="J462" i="13"/>
  <c r="J356" i="13"/>
  <c r="J275" i="13"/>
  <c r="J255" i="13"/>
  <c r="J437" i="13"/>
  <c r="J327" i="13"/>
  <c r="J347" i="13"/>
  <c r="J308" i="13"/>
  <c r="J234" i="13"/>
  <c r="J206" i="13"/>
  <c r="J185" i="13"/>
  <c r="J172" i="13"/>
  <c r="J311" i="13"/>
  <c r="J235" i="13"/>
  <c r="J163" i="13"/>
  <c r="J149" i="13"/>
  <c r="J196" i="13"/>
  <c r="J49" i="13"/>
  <c r="L6" i="14"/>
  <c r="J434" i="13"/>
  <c r="J425" i="13"/>
  <c r="J417" i="13"/>
  <c r="J401" i="13"/>
  <c r="J383" i="13"/>
  <c r="J361" i="13"/>
  <c r="J416" i="13"/>
  <c r="J376" i="13"/>
  <c r="K376" i="13" s="1"/>
  <c r="J342" i="13"/>
  <c r="J276" i="13"/>
  <c r="J267" i="13"/>
  <c r="J256" i="13"/>
  <c r="J248" i="13"/>
  <c r="J239" i="13"/>
  <c r="K239" i="13" s="1"/>
  <c r="J384" i="13"/>
  <c r="J331" i="13"/>
  <c r="K331" i="13" s="1"/>
  <c r="J410" i="13"/>
  <c r="J355" i="13"/>
  <c r="J328" i="13"/>
  <c r="J312" i="13"/>
  <c r="J298" i="13"/>
  <c r="J284" i="13"/>
  <c r="K284" i="13" s="1"/>
  <c r="J222" i="13"/>
  <c r="J210" i="13"/>
  <c r="J188" i="13"/>
  <c r="J180" i="13"/>
  <c r="J173" i="13"/>
  <c r="J323" i="13"/>
  <c r="J315" i="13"/>
  <c r="J301" i="13"/>
  <c r="J287" i="13"/>
  <c r="J223" i="13"/>
  <c r="J165" i="13"/>
  <c r="J158" i="13"/>
  <c r="J150" i="13"/>
  <c r="J321" i="13"/>
  <c r="J202" i="13"/>
  <c r="J51" i="13"/>
  <c r="J44" i="13"/>
  <c r="J37" i="13"/>
  <c r="J29" i="13"/>
  <c r="J144" i="13"/>
  <c r="J139" i="13"/>
  <c r="J133" i="13"/>
  <c r="J128" i="13"/>
  <c r="J123" i="13"/>
  <c r="J117" i="13"/>
  <c r="J112" i="13"/>
  <c r="J107" i="13"/>
  <c r="J101" i="13"/>
  <c r="K101" i="13" s="1"/>
  <c r="J221" i="13"/>
  <c r="J25" i="13"/>
  <c r="J19" i="13"/>
  <c r="J93" i="13"/>
  <c r="J83" i="13"/>
  <c r="J71" i="13"/>
  <c r="J61" i="13"/>
  <c r="J17" i="13"/>
  <c r="J11" i="13"/>
  <c r="J145" i="13"/>
  <c r="K145" i="13" s="1"/>
  <c r="J90" i="13"/>
  <c r="J78" i="13"/>
  <c r="J68" i="13"/>
  <c r="J58" i="13"/>
  <c r="J3" i="10"/>
  <c r="J84" i="10" s="1"/>
  <c r="J86" i="10" s="1"/>
  <c r="J446" i="13"/>
  <c r="J422" i="13"/>
  <c r="K422" i="13" s="1"/>
  <c r="J415" i="13"/>
  <c r="J375" i="13"/>
  <c r="K375" i="13" s="1"/>
  <c r="J412" i="13"/>
  <c r="J283" i="13"/>
  <c r="K283" i="13" s="1"/>
  <c r="J264" i="13"/>
  <c r="J245" i="13"/>
  <c r="J364" i="13"/>
  <c r="J366" i="13"/>
  <c r="J322" i="13"/>
  <c r="J296" i="13"/>
  <c r="J220" i="13"/>
  <c r="J179" i="13"/>
  <c r="J406" i="13"/>
  <c r="J299" i="13"/>
  <c r="J203" i="13"/>
  <c r="J155" i="13"/>
  <c r="J62" i="13"/>
  <c r="J55" i="13"/>
  <c r="K55" i="13" s="1"/>
  <c r="J161" i="13"/>
  <c r="J66" i="13"/>
  <c r="J59" i="13"/>
  <c r="J217" i="13"/>
  <c r="J197" i="13"/>
  <c r="J105" i="13"/>
  <c r="J116" i="13"/>
  <c r="J127" i="13"/>
  <c r="J28" i="13"/>
  <c r="J43" i="13"/>
  <c r="J219" i="13"/>
  <c r="J169" i="13"/>
  <c r="J362" i="13"/>
  <c r="J191" i="13"/>
  <c r="K191" i="13" s="1"/>
  <c r="J306" i="13"/>
  <c r="J421" i="13"/>
  <c r="K421" i="13" s="1"/>
  <c r="J253" i="13"/>
  <c r="J354" i="13"/>
  <c r="J391" i="13"/>
  <c r="J444" i="13"/>
  <c r="I84" i="10"/>
  <c r="I86" i="10" s="1"/>
  <c r="J84" i="13"/>
  <c r="J9" i="13"/>
  <c r="K9" i="13" s="1"/>
  <c r="J77" i="13"/>
  <c r="J100" i="13"/>
  <c r="K100" i="13" s="1"/>
  <c r="J27" i="13"/>
  <c r="J104" i="13"/>
  <c r="J115" i="13"/>
  <c r="J125" i="13"/>
  <c r="J136" i="13"/>
  <c r="J318" i="13"/>
  <c r="J40" i="13"/>
  <c r="J207" i="13"/>
  <c r="J309" i="13"/>
  <c r="J184" i="13"/>
  <c r="J290" i="13"/>
  <c r="J345" i="13"/>
  <c r="J243" i="13"/>
  <c r="J281" i="13"/>
  <c r="J373" i="13"/>
  <c r="J429" i="13"/>
  <c r="J86" i="13"/>
  <c r="J10" i="13"/>
  <c r="K10" i="13" s="1"/>
  <c r="J79" i="13"/>
  <c r="J137" i="13"/>
  <c r="J74" i="13"/>
  <c r="J94" i="13"/>
  <c r="J14" i="13"/>
  <c r="J67" i="13"/>
  <c r="J87" i="13"/>
  <c r="J22" i="13"/>
  <c r="J209" i="13"/>
  <c r="J109" i="13"/>
  <c r="J120" i="13"/>
  <c r="J131" i="13"/>
  <c r="J141" i="13"/>
  <c r="J33" i="13"/>
  <c r="J48" i="13"/>
  <c r="J147" i="13"/>
  <c r="K147" i="13" s="1"/>
  <c r="J231" i="13"/>
  <c r="J414" i="13"/>
  <c r="J218" i="13"/>
  <c r="J320" i="13"/>
  <c r="J343" i="13"/>
  <c r="J261" i="13"/>
  <c r="J396" i="13"/>
  <c r="J413" i="13"/>
  <c r="I7" i="10" a="1"/>
  <c r="I7" i="10" s="1"/>
  <c r="I6" i="10" s="1"/>
  <c r="J390" i="13"/>
  <c r="J325" i="13"/>
  <c r="J339" i="13"/>
  <c r="K339" i="13" s="1"/>
  <c r="J439" i="13"/>
  <c r="J459" i="13"/>
  <c r="J244" i="13"/>
  <c r="J251" i="13"/>
  <c r="J259" i="13"/>
  <c r="J265" i="13"/>
  <c r="J272" i="13"/>
  <c r="J280" i="13"/>
  <c r="J346" i="13"/>
  <c r="J358" i="13"/>
  <c r="J404" i="13"/>
  <c r="J443" i="13"/>
  <c r="J365" i="13"/>
  <c r="J381" i="13"/>
  <c r="J393" i="13"/>
  <c r="J407" i="13"/>
  <c r="J449" i="13"/>
  <c r="J424" i="13"/>
  <c r="K424" i="13" s="1"/>
  <c r="J430" i="13"/>
  <c r="J450" i="13"/>
  <c r="J442" i="13"/>
  <c r="J435" i="13"/>
  <c r="J431" i="13"/>
  <c r="J427" i="13"/>
  <c r="J423" i="13"/>
  <c r="K423" i="13" s="1"/>
  <c r="J457" i="13"/>
  <c r="J419" i="13"/>
  <c r="J411" i="13"/>
  <c r="J403" i="13"/>
  <c r="J395" i="13"/>
  <c r="J387" i="13"/>
  <c r="J379" i="13"/>
  <c r="J371" i="13"/>
  <c r="J363" i="13"/>
  <c r="J456" i="13"/>
  <c r="J447" i="13"/>
  <c r="J408" i="13"/>
  <c r="J386" i="13"/>
  <c r="J360" i="13"/>
  <c r="J352" i="13"/>
  <c r="J344" i="13"/>
  <c r="J282" i="13"/>
  <c r="J278" i="13"/>
  <c r="J274" i="13"/>
  <c r="J270" i="13"/>
  <c r="J266" i="13"/>
  <c r="J262" i="13"/>
  <c r="J258" i="13"/>
  <c r="J254" i="13"/>
  <c r="J250" i="13"/>
  <c r="J246" i="13"/>
  <c r="J242" i="13"/>
  <c r="J238" i="13"/>
  <c r="K238" i="13" s="1"/>
  <c r="J388" i="13"/>
  <c r="J463" i="13"/>
  <c r="J359" i="13"/>
  <c r="J337" i="13"/>
  <c r="K337" i="13" s="1"/>
  <c r="J329" i="13"/>
  <c r="K329" i="13" s="1"/>
  <c r="J445" i="13"/>
  <c r="J402" i="13"/>
  <c r="J353" i="13"/>
  <c r="J372" i="13"/>
  <c r="J336" i="13"/>
  <c r="K336" i="13" s="1"/>
  <c r="J326" i="13"/>
  <c r="J465" i="13"/>
  <c r="J310" i="13"/>
  <c r="J302" i="13"/>
  <c r="J294" i="13"/>
  <c r="J286" i="13"/>
  <c r="J232" i="13"/>
  <c r="J224" i="13"/>
  <c r="J216" i="13"/>
  <c r="J208" i="13"/>
  <c r="J190" i="13"/>
  <c r="J186" i="13"/>
  <c r="J182" i="13"/>
  <c r="J178" i="13"/>
  <c r="J174" i="13"/>
  <c r="J170" i="13"/>
  <c r="J319" i="13"/>
  <c r="J349" i="13"/>
  <c r="J313" i="13"/>
  <c r="J305" i="13"/>
  <c r="J297" i="13"/>
  <c r="J289" i="13"/>
  <c r="J233" i="13"/>
  <c r="J225" i="13"/>
  <c r="J168" i="13"/>
  <c r="J164" i="13"/>
  <c r="J160" i="13"/>
  <c r="J156" i="13"/>
  <c r="J152" i="13"/>
  <c r="J148" i="13"/>
  <c r="J357" i="13"/>
  <c r="J211" i="13"/>
  <c r="J200" i="13"/>
  <c r="J192" i="13"/>
  <c r="K192" i="13" s="1"/>
  <c r="J50" i="13"/>
  <c r="J46" i="13"/>
  <c r="J42" i="13"/>
  <c r="J38" i="13"/>
  <c r="J34" i="13"/>
  <c r="J30" i="13"/>
  <c r="J317" i="13"/>
  <c r="H3" i="10"/>
  <c r="J56" i="13"/>
  <c r="K56" i="13" s="1"/>
  <c r="J64" i="13"/>
  <c r="J72" i="13"/>
  <c r="J80" i="13"/>
  <c r="J88" i="13"/>
  <c r="J96" i="13"/>
  <c r="J8" i="13"/>
  <c r="K8" i="13" s="1"/>
  <c r="J12" i="13"/>
  <c r="J16" i="13"/>
  <c r="J57" i="13"/>
  <c r="J65" i="13"/>
  <c r="J73" i="13"/>
  <c r="J81" i="13"/>
  <c r="J89" i="13"/>
  <c r="J97" i="13"/>
  <c r="J20" i="13"/>
  <c r="J24" i="13"/>
  <c r="J54" i="13"/>
  <c r="K54" i="13" s="1"/>
  <c r="J199" i="13"/>
  <c r="J102" i="13"/>
  <c r="J106" i="13"/>
  <c r="J110" i="13"/>
  <c r="J114" i="13"/>
  <c r="J118" i="13"/>
  <c r="J122" i="13"/>
  <c r="J126" i="13"/>
  <c r="J130" i="13"/>
  <c r="J134" i="13"/>
  <c r="J138" i="13"/>
  <c r="J142" i="13"/>
  <c r="J213" i="13"/>
  <c r="J31" i="13"/>
  <c r="J36" i="13"/>
  <c r="J41" i="13"/>
  <c r="J47" i="13"/>
  <c r="J52" i="13"/>
  <c r="J198" i="13"/>
  <c r="J215" i="13"/>
  <c r="J146" i="13"/>
  <c r="K146" i="13" s="1"/>
  <c r="J151" i="13"/>
  <c r="J157" i="13"/>
  <c r="J162" i="13"/>
  <c r="J167" i="13"/>
  <c r="J227" i="13"/>
  <c r="J285" i="13"/>
  <c r="K285" i="13" s="1"/>
  <c r="J295" i="13"/>
  <c r="J307" i="13"/>
  <c r="J316" i="13"/>
  <c r="J237" i="13"/>
  <c r="K237" i="13" s="1"/>
  <c r="J171" i="13"/>
  <c r="J176" i="13"/>
  <c r="J181" i="13"/>
  <c r="J187" i="13"/>
  <c r="J204" i="13"/>
  <c r="J214" i="13"/>
  <c r="J226" i="13"/>
  <c r="J236" i="13"/>
  <c r="J292" i="13"/>
  <c r="J304" i="13"/>
  <c r="J314" i="13"/>
  <c r="J324" i="13"/>
  <c r="J338" i="13"/>
  <c r="K338" i="13" s="1"/>
  <c r="J454" i="13"/>
  <c r="J394" i="13"/>
  <c r="J455" i="13"/>
  <c r="J333" i="13"/>
  <c r="K333" i="13" s="1"/>
  <c r="J351" i="13"/>
  <c r="J466" i="13"/>
  <c r="J451" i="13"/>
  <c r="J241" i="13"/>
  <c r="J247" i="13"/>
  <c r="J252" i="13"/>
  <c r="J257" i="13"/>
  <c r="J263" i="13"/>
  <c r="J268" i="13"/>
  <c r="J273" i="13"/>
  <c r="J279" i="13"/>
  <c r="J340" i="13"/>
  <c r="K340" i="13" s="1"/>
  <c r="J350" i="13"/>
  <c r="J368" i="13"/>
  <c r="J400" i="13"/>
  <c r="J420" i="13"/>
  <c r="J460" i="13"/>
  <c r="J367" i="13"/>
  <c r="J377" i="13"/>
  <c r="K377" i="13" s="1"/>
  <c r="J389" i="13"/>
  <c r="J399" i="13"/>
  <c r="J409" i="13"/>
  <c r="J441" i="13"/>
  <c r="J464" i="13"/>
  <c r="J426" i="13"/>
  <c r="J432" i="13"/>
  <c r="J438" i="13"/>
  <c r="J448" i="13"/>
  <c r="G62" i="5"/>
  <c r="G24" i="5"/>
  <c r="E9" i="6"/>
  <c r="G58" i="5"/>
  <c r="G59" i="5"/>
  <c r="G50" i="5"/>
  <c r="G53" i="5"/>
  <c r="G99" i="5"/>
  <c r="G40" i="5"/>
  <c r="G75" i="5"/>
  <c r="G41" i="5"/>
  <c r="G64" i="5"/>
  <c r="G31" i="2"/>
  <c r="G91" i="5"/>
  <c r="E8" i="6"/>
  <c r="D53" i="4"/>
  <c r="F13" i="22" s="1"/>
  <c r="G119" i="5"/>
  <c r="G103" i="5"/>
  <c r="G98" i="5"/>
  <c r="E47" i="4"/>
  <c r="G46" i="4"/>
  <c r="F56" i="2"/>
  <c r="B36" i="4"/>
  <c r="F60" i="2"/>
  <c r="F51" i="2"/>
  <c r="G100" i="5"/>
  <c r="G29" i="5"/>
  <c r="G80" i="5"/>
  <c r="G73" i="5"/>
  <c r="G39" i="5"/>
  <c r="G101" i="5"/>
  <c r="E16" i="6"/>
  <c r="G9" i="19"/>
  <c r="G125" i="5"/>
  <c r="G127" i="5"/>
  <c r="G126" i="5"/>
  <c r="G124" i="5"/>
  <c r="G38" i="5"/>
  <c r="G86" i="5"/>
  <c r="G46" i="5"/>
  <c r="G23" i="5"/>
  <c r="G45" i="5"/>
  <c r="G107" i="5"/>
  <c r="G44" i="5"/>
  <c r="G84" i="5"/>
  <c r="G77" i="5"/>
  <c r="G79" i="5"/>
  <c r="G7" i="5"/>
  <c r="G54" i="5"/>
  <c r="F57" i="2"/>
  <c r="G96" i="5"/>
  <c r="G26" i="5"/>
  <c r="E45" i="4"/>
  <c r="E53" i="4" s="1"/>
  <c r="G90" i="5"/>
  <c r="G24" i="2"/>
  <c r="G115" i="5"/>
  <c r="G109" i="5"/>
  <c r="F50" i="2"/>
  <c r="G70" i="5"/>
  <c r="G82" i="5"/>
  <c r="G89" i="5"/>
  <c r="G33" i="5"/>
  <c r="G57" i="5"/>
  <c r="G25" i="2"/>
  <c r="G32" i="5"/>
  <c r="G48" i="5"/>
  <c r="G72" i="5"/>
  <c r="G88" i="5"/>
  <c r="G106" i="5"/>
  <c r="G65" i="5"/>
  <c r="E10" i="6"/>
  <c r="G33" i="2"/>
  <c r="G47" i="5"/>
  <c r="G67" i="5"/>
  <c r="G83" i="5"/>
  <c r="G93" i="5"/>
  <c r="E24" i="6"/>
  <c r="G122" i="5"/>
  <c r="G114" i="5"/>
  <c r="G42" i="5"/>
  <c r="G108" i="5"/>
  <c r="G104" i="5"/>
  <c r="G85" i="5"/>
  <c r="G28" i="5"/>
  <c r="G68" i="5"/>
  <c r="G102" i="5"/>
  <c r="G61" i="5"/>
  <c r="G32" i="2"/>
  <c r="G43" i="5"/>
  <c r="G63" i="5"/>
  <c r="G92" i="5"/>
  <c r="G105" i="5"/>
  <c r="F53" i="2"/>
  <c r="G78" i="5"/>
  <c r="G19" i="5"/>
  <c r="G49" i="4"/>
  <c r="E15" i="6"/>
  <c r="G74" i="5"/>
  <c r="F54" i="2"/>
  <c r="G34" i="5"/>
  <c r="G30" i="5"/>
  <c r="G52" i="5"/>
  <c r="F59" i="2"/>
  <c r="G66" i="5"/>
  <c r="G25" i="5"/>
  <c r="G95" i="5"/>
  <c r="G37" i="5"/>
  <c r="G81" i="5"/>
  <c r="D10" i="2"/>
  <c r="G36" i="5"/>
  <c r="G60" i="5"/>
  <c r="G76" i="5"/>
  <c r="G94" i="5"/>
  <c r="G112" i="5"/>
  <c r="G69" i="5"/>
  <c r="E18" i="6"/>
  <c r="F52" i="2"/>
  <c r="G31" i="5"/>
  <c r="G51" i="5"/>
  <c r="G71" i="5"/>
  <c r="G87" i="5"/>
  <c r="G97" i="5"/>
  <c r="F55" i="2"/>
  <c r="H36" i="4"/>
  <c r="E40" i="10" s="1"/>
  <c r="E40" i="11" s="1"/>
  <c r="G113" i="5"/>
  <c r="H158" i="10"/>
  <c r="F122" i="5"/>
  <c r="I89" i="10"/>
  <c r="U6" i="13"/>
  <c r="N340" i="13"/>
  <c r="L341" i="13"/>
  <c r="H340" i="13"/>
  <c r="L241" i="13"/>
  <c r="H240" i="13"/>
  <c r="N240" i="13"/>
  <c r="L57" i="13"/>
  <c r="N56" i="13"/>
  <c r="H56" i="13"/>
  <c r="N3" i="11"/>
  <c r="D4" i="10"/>
  <c r="N424" i="13"/>
  <c r="H424" i="13"/>
  <c r="L425" i="13"/>
  <c r="N378" i="13"/>
  <c r="H378" i="13"/>
  <c r="L379" i="13"/>
  <c r="N101" i="13"/>
  <c r="H101" i="13"/>
  <c r="L102" i="13"/>
  <c r="N147" i="13"/>
  <c r="H147" i="13"/>
  <c r="L148" i="13"/>
  <c r="N10" i="13"/>
  <c r="H10" i="13"/>
  <c r="L11" i="13"/>
  <c r="H152" i="10"/>
  <c r="N285" i="13"/>
  <c r="L286" i="13"/>
  <c r="H285" i="13"/>
  <c r="D40" i="10"/>
  <c r="D40" i="11" s="1"/>
  <c r="F95" i="10"/>
  <c r="F95" i="11" s="1"/>
  <c r="L195" i="13"/>
  <c r="H194" i="13"/>
  <c r="N194" i="13"/>
  <c r="I90" i="10"/>
  <c r="E15" i="9"/>
  <c r="E17" i="9"/>
  <c r="F14" i="9" s="1"/>
  <c r="G52" i="4" l="1"/>
  <c r="G45" i="4"/>
  <c r="G8" i="22"/>
  <c r="H8" i="22"/>
  <c r="G51" i="4"/>
  <c r="G44" i="4"/>
  <c r="G48" i="4"/>
  <c r="G50" i="4"/>
  <c r="G47" i="4"/>
  <c r="E4" i="10"/>
  <c r="CA100" i="10" s="1"/>
  <c r="H138" i="10"/>
  <c r="P5" i="13"/>
  <c r="P423" i="13" s="1"/>
  <c r="H145" i="11"/>
  <c r="H159" i="10"/>
  <c r="H95" i="10"/>
  <c r="H96" i="10" s="1"/>
  <c r="D4" i="11"/>
  <c r="L5" i="10"/>
  <c r="L4" i="10" s="1"/>
  <c r="H13" i="22"/>
  <c r="G13" i="22"/>
  <c r="J7" i="10" a="1"/>
  <c r="J7" i="10" s="1"/>
  <c r="J6" i="10" s="1"/>
  <c r="K3" i="10"/>
  <c r="J90" i="10"/>
  <c r="H7" i="10" a="1"/>
  <c r="H7" i="10" s="1"/>
  <c r="H89" i="10"/>
  <c r="F43" i="10"/>
  <c r="H84" i="10"/>
  <c r="H86" i="10" s="1"/>
  <c r="F52" i="14"/>
  <c r="G52" i="14" s="1"/>
  <c r="H52" i="14" s="1"/>
  <c r="I52" i="14" s="1"/>
  <c r="J52" i="14" s="1"/>
  <c r="K52" i="14" s="1"/>
  <c r="L52" i="14" s="1"/>
  <c r="M52" i="14" s="1"/>
  <c r="N52" i="14" s="1"/>
  <c r="O52" i="14" s="1"/>
  <c r="P52" i="14" s="1"/>
  <c r="H90" i="10"/>
  <c r="H4" i="11"/>
  <c r="I4" i="11" s="1"/>
  <c r="J4" i="11" s="1"/>
  <c r="K4" i="11" s="1"/>
  <c r="F53" i="4"/>
  <c r="G28" i="2"/>
  <c r="C53" i="4"/>
  <c r="G53" i="4"/>
  <c r="D30" i="2"/>
  <c r="G30" i="2" s="1"/>
  <c r="F24" i="2"/>
  <c r="F26" i="2"/>
  <c r="E24" i="2"/>
  <c r="F15" i="9"/>
  <c r="F17" i="9"/>
  <c r="G14" i="9" s="1"/>
  <c r="M5" i="10"/>
  <c r="O3" i="11"/>
  <c r="K241" i="13"/>
  <c r="L242" i="13"/>
  <c r="H241" i="13"/>
  <c r="N241" i="13"/>
  <c r="H151" i="10"/>
  <c r="N148" i="13"/>
  <c r="H148" i="13"/>
  <c r="L149" i="13"/>
  <c r="K148" i="13"/>
  <c r="N102" i="13"/>
  <c r="H102" i="13"/>
  <c r="L103" i="13"/>
  <c r="K102" i="13"/>
  <c r="L426" i="13"/>
  <c r="H425" i="13"/>
  <c r="N425" i="13"/>
  <c r="K425" i="13"/>
  <c r="L58" i="13"/>
  <c r="K57" i="13"/>
  <c r="N57" i="13"/>
  <c r="H57" i="13"/>
  <c r="K195" i="13"/>
  <c r="L196" i="13"/>
  <c r="H195" i="13"/>
  <c r="N195" i="13"/>
  <c r="N11" i="13"/>
  <c r="H11" i="13"/>
  <c r="L12" i="13"/>
  <c r="K11" i="13"/>
  <c r="N379" i="13"/>
  <c r="H379" i="13"/>
  <c r="L380" i="13"/>
  <c r="K379" i="13"/>
  <c r="F123" i="5"/>
  <c r="G123" i="5"/>
  <c r="K286" i="13"/>
  <c r="L287" i="13"/>
  <c r="H286" i="13"/>
  <c r="N286" i="13"/>
  <c r="K341" i="13"/>
  <c r="N341" i="13"/>
  <c r="H341" i="13"/>
  <c r="L342" i="13"/>
  <c r="V6" i="13"/>
  <c r="P332" i="13" l="1"/>
  <c r="Q5" i="13"/>
  <c r="Q425" i="13" s="1"/>
  <c r="P422" i="13"/>
  <c r="P99" i="13"/>
  <c r="P336" i="13"/>
  <c r="P100" i="13"/>
  <c r="P378" i="13"/>
  <c r="P341" i="13"/>
  <c r="P285" i="13"/>
  <c r="P377" i="13"/>
  <c r="P7" i="13"/>
  <c r="P146" i="13"/>
  <c r="P329" i="13"/>
  <c r="P237" i="13"/>
  <c r="P195" i="13"/>
  <c r="P192" i="13"/>
  <c r="P330" i="13"/>
  <c r="P337" i="13"/>
  <c r="P421" i="13"/>
  <c r="P379" i="13"/>
  <c r="P11" i="13"/>
  <c r="P425" i="13"/>
  <c r="P102" i="13"/>
  <c r="P148" i="13"/>
  <c r="P241" i="13"/>
  <c r="CS100" i="10"/>
  <c r="CZ100" i="10"/>
  <c r="ED100" i="10"/>
  <c r="CC100" i="10"/>
  <c r="CF100" i="10"/>
  <c r="DY100" i="10"/>
  <c r="EF100" i="10"/>
  <c r="EH100" i="10"/>
  <c r="DI100" i="10"/>
  <c r="DP100" i="10"/>
  <c r="BV100" i="10"/>
  <c r="DU100" i="10"/>
  <c r="DE100" i="10"/>
  <c r="CO100" i="10"/>
  <c r="BY100" i="10"/>
  <c r="EB100" i="10"/>
  <c r="DL100" i="10"/>
  <c r="CV100" i="10"/>
  <c r="CB100" i="10"/>
  <c r="DN100" i="10"/>
  <c r="EG100" i="10"/>
  <c r="DQ100" i="10"/>
  <c r="DA100" i="10"/>
  <c r="CK100" i="10"/>
  <c r="BU100" i="10"/>
  <c r="DX100" i="10"/>
  <c r="DH100" i="10"/>
  <c r="CR100" i="10"/>
  <c r="BT100" i="10"/>
  <c r="EE100" i="10"/>
  <c r="E4" i="11"/>
  <c r="EC100" i="10"/>
  <c r="DM100" i="10"/>
  <c r="CW100" i="10"/>
  <c r="CG100" i="10"/>
  <c r="BQ100" i="10"/>
  <c r="DT100" i="10"/>
  <c r="DD100" i="10"/>
  <c r="CJ100" i="10"/>
  <c r="EJ100" i="10"/>
  <c r="DJ100" i="10"/>
  <c r="DO100" i="10"/>
  <c r="CN100" i="10"/>
  <c r="BX100" i="10"/>
  <c r="DZ100" i="10"/>
  <c r="CT100" i="10"/>
  <c r="CY100" i="10"/>
  <c r="DR100" i="10"/>
  <c r="CD100" i="10"/>
  <c r="DV100" i="10"/>
  <c r="DF100" i="10"/>
  <c r="CP100" i="10"/>
  <c r="BZ100" i="10"/>
  <c r="EA100" i="10"/>
  <c r="DK100" i="10"/>
  <c r="CI100" i="10"/>
  <c r="DB100" i="10"/>
  <c r="CL100" i="10"/>
  <c r="BR100" i="10"/>
  <c r="DW100" i="10"/>
  <c r="DG100" i="10"/>
  <c r="BW100" i="10"/>
  <c r="CX100" i="10"/>
  <c r="CH100" i="10"/>
  <c r="EI100" i="10"/>
  <c r="DS100" i="10"/>
  <c r="DC100" i="10"/>
  <c r="BS100" i="10"/>
  <c r="CM100" i="10"/>
  <c r="P283" i="13"/>
  <c r="P8" i="13"/>
  <c r="P53" i="13"/>
  <c r="P147" i="13"/>
  <c r="P284" i="13"/>
  <c r="P333" i="13"/>
  <c r="P340" i="13"/>
  <c r="P238" i="13"/>
  <c r="P424" i="13"/>
  <c r="CU100" i="10"/>
  <c r="CE100" i="10"/>
  <c r="H10" i="10"/>
  <c r="P54" i="13"/>
  <c r="P10" i="13"/>
  <c r="P194" i="13"/>
  <c r="P191" i="13"/>
  <c r="P338" i="13"/>
  <c r="P335" i="13"/>
  <c r="P375" i="13"/>
  <c r="P240" i="13"/>
  <c r="P57" i="13"/>
  <c r="CQ100" i="10"/>
  <c r="P55" i="13"/>
  <c r="P56" i="13"/>
  <c r="P9" i="13"/>
  <c r="P101" i="13"/>
  <c r="P145" i="13"/>
  <c r="P193" i="13"/>
  <c r="P334" i="13"/>
  <c r="P331" i="13"/>
  <c r="P339" i="13"/>
  <c r="P376" i="13"/>
  <c r="P239" i="13"/>
  <c r="P286" i="13"/>
  <c r="E43" i="10"/>
  <c r="E43" i="11" s="1"/>
  <c r="F43" i="11"/>
  <c r="H6" i="10"/>
  <c r="H49" i="10" s="1"/>
  <c r="H7" i="11"/>
  <c r="H6" i="11" s="1"/>
  <c r="H146" i="11"/>
  <c r="I60" i="10"/>
  <c r="H116" i="10"/>
  <c r="I114" i="10" s="1"/>
  <c r="I115" i="10" s="1"/>
  <c r="I116" i="10" s="1"/>
  <c r="J114" i="10" s="1"/>
  <c r="J115" i="10" s="1"/>
  <c r="E27" i="2"/>
  <c r="F10" i="22"/>
  <c r="K13" i="10"/>
  <c r="H34" i="10"/>
  <c r="I56" i="10"/>
  <c r="J12" i="10"/>
  <c r="K21" i="10"/>
  <c r="J68" i="10"/>
  <c r="H45" i="10"/>
  <c r="H50" i="10" s="1"/>
  <c r="I45" i="10"/>
  <c r="I50" i="10" s="1"/>
  <c r="J45" i="10"/>
  <c r="J50" i="10" s="1"/>
  <c r="K45" i="10"/>
  <c r="K50" i="10" s="1"/>
  <c r="H21" i="10"/>
  <c r="K34" i="10"/>
  <c r="J31" i="10"/>
  <c r="K56" i="10"/>
  <c r="J49" i="10"/>
  <c r="J27" i="10"/>
  <c r="H16" i="10"/>
  <c r="H29" i="10"/>
  <c r="K29" i="10"/>
  <c r="H61" i="10"/>
  <c r="J38" i="10"/>
  <c r="H20" i="10"/>
  <c r="K23" i="10"/>
  <c r="K90" i="10"/>
  <c r="K11" i="10"/>
  <c r="H68" i="10"/>
  <c r="I29" i="10"/>
  <c r="I33" i="10"/>
  <c r="I18" i="10"/>
  <c r="I20" i="10"/>
  <c r="H37" i="10"/>
  <c r="K58" i="10"/>
  <c r="I66" i="10"/>
  <c r="K66" i="10"/>
  <c r="I23" i="10"/>
  <c r="J37" i="10"/>
  <c r="J21" i="10"/>
  <c r="I30" i="10"/>
  <c r="H13" i="10"/>
  <c r="H38" i="10"/>
  <c r="K38" i="10"/>
  <c r="J61" i="10"/>
  <c r="H66" i="10"/>
  <c r="L128" i="10"/>
  <c r="L3" i="10"/>
  <c r="L58" i="10" s="1"/>
  <c r="I27" i="10"/>
  <c r="I15" i="10"/>
  <c r="J20" i="10"/>
  <c r="J32" i="10"/>
  <c r="I21" i="10"/>
  <c r="J14" i="10"/>
  <c r="J29" i="10"/>
  <c r="J17" i="10"/>
  <c r="I25" i="10"/>
  <c r="J18" i="10"/>
  <c r="J25" i="10"/>
  <c r="H26" i="10"/>
  <c r="I22" i="10"/>
  <c r="I32" i="10"/>
  <c r="H28" i="10"/>
  <c r="C138" i="10"/>
  <c r="I24" i="10"/>
  <c r="H15" i="10"/>
  <c r="H23" i="10"/>
  <c r="H31" i="10"/>
  <c r="H18" i="10"/>
  <c r="K32" i="10"/>
  <c r="K33" i="10"/>
  <c r="K30" i="10"/>
  <c r="K19" i="10"/>
  <c r="K36" i="10"/>
  <c r="H122" i="10"/>
  <c r="J60" i="10"/>
  <c r="K62" i="10"/>
  <c r="J43" i="10"/>
  <c r="I69" i="10"/>
  <c r="I57" i="10"/>
  <c r="I61" i="10"/>
  <c r="H62" i="10"/>
  <c r="H69" i="10"/>
  <c r="H60" i="10"/>
  <c r="J58" i="10"/>
  <c r="K64" i="10"/>
  <c r="I43" i="10"/>
  <c r="H56" i="10"/>
  <c r="K26" i="10"/>
  <c r="K35" i="10"/>
  <c r="K18" i="10"/>
  <c r="K17" i="10"/>
  <c r="K7" i="10" a="1"/>
  <c r="K7" i="10" s="1"/>
  <c r="K6" i="10" s="1"/>
  <c r="K49" i="10" s="1"/>
  <c r="J19" i="10"/>
  <c r="J15" i="10"/>
  <c r="J28" i="10"/>
  <c r="J33" i="10"/>
  <c r="I13" i="10"/>
  <c r="J22" i="10"/>
  <c r="I35" i="10"/>
  <c r="J16" i="10"/>
  <c r="I17" i="10"/>
  <c r="J26" i="10"/>
  <c r="H14" i="10"/>
  <c r="H36" i="10"/>
  <c r="I26" i="10"/>
  <c r="I34" i="10"/>
  <c r="H30" i="10"/>
  <c r="I12" i="10"/>
  <c r="I36" i="10"/>
  <c r="H17" i="10"/>
  <c r="H25" i="10"/>
  <c r="H33" i="10"/>
  <c r="H22" i="10"/>
  <c r="F4" i="10"/>
  <c r="K24" i="10"/>
  <c r="K22" i="10"/>
  <c r="K31" i="10"/>
  <c r="K28" i="10"/>
  <c r="K27" i="10"/>
  <c r="K61" i="10"/>
  <c r="J64" i="10"/>
  <c r="K65" i="10"/>
  <c r="J67" i="10"/>
  <c r="I65" i="10"/>
  <c r="I68" i="10"/>
  <c r="I62" i="10"/>
  <c r="H58" i="10"/>
  <c r="H57" i="10"/>
  <c r="K59" i="10"/>
  <c r="J62" i="10"/>
  <c r="K69" i="10"/>
  <c r="K60" i="10"/>
  <c r="K25" i="10"/>
  <c r="K84" i="10"/>
  <c r="K86" i="10" s="1"/>
  <c r="I31" i="10"/>
  <c r="J35" i="10"/>
  <c r="J36" i="10"/>
  <c r="I37" i="10"/>
  <c r="J23" i="10"/>
  <c r="J30" i="10"/>
  <c r="I19" i="10"/>
  <c r="J24" i="10"/>
  <c r="J13" i="10"/>
  <c r="J34" i="10"/>
  <c r="H12" i="10"/>
  <c r="I14" i="10"/>
  <c r="I28" i="10"/>
  <c r="I38" i="10"/>
  <c r="H32" i="10"/>
  <c r="I16" i="10"/>
  <c r="I49" i="10"/>
  <c r="H19" i="10"/>
  <c r="H27" i="10"/>
  <c r="H35" i="10"/>
  <c r="H24" i="10"/>
  <c r="H128" i="10"/>
  <c r="K16" i="10"/>
  <c r="K14" i="10"/>
  <c r="K20" i="10"/>
  <c r="K37" i="10"/>
  <c r="K43" i="10"/>
  <c r="J11" i="10"/>
  <c r="J57" i="10"/>
  <c r="I63" i="10"/>
  <c r="I58" i="10"/>
  <c r="I11" i="10"/>
  <c r="I10" i="10"/>
  <c r="H59" i="10"/>
  <c r="H11" i="10"/>
  <c r="K63" i="10"/>
  <c r="J66" i="10"/>
  <c r="J10" i="10"/>
  <c r="J59" i="10"/>
  <c r="K128" i="10"/>
  <c r="K12" i="10"/>
  <c r="K15" i="10"/>
  <c r="K57" i="10"/>
  <c r="J56" i="10"/>
  <c r="J65" i="10"/>
  <c r="K10" i="10"/>
  <c r="J69" i="10"/>
  <c r="I59" i="10"/>
  <c r="I128" i="10"/>
  <c r="I64" i="10"/>
  <c r="I67" i="10"/>
  <c r="H63" i="10"/>
  <c r="H67" i="10"/>
  <c r="H65" i="10"/>
  <c r="H64" i="10"/>
  <c r="K67" i="10"/>
  <c r="J128" i="10"/>
  <c r="J63" i="10"/>
  <c r="K68" i="10"/>
  <c r="H43" i="10"/>
  <c r="H138" i="11"/>
  <c r="E28" i="2"/>
  <c r="E30" i="2"/>
  <c r="F28" i="2"/>
  <c r="G26" i="2"/>
  <c r="F30" i="2"/>
  <c r="E26" i="2"/>
  <c r="D34" i="2"/>
  <c r="G74" i="2" s="1"/>
  <c r="G27" i="2"/>
  <c r="F27" i="2"/>
  <c r="M128" i="10"/>
  <c r="N12" i="13"/>
  <c r="H12" i="13"/>
  <c r="L13" i="13"/>
  <c r="K12" i="13"/>
  <c r="Q12" i="13" s="1"/>
  <c r="L59" i="13"/>
  <c r="K58" i="13"/>
  <c r="P58" i="13" s="1"/>
  <c r="N58" i="13"/>
  <c r="H58" i="13"/>
  <c r="N103" i="13"/>
  <c r="H103" i="13"/>
  <c r="L104" i="13"/>
  <c r="K103" i="13"/>
  <c r="P103" i="13" s="1"/>
  <c r="N149" i="13"/>
  <c r="H149" i="13"/>
  <c r="L150" i="13"/>
  <c r="K149" i="13"/>
  <c r="P149" i="13" s="1"/>
  <c r="Q423" i="13"/>
  <c r="Q421" i="13"/>
  <c r="Q379" i="13"/>
  <c r="Q375" i="13"/>
  <c r="Q341" i="13"/>
  <c r="Q340" i="13"/>
  <c r="Q286" i="13"/>
  <c r="Q285" i="13"/>
  <c r="Q284" i="13"/>
  <c r="Q422" i="13"/>
  <c r="Q378" i="13"/>
  <c r="Q339" i="13"/>
  <c r="Q335" i="13"/>
  <c r="Q333" i="13"/>
  <c r="Q331" i="13"/>
  <c r="Q329" i="13"/>
  <c r="Q338" i="13"/>
  <c r="Q336" i="13"/>
  <c r="Q332" i="13"/>
  <c r="Q330" i="13"/>
  <c r="Q240" i="13"/>
  <c r="Q195" i="13"/>
  <c r="Q194" i="13"/>
  <c r="Q193" i="13"/>
  <c r="Q191" i="13"/>
  <c r="Q241" i="13"/>
  <c r="Q239" i="13"/>
  <c r="Q57" i="13"/>
  <c r="Q56" i="13"/>
  <c r="Q55" i="13"/>
  <c r="Q53" i="13"/>
  <c r="Q148" i="13"/>
  <c r="Q147" i="13"/>
  <c r="Q145" i="13"/>
  <c r="Q99" i="13"/>
  <c r="Q101" i="13"/>
  <c r="Q100" i="13"/>
  <c r="R5" i="13"/>
  <c r="Q11" i="13"/>
  <c r="Q10" i="13"/>
  <c r="Q8" i="13"/>
  <c r="Q7" i="13"/>
  <c r="K342" i="13"/>
  <c r="P342" i="13" s="1"/>
  <c r="H342" i="13"/>
  <c r="N342" i="13"/>
  <c r="L343" i="13"/>
  <c r="D43" i="10"/>
  <c r="D43" i="11" s="1"/>
  <c r="G17" i="9"/>
  <c r="H14" i="9" s="1"/>
  <c r="G15" i="9"/>
  <c r="W6" i="13"/>
  <c r="K287" i="13"/>
  <c r="P287" i="13" s="1"/>
  <c r="N287" i="13"/>
  <c r="H287" i="13"/>
  <c r="L288" i="13"/>
  <c r="N380" i="13"/>
  <c r="H380" i="13"/>
  <c r="L381" i="13"/>
  <c r="K380" i="13"/>
  <c r="K426" i="13"/>
  <c r="L427" i="13"/>
  <c r="N426" i="13"/>
  <c r="H426" i="13"/>
  <c r="P3" i="11"/>
  <c r="N5" i="10"/>
  <c r="M4" i="10"/>
  <c r="L4" i="11"/>
  <c r="K196" i="13"/>
  <c r="L197" i="13"/>
  <c r="H196" i="13"/>
  <c r="N196" i="13"/>
  <c r="L243" i="13"/>
  <c r="H242" i="13"/>
  <c r="N242" i="13"/>
  <c r="K242" i="13"/>
  <c r="Q9" i="13" l="1"/>
  <c r="Q102" i="13"/>
  <c r="Q146" i="13"/>
  <c r="Q54" i="13"/>
  <c r="Q237" i="13"/>
  <c r="Q192" i="13"/>
  <c r="Q238" i="13"/>
  <c r="Q334" i="13"/>
  <c r="Q424" i="13"/>
  <c r="Q337" i="13"/>
  <c r="Q283" i="13"/>
  <c r="Q376" i="13"/>
  <c r="Q377" i="13"/>
  <c r="L28" i="10"/>
  <c r="L17" i="10"/>
  <c r="L15" i="10"/>
  <c r="C138" i="11"/>
  <c r="H147" i="11"/>
  <c r="L66" i="10"/>
  <c r="F4" i="11"/>
  <c r="L16" i="10"/>
  <c r="J116" i="10"/>
  <c r="K114" i="10" s="1"/>
  <c r="K115" i="10" s="1"/>
  <c r="F12" i="22"/>
  <c r="H10" i="22"/>
  <c r="G10" i="22"/>
  <c r="L11" i="10"/>
  <c r="L59" i="10"/>
  <c r="L36" i="10"/>
  <c r="L68" i="10"/>
  <c r="L21" i="10"/>
  <c r="L63" i="10"/>
  <c r="L35" i="10"/>
  <c r="L84" i="10"/>
  <c r="L26" i="10"/>
  <c r="L13" i="10"/>
  <c r="L65" i="10"/>
  <c r="L60" i="10"/>
  <c r="L18" i="10"/>
  <c r="L37" i="10"/>
  <c r="L57" i="10"/>
  <c r="L67" i="10"/>
  <c r="K39" i="10"/>
  <c r="K47" i="10" s="1"/>
  <c r="H39" i="10"/>
  <c r="H47" i="10" s="1"/>
  <c r="L45" i="10"/>
  <c r="L50" i="10" s="1"/>
  <c r="L27" i="10"/>
  <c r="L12" i="10"/>
  <c r="L33" i="10"/>
  <c r="L38" i="10"/>
  <c r="M3" i="10"/>
  <c r="L31" i="10"/>
  <c r="L34" i="10"/>
  <c r="K47" i="2"/>
  <c r="L24" i="10"/>
  <c r="L30" i="10"/>
  <c r="L64" i="10"/>
  <c r="L43" i="10"/>
  <c r="L56" i="10"/>
  <c r="L61" i="10"/>
  <c r="I39" i="10"/>
  <c r="I47" i="10" s="1"/>
  <c r="J39" i="10"/>
  <c r="J47" i="10" s="1"/>
  <c r="L19" i="10"/>
  <c r="L25" i="10"/>
  <c r="L22" i="10"/>
  <c r="L90" i="10"/>
  <c r="L7" i="10" a="1"/>
  <c r="L7" i="10" s="1"/>
  <c r="L6" i="10" s="1"/>
  <c r="L49" i="10" s="1"/>
  <c r="L23" i="10"/>
  <c r="L14" i="10"/>
  <c r="L20" i="10"/>
  <c r="L29" i="10"/>
  <c r="L69" i="10"/>
  <c r="L62" i="10"/>
  <c r="L10" i="10"/>
  <c r="L32" i="10"/>
  <c r="E29" i="2"/>
  <c r="J70" i="10"/>
  <c r="K70" i="10"/>
  <c r="H70" i="10"/>
  <c r="I70" i="10"/>
  <c r="F29" i="2"/>
  <c r="G29" i="2"/>
  <c r="Q103" i="13"/>
  <c r="Q149" i="13"/>
  <c r="N128" i="10"/>
  <c r="Q58" i="13"/>
  <c r="Q342" i="13"/>
  <c r="O5" i="10"/>
  <c r="N4" i="10"/>
  <c r="Q3" i="11"/>
  <c r="L428" i="13"/>
  <c r="H427" i="13"/>
  <c r="N427" i="13"/>
  <c r="K427" i="13"/>
  <c r="H15" i="9"/>
  <c r="H17" i="9"/>
  <c r="I14" i="9" s="1"/>
  <c r="L60" i="13"/>
  <c r="K59" i="13"/>
  <c r="R59" i="13" s="1"/>
  <c r="N59" i="13"/>
  <c r="H59" i="13"/>
  <c r="N13" i="13"/>
  <c r="H13" i="13"/>
  <c r="L14" i="13"/>
  <c r="K13" i="13"/>
  <c r="R13" i="13" s="1"/>
  <c r="P196" i="13"/>
  <c r="M4" i="11"/>
  <c r="P426" i="13"/>
  <c r="X6" i="13"/>
  <c r="Q196" i="13"/>
  <c r="Q426" i="13"/>
  <c r="Q287" i="13"/>
  <c r="K243" i="13"/>
  <c r="R243" i="13" s="1"/>
  <c r="L244" i="13"/>
  <c r="H243" i="13"/>
  <c r="N243" i="13"/>
  <c r="K343" i="13"/>
  <c r="N343" i="13"/>
  <c r="L344" i="13"/>
  <c r="H343" i="13"/>
  <c r="R426" i="13"/>
  <c r="R424" i="13"/>
  <c r="R422" i="13"/>
  <c r="R423" i="13"/>
  <c r="R378" i="13"/>
  <c r="R377" i="13"/>
  <c r="R375" i="13"/>
  <c r="R342" i="13"/>
  <c r="R340" i="13"/>
  <c r="R339" i="13"/>
  <c r="R338" i="13"/>
  <c r="R337" i="13"/>
  <c r="R336" i="13"/>
  <c r="R335" i="13"/>
  <c r="R334" i="13"/>
  <c r="R333" i="13"/>
  <c r="R332" i="13"/>
  <c r="R331" i="13"/>
  <c r="R330" i="13"/>
  <c r="R329" i="13"/>
  <c r="R380" i="13"/>
  <c r="R379" i="13"/>
  <c r="R376" i="13"/>
  <c r="R341" i="13"/>
  <c r="R425" i="13"/>
  <c r="R421" i="13"/>
  <c r="R286" i="13"/>
  <c r="R284" i="13"/>
  <c r="R241" i="13"/>
  <c r="R239" i="13"/>
  <c r="R237" i="13"/>
  <c r="R287" i="13"/>
  <c r="R285" i="13"/>
  <c r="R283" i="13"/>
  <c r="R240" i="13"/>
  <c r="R58" i="13"/>
  <c r="R57" i="13"/>
  <c r="R56" i="13"/>
  <c r="R55" i="13"/>
  <c r="R54" i="13"/>
  <c r="R53" i="13"/>
  <c r="R238" i="13"/>
  <c r="R196" i="13"/>
  <c r="R194" i="13"/>
  <c r="R192" i="13"/>
  <c r="R103" i="13"/>
  <c r="R102" i="13"/>
  <c r="R101" i="13"/>
  <c r="R100" i="13"/>
  <c r="R99" i="13"/>
  <c r="R242" i="13"/>
  <c r="R191" i="13"/>
  <c r="R195" i="13"/>
  <c r="R146" i="13"/>
  <c r="R145" i="13"/>
  <c r="R147" i="13"/>
  <c r="S5" i="13"/>
  <c r="R193" i="13"/>
  <c r="R148" i="13"/>
  <c r="R12" i="13"/>
  <c r="R11" i="13"/>
  <c r="R10" i="13"/>
  <c r="R9" i="13"/>
  <c r="R8" i="13"/>
  <c r="R7" i="13"/>
  <c r="R149" i="13"/>
  <c r="K197" i="13"/>
  <c r="R197" i="13" s="1"/>
  <c r="L198" i="13"/>
  <c r="H197" i="13"/>
  <c r="N197" i="13"/>
  <c r="N381" i="13"/>
  <c r="H381" i="13"/>
  <c r="L382" i="13"/>
  <c r="K381" i="13"/>
  <c r="P242" i="13"/>
  <c r="P380" i="13"/>
  <c r="K288" i="13"/>
  <c r="L289" i="13"/>
  <c r="H288" i="13"/>
  <c r="N288" i="13"/>
  <c r="Q242" i="13"/>
  <c r="Q380" i="13"/>
  <c r="N150" i="13"/>
  <c r="H150" i="13"/>
  <c r="L151" i="13"/>
  <c r="K150" i="13"/>
  <c r="N104" i="13"/>
  <c r="H104" i="13"/>
  <c r="L105" i="13"/>
  <c r="K104" i="13"/>
  <c r="P12" i="13"/>
  <c r="M66" i="10" l="1"/>
  <c r="L86" i="10"/>
  <c r="K116" i="10"/>
  <c r="L114" i="10" s="1"/>
  <c r="L115" i="10" s="1"/>
  <c r="H48" i="10"/>
  <c r="I48" i="10"/>
  <c r="K48" i="10"/>
  <c r="K52" i="10" s="1"/>
  <c r="K72" i="10" s="1"/>
  <c r="J48" i="10"/>
  <c r="J52" i="10" s="1"/>
  <c r="J72" i="10" s="1"/>
  <c r="M19" i="10"/>
  <c r="M10" i="10"/>
  <c r="M65" i="10"/>
  <c r="M58" i="10"/>
  <c r="M18" i="10"/>
  <c r="M69" i="10"/>
  <c r="M27" i="10"/>
  <c r="M23" i="10"/>
  <c r="M20" i="10"/>
  <c r="M37" i="10"/>
  <c r="H12" i="22"/>
  <c r="F14" i="22"/>
  <c r="I12" i="22" s="1"/>
  <c r="G12" i="22"/>
  <c r="M35" i="10"/>
  <c r="M45" i="10"/>
  <c r="M50" i="10" s="1"/>
  <c r="M7" i="10" a="1"/>
  <c r="M7" i="10" s="1"/>
  <c r="M6" i="10" s="1"/>
  <c r="M49" i="10" s="1"/>
  <c r="M17" i="10"/>
  <c r="M29" i="10"/>
  <c r="M14" i="10"/>
  <c r="M16" i="10"/>
  <c r="M61" i="10"/>
  <c r="M24" i="10"/>
  <c r="M38" i="10"/>
  <c r="M30" i="10"/>
  <c r="M28" i="10"/>
  <c r="M32" i="10"/>
  <c r="M59" i="10"/>
  <c r="M68" i="10"/>
  <c r="L39" i="10"/>
  <c r="L47" i="10" s="1"/>
  <c r="L70" i="10"/>
  <c r="M33" i="10"/>
  <c r="M26" i="10"/>
  <c r="M21" i="10"/>
  <c r="M34" i="10"/>
  <c r="M36" i="10"/>
  <c r="M56" i="10"/>
  <c r="M64" i="10"/>
  <c r="M62" i="10"/>
  <c r="M67" i="10"/>
  <c r="M11" i="10"/>
  <c r="M90" i="10"/>
  <c r="M84" i="10"/>
  <c r="N3" i="10"/>
  <c r="M25" i="10"/>
  <c r="M13" i="10"/>
  <c r="M12" i="10"/>
  <c r="M15" i="10"/>
  <c r="M22" i="10"/>
  <c r="M57" i="10"/>
  <c r="M60" i="10"/>
  <c r="M43" i="10"/>
  <c r="M63" i="10"/>
  <c r="M31" i="10"/>
  <c r="G51" i="2"/>
  <c r="H29" i="2"/>
  <c r="E34" i="2"/>
  <c r="G56" i="2"/>
  <c r="H33" i="2"/>
  <c r="H30" i="2"/>
  <c r="H24" i="2"/>
  <c r="G52" i="2"/>
  <c r="G60" i="2"/>
  <c r="H25" i="2"/>
  <c r="G54" i="2"/>
  <c r="H27" i="2"/>
  <c r="G50" i="2"/>
  <c r="H32" i="2"/>
  <c r="H31" i="2"/>
  <c r="F34" i="2"/>
  <c r="H28" i="2"/>
  <c r="G53" i="2"/>
  <c r="G34" i="2"/>
  <c r="G57" i="2"/>
  <c r="H26" i="2"/>
  <c r="G59" i="2"/>
  <c r="D58" i="2"/>
  <c r="H34" i="2"/>
  <c r="G55" i="2"/>
  <c r="O128" i="10"/>
  <c r="N14" i="13"/>
  <c r="H14" i="13"/>
  <c r="L15" i="13"/>
  <c r="K14" i="13"/>
  <c r="S14" i="13" s="1"/>
  <c r="K428" i="13"/>
  <c r="S428" i="13" s="1"/>
  <c r="N428" i="13"/>
  <c r="H428" i="13"/>
  <c r="L429" i="13"/>
  <c r="N105" i="13"/>
  <c r="H105" i="13"/>
  <c r="L106" i="13"/>
  <c r="K105" i="13"/>
  <c r="S105" i="13" s="1"/>
  <c r="N151" i="13"/>
  <c r="H151" i="13"/>
  <c r="L152" i="13"/>
  <c r="K151" i="13"/>
  <c r="S151" i="13" s="1"/>
  <c r="K289" i="13"/>
  <c r="S289" i="13" s="1"/>
  <c r="N289" i="13"/>
  <c r="H289" i="13"/>
  <c r="L290" i="13"/>
  <c r="K198" i="13"/>
  <c r="S198" i="13" s="1"/>
  <c r="L199" i="13"/>
  <c r="H198" i="13"/>
  <c r="N198" i="13"/>
  <c r="S381" i="13"/>
  <c r="S380" i="13"/>
  <c r="S379" i="13"/>
  <c r="S378" i="13"/>
  <c r="S377" i="13"/>
  <c r="S376" i="13"/>
  <c r="S375" i="13"/>
  <c r="S426" i="13"/>
  <c r="S424" i="13"/>
  <c r="S422" i="13"/>
  <c r="S425" i="13"/>
  <c r="S343" i="13"/>
  <c r="S342" i="13"/>
  <c r="S329" i="13"/>
  <c r="S427" i="13"/>
  <c r="S338" i="13"/>
  <c r="S336" i="13"/>
  <c r="S334" i="13"/>
  <c r="S332" i="13"/>
  <c r="S330" i="13"/>
  <c r="S421" i="13"/>
  <c r="S341" i="13"/>
  <c r="S340" i="13"/>
  <c r="S333" i="13"/>
  <c r="S243" i="13"/>
  <c r="S241" i="13"/>
  <c r="S239" i="13"/>
  <c r="S237" i="13"/>
  <c r="S339" i="13"/>
  <c r="S335" i="13"/>
  <c r="S287" i="13"/>
  <c r="S285" i="13"/>
  <c r="S283" i="13"/>
  <c r="S242" i="13"/>
  <c r="S240" i="13"/>
  <c r="S238" i="13"/>
  <c r="S337" i="13"/>
  <c r="S331" i="13"/>
  <c r="S284" i="13"/>
  <c r="S196" i="13"/>
  <c r="S194" i="13"/>
  <c r="S192" i="13"/>
  <c r="S104" i="13"/>
  <c r="S103" i="13"/>
  <c r="S102" i="13"/>
  <c r="S101" i="13"/>
  <c r="S100" i="13"/>
  <c r="S99" i="13"/>
  <c r="S150" i="13"/>
  <c r="S149" i="13"/>
  <c r="S148" i="13"/>
  <c r="S147" i="13"/>
  <c r="S146" i="13"/>
  <c r="S145" i="13"/>
  <c r="S423" i="13"/>
  <c r="S288" i="13"/>
  <c r="S197" i="13"/>
  <c r="S195" i="13"/>
  <c r="S193" i="13"/>
  <c r="S191" i="13"/>
  <c r="S286" i="13"/>
  <c r="S59" i="13"/>
  <c r="S58" i="13"/>
  <c r="S57" i="13"/>
  <c r="S56" i="13"/>
  <c r="S55" i="13"/>
  <c r="S54" i="13"/>
  <c r="S53" i="13"/>
  <c r="T5" i="13"/>
  <c r="S13" i="13"/>
  <c r="S12" i="13"/>
  <c r="S11" i="13"/>
  <c r="S10" i="13"/>
  <c r="S9" i="13"/>
  <c r="S8" i="13"/>
  <c r="S7" i="13"/>
  <c r="Y6" i="13"/>
  <c r="P381" i="13"/>
  <c r="Q381" i="13"/>
  <c r="R381" i="13"/>
  <c r="L245" i="13"/>
  <c r="H244" i="13"/>
  <c r="N244" i="13"/>
  <c r="K244" i="13"/>
  <c r="S244" i="13" s="1"/>
  <c r="N4" i="11"/>
  <c r="N124" i="11" s="1" a="1"/>
  <c r="N124" i="11" s="1"/>
  <c r="L61" i="13"/>
  <c r="K60" i="13"/>
  <c r="N60" i="13"/>
  <c r="H60" i="13"/>
  <c r="I15" i="9"/>
  <c r="I17" i="9"/>
  <c r="J14" i="9" s="1"/>
  <c r="R3" i="11"/>
  <c r="P288" i="13"/>
  <c r="Q288" i="13"/>
  <c r="P197" i="13"/>
  <c r="Q197" i="13"/>
  <c r="R288" i="13"/>
  <c r="P343" i="13"/>
  <c r="Q343" i="13"/>
  <c r="P59" i="13"/>
  <c r="Q59" i="13"/>
  <c r="P427" i="13"/>
  <c r="Q427" i="13"/>
  <c r="P104" i="13"/>
  <c r="Q104" i="13"/>
  <c r="P150" i="13"/>
  <c r="Q150" i="13"/>
  <c r="N382" i="13"/>
  <c r="H382" i="13"/>
  <c r="L383" i="13"/>
  <c r="K382" i="13"/>
  <c r="R150" i="13"/>
  <c r="R104" i="13"/>
  <c r="R343" i="13"/>
  <c r="R427" i="13"/>
  <c r="K344" i="13"/>
  <c r="S344" i="13" s="1"/>
  <c r="L345" i="13"/>
  <c r="H344" i="13"/>
  <c r="N344" i="13"/>
  <c r="P243" i="13"/>
  <c r="Q243" i="13"/>
  <c r="P13" i="13"/>
  <c r="Q13" i="13"/>
  <c r="P5" i="10"/>
  <c r="O4" i="10"/>
  <c r="N11" i="10" l="1"/>
  <c r="M86" i="10"/>
  <c r="I52" i="10"/>
  <c r="H52" i="10"/>
  <c r="L116" i="10"/>
  <c r="M114" i="10" s="1"/>
  <c r="M115" i="10" s="1"/>
  <c r="M116" i="10" s="1"/>
  <c r="N114" i="10" s="1"/>
  <c r="N115" i="10" s="1"/>
  <c r="L48" i="10"/>
  <c r="L52" i="10" s="1"/>
  <c r="L72" i="10" s="1"/>
  <c r="N33" i="10"/>
  <c r="N14" i="10"/>
  <c r="N16" i="10"/>
  <c r="N90" i="10"/>
  <c r="N31" i="10"/>
  <c r="N38" i="10"/>
  <c r="N30" i="10"/>
  <c r="N15" i="10"/>
  <c r="O3" i="10"/>
  <c r="N23" i="10"/>
  <c r="N64" i="10"/>
  <c r="N68" i="10"/>
  <c r="N37" i="10"/>
  <c r="N29" i="10"/>
  <c r="N84" i="10"/>
  <c r="N86" i="10" s="1"/>
  <c r="N32" i="10"/>
  <c r="N24" i="10"/>
  <c r="N19" i="10"/>
  <c r="N22" i="10"/>
  <c r="N43" i="10"/>
  <c r="N12" i="10"/>
  <c r="N66" i="10"/>
  <c r="N59" i="10"/>
  <c r="E58" i="2"/>
  <c r="F25" i="22"/>
  <c r="I8" i="22"/>
  <c r="I14" i="22"/>
  <c r="I13" i="22"/>
  <c r="H14" i="22"/>
  <c r="I11" i="22"/>
  <c r="G14" i="22"/>
  <c r="I9" i="22"/>
  <c r="I10" i="22"/>
  <c r="N18" i="10"/>
  <c r="N36" i="10"/>
  <c r="N60" i="10"/>
  <c r="N63" i="10"/>
  <c r="N27" i="10"/>
  <c r="N26" i="10"/>
  <c r="N62" i="10"/>
  <c r="O45" i="10"/>
  <c r="O50" i="10" s="1"/>
  <c r="N89" i="10"/>
  <c r="N45" i="10"/>
  <c r="N50" i="10" s="1"/>
  <c r="M39" i="10"/>
  <c r="M47" i="10" s="1"/>
  <c r="M70" i="10"/>
  <c r="N21" i="10"/>
  <c r="N17" i="10"/>
  <c r="N13" i="10"/>
  <c r="N20" i="10"/>
  <c r="N57" i="10"/>
  <c r="N65" i="10"/>
  <c r="N10" i="10"/>
  <c r="N25" i="10"/>
  <c r="N7" i="10" a="1"/>
  <c r="N7" i="10" s="1"/>
  <c r="N6" i="10" s="1"/>
  <c r="N49" i="10" s="1"/>
  <c r="N34" i="10"/>
  <c r="N28" i="10"/>
  <c r="N35" i="10"/>
  <c r="N61" i="10"/>
  <c r="N56" i="10"/>
  <c r="N58" i="10"/>
  <c r="N69" i="10"/>
  <c r="N67" i="10"/>
  <c r="D61" i="2"/>
  <c r="E61" i="2" s="1"/>
  <c r="F58" i="2"/>
  <c r="G58" i="2"/>
  <c r="J74" i="10"/>
  <c r="J71" i="10"/>
  <c r="K71" i="10"/>
  <c r="P128" i="10"/>
  <c r="K74" i="10"/>
  <c r="J15" i="9"/>
  <c r="J17" i="9"/>
  <c r="K14" i="9" s="1"/>
  <c r="P60" i="13"/>
  <c r="Q60" i="13"/>
  <c r="R60" i="13"/>
  <c r="T428" i="13"/>
  <c r="T427" i="13"/>
  <c r="T426" i="13"/>
  <c r="T425" i="13"/>
  <c r="T424" i="13"/>
  <c r="T423" i="13"/>
  <c r="T422" i="13"/>
  <c r="T421" i="13"/>
  <c r="T382" i="13"/>
  <c r="T380" i="13"/>
  <c r="T378" i="13"/>
  <c r="T376" i="13"/>
  <c r="T379" i="13"/>
  <c r="T343" i="13"/>
  <c r="T341" i="13"/>
  <c r="T244" i="13"/>
  <c r="T243" i="13"/>
  <c r="T242" i="13"/>
  <c r="T241" i="13"/>
  <c r="T240" i="13"/>
  <c r="T239" i="13"/>
  <c r="T238" i="13"/>
  <c r="T237" i="13"/>
  <c r="T381" i="13"/>
  <c r="T377" i="13"/>
  <c r="T375" i="13"/>
  <c r="T344" i="13"/>
  <c r="T338" i="13"/>
  <c r="T336" i="13"/>
  <c r="T334" i="13"/>
  <c r="T332" i="13"/>
  <c r="T330" i="13"/>
  <c r="T340" i="13"/>
  <c r="T339" i="13"/>
  <c r="T337" i="13"/>
  <c r="T335" i="13"/>
  <c r="T333" i="13"/>
  <c r="T331" i="13"/>
  <c r="T342" i="13"/>
  <c r="T329" i="13"/>
  <c r="T289" i="13"/>
  <c r="T287" i="13"/>
  <c r="T285" i="13"/>
  <c r="T283" i="13"/>
  <c r="T288" i="13"/>
  <c r="T286" i="13"/>
  <c r="T284" i="13"/>
  <c r="T151" i="13"/>
  <c r="T150" i="13"/>
  <c r="T149" i="13"/>
  <c r="T148" i="13"/>
  <c r="T147" i="13"/>
  <c r="T146" i="13"/>
  <c r="T145" i="13"/>
  <c r="T197" i="13"/>
  <c r="T195" i="13"/>
  <c r="T193" i="13"/>
  <c r="T191" i="13"/>
  <c r="T194" i="13"/>
  <c r="T105" i="13"/>
  <c r="T104" i="13"/>
  <c r="T103" i="13"/>
  <c r="T102" i="13"/>
  <c r="T101" i="13"/>
  <c r="T100" i="13"/>
  <c r="T198" i="13"/>
  <c r="T192" i="13"/>
  <c r="T53" i="13"/>
  <c r="T99" i="13"/>
  <c r="T60" i="13"/>
  <c r="T58" i="13"/>
  <c r="T56" i="13"/>
  <c r="T54" i="13"/>
  <c r="T14" i="13"/>
  <c r="T13" i="13"/>
  <c r="T12" i="13"/>
  <c r="T11" i="13"/>
  <c r="T10" i="13"/>
  <c r="T9" i="13"/>
  <c r="T8" i="13"/>
  <c r="T7" i="13"/>
  <c r="T196" i="13"/>
  <c r="T59" i="13"/>
  <c r="T57" i="13"/>
  <c r="T55" i="13"/>
  <c r="U5" i="13"/>
  <c r="P198" i="13"/>
  <c r="Q198" i="13"/>
  <c r="R198" i="13"/>
  <c r="P289" i="13"/>
  <c r="Q289" i="13"/>
  <c r="R289" i="13"/>
  <c r="L430" i="13"/>
  <c r="H429" i="13"/>
  <c r="N429" i="13"/>
  <c r="K429" i="13"/>
  <c r="P382" i="13"/>
  <c r="Q382" i="13"/>
  <c r="R382" i="13"/>
  <c r="L62" i="13"/>
  <c r="K61" i="13"/>
  <c r="N61" i="13"/>
  <c r="H61" i="13"/>
  <c r="K245" i="13"/>
  <c r="L246" i="13"/>
  <c r="H245" i="13"/>
  <c r="N245" i="13"/>
  <c r="K290" i="13"/>
  <c r="T290" i="13" s="1"/>
  <c r="L291" i="13"/>
  <c r="H290" i="13"/>
  <c r="N290" i="13"/>
  <c r="P151" i="13"/>
  <c r="Q151" i="13"/>
  <c r="R151" i="13"/>
  <c r="P105" i="13"/>
  <c r="Q105" i="13"/>
  <c r="R105" i="13"/>
  <c r="Q5" i="10"/>
  <c r="P4" i="10"/>
  <c r="K345" i="13"/>
  <c r="N345" i="13"/>
  <c r="L346" i="13"/>
  <c r="H345" i="13"/>
  <c r="N383" i="13"/>
  <c r="H383" i="13"/>
  <c r="L384" i="13"/>
  <c r="K383" i="13"/>
  <c r="P244" i="13"/>
  <c r="Q244" i="13"/>
  <c r="R244" i="13"/>
  <c r="S60" i="13"/>
  <c r="S382" i="13"/>
  <c r="N152" i="13"/>
  <c r="H152" i="13"/>
  <c r="L153" i="13"/>
  <c r="K152" i="13"/>
  <c r="N106" i="13"/>
  <c r="H106" i="13"/>
  <c r="L107" i="13"/>
  <c r="K106" i="13"/>
  <c r="P14" i="13"/>
  <c r="Q14" i="13"/>
  <c r="R14" i="13"/>
  <c r="P344" i="13"/>
  <c r="Q344" i="13"/>
  <c r="R344" i="13"/>
  <c r="O4" i="11"/>
  <c r="O124" i="11" s="1" a="1"/>
  <c r="O124" i="11" s="1"/>
  <c r="Z6" i="13"/>
  <c r="K199" i="13"/>
  <c r="T199" i="13" s="1"/>
  <c r="L200" i="13"/>
  <c r="H199" i="13"/>
  <c r="N199" i="13"/>
  <c r="P428" i="13"/>
  <c r="Q428" i="13"/>
  <c r="R428" i="13"/>
  <c r="N15" i="13"/>
  <c r="H15" i="13"/>
  <c r="L16" i="13"/>
  <c r="K15" i="13"/>
  <c r="O57" i="10" l="1"/>
  <c r="H74" i="10"/>
  <c r="I72" i="10"/>
  <c r="I71" i="10"/>
  <c r="H71" i="10"/>
  <c r="I74" i="10"/>
  <c r="H72" i="10"/>
  <c r="O29" i="10"/>
  <c r="O67" i="10"/>
  <c r="O27" i="10"/>
  <c r="O56" i="10"/>
  <c r="O22" i="10"/>
  <c r="O28" i="10"/>
  <c r="O84" i="10"/>
  <c r="O26" i="10"/>
  <c r="O25" i="10"/>
  <c r="O65" i="10"/>
  <c r="O17" i="10"/>
  <c r="N116" i="10"/>
  <c r="O114" i="10" s="1"/>
  <c r="O115" i="10" s="1"/>
  <c r="O32" i="10"/>
  <c r="O59" i="10"/>
  <c r="M48" i="10"/>
  <c r="M52" i="10" s="1"/>
  <c r="M72" i="10" s="1"/>
  <c r="O69" i="10"/>
  <c r="O14" i="10"/>
  <c r="O63" i="10"/>
  <c r="O21" i="10"/>
  <c r="O43" i="10"/>
  <c r="O58" i="10"/>
  <c r="O16" i="10"/>
  <c r="O38" i="10"/>
  <c r="O37" i="10"/>
  <c r="O60" i="10"/>
  <c r="O66" i="10"/>
  <c r="O20" i="10"/>
  <c r="P3" i="10"/>
  <c r="P64" i="10" s="1"/>
  <c r="O61" i="10"/>
  <c r="O18" i="10"/>
  <c r="O19" i="10"/>
  <c r="O24" i="10"/>
  <c r="O15" i="10"/>
  <c r="O13" i="10"/>
  <c r="O12" i="10"/>
  <c r="O7" i="10" a="1"/>
  <c r="O7" i="10" s="1"/>
  <c r="O6" i="10" s="1"/>
  <c r="O49" i="10" s="1"/>
  <c r="O90" i="10"/>
  <c r="O10" i="10"/>
  <c r="O34" i="10"/>
  <c r="O33" i="10"/>
  <c r="O62" i="10"/>
  <c r="O31" i="10"/>
  <c r="O30" i="10"/>
  <c r="O23" i="10"/>
  <c r="O68" i="10"/>
  <c r="O11" i="10"/>
  <c r="O64" i="10"/>
  <c r="O35" i="10"/>
  <c r="O36" i="10"/>
  <c r="G25" i="22"/>
  <c r="H25" i="22"/>
  <c r="C64" i="10"/>
  <c r="C64" i="11" s="1"/>
  <c r="I25" i="22"/>
  <c r="N70" i="10"/>
  <c r="N39" i="10"/>
  <c r="N47" i="10" s="1"/>
  <c r="D36" i="2"/>
  <c r="F36" i="2" s="1"/>
  <c r="F61" i="2"/>
  <c r="G61" i="2"/>
  <c r="L71" i="10"/>
  <c r="Q128" i="10"/>
  <c r="L74" i="10"/>
  <c r="K430" i="13"/>
  <c r="U430" i="13" s="1"/>
  <c r="L431" i="13"/>
  <c r="N430" i="13"/>
  <c r="H430" i="13"/>
  <c r="P4" i="11"/>
  <c r="P124" i="11" s="1" a="1"/>
  <c r="P124" i="11" s="1"/>
  <c r="P245" i="13"/>
  <c r="Q245" i="13"/>
  <c r="R245" i="13"/>
  <c r="S245" i="13"/>
  <c r="N16" i="13"/>
  <c r="H16" i="13"/>
  <c r="L17" i="13"/>
  <c r="K16" i="13"/>
  <c r="U16" i="13" s="1"/>
  <c r="AA6" i="13"/>
  <c r="P106" i="13"/>
  <c r="Q106" i="13"/>
  <c r="R106" i="13"/>
  <c r="S106" i="13"/>
  <c r="P152" i="13"/>
  <c r="Q152" i="13"/>
  <c r="R152" i="13"/>
  <c r="S152" i="13"/>
  <c r="N384" i="13"/>
  <c r="H384" i="13"/>
  <c r="L385" i="13"/>
  <c r="K384" i="13"/>
  <c r="U384" i="13" s="1"/>
  <c r="K346" i="13"/>
  <c r="U346" i="13" s="1"/>
  <c r="N346" i="13"/>
  <c r="L347" i="13"/>
  <c r="H346" i="13"/>
  <c r="Q4" i="10"/>
  <c r="R5" i="10"/>
  <c r="K291" i="13"/>
  <c r="U291" i="13" s="1"/>
  <c r="N291" i="13"/>
  <c r="H291" i="13"/>
  <c r="L292" i="13"/>
  <c r="P429" i="13"/>
  <c r="Q429" i="13"/>
  <c r="R429" i="13"/>
  <c r="S429" i="13"/>
  <c r="T429" i="13"/>
  <c r="K17" i="9"/>
  <c r="L14" i="9" s="1"/>
  <c r="K15" i="9"/>
  <c r="P199" i="13"/>
  <c r="Q199" i="13"/>
  <c r="R199" i="13"/>
  <c r="S199" i="13"/>
  <c r="P345" i="13"/>
  <c r="Q345" i="13"/>
  <c r="R345" i="13"/>
  <c r="S345" i="13"/>
  <c r="P15" i="13"/>
  <c r="Q15" i="13"/>
  <c r="R15" i="13"/>
  <c r="S15" i="13"/>
  <c r="P383" i="13"/>
  <c r="Q383" i="13"/>
  <c r="R383" i="13"/>
  <c r="S383" i="13"/>
  <c r="P18" i="10"/>
  <c r="K200" i="13"/>
  <c r="L201" i="13"/>
  <c r="H200" i="13"/>
  <c r="N200" i="13"/>
  <c r="N107" i="13"/>
  <c r="H107" i="13"/>
  <c r="L108" i="13"/>
  <c r="K107" i="13"/>
  <c r="U107" i="13" s="1"/>
  <c r="N153" i="13"/>
  <c r="H153" i="13"/>
  <c r="L154" i="13"/>
  <c r="K153" i="13"/>
  <c r="U153" i="13" s="1"/>
  <c r="P290" i="13"/>
  <c r="Q290" i="13"/>
  <c r="R290" i="13"/>
  <c r="S290" i="13"/>
  <c r="P61" i="13"/>
  <c r="Q61" i="13"/>
  <c r="R61" i="13"/>
  <c r="S61" i="13"/>
  <c r="U345" i="13"/>
  <c r="U344" i="13"/>
  <c r="U343" i="13"/>
  <c r="U342" i="13"/>
  <c r="U341" i="13"/>
  <c r="U340" i="13"/>
  <c r="U429" i="13"/>
  <c r="U427" i="13"/>
  <c r="U425" i="13"/>
  <c r="U423" i="13"/>
  <c r="U421" i="13"/>
  <c r="U426" i="13"/>
  <c r="U422" i="13"/>
  <c r="U381" i="13"/>
  <c r="U380" i="13"/>
  <c r="U290" i="13"/>
  <c r="U289" i="13"/>
  <c r="U288" i="13"/>
  <c r="U287" i="13"/>
  <c r="U286" i="13"/>
  <c r="U285" i="13"/>
  <c r="U284" i="13"/>
  <c r="U283" i="13"/>
  <c r="U383" i="13"/>
  <c r="U382" i="13"/>
  <c r="U424" i="13"/>
  <c r="U379" i="13"/>
  <c r="U378" i="13"/>
  <c r="U339" i="13"/>
  <c r="U337" i="13"/>
  <c r="U335" i="13"/>
  <c r="U333" i="13"/>
  <c r="U331" i="13"/>
  <c r="U428" i="13"/>
  <c r="U329" i="13"/>
  <c r="U376" i="13"/>
  <c r="U338" i="13"/>
  <c r="U334" i="13"/>
  <c r="U199" i="13"/>
  <c r="U198" i="13"/>
  <c r="U197" i="13"/>
  <c r="U196" i="13"/>
  <c r="U195" i="13"/>
  <c r="U194" i="13"/>
  <c r="U193" i="13"/>
  <c r="U192" i="13"/>
  <c r="U191" i="13"/>
  <c r="U375" i="13"/>
  <c r="U244" i="13"/>
  <c r="U242" i="13"/>
  <c r="U240" i="13"/>
  <c r="U238" i="13"/>
  <c r="U336" i="13"/>
  <c r="U330" i="13"/>
  <c r="U377" i="13"/>
  <c r="U243" i="13"/>
  <c r="U237" i="13"/>
  <c r="U241" i="13"/>
  <c r="U61" i="13"/>
  <c r="U60" i="13"/>
  <c r="U59" i="13"/>
  <c r="U58" i="13"/>
  <c r="U57" i="13"/>
  <c r="U56" i="13"/>
  <c r="U55" i="13"/>
  <c r="U54" i="13"/>
  <c r="U53" i="13"/>
  <c r="U239" i="13"/>
  <c r="U99" i="13"/>
  <c r="U245" i="13"/>
  <c r="U332" i="13"/>
  <c r="U152" i="13"/>
  <c r="U151" i="13"/>
  <c r="U150" i="13"/>
  <c r="U149" i="13"/>
  <c r="U148" i="13"/>
  <c r="U147" i="13"/>
  <c r="U146" i="13"/>
  <c r="U145" i="13"/>
  <c r="U106" i="13"/>
  <c r="U104" i="13"/>
  <c r="U102" i="13"/>
  <c r="U100" i="13"/>
  <c r="V5" i="13"/>
  <c r="U105" i="13"/>
  <c r="U103" i="13"/>
  <c r="U101" i="13"/>
  <c r="U14" i="13"/>
  <c r="U12" i="13"/>
  <c r="U10" i="13"/>
  <c r="U8" i="13"/>
  <c r="U7" i="13"/>
  <c r="U15" i="13"/>
  <c r="U13" i="13"/>
  <c r="U11" i="13"/>
  <c r="U9" i="13"/>
  <c r="T61" i="13"/>
  <c r="T106" i="13"/>
  <c r="T245" i="13"/>
  <c r="T345" i="13"/>
  <c r="L247" i="13"/>
  <c r="H246" i="13"/>
  <c r="N246" i="13"/>
  <c r="K246" i="13"/>
  <c r="U246" i="13" s="1"/>
  <c r="L63" i="13"/>
  <c r="K62" i="13"/>
  <c r="U62" i="13" s="1"/>
  <c r="N62" i="13"/>
  <c r="H62" i="13"/>
  <c r="T15" i="13"/>
  <c r="T152" i="13"/>
  <c r="T383" i="13"/>
  <c r="P21" i="10" l="1"/>
  <c r="P62" i="10"/>
  <c r="G36" i="2"/>
  <c r="P13" i="10"/>
  <c r="P90" i="10"/>
  <c r="P36" i="10"/>
  <c r="P43" i="10"/>
  <c r="P67" i="10"/>
  <c r="P12" i="10"/>
  <c r="P20" i="10"/>
  <c r="P7" i="10" a="1"/>
  <c r="P7" i="10" s="1"/>
  <c r="P6" i="10" s="1"/>
  <c r="P49" i="10" s="1"/>
  <c r="P31" i="10"/>
  <c r="P30" i="10"/>
  <c r="P24" i="10"/>
  <c r="O86" i="10"/>
  <c r="H123" i="10"/>
  <c r="P23" i="10"/>
  <c r="P66" i="10"/>
  <c r="H131" i="10"/>
  <c r="P37" i="10"/>
  <c r="P16" i="10"/>
  <c r="P25" i="10"/>
  <c r="P27" i="10"/>
  <c r="P58" i="10"/>
  <c r="P57" i="10"/>
  <c r="P29" i="10"/>
  <c r="P26" i="10"/>
  <c r="P17" i="10"/>
  <c r="P19" i="10"/>
  <c r="P34" i="10"/>
  <c r="P32" i="10"/>
  <c r="P63" i="10"/>
  <c r="P11" i="10"/>
  <c r="O116" i="10"/>
  <c r="P114" i="10" s="1"/>
  <c r="P115" i="10" s="1"/>
  <c r="P116" i="10" s="1"/>
  <c r="Q114" i="10" s="1"/>
  <c r="Q115" i="10" s="1"/>
  <c r="N48" i="10"/>
  <c r="N52" i="10" s="1"/>
  <c r="P28" i="10"/>
  <c r="P38" i="10"/>
  <c r="P84" i="10"/>
  <c r="P86" i="10" s="1"/>
  <c r="P22" i="10"/>
  <c r="P68" i="10"/>
  <c r="P65" i="10"/>
  <c r="P10" i="10"/>
  <c r="P59" i="10"/>
  <c r="P45" i="10"/>
  <c r="P35" i="10"/>
  <c r="P14" i="10"/>
  <c r="P33" i="10"/>
  <c r="Q3" i="10"/>
  <c r="Q56" i="10" s="1"/>
  <c r="P15" i="10"/>
  <c r="P61" i="10"/>
  <c r="P69" i="10"/>
  <c r="P60" i="10"/>
  <c r="P56" i="10"/>
  <c r="O70" i="10"/>
  <c r="O39" i="10"/>
  <c r="H36" i="2"/>
  <c r="E36" i="2"/>
  <c r="M74" i="10"/>
  <c r="M71" i="10"/>
  <c r="R128" i="10"/>
  <c r="P200" i="13"/>
  <c r="Q200" i="13"/>
  <c r="R200" i="13"/>
  <c r="S200" i="13"/>
  <c r="T200" i="13"/>
  <c r="P291" i="13"/>
  <c r="Q291" i="13"/>
  <c r="R291" i="13"/>
  <c r="S291" i="13"/>
  <c r="T291" i="13"/>
  <c r="S5" i="10"/>
  <c r="R4" i="10"/>
  <c r="P384" i="13"/>
  <c r="Q384" i="13"/>
  <c r="R384" i="13"/>
  <c r="S384" i="13"/>
  <c r="T384" i="13"/>
  <c r="AB6" i="13"/>
  <c r="L432" i="13"/>
  <c r="H431" i="13"/>
  <c r="N431" i="13"/>
  <c r="K431" i="13"/>
  <c r="V431" i="13" s="1"/>
  <c r="P246" i="13"/>
  <c r="Q246" i="13"/>
  <c r="R246" i="13"/>
  <c r="S246" i="13"/>
  <c r="T246" i="13"/>
  <c r="L15" i="9"/>
  <c r="L17" i="9"/>
  <c r="M14" i="9" s="1"/>
  <c r="K292" i="13"/>
  <c r="V292" i="13" s="1"/>
  <c r="L293" i="13"/>
  <c r="H292" i="13"/>
  <c r="N292" i="13"/>
  <c r="K347" i="13"/>
  <c r="V347" i="13" s="1"/>
  <c r="N347" i="13"/>
  <c r="L348" i="13"/>
  <c r="H347" i="13"/>
  <c r="N385" i="13"/>
  <c r="H385" i="13"/>
  <c r="L386" i="13"/>
  <c r="K385" i="13"/>
  <c r="P16" i="13"/>
  <c r="Q16" i="13"/>
  <c r="R16" i="13"/>
  <c r="S16" i="13"/>
  <c r="T16" i="13"/>
  <c r="P430" i="13"/>
  <c r="Q430" i="13"/>
  <c r="R430" i="13"/>
  <c r="S430" i="13"/>
  <c r="T430" i="13"/>
  <c r="L64" i="13"/>
  <c r="K63" i="13"/>
  <c r="V63" i="13" s="1"/>
  <c r="N63" i="13"/>
  <c r="H63" i="13"/>
  <c r="K247" i="13"/>
  <c r="V247" i="13" s="1"/>
  <c r="L248" i="13"/>
  <c r="H247" i="13"/>
  <c r="N247" i="13"/>
  <c r="V429" i="13"/>
  <c r="V427" i="13"/>
  <c r="V425" i="13"/>
  <c r="V423" i="13"/>
  <c r="V421" i="13"/>
  <c r="V385" i="13"/>
  <c r="V383" i="13"/>
  <c r="V381" i="13"/>
  <c r="V379" i="13"/>
  <c r="V377" i="13"/>
  <c r="V375" i="13"/>
  <c r="V382" i="13"/>
  <c r="V339" i="13"/>
  <c r="V338" i="13"/>
  <c r="V337" i="13"/>
  <c r="V336" i="13"/>
  <c r="V335" i="13"/>
  <c r="V334" i="13"/>
  <c r="V333" i="13"/>
  <c r="V332" i="13"/>
  <c r="V331" i="13"/>
  <c r="V330" i="13"/>
  <c r="V329" i="13"/>
  <c r="V428" i="13"/>
  <c r="V424" i="13"/>
  <c r="V384" i="13"/>
  <c r="V376" i="13"/>
  <c r="V380" i="13"/>
  <c r="V346" i="13"/>
  <c r="V345" i="13"/>
  <c r="V430" i="13"/>
  <c r="V340" i="13"/>
  <c r="V422" i="13"/>
  <c r="V342" i="13"/>
  <c r="V341" i="13"/>
  <c r="V344" i="13"/>
  <c r="V343" i="13"/>
  <c r="V246" i="13"/>
  <c r="V244" i="13"/>
  <c r="V242" i="13"/>
  <c r="V240" i="13"/>
  <c r="V238" i="13"/>
  <c r="V290" i="13"/>
  <c r="V288" i="13"/>
  <c r="V286" i="13"/>
  <c r="V284" i="13"/>
  <c r="V245" i="13"/>
  <c r="V243" i="13"/>
  <c r="V241" i="13"/>
  <c r="V239" i="13"/>
  <c r="V237" i="13"/>
  <c r="V426" i="13"/>
  <c r="V287" i="13"/>
  <c r="V199" i="13"/>
  <c r="V197" i="13"/>
  <c r="V195" i="13"/>
  <c r="V193" i="13"/>
  <c r="V191" i="13"/>
  <c r="V62" i="13"/>
  <c r="V61" i="13"/>
  <c r="V60" i="13"/>
  <c r="V59" i="13"/>
  <c r="V58" i="13"/>
  <c r="V57" i="13"/>
  <c r="V56" i="13"/>
  <c r="V55" i="13"/>
  <c r="V54" i="13"/>
  <c r="V53" i="13"/>
  <c r="V285" i="13"/>
  <c r="V107" i="13"/>
  <c r="V106" i="13"/>
  <c r="V105" i="13"/>
  <c r="V104" i="13"/>
  <c r="V103" i="13"/>
  <c r="V102" i="13"/>
  <c r="V101" i="13"/>
  <c r="V100" i="13"/>
  <c r="V99" i="13"/>
  <c r="V291" i="13"/>
  <c r="V283" i="13"/>
  <c r="V200" i="13"/>
  <c r="V198" i="13"/>
  <c r="V196" i="13"/>
  <c r="V194" i="13"/>
  <c r="V378" i="13"/>
  <c r="V192" i="13"/>
  <c r="V153" i="13"/>
  <c r="V152" i="13"/>
  <c r="V151" i="13"/>
  <c r="V150" i="13"/>
  <c r="V149" i="13"/>
  <c r="V148" i="13"/>
  <c r="V147" i="13"/>
  <c r="V146" i="13"/>
  <c r="V145" i="13"/>
  <c r="V289" i="13"/>
  <c r="W5" i="13"/>
  <c r="V16" i="13"/>
  <c r="V15" i="13"/>
  <c r="V14" i="13"/>
  <c r="V13" i="13"/>
  <c r="V12" i="13"/>
  <c r="V11" i="13"/>
  <c r="V10" i="13"/>
  <c r="V9" i="13"/>
  <c r="V8" i="13"/>
  <c r="V7" i="13"/>
  <c r="P62" i="13"/>
  <c r="Q62" i="13"/>
  <c r="R62" i="13"/>
  <c r="S62" i="13"/>
  <c r="T62" i="13"/>
  <c r="U200" i="13"/>
  <c r="P153" i="13"/>
  <c r="Q153" i="13"/>
  <c r="R153" i="13"/>
  <c r="S153" i="13"/>
  <c r="T153" i="13"/>
  <c r="P107" i="13"/>
  <c r="Q107" i="13"/>
  <c r="R107" i="13"/>
  <c r="S107" i="13"/>
  <c r="T107" i="13"/>
  <c r="N17" i="13"/>
  <c r="H17" i="13"/>
  <c r="L18" i="13"/>
  <c r="K17" i="13"/>
  <c r="Q4" i="11"/>
  <c r="Q124" i="11" s="1" a="1"/>
  <c r="Q124" i="11" s="1"/>
  <c r="N154" i="13"/>
  <c r="H154" i="13"/>
  <c r="L155" i="13"/>
  <c r="K154" i="13"/>
  <c r="V154" i="13" s="1"/>
  <c r="N108" i="13"/>
  <c r="H108" i="13"/>
  <c r="L109" i="13"/>
  <c r="K108" i="13"/>
  <c r="V108" i="13" s="1"/>
  <c r="K201" i="13"/>
  <c r="L202" i="13"/>
  <c r="H201" i="13"/>
  <c r="N201" i="13"/>
  <c r="P346" i="13"/>
  <c r="Q346" i="13"/>
  <c r="R346" i="13"/>
  <c r="S346" i="13"/>
  <c r="T346" i="13"/>
  <c r="Q15" i="10" l="1"/>
  <c r="Q22" i="10"/>
  <c r="Q19" i="10"/>
  <c r="Q45" i="10"/>
  <c r="Q50" i="10" s="1"/>
  <c r="Q13" i="10"/>
  <c r="Q14" i="10"/>
  <c r="Q17" i="10"/>
  <c r="Q90" i="10"/>
  <c r="Q59" i="10"/>
  <c r="Q10" i="10"/>
  <c r="N71" i="10"/>
  <c r="O47" i="10"/>
  <c r="P50" i="10"/>
  <c r="Q65" i="10"/>
  <c r="Q18" i="10"/>
  <c r="Q37" i="10"/>
  <c r="Q16" i="10"/>
  <c r="Q36" i="10"/>
  <c r="Q12" i="10"/>
  <c r="Q84" i="10"/>
  <c r="Q86" i="10" s="1"/>
  <c r="Q69" i="10"/>
  <c r="Q60" i="10"/>
  <c r="Q31" i="10"/>
  <c r="Q62" i="10"/>
  <c r="Q11" i="10"/>
  <c r="Q29" i="10"/>
  <c r="Q38" i="10"/>
  <c r="Q35" i="10"/>
  <c r="Q34" i="10"/>
  <c r="Q33" i="10"/>
  <c r="Q24" i="10"/>
  <c r="R3" i="10"/>
  <c r="Q43" i="10"/>
  <c r="Q66" i="10"/>
  <c r="Q30" i="10"/>
  <c r="Q67" i="10"/>
  <c r="Q63" i="10"/>
  <c r="Q21" i="10"/>
  <c r="Q28" i="10"/>
  <c r="Q27" i="10"/>
  <c r="Q26" i="10"/>
  <c r="Q25" i="10"/>
  <c r="Q32" i="10"/>
  <c r="Q7" i="10" a="1"/>
  <c r="Q7" i="10" s="1"/>
  <c r="Q6" i="10" s="1"/>
  <c r="Q49" i="10" s="1"/>
  <c r="Q58" i="10"/>
  <c r="Q20" i="10"/>
  <c r="Q61" i="10"/>
  <c r="Q68" i="10"/>
  <c r="Q23" i="10"/>
  <c r="Q116" i="10"/>
  <c r="R114" i="10" s="1"/>
  <c r="R115" i="10" s="1"/>
  <c r="R116" i="10" s="1"/>
  <c r="S114" i="10" s="1"/>
  <c r="S115" i="10" s="1"/>
  <c r="P70" i="10"/>
  <c r="P48" i="10" s="1"/>
  <c r="P39" i="10"/>
  <c r="P47" i="10" s="1"/>
  <c r="Q57" i="10"/>
  <c r="Q64" i="10"/>
  <c r="N72" i="10"/>
  <c r="O48" i="10"/>
  <c r="O52" i="10" s="1"/>
  <c r="N74" i="10"/>
  <c r="S128" i="10"/>
  <c r="P201" i="13"/>
  <c r="Q201" i="13"/>
  <c r="R201" i="13"/>
  <c r="S201" i="13"/>
  <c r="T201" i="13"/>
  <c r="U201" i="13"/>
  <c r="V201" i="13"/>
  <c r="N386" i="13"/>
  <c r="H386" i="13"/>
  <c r="L387" i="13"/>
  <c r="K386" i="13"/>
  <c r="W386" i="13" s="1"/>
  <c r="K348" i="13"/>
  <c r="W348" i="13" s="1"/>
  <c r="N348" i="13"/>
  <c r="L349" i="13"/>
  <c r="H348" i="13"/>
  <c r="M15" i="9"/>
  <c r="M17" i="9"/>
  <c r="N14" i="9" s="1"/>
  <c r="K432" i="13"/>
  <c r="W432" i="13" s="1"/>
  <c r="N432" i="13"/>
  <c r="H432" i="13"/>
  <c r="L433" i="13"/>
  <c r="P108" i="13"/>
  <c r="Q108" i="13"/>
  <c r="R108" i="13"/>
  <c r="S108" i="13"/>
  <c r="T108" i="13"/>
  <c r="U108" i="13"/>
  <c r="P154" i="13"/>
  <c r="Q154" i="13"/>
  <c r="R154" i="13"/>
  <c r="S154" i="13"/>
  <c r="T154" i="13"/>
  <c r="U154" i="13"/>
  <c r="R4" i="11"/>
  <c r="R124" i="11" s="1" a="1"/>
  <c r="R124" i="11" s="1"/>
  <c r="P17" i="13"/>
  <c r="Q17" i="13"/>
  <c r="R17" i="13"/>
  <c r="S17" i="13"/>
  <c r="T17" i="13"/>
  <c r="U17" i="13"/>
  <c r="L249" i="13"/>
  <c r="H248" i="13"/>
  <c r="N248" i="13"/>
  <c r="K248" i="13"/>
  <c r="W248" i="13" s="1"/>
  <c r="P63" i="13"/>
  <c r="Q63" i="13"/>
  <c r="R63" i="13"/>
  <c r="S63" i="13"/>
  <c r="T63" i="13"/>
  <c r="U63" i="13"/>
  <c r="P431" i="13"/>
  <c r="Q431" i="13"/>
  <c r="R431" i="13"/>
  <c r="S431" i="13"/>
  <c r="T431" i="13"/>
  <c r="U431" i="13"/>
  <c r="N109" i="13"/>
  <c r="H109" i="13"/>
  <c r="L110" i="13"/>
  <c r="K109" i="13"/>
  <c r="W109" i="13" s="1"/>
  <c r="N155" i="13"/>
  <c r="H155" i="13"/>
  <c r="L156" i="13"/>
  <c r="K155" i="13"/>
  <c r="W155" i="13" s="1"/>
  <c r="L19" i="13"/>
  <c r="N18" i="13"/>
  <c r="H18" i="13"/>
  <c r="K18" i="13"/>
  <c r="W18" i="13" s="1"/>
  <c r="P247" i="13"/>
  <c r="Q247" i="13"/>
  <c r="R247" i="13"/>
  <c r="S247" i="13"/>
  <c r="T247" i="13"/>
  <c r="U247" i="13"/>
  <c r="L65" i="13"/>
  <c r="K64" i="13"/>
  <c r="N64" i="13"/>
  <c r="H64" i="13"/>
  <c r="P347" i="13"/>
  <c r="Q347" i="13"/>
  <c r="R347" i="13"/>
  <c r="S347" i="13"/>
  <c r="T347" i="13"/>
  <c r="U347" i="13"/>
  <c r="K293" i="13"/>
  <c r="W293" i="13" s="1"/>
  <c r="N293" i="13"/>
  <c r="L294" i="13"/>
  <c r="H293" i="13"/>
  <c r="AC6" i="13"/>
  <c r="L203" i="13"/>
  <c r="K202" i="13"/>
  <c r="W202" i="13" s="1"/>
  <c r="H202" i="13"/>
  <c r="N202" i="13"/>
  <c r="V17" i="13"/>
  <c r="W385" i="13"/>
  <c r="W384" i="13"/>
  <c r="W383" i="13"/>
  <c r="W382" i="13"/>
  <c r="W381" i="13"/>
  <c r="W380" i="13"/>
  <c r="W379" i="13"/>
  <c r="W378" i="13"/>
  <c r="W377" i="13"/>
  <c r="W376" i="13"/>
  <c r="W375" i="13"/>
  <c r="W430" i="13"/>
  <c r="W428" i="13"/>
  <c r="W426" i="13"/>
  <c r="W424" i="13"/>
  <c r="W422" i="13"/>
  <c r="W429" i="13"/>
  <c r="W425" i="13"/>
  <c r="W346" i="13"/>
  <c r="W344" i="13"/>
  <c r="W342" i="13"/>
  <c r="W340" i="13"/>
  <c r="W421" i="13"/>
  <c r="W427" i="13"/>
  <c r="W347" i="13"/>
  <c r="W339" i="13"/>
  <c r="W337" i="13"/>
  <c r="W335" i="13"/>
  <c r="W333" i="13"/>
  <c r="W331" i="13"/>
  <c r="W341" i="13"/>
  <c r="W329" i="13"/>
  <c r="W431" i="13"/>
  <c r="W423" i="13"/>
  <c r="W343" i="13"/>
  <c r="W338" i="13"/>
  <c r="W336" i="13"/>
  <c r="W334" i="13"/>
  <c r="W332" i="13"/>
  <c r="W330" i="13"/>
  <c r="W345" i="13"/>
  <c r="W292" i="13"/>
  <c r="W290" i="13"/>
  <c r="W288" i="13"/>
  <c r="W286" i="13"/>
  <c r="W284" i="13"/>
  <c r="W247" i="13"/>
  <c r="W245" i="13"/>
  <c r="W243" i="13"/>
  <c r="W241" i="13"/>
  <c r="W239" i="13"/>
  <c r="W237" i="13"/>
  <c r="W291" i="13"/>
  <c r="W289" i="13"/>
  <c r="W287" i="13"/>
  <c r="W285" i="13"/>
  <c r="W283" i="13"/>
  <c r="W246" i="13"/>
  <c r="W238" i="13"/>
  <c r="W108" i="13"/>
  <c r="W107" i="13"/>
  <c r="W106" i="13"/>
  <c r="W105" i="13"/>
  <c r="W104" i="13"/>
  <c r="W103" i="13"/>
  <c r="W102" i="13"/>
  <c r="W101" i="13"/>
  <c r="W100" i="13"/>
  <c r="W99" i="13"/>
  <c r="W244" i="13"/>
  <c r="W200" i="13"/>
  <c r="W198" i="13"/>
  <c r="W196" i="13"/>
  <c r="W194" i="13"/>
  <c r="W192" i="13"/>
  <c r="W154" i="13"/>
  <c r="W153" i="13"/>
  <c r="W152" i="13"/>
  <c r="W151" i="13"/>
  <c r="W150" i="13"/>
  <c r="W149" i="13"/>
  <c r="W148" i="13"/>
  <c r="W147" i="13"/>
  <c r="W146" i="13"/>
  <c r="W145" i="13"/>
  <c r="W242" i="13"/>
  <c r="W197" i="13"/>
  <c r="W63" i="13"/>
  <c r="W62" i="13"/>
  <c r="W61" i="13"/>
  <c r="W60" i="13"/>
  <c r="W59" i="13"/>
  <c r="W58" i="13"/>
  <c r="W57" i="13"/>
  <c r="W56" i="13"/>
  <c r="W55" i="13"/>
  <c r="W54" i="13"/>
  <c r="W195" i="13"/>
  <c r="W240" i="13"/>
  <c r="W201" i="13"/>
  <c r="W193" i="13"/>
  <c r="W191" i="13"/>
  <c r="X5" i="13"/>
  <c r="W17" i="13"/>
  <c r="W16" i="13"/>
  <c r="W15" i="13"/>
  <c r="W14" i="13"/>
  <c r="W13" i="13"/>
  <c r="W12" i="13"/>
  <c r="W11" i="13"/>
  <c r="W10" i="13"/>
  <c r="W9" i="13"/>
  <c r="W8" i="13"/>
  <c r="W7" i="13"/>
  <c r="W199" i="13"/>
  <c r="W53" i="13"/>
  <c r="P385" i="13"/>
  <c r="Q385" i="13"/>
  <c r="R385" i="13"/>
  <c r="S385" i="13"/>
  <c r="T385" i="13"/>
  <c r="U385" i="13"/>
  <c r="P292" i="13"/>
  <c r="Q292" i="13"/>
  <c r="R292" i="13"/>
  <c r="S292" i="13"/>
  <c r="T292" i="13"/>
  <c r="U292" i="13"/>
  <c r="T5" i="10"/>
  <c r="S4" i="10"/>
  <c r="R59" i="10" l="1"/>
  <c r="R19" i="10"/>
  <c r="R62" i="10"/>
  <c r="R15" i="10"/>
  <c r="R68" i="10"/>
  <c r="R45" i="10"/>
  <c r="R50" i="10" s="1"/>
  <c r="O71" i="10"/>
  <c r="R31" i="10"/>
  <c r="R10" i="10"/>
  <c r="R35" i="10"/>
  <c r="R21" i="10"/>
  <c r="R23" i="10"/>
  <c r="R13" i="10"/>
  <c r="R60" i="10"/>
  <c r="R64" i="10"/>
  <c r="R32" i="10"/>
  <c r="R38" i="10"/>
  <c r="R20" i="10"/>
  <c r="R7" i="10" a="1"/>
  <c r="R7" i="10" s="1"/>
  <c r="R6" i="10" s="1"/>
  <c r="R49" i="10" s="1"/>
  <c r="R65" i="10"/>
  <c r="R57" i="10"/>
  <c r="R18" i="10"/>
  <c r="R29" i="10"/>
  <c r="R27" i="10"/>
  <c r="R30" i="10"/>
  <c r="R12" i="10"/>
  <c r="S3" i="10"/>
  <c r="S58" i="10" s="1"/>
  <c r="R61" i="10"/>
  <c r="R34" i="10"/>
  <c r="R24" i="10"/>
  <c r="R22" i="10"/>
  <c r="R36" i="10"/>
  <c r="R25" i="10"/>
  <c r="R84" i="10"/>
  <c r="R86" i="10" s="1"/>
  <c r="R11" i="10"/>
  <c r="R66" i="10"/>
  <c r="R17" i="10"/>
  <c r="R26" i="10"/>
  <c r="R16" i="10"/>
  <c r="R33" i="10"/>
  <c r="R14" i="10"/>
  <c r="R28" i="10"/>
  <c r="R37" i="10"/>
  <c r="R90" i="10"/>
  <c r="R63" i="10"/>
  <c r="R56" i="10"/>
  <c r="R67" i="10"/>
  <c r="R69" i="10"/>
  <c r="Q39" i="10"/>
  <c r="Q47" i="10" s="1"/>
  <c r="R43" i="10"/>
  <c r="R58" i="10"/>
  <c r="Q70" i="10"/>
  <c r="Q48" i="10" s="1"/>
  <c r="S116" i="10"/>
  <c r="T114" i="10" s="1"/>
  <c r="T115" i="10" s="1"/>
  <c r="T116" i="10" s="1"/>
  <c r="O72" i="10"/>
  <c r="S37" i="10"/>
  <c r="O74" i="10"/>
  <c r="P52" i="10"/>
  <c r="T128" i="10"/>
  <c r="AD6" i="13"/>
  <c r="K294" i="13"/>
  <c r="X294" i="13" s="1"/>
  <c r="L295" i="13"/>
  <c r="H294" i="13"/>
  <c r="N294" i="13"/>
  <c r="P64" i="13"/>
  <c r="Q64" i="13"/>
  <c r="R64" i="13"/>
  <c r="S64" i="13"/>
  <c r="T64" i="13"/>
  <c r="U64" i="13"/>
  <c r="V64" i="13"/>
  <c r="K249" i="13"/>
  <c r="X249" i="13" s="1"/>
  <c r="L250" i="13"/>
  <c r="H249" i="13"/>
  <c r="N249" i="13"/>
  <c r="L434" i="13"/>
  <c r="H433" i="13"/>
  <c r="N433" i="13"/>
  <c r="K433" i="13"/>
  <c r="X433" i="13" s="1"/>
  <c r="K349" i="13"/>
  <c r="X349" i="13" s="1"/>
  <c r="N349" i="13"/>
  <c r="H349" i="13"/>
  <c r="L350" i="13"/>
  <c r="N387" i="13"/>
  <c r="H387" i="13"/>
  <c r="L388" i="13"/>
  <c r="K387" i="13"/>
  <c r="X387" i="13" s="1"/>
  <c r="X432" i="13"/>
  <c r="X431" i="13"/>
  <c r="X430" i="13"/>
  <c r="X429" i="13"/>
  <c r="X428" i="13"/>
  <c r="X427" i="13"/>
  <c r="X426" i="13"/>
  <c r="X425" i="13"/>
  <c r="X424" i="13"/>
  <c r="X423" i="13"/>
  <c r="X422" i="13"/>
  <c r="X421" i="13"/>
  <c r="X384" i="13"/>
  <c r="X383" i="13"/>
  <c r="X376" i="13"/>
  <c r="X248" i="13"/>
  <c r="X247" i="13"/>
  <c r="X246" i="13"/>
  <c r="X245" i="13"/>
  <c r="X244" i="13"/>
  <c r="X243" i="13"/>
  <c r="X242" i="13"/>
  <c r="X241" i="13"/>
  <c r="X240" i="13"/>
  <c r="X239" i="13"/>
  <c r="X238" i="13"/>
  <c r="X237" i="13"/>
  <c r="X386" i="13"/>
  <c r="X385" i="13"/>
  <c r="X378" i="13"/>
  <c r="X377" i="13"/>
  <c r="X375" i="13"/>
  <c r="X382" i="13"/>
  <c r="X381" i="13"/>
  <c r="X348" i="13"/>
  <c r="X341" i="13"/>
  <c r="X340" i="13"/>
  <c r="X329" i="13"/>
  <c r="X343" i="13"/>
  <c r="X342" i="13"/>
  <c r="X338" i="13"/>
  <c r="X336" i="13"/>
  <c r="X334" i="13"/>
  <c r="X332" i="13"/>
  <c r="X330" i="13"/>
  <c r="X345" i="13"/>
  <c r="X344" i="13"/>
  <c r="X347" i="13"/>
  <c r="X346" i="13"/>
  <c r="X339" i="13"/>
  <c r="X335" i="13"/>
  <c r="X293" i="13"/>
  <c r="X291" i="13"/>
  <c r="X289" i="13"/>
  <c r="X287" i="13"/>
  <c r="X285" i="13"/>
  <c r="X283" i="13"/>
  <c r="X337" i="13"/>
  <c r="X331" i="13"/>
  <c r="X290" i="13"/>
  <c r="X202" i="13"/>
  <c r="X200" i="13"/>
  <c r="X198" i="13"/>
  <c r="X196" i="13"/>
  <c r="X194" i="13"/>
  <c r="X192" i="13"/>
  <c r="X155" i="13"/>
  <c r="X154" i="13"/>
  <c r="X153" i="13"/>
  <c r="X152" i="13"/>
  <c r="X151" i="13"/>
  <c r="X150" i="13"/>
  <c r="X149" i="13"/>
  <c r="X148" i="13"/>
  <c r="X147" i="13"/>
  <c r="X146" i="13"/>
  <c r="X145" i="13"/>
  <c r="X380" i="13"/>
  <c r="X288" i="13"/>
  <c r="X379" i="13"/>
  <c r="X286" i="13"/>
  <c r="X201" i="13"/>
  <c r="X199" i="13"/>
  <c r="X197" i="13"/>
  <c r="X195" i="13"/>
  <c r="X193" i="13"/>
  <c r="X333" i="13"/>
  <c r="X53" i="13"/>
  <c r="X292" i="13"/>
  <c r="X191" i="13"/>
  <c r="X109" i="13"/>
  <c r="X108" i="13"/>
  <c r="X107" i="13"/>
  <c r="X106" i="13"/>
  <c r="X105" i="13"/>
  <c r="X104" i="13"/>
  <c r="X103" i="13"/>
  <c r="X102" i="13"/>
  <c r="X101" i="13"/>
  <c r="X100" i="13"/>
  <c r="X284" i="13"/>
  <c r="X18" i="13"/>
  <c r="X17" i="13"/>
  <c r="X16" i="13"/>
  <c r="X15" i="13"/>
  <c r="X14" i="13"/>
  <c r="X13" i="13"/>
  <c r="X12" i="13"/>
  <c r="X11" i="13"/>
  <c r="X10" i="13"/>
  <c r="X9" i="13"/>
  <c r="X8" i="13"/>
  <c r="X7" i="13"/>
  <c r="X63" i="13"/>
  <c r="X61" i="13"/>
  <c r="X59" i="13"/>
  <c r="X57" i="13"/>
  <c r="X55" i="13"/>
  <c r="X99" i="13"/>
  <c r="X58" i="13"/>
  <c r="X60" i="13"/>
  <c r="X62" i="13"/>
  <c r="X54" i="13"/>
  <c r="X64" i="13"/>
  <c r="X56" i="13"/>
  <c r="Y5" i="13"/>
  <c r="P202" i="13"/>
  <c r="Q202" i="13"/>
  <c r="R202" i="13"/>
  <c r="S202" i="13"/>
  <c r="T202" i="13"/>
  <c r="U202" i="13"/>
  <c r="V202" i="13"/>
  <c r="L66" i="13"/>
  <c r="K65" i="13"/>
  <c r="X65" i="13" s="1"/>
  <c r="N65" i="13"/>
  <c r="H65" i="13"/>
  <c r="L20" i="13"/>
  <c r="K19" i="13"/>
  <c r="H19" i="13"/>
  <c r="N19" i="13"/>
  <c r="P155" i="13"/>
  <c r="Q155" i="13"/>
  <c r="R155" i="13"/>
  <c r="S155" i="13"/>
  <c r="T155" i="13"/>
  <c r="U155" i="13"/>
  <c r="V155" i="13"/>
  <c r="P109" i="13"/>
  <c r="Q109" i="13"/>
  <c r="R109" i="13"/>
  <c r="S109" i="13"/>
  <c r="T109" i="13"/>
  <c r="U109" i="13"/>
  <c r="V109" i="13"/>
  <c r="P248" i="13"/>
  <c r="Q248" i="13"/>
  <c r="R248" i="13"/>
  <c r="S248" i="13"/>
  <c r="T248" i="13"/>
  <c r="U248" i="13"/>
  <c r="V248" i="13"/>
  <c r="N15" i="9"/>
  <c r="N17" i="9"/>
  <c r="O14" i="9" s="1"/>
  <c r="N203" i="13"/>
  <c r="H203" i="13"/>
  <c r="K203" i="13"/>
  <c r="L204" i="13"/>
  <c r="P293" i="13"/>
  <c r="Q293" i="13"/>
  <c r="R293" i="13"/>
  <c r="S293" i="13"/>
  <c r="T293" i="13"/>
  <c r="U293" i="13"/>
  <c r="V293" i="13"/>
  <c r="P18" i="13"/>
  <c r="Q18" i="13"/>
  <c r="R18" i="13"/>
  <c r="S18" i="13"/>
  <c r="T18" i="13"/>
  <c r="U18" i="13"/>
  <c r="V18" i="13"/>
  <c r="N156" i="13"/>
  <c r="H156" i="13"/>
  <c r="L157" i="13"/>
  <c r="K156" i="13"/>
  <c r="X156" i="13" s="1"/>
  <c r="N110" i="13"/>
  <c r="H110" i="13"/>
  <c r="L111" i="13"/>
  <c r="K110" i="13"/>
  <c r="P348" i="13"/>
  <c r="Q348" i="13"/>
  <c r="R348" i="13"/>
  <c r="S348" i="13"/>
  <c r="T348" i="13"/>
  <c r="U348" i="13"/>
  <c r="V348" i="13"/>
  <c r="U5" i="10"/>
  <c r="T4" i="10"/>
  <c r="W64" i="13"/>
  <c r="S84" i="10"/>
  <c r="S86" i="10" s="1"/>
  <c r="P432" i="13"/>
  <c r="Q432" i="13"/>
  <c r="R432" i="13"/>
  <c r="S432" i="13"/>
  <c r="T432" i="13"/>
  <c r="U432" i="13"/>
  <c r="V432" i="13"/>
  <c r="P386" i="13"/>
  <c r="Q386" i="13"/>
  <c r="R386" i="13"/>
  <c r="S386" i="13"/>
  <c r="T386" i="13"/>
  <c r="U386" i="13"/>
  <c r="V386" i="13"/>
  <c r="S29" i="10" l="1"/>
  <c r="S90" i="10"/>
  <c r="S56" i="10"/>
  <c r="S11" i="10"/>
  <c r="S35" i="10"/>
  <c r="S38" i="10"/>
  <c r="S17" i="10"/>
  <c r="S28" i="10"/>
  <c r="S59" i="10"/>
  <c r="S43" i="10"/>
  <c r="S27" i="10"/>
  <c r="R39" i="10"/>
  <c r="R47" i="10" s="1"/>
  <c r="T3" i="10"/>
  <c r="T61" i="10" s="1"/>
  <c r="S30" i="10"/>
  <c r="S20" i="10"/>
  <c r="S23" i="10"/>
  <c r="S15" i="10"/>
  <c r="S62" i="10"/>
  <c r="S63" i="10"/>
  <c r="S60" i="10"/>
  <c r="S10" i="10"/>
  <c r="S45" i="10"/>
  <c r="S50" i="10" s="1"/>
  <c r="S32" i="10"/>
  <c r="S25" i="10"/>
  <c r="S7" i="10" a="1"/>
  <c r="S7" i="10" s="1"/>
  <c r="S6" i="10" s="1"/>
  <c r="S49" i="10" s="1"/>
  <c r="S22" i="10"/>
  <c r="S12" i="10"/>
  <c r="S26" i="10"/>
  <c r="S33" i="10"/>
  <c r="S65" i="10"/>
  <c r="S67" i="10"/>
  <c r="S64" i="10"/>
  <c r="S57" i="10"/>
  <c r="S14" i="10"/>
  <c r="S16" i="10"/>
  <c r="S31" i="10"/>
  <c r="S24" i="10"/>
  <c r="S36" i="10"/>
  <c r="S19" i="10"/>
  <c r="S18" i="10"/>
  <c r="S34" i="10"/>
  <c r="S66" i="10"/>
  <c r="S68" i="10"/>
  <c r="S69" i="10"/>
  <c r="S61" i="10"/>
  <c r="S21" i="10"/>
  <c r="S13" i="10"/>
  <c r="R70" i="10"/>
  <c r="R48" i="10" s="1"/>
  <c r="U114" i="10"/>
  <c r="U115" i="10" s="1"/>
  <c r="U116" i="10" s="1"/>
  <c r="P71" i="10"/>
  <c r="P72" i="10"/>
  <c r="P74" i="10"/>
  <c r="U128" i="10"/>
  <c r="N111" i="13"/>
  <c r="H111" i="13"/>
  <c r="L112" i="13"/>
  <c r="K111" i="13"/>
  <c r="Y111" i="13" s="1"/>
  <c r="N204" i="13"/>
  <c r="H204" i="13"/>
  <c r="L205" i="13"/>
  <c r="K204" i="13"/>
  <c r="Y204" i="13" s="1"/>
  <c r="O17" i="9"/>
  <c r="P14" i="9" s="1"/>
  <c r="O15" i="9"/>
  <c r="L251" i="13"/>
  <c r="H250" i="13"/>
  <c r="N250" i="13"/>
  <c r="K250" i="13"/>
  <c r="Y250" i="13" s="1"/>
  <c r="P294" i="13"/>
  <c r="Q294" i="13"/>
  <c r="R294" i="13"/>
  <c r="S294" i="13"/>
  <c r="T294" i="13"/>
  <c r="U294" i="13"/>
  <c r="V294" i="13"/>
  <c r="W294" i="13"/>
  <c r="U4" i="10"/>
  <c r="V5" i="10"/>
  <c r="Q52" i="10"/>
  <c r="P203" i="13"/>
  <c r="Q203" i="13"/>
  <c r="R203" i="13"/>
  <c r="S203" i="13"/>
  <c r="T203" i="13"/>
  <c r="U203" i="13"/>
  <c r="V203" i="13"/>
  <c r="W203" i="13"/>
  <c r="P349" i="13"/>
  <c r="Q349" i="13"/>
  <c r="R349" i="13"/>
  <c r="S349" i="13"/>
  <c r="T349" i="13"/>
  <c r="U349" i="13"/>
  <c r="V349" i="13"/>
  <c r="W349" i="13"/>
  <c r="K434" i="13"/>
  <c r="Y434" i="13" s="1"/>
  <c r="L435" i="13"/>
  <c r="N434" i="13"/>
  <c r="H434" i="13"/>
  <c r="P249" i="13"/>
  <c r="Q249" i="13"/>
  <c r="R249" i="13"/>
  <c r="S249" i="13"/>
  <c r="T249" i="13"/>
  <c r="U249" i="13"/>
  <c r="V249" i="13"/>
  <c r="W249" i="13"/>
  <c r="P110" i="13"/>
  <c r="Q110" i="13"/>
  <c r="R110" i="13"/>
  <c r="S110" i="13"/>
  <c r="T110" i="13"/>
  <c r="U110" i="13"/>
  <c r="V110" i="13"/>
  <c r="W110" i="13"/>
  <c r="P156" i="13"/>
  <c r="Q156" i="13"/>
  <c r="R156" i="13"/>
  <c r="S156" i="13"/>
  <c r="T156" i="13"/>
  <c r="U156" i="13"/>
  <c r="V156" i="13"/>
  <c r="W156" i="13"/>
  <c r="P19" i="13"/>
  <c r="Q19" i="13"/>
  <c r="R19" i="13"/>
  <c r="S19" i="13"/>
  <c r="T19" i="13"/>
  <c r="U19" i="13"/>
  <c r="V19" i="13"/>
  <c r="W19" i="13"/>
  <c r="P65" i="13"/>
  <c r="Q65" i="13"/>
  <c r="R65" i="13"/>
  <c r="S65" i="13"/>
  <c r="T65" i="13"/>
  <c r="U65" i="13"/>
  <c r="V65" i="13"/>
  <c r="W65" i="13"/>
  <c r="X110" i="13"/>
  <c r="X203" i="13"/>
  <c r="P387" i="13"/>
  <c r="Q387" i="13"/>
  <c r="R387" i="13"/>
  <c r="S387" i="13"/>
  <c r="T387" i="13"/>
  <c r="U387" i="13"/>
  <c r="V387" i="13"/>
  <c r="W387" i="13"/>
  <c r="K350" i="13"/>
  <c r="Y350" i="13" s="1"/>
  <c r="H350" i="13"/>
  <c r="N350" i="13"/>
  <c r="L351" i="13"/>
  <c r="P433" i="13"/>
  <c r="Q433" i="13"/>
  <c r="R433" i="13"/>
  <c r="S433" i="13"/>
  <c r="T433" i="13"/>
  <c r="U433" i="13"/>
  <c r="V433" i="13"/>
  <c r="W433" i="13"/>
  <c r="AE6" i="13"/>
  <c r="N157" i="13"/>
  <c r="H157" i="13"/>
  <c r="L158" i="13"/>
  <c r="K157" i="13"/>
  <c r="Y157" i="13" s="1"/>
  <c r="L21" i="13"/>
  <c r="N20" i="13"/>
  <c r="K20" i="13"/>
  <c r="Y20" i="13" s="1"/>
  <c r="H20" i="13"/>
  <c r="L67" i="13"/>
  <c r="K66" i="13"/>
  <c r="Y66" i="13" s="1"/>
  <c r="Y2" i="13" s="1"/>
  <c r="N66" i="13"/>
  <c r="H66" i="13"/>
  <c r="Y432" i="13"/>
  <c r="Y430" i="13"/>
  <c r="Y428" i="13"/>
  <c r="Y426" i="13"/>
  <c r="Y424" i="13"/>
  <c r="Y422" i="13"/>
  <c r="Y386" i="13"/>
  <c r="Y384" i="13"/>
  <c r="Y382" i="13"/>
  <c r="Y380" i="13"/>
  <c r="Y378" i="13"/>
  <c r="Y376" i="13"/>
  <c r="Y349" i="13"/>
  <c r="Y348" i="13"/>
  <c r="Y347" i="13"/>
  <c r="Y346" i="13"/>
  <c r="Y345" i="13"/>
  <c r="Y344" i="13"/>
  <c r="Y343" i="13"/>
  <c r="Y342" i="13"/>
  <c r="Y341" i="13"/>
  <c r="Y340" i="13"/>
  <c r="Y421" i="13"/>
  <c r="Y385" i="13"/>
  <c r="Y377" i="13"/>
  <c r="Y375" i="13"/>
  <c r="Y294" i="13"/>
  <c r="Y293" i="13"/>
  <c r="Y292" i="13"/>
  <c r="Y291" i="13"/>
  <c r="Y290" i="13"/>
  <c r="Y289" i="13"/>
  <c r="Y288" i="13"/>
  <c r="Y287" i="13"/>
  <c r="Y286" i="13"/>
  <c r="Y285" i="13"/>
  <c r="Y284" i="13"/>
  <c r="Y283" i="13"/>
  <c r="Y431" i="13"/>
  <c r="Y427" i="13"/>
  <c r="Y423" i="13"/>
  <c r="Y387" i="13"/>
  <c r="Y379" i="13"/>
  <c r="Y383" i="13"/>
  <c r="Y338" i="13"/>
  <c r="Y336" i="13"/>
  <c r="Y334" i="13"/>
  <c r="Y332" i="13"/>
  <c r="Y330" i="13"/>
  <c r="Y433" i="13"/>
  <c r="Y425" i="13"/>
  <c r="Y339" i="13"/>
  <c r="Y337" i="13"/>
  <c r="Y335" i="13"/>
  <c r="Y333" i="13"/>
  <c r="Y331" i="13"/>
  <c r="Y249" i="13"/>
  <c r="Y247" i="13"/>
  <c r="Y245" i="13"/>
  <c r="Y243" i="13"/>
  <c r="Y241" i="13"/>
  <c r="Y239" i="13"/>
  <c r="Y237" i="13"/>
  <c r="Y203" i="13"/>
  <c r="Y202" i="13"/>
  <c r="Y201" i="13"/>
  <c r="Y200" i="13"/>
  <c r="Y199" i="13"/>
  <c r="Y198" i="13"/>
  <c r="Y197" i="13"/>
  <c r="Y196" i="13"/>
  <c r="Y195" i="13"/>
  <c r="Y194" i="13"/>
  <c r="Y193" i="13"/>
  <c r="Y192" i="13"/>
  <c r="Y191" i="13"/>
  <c r="Y248" i="13"/>
  <c r="Y246" i="13"/>
  <c r="Y244" i="13"/>
  <c r="Y242" i="13"/>
  <c r="Y240" i="13"/>
  <c r="Y238" i="13"/>
  <c r="Y381" i="13"/>
  <c r="Y329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429" i="13"/>
  <c r="Y156" i="13"/>
  <c r="Y155" i="13"/>
  <c r="Y154" i="13"/>
  <c r="Y153" i="13"/>
  <c r="Y152" i="13"/>
  <c r="Y151" i="13"/>
  <c r="Y150" i="13"/>
  <c r="Y149" i="13"/>
  <c r="Y148" i="13"/>
  <c r="Y147" i="13"/>
  <c r="Y146" i="13"/>
  <c r="Y145" i="13"/>
  <c r="Y99" i="13"/>
  <c r="Y110" i="13"/>
  <c r="Y108" i="13"/>
  <c r="Y106" i="13"/>
  <c r="Y104" i="13"/>
  <c r="Y102" i="13"/>
  <c r="Y100" i="13"/>
  <c r="Y19" i="13"/>
  <c r="Y109" i="13"/>
  <c r="Y107" i="13"/>
  <c r="Y105" i="13"/>
  <c r="Y103" i="13"/>
  <c r="Y101" i="13"/>
  <c r="Z5" i="13"/>
  <c r="Y18" i="13"/>
  <c r="Y16" i="13"/>
  <c r="Y14" i="13"/>
  <c r="Y12" i="13"/>
  <c r="Y10" i="13"/>
  <c r="Y8" i="13"/>
  <c r="Y7" i="13"/>
  <c r="Y17" i="13"/>
  <c r="Y15" i="13"/>
  <c r="Y13" i="13"/>
  <c r="Y11" i="13"/>
  <c r="Y9" i="13"/>
  <c r="X19" i="13"/>
  <c r="N388" i="13"/>
  <c r="H388" i="13"/>
  <c r="L389" i="13"/>
  <c r="K388" i="13"/>
  <c r="K295" i="13"/>
  <c r="Y295" i="13" s="1"/>
  <c r="N295" i="13"/>
  <c r="H295" i="13"/>
  <c r="L296" i="13"/>
  <c r="U3" i="10" l="1"/>
  <c r="U37" i="10" s="1"/>
  <c r="T25" i="10"/>
  <c r="T20" i="10"/>
  <c r="T67" i="10"/>
  <c r="T29" i="10"/>
  <c r="T64" i="10"/>
  <c r="Q72" i="10"/>
  <c r="T58" i="10"/>
  <c r="T30" i="10"/>
  <c r="T36" i="10"/>
  <c r="T56" i="10"/>
  <c r="T19" i="10"/>
  <c r="T10" i="10"/>
  <c r="T17" i="10"/>
  <c r="T7" i="10" a="1"/>
  <c r="T7" i="10" s="1"/>
  <c r="T31" i="10"/>
  <c r="T38" i="10"/>
  <c r="T34" i="10"/>
  <c r="T21" i="10"/>
  <c r="T22" i="10"/>
  <c r="T16" i="10"/>
  <c r="T60" i="10"/>
  <c r="T63" i="10"/>
  <c r="T57" i="10"/>
  <c r="T11" i="10"/>
  <c r="T45" i="10"/>
  <c r="T50" i="10" s="1"/>
  <c r="T90" i="10"/>
  <c r="T23" i="10"/>
  <c r="T24" i="10"/>
  <c r="T33" i="10"/>
  <c r="T18" i="10"/>
  <c r="T13" i="10"/>
  <c r="T14" i="10"/>
  <c r="T26" i="10"/>
  <c r="T43" i="10"/>
  <c r="T68" i="10"/>
  <c r="T65" i="10"/>
  <c r="T59" i="10"/>
  <c r="T84" i="10"/>
  <c r="T86" i="10" s="1"/>
  <c r="T15" i="10"/>
  <c r="T27" i="10"/>
  <c r="T28" i="10"/>
  <c r="T37" i="10"/>
  <c r="T32" i="10"/>
  <c r="T35" i="10"/>
  <c r="T12" i="10"/>
  <c r="T62" i="10"/>
  <c r="T69" i="10"/>
  <c r="T66" i="10"/>
  <c r="S39" i="10"/>
  <c r="S47" i="10" s="1"/>
  <c r="S70" i="10"/>
  <c r="S48" i="10" s="1"/>
  <c r="V114" i="10"/>
  <c r="V115" i="10" s="1"/>
  <c r="V116" i="10" s="1"/>
  <c r="U45" i="10"/>
  <c r="U60" i="10"/>
  <c r="U57" i="10"/>
  <c r="Q71" i="10"/>
  <c r="U68" i="10"/>
  <c r="V128" i="10"/>
  <c r="U43" i="10"/>
  <c r="R52" i="10"/>
  <c r="R72" i="10" s="1"/>
  <c r="P20" i="13"/>
  <c r="Q20" i="13"/>
  <c r="R20" i="13"/>
  <c r="S20" i="13"/>
  <c r="T20" i="13"/>
  <c r="U20" i="13"/>
  <c r="V20" i="13"/>
  <c r="W20" i="13"/>
  <c r="X20" i="13"/>
  <c r="P350" i="13"/>
  <c r="Q350" i="13"/>
  <c r="R350" i="13"/>
  <c r="S350" i="13"/>
  <c r="T350" i="13"/>
  <c r="U350" i="13"/>
  <c r="V350" i="13"/>
  <c r="W350" i="13"/>
  <c r="X350" i="13"/>
  <c r="V4" i="10"/>
  <c r="W5" i="10"/>
  <c r="U17" i="10"/>
  <c r="P250" i="13"/>
  <c r="Q250" i="13"/>
  <c r="R250" i="13"/>
  <c r="S250" i="13"/>
  <c r="T250" i="13"/>
  <c r="U250" i="13"/>
  <c r="V250" i="13"/>
  <c r="W250" i="13"/>
  <c r="X250" i="13"/>
  <c r="P111" i="13"/>
  <c r="Q111" i="13"/>
  <c r="R111" i="13"/>
  <c r="S111" i="13"/>
  <c r="T111" i="13"/>
  <c r="U111" i="13"/>
  <c r="V111" i="13"/>
  <c r="W111" i="13"/>
  <c r="X111" i="13"/>
  <c r="K296" i="13"/>
  <c r="Z296" i="13" s="1"/>
  <c r="L297" i="13"/>
  <c r="H296" i="13"/>
  <c r="N296" i="13"/>
  <c r="P388" i="13"/>
  <c r="Q388" i="13"/>
  <c r="R388" i="13"/>
  <c r="S388" i="13"/>
  <c r="T388" i="13"/>
  <c r="U388" i="13"/>
  <c r="V388" i="13"/>
  <c r="W388" i="13"/>
  <c r="X388" i="13"/>
  <c r="P66" i="13"/>
  <c r="P2" i="13" s="1" a="1"/>
  <c r="P2" i="13" s="1"/>
  <c r="Q66" i="13"/>
  <c r="Q2" i="13" s="1"/>
  <c r="R66" i="13"/>
  <c r="R2" i="13" s="1"/>
  <c r="S66" i="13"/>
  <c r="S2" i="13" s="1"/>
  <c r="T66" i="13"/>
  <c r="T2" i="13" s="1"/>
  <c r="U66" i="13"/>
  <c r="U2" i="13" s="1"/>
  <c r="V66" i="13"/>
  <c r="V2" i="13" s="1"/>
  <c r="W66" i="13"/>
  <c r="W2" i="13" s="1"/>
  <c r="X66" i="13"/>
  <c r="X2" i="13" s="1"/>
  <c r="P157" i="13"/>
  <c r="Q157" i="13"/>
  <c r="R157" i="13"/>
  <c r="S157" i="13"/>
  <c r="T157" i="13"/>
  <c r="U157" i="13"/>
  <c r="V157" i="13"/>
  <c r="W157" i="13"/>
  <c r="X157" i="13"/>
  <c r="K351" i="13"/>
  <c r="Z351" i="13" s="1"/>
  <c r="N351" i="13"/>
  <c r="L352" i="13"/>
  <c r="H351" i="13"/>
  <c r="U16" i="10"/>
  <c r="U38" i="10"/>
  <c r="P15" i="9"/>
  <c r="P17" i="9"/>
  <c r="Q14" i="9" s="1"/>
  <c r="N112" i="13"/>
  <c r="H112" i="13"/>
  <c r="L113" i="13"/>
  <c r="K112" i="13"/>
  <c r="Z112" i="13" s="1"/>
  <c r="Z433" i="13"/>
  <c r="Z431" i="13"/>
  <c r="Z429" i="13"/>
  <c r="Z427" i="13"/>
  <c r="Z425" i="13"/>
  <c r="Z423" i="13"/>
  <c r="Z421" i="13"/>
  <c r="Z432" i="13"/>
  <c r="Z428" i="13"/>
  <c r="Z424" i="13"/>
  <c r="Z387" i="13"/>
  <c r="Z386" i="13"/>
  <c r="Z379" i="13"/>
  <c r="Z378" i="13"/>
  <c r="Z349" i="13"/>
  <c r="Z347" i="13"/>
  <c r="Z345" i="13"/>
  <c r="Z343" i="13"/>
  <c r="Z341" i="13"/>
  <c r="Z339" i="13"/>
  <c r="Z338" i="13"/>
  <c r="Z337" i="13"/>
  <c r="Z336" i="13"/>
  <c r="Z335" i="13"/>
  <c r="Z334" i="13"/>
  <c r="Z333" i="13"/>
  <c r="Z332" i="13"/>
  <c r="Z331" i="13"/>
  <c r="Z330" i="13"/>
  <c r="Z329" i="13"/>
  <c r="Z388" i="13"/>
  <c r="Z381" i="13"/>
  <c r="Z380" i="13"/>
  <c r="Z430" i="13"/>
  <c r="Z385" i="13"/>
  <c r="Z384" i="13"/>
  <c r="Z350" i="13"/>
  <c r="Z342" i="13"/>
  <c r="Z422" i="13"/>
  <c r="Z344" i="13"/>
  <c r="Z434" i="13"/>
  <c r="Z426" i="13"/>
  <c r="Z377" i="13"/>
  <c r="Z376" i="13"/>
  <c r="Z375" i="13"/>
  <c r="Z346" i="13"/>
  <c r="Z348" i="13"/>
  <c r="Z295" i="13"/>
  <c r="Z293" i="13"/>
  <c r="Z291" i="13"/>
  <c r="Z289" i="13"/>
  <c r="Z287" i="13"/>
  <c r="Z285" i="13"/>
  <c r="Z283" i="13"/>
  <c r="Z250" i="13"/>
  <c r="Z248" i="13"/>
  <c r="Z246" i="13"/>
  <c r="Z244" i="13"/>
  <c r="Z242" i="13"/>
  <c r="Z240" i="13"/>
  <c r="Z238" i="13"/>
  <c r="Z294" i="13"/>
  <c r="Z292" i="13"/>
  <c r="Z290" i="13"/>
  <c r="Z288" i="13"/>
  <c r="Z286" i="13"/>
  <c r="Z284" i="13"/>
  <c r="Z249" i="13"/>
  <c r="Z241" i="13"/>
  <c r="Z204" i="13"/>
  <c r="Z203" i="13"/>
  <c r="Z66" i="13"/>
  <c r="Z2" i="13" s="1"/>
  <c r="Z65" i="13"/>
  <c r="Z64" i="13"/>
  <c r="Z63" i="13"/>
  <c r="Z62" i="13"/>
  <c r="Z61" i="13"/>
  <c r="Z60" i="13"/>
  <c r="Z59" i="13"/>
  <c r="Z58" i="13"/>
  <c r="Z57" i="13"/>
  <c r="Z56" i="13"/>
  <c r="Z55" i="13"/>
  <c r="Z54" i="13"/>
  <c r="Z53" i="13"/>
  <c r="Z247" i="13"/>
  <c r="Z239" i="13"/>
  <c r="Z201" i="13"/>
  <c r="Z199" i="13"/>
  <c r="Z197" i="13"/>
  <c r="Z195" i="13"/>
  <c r="Z193" i="13"/>
  <c r="Z191" i="13"/>
  <c r="Z111" i="13"/>
  <c r="Z110" i="13"/>
  <c r="Z109" i="13"/>
  <c r="Z108" i="13"/>
  <c r="Z107" i="13"/>
  <c r="Z106" i="13"/>
  <c r="Z105" i="13"/>
  <c r="Z104" i="13"/>
  <c r="Z103" i="13"/>
  <c r="Z102" i="13"/>
  <c r="Z101" i="13"/>
  <c r="Z100" i="13"/>
  <c r="Z99" i="13"/>
  <c r="Z383" i="13"/>
  <c r="Z340" i="13"/>
  <c r="Z245" i="13"/>
  <c r="Z200" i="13"/>
  <c r="Z192" i="13"/>
  <c r="Z20" i="13"/>
  <c r="Z198" i="13"/>
  <c r="Z243" i="13"/>
  <c r="Z196" i="13"/>
  <c r="Z382" i="13"/>
  <c r="Z155" i="13"/>
  <c r="Z151" i="13"/>
  <c r="Z147" i="13"/>
  <c r="Z237" i="13"/>
  <c r="Z156" i="13"/>
  <c r="Z152" i="13"/>
  <c r="Z148" i="13"/>
  <c r="AA5" i="13"/>
  <c r="Z202" i="13"/>
  <c r="Z157" i="13"/>
  <c r="Z153" i="13"/>
  <c r="Z149" i="13"/>
  <c r="Z18" i="13"/>
  <c r="Z17" i="13"/>
  <c r="Z16" i="13"/>
  <c r="Z15" i="13"/>
  <c r="Z14" i="13"/>
  <c r="Z13" i="13"/>
  <c r="Z12" i="13"/>
  <c r="Z11" i="13"/>
  <c r="Z10" i="13"/>
  <c r="Z9" i="13"/>
  <c r="Z8" i="13"/>
  <c r="Z7" i="13"/>
  <c r="Z194" i="13"/>
  <c r="Z154" i="13"/>
  <c r="Z150" i="13"/>
  <c r="Z146" i="13"/>
  <c r="Z145" i="13"/>
  <c r="Z19" i="13"/>
  <c r="Y388" i="13"/>
  <c r="L68" i="13"/>
  <c r="K67" i="13"/>
  <c r="Z67" i="13" s="1"/>
  <c r="N67" i="13"/>
  <c r="H67" i="13"/>
  <c r="L22" i="13"/>
  <c r="N21" i="13"/>
  <c r="K21" i="13"/>
  <c r="H21" i="13"/>
  <c r="N158" i="13"/>
  <c r="H158" i="13"/>
  <c r="L159" i="13"/>
  <c r="K158" i="13"/>
  <c r="L436" i="13"/>
  <c r="H435" i="13"/>
  <c r="N435" i="13"/>
  <c r="K435" i="13"/>
  <c r="Z435" i="13" s="1"/>
  <c r="U28" i="10"/>
  <c r="U13" i="10"/>
  <c r="P204" i="13"/>
  <c r="Q204" i="13"/>
  <c r="R204" i="13"/>
  <c r="S204" i="13"/>
  <c r="T204" i="13"/>
  <c r="U204" i="13"/>
  <c r="V204" i="13"/>
  <c r="W204" i="13"/>
  <c r="X204" i="13"/>
  <c r="P295" i="13"/>
  <c r="Q295" i="13"/>
  <c r="R295" i="13"/>
  <c r="S295" i="13"/>
  <c r="T295" i="13"/>
  <c r="U295" i="13"/>
  <c r="V295" i="13"/>
  <c r="W295" i="13"/>
  <c r="X295" i="13"/>
  <c r="N389" i="13"/>
  <c r="H389" i="13"/>
  <c r="L390" i="13"/>
  <c r="K389" i="13"/>
  <c r="Z389" i="13" s="1"/>
  <c r="AF6" i="13"/>
  <c r="V3" i="10"/>
  <c r="V21" i="10" s="1"/>
  <c r="U84" i="10"/>
  <c r="P434" i="13"/>
  <c r="Q434" i="13"/>
  <c r="R434" i="13"/>
  <c r="S434" i="13"/>
  <c r="T434" i="13"/>
  <c r="U434" i="13"/>
  <c r="V434" i="13"/>
  <c r="W434" i="13"/>
  <c r="X434" i="13"/>
  <c r="Q74" i="10"/>
  <c r="U24" i="10"/>
  <c r="U15" i="10"/>
  <c r="U23" i="10"/>
  <c r="K251" i="13"/>
  <c r="Z251" i="13" s="1"/>
  <c r="L252" i="13"/>
  <c r="H251" i="13"/>
  <c r="N251" i="13"/>
  <c r="N205" i="13"/>
  <c r="H205" i="13"/>
  <c r="K205" i="13"/>
  <c r="L206" i="13"/>
  <c r="U30" i="10" l="1"/>
  <c r="U7" i="10" a="1"/>
  <c r="U7" i="10" s="1"/>
  <c r="U6" i="10" s="1"/>
  <c r="U49" i="10" s="1"/>
  <c r="U29" i="10"/>
  <c r="U14" i="10"/>
  <c r="U35" i="10"/>
  <c r="U26" i="10"/>
  <c r="U32" i="10"/>
  <c r="U10" i="10"/>
  <c r="U58" i="10"/>
  <c r="U65" i="10"/>
  <c r="U64" i="10"/>
  <c r="U31" i="10"/>
  <c r="U18" i="10"/>
  <c r="U90" i="10"/>
  <c r="U21" i="10"/>
  <c r="U20" i="10"/>
  <c r="U27" i="10"/>
  <c r="U12" i="10"/>
  <c r="U33" i="10"/>
  <c r="U22" i="10"/>
  <c r="U61" i="10"/>
  <c r="U11" i="10"/>
  <c r="U69" i="10"/>
  <c r="U59" i="10"/>
  <c r="U19" i="10"/>
  <c r="U36" i="10"/>
  <c r="U25" i="10"/>
  <c r="U34" i="10"/>
  <c r="U67" i="10"/>
  <c r="U63" i="10"/>
  <c r="U56" i="10"/>
  <c r="U62" i="10"/>
  <c r="U66" i="10"/>
  <c r="T6" i="10"/>
  <c r="T49" i="10" s="1"/>
  <c r="I7" i="11"/>
  <c r="I6" i="11" s="1"/>
  <c r="U86" i="10"/>
  <c r="U50" i="10"/>
  <c r="T70" i="10"/>
  <c r="T48" i="10" s="1"/>
  <c r="T39" i="10"/>
  <c r="T47" i="10" s="1"/>
  <c r="W114" i="10"/>
  <c r="W115" i="10" s="1"/>
  <c r="W116" i="10" s="1"/>
  <c r="V45" i="10"/>
  <c r="V50" i="10" s="1"/>
  <c r="S52" i="10"/>
  <c r="V64" i="10"/>
  <c r="V69" i="10"/>
  <c r="V60" i="10"/>
  <c r="V10" i="10"/>
  <c r="V56" i="10"/>
  <c r="V67" i="10"/>
  <c r="V11" i="10"/>
  <c r="V63" i="10"/>
  <c r="V59" i="10"/>
  <c r="W128" i="10"/>
  <c r="R74" i="10"/>
  <c r="R71" i="10"/>
  <c r="V65" i="10"/>
  <c r="V43" i="10"/>
  <c r="V62" i="10"/>
  <c r="V58" i="10"/>
  <c r="V68" i="10"/>
  <c r="V66" i="10"/>
  <c r="V61" i="10"/>
  <c r="V57" i="10"/>
  <c r="AG6" i="13"/>
  <c r="N390" i="13"/>
  <c r="H390" i="13"/>
  <c r="L391" i="13"/>
  <c r="K390" i="13"/>
  <c r="AA390" i="13" s="1"/>
  <c r="L23" i="13"/>
  <c r="N22" i="13"/>
  <c r="K22" i="13"/>
  <c r="AA22" i="13" s="1"/>
  <c r="H22" i="13"/>
  <c r="L69" i="13"/>
  <c r="K68" i="13"/>
  <c r="AA68" i="13" s="1"/>
  <c r="N68" i="13"/>
  <c r="H68" i="13"/>
  <c r="K352" i="13"/>
  <c r="AA352" i="13" s="1"/>
  <c r="L353" i="13"/>
  <c r="H352" i="13"/>
  <c r="N352" i="13"/>
  <c r="K297" i="13"/>
  <c r="AA297" i="13" s="1"/>
  <c r="N297" i="13"/>
  <c r="H297" i="13"/>
  <c r="L298" i="13"/>
  <c r="V23" i="10"/>
  <c r="V35" i="10"/>
  <c r="V15" i="10"/>
  <c r="V12" i="10"/>
  <c r="V20" i="10"/>
  <c r="V28" i="10"/>
  <c r="V36" i="10"/>
  <c r="P205" i="13"/>
  <c r="Q205" i="13"/>
  <c r="R205" i="13"/>
  <c r="S205" i="13"/>
  <c r="T205" i="13"/>
  <c r="U205" i="13"/>
  <c r="V205" i="13"/>
  <c r="W205" i="13"/>
  <c r="X205" i="13"/>
  <c r="Y205" i="13"/>
  <c r="L253" i="13"/>
  <c r="H252" i="13"/>
  <c r="N252" i="13"/>
  <c r="K252" i="13"/>
  <c r="AA252" i="13" s="1"/>
  <c r="W3" i="10"/>
  <c r="W58" i="10" s="1"/>
  <c r="V7" i="10" a="1"/>
  <c r="V7" i="10" s="1"/>
  <c r="V6" i="10" s="1"/>
  <c r="V49" i="10" s="1"/>
  <c r="V84" i="10"/>
  <c r="V86" i="10" s="1"/>
  <c r="V90" i="10"/>
  <c r="P158" i="13"/>
  <c r="Q158" i="13"/>
  <c r="R158" i="13"/>
  <c r="S158" i="13"/>
  <c r="T158" i="13"/>
  <c r="U158" i="13"/>
  <c r="V158" i="13"/>
  <c r="W158" i="13"/>
  <c r="X158" i="13"/>
  <c r="Y158" i="13"/>
  <c r="Z205" i="13"/>
  <c r="Q15" i="9"/>
  <c r="Q17" i="9"/>
  <c r="R14" i="9" s="1"/>
  <c r="P296" i="13"/>
  <c r="Q296" i="13"/>
  <c r="R296" i="13"/>
  <c r="S296" i="13"/>
  <c r="T296" i="13"/>
  <c r="U296" i="13"/>
  <c r="V296" i="13"/>
  <c r="W296" i="13"/>
  <c r="X296" i="13"/>
  <c r="Y296" i="13"/>
  <c r="V25" i="10"/>
  <c r="X5" i="10"/>
  <c r="W4" i="10"/>
  <c r="V37" i="10"/>
  <c r="V14" i="10"/>
  <c r="V22" i="10"/>
  <c r="V30" i="10"/>
  <c r="V38" i="10"/>
  <c r="V27" i="10"/>
  <c r="P251" i="13"/>
  <c r="Q251" i="13"/>
  <c r="R251" i="13"/>
  <c r="S251" i="13"/>
  <c r="T251" i="13"/>
  <c r="U251" i="13"/>
  <c r="V251" i="13"/>
  <c r="W251" i="13"/>
  <c r="X251" i="13"/>
  <c r="Y251" i="13"/>
  <c r="N206" i="13"/>
  <c r="H206" i="13"/>
  <c r="L207" i="13"/>
  <c r="K206" i="13"/>
  <c r="AA206" i="13" s="1"/>
  <c r="N436" i="13"/>
  <c r="L437" i="13"/>
  <c r="K436" i="13"/>
  <c r="H436" i="13"/>
  <c r="N159" i="13"/>
  <c r="H159" i="13"/>
  <c r="L160" i="13"/>
  <c r="K159" i="13"/>
  <c r="P21" i="13"/>
  <c r="Q21" i="13"/>
  <c r="R21" i="13"/>
  <c r="S21" i="13"/>
  <c r="T21" i="13"/>
  <c r="U21" i="13"/>
  <c r="V21" i="13"/>
  <c r="W21" i="13"/>
  <c r="X21" i="13"/>
  <c r="Y21" i="13"/>
  <c r="AA436" i="13"/>
  <c r="AA389" i="13"/>
  <c r="AA388" i="13"/>
  <c r="AA387" i="13"/>
  <c r="AA386" i="13"/>
  <c r="AA385" i="13"/>
  <c r="AA384" i="13"/>
  <c r="AA383" i="13"/>
  <c r="AA382" i="13"/>
  <c r="AA381" i="13"/>
  <c r="AA380" i="13"/>
  <c r="AA379" i="13"/>
  <c r="AA378" i="13"/>
  <c r="AA377" i="13"/>
  <c r="AA376" i="13"/>
  <c r="AA375" i="13"/>
  <c r="AA435" i="13"/>
  <c r="AA433" i="13"/>
  <c r="AA431" i="13"/>
  <c r="AA429" i="13"/>
  <c r="AA427" i="13"/>
  <c r="AA425" i="13"/>
  <c r="AA423" i="13"/>
  <c r="AA421" i="13"/>
  <c r="AA205" i="13"/>
  <c r="AA204" i="13"/>
  <c r="AA203" i="13"/>
  <c r="AA434" i="13"/>
  <c r="AA430" i="13"/>
  <c r="AA426" i="13"/>
  <c r="AA422" i="13"/>
  <c r="AA351" i="13"/>
  <c r="AA344" i="13"/>
  <c r="AA343" i="13"/>
  <c r="AA428" i="13"/>
  <c r="AA346" i="13"/>
  <c r="AA345" i="13"/>
  <c r="AA339" i="13"/>
  <c r="AA337" i="13"/>
  <c r="AA335" i="13"/>
  <c r="AA333" i="13"/>
  <c r="AA331" i="13"/>
  <c r="AA348" i="13"/>
  <c r="AA347" i="13"/>
  <c r="AA340" i="13"/>
  <c r="AA329" i="13"/>
  <c r="AA424" i="13"/>
  <c r="AA350" i="13"/>
  <c r="AA349" i="13"/>
  <c r="AA250" i="13"/>
  <c r="AA248" i="13"/>
  <c r="AA246" i="13"/>
  <c r="AA244" i="13"/>
  <c r="AA242" i="13"/>
  <c r="AA240" i="13"/>
  <c r="AA238" i="13"/>
  <c r="AA336" i="13"/>
  <c r="AA330" i="13"/>
  <c r="AA296" i="13"/>
  <c r="AA294" i="13"/>
  <c r="AA292" i="13"/>
  <c r="AA290" i="13"/>
  <c r="AA288" i="13"/>
  <c r="AA286" i="13"/>
  <c r="AA284" i="13"/>
  <c r="AA332" i="13"/>
  <c r="AA251" i="13"/>
  <c r="AA249" i="13"/>
  <c r="AA247" i="13"/>
  <c r="AA245" i="13"/>
  <c r="AA243" i="13"/>
  <c r="AA241" i="13"/>
  <c r="AA239" i="13"/>
  <c r="AA237" i="13"/>
  <c r="AA432" i="13"/>
  <c r="AA341" i="13"/>
  <c r="AA338" i="13"/>
  <c r="AA293" i="13"/>
  <c r="AA285" i="13"/>
  <c r="AA201" i="13"/>
  <c r="AA199" i="13"/>
  <c r="AA197" i="13"/>
  <c r="AA195" i="13"/>
  <c r="AA193" i="13"/>
  <c r="AA191" i="13"/>
  <c r="AA112" i="13"/>
  <c r="AA111" i="13"/>
  <c r="AA110" i="13"/>
  <c r="AA109" i="13"/>
  <c r="AA108" i="13"/>
  <c r="AA107" i="13"/>
  <c r="AA106" i="13"/>
  <c r="AA105" i="13"/>
  <c r="AA104" i="13"/>
  <c r="AA103" i="13"/>
  <c r="AA102" i="13"/>
  <c r="AA101" i="13"/>
  <c r="AA100" i="13"/>
  <c r="AA99" i="13"/>
  <c r="AA291" i="13"/>
  <c r="AA283" i="13"/>
  <c r="AA159" i="13"/>
  <c r="AA158" i="13"/>
  <c r="AA157" i="13"/>
  <c r="AA156" i="13"/>
  <c r="AA155" i="13"/>
  <c r="AA154" i="13"/>
  <c r="AA153" i="13"/>
  <c r="AA152" i="13"/>
  <c r="AA151" i="13"/>
  <c r="AA150" i="13"/>
  <c r="AA149" i="13"/>
  <c r="AA148" i="13"/>
  <c r="AA147" i="13"/>
  <c r="AA146" i="13"/>
  <c r="AA145" i="13"/>
  <c r="AA342" i="13"/>
  <c r="AA289" i="13"/>
  <c r="AA202" i="13"/>
  <c r="AA200" i="13"/>
  <c r="AA198" i="13"/>
  <c r="AA196" i="13"/>
  <c r="AA194" i="13"/>
  <c r="AA334" i="13"/>
  <c r="AA295" i="13"/>
  <c r="AA67" i="13"/>
  <c r="AA66" i="13"/>
  <c r="AA2" i="13" s="1"/>
  <c r="AA65" i="13"/>
  <c r="AA64" i="13"/>
  <c r="AA63" i="13"/>
  <c r="AA62" i="13"/>
  <c r="AA61" i="13"/>
  <c r="AA60" i="13"/>
  <c r="AA59" i="13"/>
  <c r="AA58" i="13"/>
  <c r="AA57" i="13"/>
  <c r="AA56" i="13"/>
  <c r="AA55" i="13"/>
  <c r="AA54" i="13"/>
  <c r="AB5" i="13"/>
  <c r="AA18" i="13"/>
  <c r="AA17" i="13"/>
  <c r="AA16" i="13"/>
  <c r="AA15" i="13"/>
  <c r="AA14" i="13"/>
  <c r="AA13" i="13"/>
  <c r="AA12" i="13"/>
  <c r="AA11" i="13"/>
  <c r="AA10" i="13"/>
  <c r="AA9" i="13"/>
  <c r="AA8" i="13"/>
  <c r="AA7" i="13"/>
  <c r="AA287" i="13"/>
  <c r="AA53" i="13"/>
  <c r="AA19" i="13"/>
  <c r="AA192" i="13"/>
  <c r="AA21" i="13"/>
  <c r="AA20" i="13"/>
  <c r="Z21" i="13"/>
  <c r="P112" i="13"/>
  <c r="Q112" i="13"/>
  <c r="R112" i="13"/>
  <c r="S112" i="13"/>
  <c r="T112" i="13"/>
  <c r="U112" i="13"/>
  <c r="V112" i="13"/>
  <c r="W112" i="13"/>
  <c r="X112" i="13"/>
  <c r="Y112" i="13"/>
  <c r="P351" i="13"/>
  <c r="Q351" i="13"/>
  <c r="R351" i="13"/>
  <c r="S351" i="13"/>
  <c r="T351" i="13"/>
  <c r="U351" i="13"/>
  <c r="V351" i="13"/>
  <c r="W351" i="13"/>
  <c r="X351" i="13"/>
  <c r="Y351" i="13"/>
  <c r="V31" i="10"/>
  <c r="V16" i="10"/>
  <c r="V24" i="10"/>
  <c r="V32" i="10"/>
  <c r="V17" i="10"/>
  <c r="V29" i="10"/>
  <c r="P389" i="13"/>
  <c r="Q389" i="13"/>
  <c r="R389" i="13"/>
  <c r="S389" i="13"/>
  <c r="T389" i="13"/>
  <c r="U389" i="13"/>
  <c r="V389" i="13"/>
  <c r="W389" i="13"/>
  <c r="X389" i="13"/>
  <c r="Y389" i="13"/>
  <c r="P435" i="13"/>
  <c r="Q435" i="13"/>
  <c r="R435" i="13"/>
  <c r="S435" i="13"/>
  <c r="T435" i="13"/>
  <c r="U435" i="13"/>
  <c r="V435" i="13"/>
  <c r="W435" i="13"/>
  <c r="X435" i="13"/>
  <c r="Y435" i="13"/>
  <c r="P67" i="13"/>
  <c r="Q67" i="13"/>
  <c r="R67" i="13"/>
  <c r="S67" i="13"/>
  <c r="T67" i="13"/>
  <c r="U67" i="13"/>
  <c r="V67" i="13"/>
  <c r="W67" i="13"/>
  <c r="X67" i="13"/>
  <c r="Y67" i="13"/>
  <c r="Z158" i="13"/>
  <c r="N113" i="13"/>
  <c r="H113" i="13"/>
  <c r="L114" i="13"/>
  <c r="K113" i="13"/>
  <c r="AA113" i="13" s="1"/>
  <c r="V13" i="10"/>
  <c r="V33" i="10"/>
  <c r="V18" i="10"/>
  <c r="V26" i="10"/>
  <c r="V34" i="10"/>
  <c r="V19" i="10"/>
  <c r="U70" i="10" l="1"/>
  <c r="U48" i="10" s="1"/>
  <c r="U39" i="10"/>
  <c r="U47" i="10" s="1"/>
  <c r="X114" i="10"/>
  <c r="X115" i="10" s="1"/>
  <c r="X116" i="10" s="1"/>
  <c r="S71" i="10"/>
  <c r="S72" i="10"/>
  <c r="W19" i="10"/>
  <c r="W18" i="10"/>
  <c r="W15" i="10"/>
  <c r="W45" i="10"/>
  <c r="W50" i="10" s="1"/>
  <c r="S74" i="10"/>
  <c r="W31" i="10"/>
  <c r="W26" i="10"/>
  <c r="W34" i="10"/>
  <c r="W69" i="10"/>
  <c r="W61" i="10"/>
  <c r="W68" i="10"/>
  <c r="W57" i="10"/>
  <c r="W56" i="10"/>
  <c r="W67" i="10"/>
  <c r="W66" i="10"/>
  <c r="W64" i="10"/>
  <c r="W60" i="10"/>
  <c r="X128" i="10"/>
  <c r="W11" i="10"/>
  <c r="W43" i="10"/>
  <c r="W63" i="10"/>
  <c r="W59" i="10"/>
  <c r="W10" i="10"/>
  <c r="W65" i="10"/>
  <c r="W62" i="10"/>
  <c r="W21" i="10"/>
  <c r="W17" i="10"/>
  <c r="W33" i="10"/>
  <c r="W12" i="10"/>
  <c r="W20" i="10"/>
  <c r="W28" i="10"/>
  <c r="W36" i="10"/>
  <c r="W25" i="10"/>
  <c r="W23" i="10"/>
  <c r="W35" i="10"/>
  <c r="W14" i="10"/>
  <c r="W22" i="10"/>
  <c r="W30" i="10"/>
  <c r="W38" i="10"/>
  <c r="W13" i="10"/>
  <c r="W29" i="10"/>
  <c r="W27" i="10"/>
  <c r="W37" i="10"/>
  <c r="W16" i="10"/>
  <c r="W24" i="10"/>
  <c r="W32" i="10"/>
  <c r="T52" i="10"/>
  <c r="T72" i="10" s="1"/>
  <c r="N114" i="13"/>
  <c r="H114" i="13"/>
  <c r="L115" i="13"/>
  <c r="K114" i="13"/>
  <c r="AB114" i="13" s="1"/>
  <c r="P206" i="13"/>
  <c r="Q206" i="13"/>
  <c r="R206" i="13"/>
  <c r="S206" i="13"/>
  <c r="T206" i="13"/>
  <c r="U206" i="13"/>
  <c r="V206" i="13"/>
  <c r="W206" i="13"/>
  <c r="X206" i="13"/>
  <c r="Y206" i="13"/>
  <c r="Z206" i="13"/>
  <c r="R15" i="9"/>
  <c r="R17" i="9"/>
  <c r="S14" i="9" s="1"/>
  <c r="W7" i="10" a="1"/>
  <c r="W7" i="10" s="1"/>
  <c r="W6" i="10" s="1"/>
  <c r="W49" i="10" s="1"/>
  <c r="X3" i="10"/>
  <c r="X60" i="10" s="1"/>
  <c r="W84" i="10"/>
  <c r="W90" i="10"/>
  <c r="P297" i="13"/>
  <c r="Q297" i="13"/>
  <c r="R297" i="13"/>
  <c r="S297" i="13"/>
  <c r="T297" i="13"/>
  <c r="U297" i="13"/>
  <c r="V297" i="13"/>
  <c r="W297" i="13"/>
  <c r="X297" i="13"/>
  <c r="Y297" i="13"/>
  <c r="Z297" i="13"/>
  <c r="P352" i="13"/>
  <c r="Q352" i="13"/>
  <c r="R352" i="13"/>
  <c r="S352" i="13"/>
  <c r="T352" i="13"/>
  <c r="U352" i="13"/>
  <c r="V352" i="13"/>
  <c r="W352" i="13"/>
  <c r="X352" i="13"/>
  <c r="Y352" i="13"/>
  <c r="Z352" i="13"/>
  <c r="L70" i="13"/>
  <c r="K69" i="13"/>
  <c r="AB69" i="13" s="1"/>
  <c r="N69" i="13"/>
  <c r="H69" i="13"/>
  <c r="L24" i="13"/>
  <c r="N23" i="13"/>
  <c r="K23" i="13"/>
  <c r="AB23" i="13" s="1"/>
  <c r="H23" i="13"/>
  <c r="P390" i="13"/>
  <c r="Q390" i="13"/>
  <c r="R390" i="13"/>
  <c r="S390" i="13"/>
  <c r="T390" i="13"/>
  <c r="U390" i="13"/>
  <c r="V390" i="13"/>
  <c r="W390" i="13"/>
  <c r="X390" i="13"/>
  <c r="Y390" i="13"/>
  <c r="Z390" i="13"/>
  <c r="P159" i="13"/>
  <c r="Q159" i="13"/>
  <c r="R159" i="13"/>
  <c r="S159" i="13"/>
  <c r="T159" i="13"/>
  <c r="U159" i="13"/>
  <c r="V159" i="13"/>
  <c r="W159" i="13"/>
  <c r="X159" i="13"/>
  <c r="Y159" i="13"/>
  <c r="Z159" i="13"/>
  <c r="N207" i="13"/>
  <c r="H207" i="13"/>
  <c r="K207" i="13"/>
  <c r="AB207" i="13" s="1"/>
  <c r="L208" i="13"/>
  <c r="K253" i="13"/>
  <c r="AB253" i="13" s="1"/>
  <c r="L254" i="13"/>
  <c r="H253" i="13"/>
  <c r="N253" i="13"/>
  <c r="K298" i="13"/>
  <c r="AB298" i="13" s="1"/>
  <c r="L299" i="13"/>
  <c r="H298" i="13"/>
  <c r="N298" i="13"/>
  <c r="N391" i="13"/>
  <c r="H391" i="13"/>
  <c r="L392" i="13"/>
  <c r="K391" i="13"/>
  <c r="AB391" i="13" s="1"/>
  <c r="AH6" i="13"/>
  <c r="V39" i="10"/>
  <c r="V47" i="10" s="1"/>
  <c r="AB436" i="13"/>
  <c r="AB435" i="13"/>
  <c r="AB434" i="13"/>
  <c r="AB433" i="13"/>
  <c r="AB432" i="13"/>
  <c r="AB431" i="13"/>
  <c r="AB430" i="13"/>
  <c r="AB429" i="13"/>
  <c r="AB428" i="13"/>
  <c r="AB427" i="13"/>
  <c r="AB426" i="13"/>
  <c r="AB425" i="13"/>
  <c r="AB424" i="13"/>
  <c r="AB423" i="13"/>
  <c r="AB422" i="13"/>
  <c r="AB421" i="13"/>
  <c r="AB389" i="13"/>
  <c r="AB387" i="13"/>
  <c r="AB385" i="13"/>
  <c r="AB383" i="13"/>
  <c r="AB381" i="13"/>
  <c r="AB379" i="13"/>
  <c r="AB377" i="13"/>
  <c r="AB375" i="13"/>
  <c r="AB388" i="13"/>
  <c r="AB380" i="13"/>
  <c r="AB352" i="13"/>
  <c r="AB350" i="13"/>
  <c r="AB348" i="13"/>
  <c r="AB346" i="13"/>
  <c r="AB344" i="13"/>
  <c r="AB342" i="13"/>
  <c r="AB340" i="13"/>
  <c r="AB252" i="13"/>
  <c r="AB251" i="13"/>
  <c r="AB250" i="13"/>
  <c r="AB249" i="13"/>
  <c r="AB248" i="13"/>
  <c r="AB247" i="13"/>
  <c r="AB246" i="13"/>
  <c r="AB245" i="13"/>
  <c r="AB244" i="13"/>
  <c r="AB243" i="13"/>
  <c r="AB242" i="13"/>
  <c r="AB241" i="13"/>
  <c r="AB240" i="13"/>
  <c r="AB239" i="13"/>
  <c r="AB238" i="13"/>
  <c r="AB237" i="13"/>
  <c r="AB390" i="13"/>
  <c r="AB382" i="13"/>
  <c r="AB386" i="13"/>
  <c r="AB345" i="13"/>
  <c r="AB339" i="13"/>
  <c r="AB337" i="13"/>
  <c r="AB335" i="13"/>
  <c r="AB333" i="13"/>
  <c r="AB331" i="13"/>
  <c r="AB376" i="13"/>
  <c r="AB347" i="13"/>
  <c r="AB329" i="13"/>
  <c r="AB378" i="13"/>
  <c r="AB349" i="13"/>
  <c r="AB341" i="13"/>
  <c r="AB338" i="13"/>
  <c r="AB336" i="13"/>
  <c r="AB334" i="13"/>
  <c r="AB332" i="13"/>
  <c r="AB330" i="13"/>
  <c r="AB351" i="13"/>
  <c r="AB296" i="13"/>
  <c r="AB294" i="13"/>
  <c r="AB292" i="13"/>
  <c r="AB290" i="13"/>
  <c r="AB288" i="13"/>
  <c r="AB286" i="13"/>
  <c r="AB284" i="13"/>
  <c r="AB206" i="13"/>
  <c r="AB204" i="13"/>
  <c r="AB297" i="13"/>
  <c r="AB295" i="13"/>
  <c r="AB293" i="13"/>
  <c r="AB291" i="13"/>
  <c r="AB289" i="13"/>
  <c r="AB287" i="13"/>
  <c r="AB285" i="13"/>
  <c r="AB283" i="13"/>
  <c r="AB343" i="13"/>
  <c r="AB205" i="13"/>
  <c r="AB159" i="13"/>
  <c r="AB158" i="13"/>
  <c r="AB157" i="13"/>
  <c r="AB156" i="13"/>
  <c r="AB155" i="13"/>
  <c r="AB154" i="13"/>
  <c r="AB153" i="13"/>
  <c r="AB152" i="13"/>
  <c r="AB151" i="13"/>
  <c r="AB150" i="13"/>
  <c r="AB149" i="13"/>
  <c r="AB148" i="13"/>
  <c r="AB147" i="13"/>
  <c r="AB146" i="13"/>
  <c r="AB145" i="13"/>
  <c r="AB384" i="13"/>
  <c r="AB202" i="13"/>
  <c r="AB200" i="13"/>
  <c r="AB198" i="13"/>
  <c r="AB196" i="13"/>
  <c r="AB194" i="13"/>
  <c r="AB192" i="13"/>
  <c r="AB195" i="13"/>
  <c r="AB113" i="13"/>
  <c r="AB112" i="13"/>
  <c r="AB111" i="13"/>
  <c r="AB110" i="13"/>
  <c r="AB109" i="13"/>
  <c r="AB108" i="13"/>
  <c r="AB107" i="13"/>
  <c r="AB106" i="13"/>
  <c r="AB105" i="13"/>
  <c r="AB104" i="13"/>
  <c r="AB103" i="13"/>
  <c r="AB102" i="13"/>
  <c r="AB101" i="13"/>
  <c r="AB100" i="13"/>
  <c r="AB203" i="13"/>
  <c r="AB201" i="13"/>
  <c r="AB193" i="13"/>
  <c r="AB191" i="13"/>
  <c r="AB199" i="13"/>
  <c r="AB53" i="13"/>
  <c r="AB22" i="13"/>
  <c r="AB21" i="13"/>
  <c r="AB20" i="13"/>
  <c r="AB19" i="13"/>
  <c r="AB67" i="13"/>
  <c r="AB65" i="13"/>
  <c r="AB63" i="13"/>
  <c r="AB61" i="13"/>
  <c r="AB59" i="13"/>
  <c r="AB57" i="13"/>
  <c r="AB55" i="13"/>
  <c r="AB18" i="13"/>
  <c r="AB17" i="13"/>
  <c r="AB16" i="13"/>
  <c r="AB15" i="13"/>
  <c r="AB14" i="13"/>
  <c r="AB13" i="13"/>
  <c r="AB12" i="13"/>
  <c r="AB11" i="13"/>
  <c r="AB10" i="13"/>
  <c r="AB9" i="13"/>
  <c r="AB8" i="13"/>
  <c r="AB7" i="13"/>
  <c r="AB99" i="13"/>
  <c r="AB68" i="13"/>
  <c r="AB66" i="13"/>
  <c r="AB2" i="13" s="1"/>
  <c r="AB64" i="13"/>
  <c r="AB62" i="13"/>
  <c r="AB60" i="13"/>
  <c r="AB58" i="13"/>
  <c r="AB56" i="13"/>
  <c r="AB54" i="13"/>
  <c r="AB197" i="13"/>
  <c r="AC5" i="13"/>
  <c r="N160" i="13"/>
  <c r="H160" i="13"/>
  <c r="L161" i="13"/>
  <c r="K160" i="13"/>
  <c r="AB160" i="13" s="1"/>
  <c r="P436" i="13"/>
  <c r="Q436" i="13"/>
  <c r="R436" i="13"/>
  <c r="S436" i="13"/>
  <c r="T436" i="13"/>
  <c r="U436" i="13"/>
  <c r="V436" i="13"/>
  <c r="W436" i="13"/>
  <c r="X436" i="13"/>
  <c r="Y436" i="13"/>
  <c r="Z436" i="13"/>
  <c r="P252" i="13"/>
  <c r="Q252" i="13"/>
  <c r="R252" i="13"/>
  <c r="S252" i="13"/>
  <c r="T252" i="13"/>
  <c r="U252" i="13"/>
  <c r="V252" i="13"/>
  <c r="W252" i="13"/>
  <c r="X252" i="13"/>
  <c r="Y252" i="13"/>
  <c r="Z252" i="13"/>
  <c r="V70" i="10"/>
  <c r="P22" i="13"/>
  <c r="Q22" i="13"/>
  <c r="R22" i="13"/>
  <c r="S22" i="13"/>
  <c r="T22" i="13"/>
  <c r="U22" i="13"/>
  <c r="V22" i="13"/>
  <c r="W22" i="13"/>
  <c r="X22" i="13"/>
  <c r="Y22" i="13"/>
  <c r="Z22" i="13"/>
  <c r="P113" i="13"/>
  <c r="Q113" i="13"/>
  <c r="R113" i="13"/>
  <c r="S113" i="13"/>
  <c r="T113" i="13"/>
  <c r="U113" i="13"/>
  <c r="V113" i="13"/>
  <c r="W113" i="13"/>
  <c r="X113" i="13"/>
  <c r="Y113" i="13"/>
  <c r="Z113" i="13"/>
  <c r="N437" i="13"/>
  <c r="H437" i="13"/>
  <c r="L438" i="13"/>
  <c r="K437" i="13"/>
  <c r="Y5" i="10"/>
  <c r="X4" i="10"/>
  <c r="K353" i="13"/>
  <c r="N353" i="13"/>
  <c r="L354" i="13"/>
  <c r="H353" i="13"/>
  <c r="P68" i="13"/>
  <c r="Q68" i="13"/>
  <c r="R68" i="13"/>
  <c r="S68" i="13"/>
  <c r="T68" i="13"/>
  <c r="U68" i="13"/>
  <c r="V68" i="13"/>
  <c r="W68" i="13"/>
  <c r="X68" i="13"/>
  <c r="Y68" i="13"/>
  <c r="Z68" i="13"/>
  <c r="W86" i="10" l="1"/>
  <c r="Y114" i="10"/>
  <c r="Y115" i="10" s="1"/>
  <c r="Y116" i="10" s="1"/>
  <c r="X45" i="10"/>
  <c r="X50" i="10" s="1"/>
  <c r="X30" i="10"/>
  <c r="X29" i="10"/>
  <c r="X36" i="10"/>
  <c r="X37" i="10"/>
  <c r="X13" i="10"/>
  <c r="X32" i="10"/>
  <c r="X26" i="10"/>
  <c r="X21" i="10"/>
  <c r="X24" i="10"/>
  <c r="X27" i="10"/>
  <c r="X38" i="10"/>
  <c r="X22" i="10"/>
  <c r="X19" i="10"/>
  <c r="X35" i="10"/>
  <c r="X11" i="10"/>
  <c r="X63" i="10"/>
  <c r="X58" i="10"/>
  <c r="X14" i="10"/>
  <c r="X28" i="10"/>
  <c r="X15" i="10"/>
  <c r="X23" i="10"/>
  <c r="X31" i="10"/>
  <c r="X16" i="10"/>
  <c r="X43" i="10"/>
  <c r="X61" i="10"/>
  <c r="X68" i="10"/>
  <c r="X64" i="10"/>
  <c r="X69" i="10"/>
  <c r="X65" i="10"/>
  <c r="X12" i="10"/>
  <c r="X18" i="10"/>
  <c r="X34" i="10"/>
  <c r="X17" i="10"/>
  <c r="X25" i="10"/>
  <c r="X33" i="10"/>
  <c r="X20" i="10"/>
  <c r="Y128" i="10"/>
  <c r="X10" i="10"/>
  <c r="X59" i="10"/>
  <c r="X67" i="10"/>
  <c r="X62" i="10"/>
  <c r="V48" i="10"/>
  <c r="T74" i="10"/>
  <c r="T71" i="10"/>
  <c r="X56" i="10"/>
  <c r="X57" i="10"/>
  <c r="X66" i="10"/>
  <c r="W39" i="10"/>
  <c r="W47" i="10" s="1"/>
  <c r="W70" i="10"/>
  <c r="U52" i="10"/>
  <c r="N208" i="13"/>
  <c r="H208" i="13"/>
  <c r="L209" i="13"/>
  <c r="K208" i="13"/>
  <c r="AC208" i="13" s="1"/>
  <c r="P23" i="13"/>
  <c r="Q23" i="13"/>
  <c r="R23" i="13"/>
  <c r="S23" i="13"/>
  <c r="T23" i="13"/>
  <c r="U23" i="13"/>
  <c r="V23" i="13"/>
  <c r="W23" i="13"/>
  <c r="X23" i="13"/>
  <c r="Y23" i="13"/>
  <c r="Z23" i="13"/>
  <c r="AA23" i="13"/>
  <c r="S17" i="9"/>
  <c r="T14" i="9" s="1"/>
  <c r="S15" i="9"/>
  <c r="N115" i="13"/>
  <c r="H115" i="13"/>
  <c r="L116" i="13"/>
  <c r="K115" i="13"/>
  <c r="AC115" i="13" s="1"/>
  <c r="P353" i="13"/>
  <c r="Q353" i="13"/>
  <c r="R353" i="13"/>
  <c r="S353" i="13"/>
  <c r="T353" i="13"/>
  <c r="U353" i="13"/>
  <c r="V353" i="13"/>
  <c r="W353" i="13"/>
  <c r="X353" i="13"/>
  <c r="Y353" i="13"/>
  <c r="Z353" i="13"/>
  <c r="AA353" i="13"/>
  <c r="Y4" i="10"/>
  <c r="Z5" i="10"/>
  <c r="P437" i="13"/>
  <c r="Q437" i="13"/>
  <c r="R437" i="13"/>
  <c r="S437" i="13"/>
  <c r="T437" i="13"/>
  <c r="U437" i="13"/>
  <c r="V437" i="13"/>
  <c r="W437" i="13"/>
  <c r="X437" i="13"/>
  <c r="Y437" i="13"/>
  <c r="Z437" i="13"/>
  <c r="AA437" i="13"/>
  <c r="AB353" i="13"/>
  <c r="AI6" i="13"/>
  <c r="AJ6" i="13" s="1"/>
  <c r="AK6" i="13" s="1"/>
  <c r="AL6" i="13" s="1"/>
  <c r="AM6" i="13" s="1"/>
  <c r="AN6" i="13" s="1"/>
  <c r="AO6" i="13" s="1"/>
  <c r="AP6" i="13" s="1"/>
  <c r="AQ6" i="13" s="1"/>
  <c r="AR6" i="13" s="1"/>
  <c r="AS6" i="13" s="1"/>
  <c r="AT6" i="13" s="1"/>
  <c r="AU6" i="13" s="1"/>
  <c r="AV6" i="13" s="1"/>
  <c r="AW6" i="13" s="1"/>
  <c r="AX6" i="13" s="1"/>
  <c r="AY6" i="13" s="1"/>
  <c r="AZ6" i="13" s="1"/>
  <c r="BA6" i="13" s="1"/>
  <c r="BB6" i="13" s="1"/>
  <c r="BC6" i="13" s="1"/>
  <c r="BD6" i="13" s="1"/>
  <c r="BE6" i="13" s="1"/>
  <c r="BF6" i="13" s="1"/>
  <c r="BG6" i="13" s="1"/>
  <c r="BH6" i="13" s="1"/>
  <c r="BI6" i="13" s="1"/>
  <c r="BJ6" i="13" s="1"/>
  <c r="BK6" i="13" s="1"/>
  <c r="BL6" i="13" s="1"/>
  <c r="BM6" i="13" s="1"/>
  <c r="P207" i="13"/>
  <c r="Q207" i="13"/>
  <c r="R207" i="13"/>
  <c r="S207" i="13"/>
  <c r="T207" i="13"/>
  <c r="U207" i="13"/>
  <c r="V207" i="13"/>
  <c r="W207" i="13"/>
  <c r="X207" i="13"/>
  <c r="Y207" i="13"/>
  <c r="Z207" i="13"/>
  <c r="AA207" i="13"/>
  <c r="P69" i="13"/>
  <c r="Q69" i="13"/>
  <c r="R69" i="13"/>
  <c r="S69" i="13"/>
  <c r="T69" i="13"/>
  <c r="U69" i="13"/>
  <c r="V69" i="13"/>
  <c r="W69" i="13"/>
  <c r="X69" i="13"/>
  <c r="Y69" i="13"/>
  <c r="Z69" i="13"/>
  <c r="AA69" i="13"/>
  <c r="P160" i="13"/>
  <c r="Q160" i="13"/>
  <c r="R160" i="13"/>
  <c r="S160" i="13"/>
  <c r="T160" i="13"/>
  <c r="U160" i="13"/>
  <c r="V160" i="13"/>
  <c r="W160" i="13"/>
  <c r="X160" i="13"/>
  <c r="Y160" i="13"/>
  <c r="Z160" i="13"/>
  <c r="AA160" i="13"/>
  <c r="AC437" i="13"/>
  <c r="AC436" i="13"/>
  <c r="AC353" i="13"/>
  <c r="AC352" i="13"/>
  <c r="AC351" i="13"/>
  <c r="AC350" i="13"/>
  <c r="AC349" i="13"/>
  <c r="AC348" i="13"/>
  <c r="AC347" i="13"/>
  <c r="AC346" i="13"/>
  <c r="AC345" i="13"/>
  <c r="AC344" i="13"/>
  <c r="AC343" i="13"/>
  <c r="AC342" i="13"/>
  <c r="AC341" i="13"/>
  <c r="AC340" i="13"/>
  <c r="AC434" i="13"/>
  <c r="AC432" i="13"/>
  <c r="AC430" i="13"/>
  <c r="AC428" i="13"/>
  <c r="AC426" i="13"/>
  <c r="AC424" i="13"/>
  <c r="AC422" i="13"/>
  <c r="AC435" i="13"/>
  <c r="AC431" i="13"/>
  <c r="AC427" i="13"/>
  <c r="AC423" i="13"/>
  <c r="AC390" i="13"/>
  <c r="AC389" i="13"/>
  <c r="AC382" i="13"/>
  <c r="AC381" i="13"/>
  <c r="AC298" i="13"/>
  <c r="AC297" i="13"/>
  <c r="AC296" i="13"/>
  <c r="AC295" i="13"/>
  <c r="AC294" i="13"/>
  <c r="AC293" i="13"/>
  <c r="AC292" i="13"/>
  <c r="AC291" i="13"/>
  <c r="AC290" i="13"/>
  <c r="AC289" i="13"/>
  <c r="AC288" i="13"/>
  <c r="AC287" i="13"/>
  <c r="AC286" i="13"/>
  <c r="AC285" i="13"/>
  <c r="AC284" i="13"/>
  <c r="AC283" i="13"/>
  <c r="AC391" i="13"/>
  <c r="AC384" i="13"/>
  <c r="AC383" i="13"/>
  <c r="AC376" i="13"/>
  <c r="AC433" i="13"/>
  <c r="AC425" i="13"/>
  <c r="AC388" i="13"/>
  <c r="AC387" i="13"/>
  <c r="AC329" i="13"/>
  <c r="AC421" i="13"/>
  <c r="AC378" i="13"/>
  <c r="AC377" i="13"/>
  <c r="AC375" i="13"/>
  <c r="AC338" i="13"/>
  <c r="AC336" i="13"/>
  <c r="AC334" i="13"/>
  <c r="AC332" i="13"/>
  <c r="AC330" i="13"/>
  <c r="AC429" i="13"/>
  <c r="AC380" i="13"/>
  <c r="AC379" i="13"/>
  <c r="AC202" i="13"/>
  <c r="AC201" i="13"/>
  <c r="AC200" i="13"/>
  <c r="AC199" i="13"/>
  <c r="AC198" i="13"/>
  <c r="AC197" i="13"/>
  <c r="AC196" i="13"/>
  <c r="AC195" i="13"/>
  <c r="AC194" i="13"/>
  <c r="AC193" i="13"/>
  <c r="AC192" i="13"/>
  <c r="AC191" i="13"/>
  <c r="AC337" i="13"/>
  <c r="AC331" i="13"/>
  <c r="AC253" i="13"/>
  <c r="AC251" i="13"/>
  <c r="AC249" i="13"/>
  <c r="AC247" i="13"/>
  <c r="AC245" i="13"/>
  <c r="AC243" i="13"/>
  <c r="AC241" i="13"/>
  <c r="AC239" i="13"/>
  <c r="AC237" i="13"/>
  <c r="AC207" i="13"/>
  <c r="AC333" i="13"/>
  <c r="AC385" i="13"/>
  <c r="AC339" i="13"/>
  <c r="AC252" i="13"/>
  <c r="AC244" i="13"/>
  <c r="AC206" i="13"/>
  <c r="AC250" i="13"/>
  <c r="AC242" i="13"/>
  <c r="AC69" i="13"/>
  <c r="AC68" i="13"/>
  <c r="AC67" i="13"/>
  <c r="AC66" i="13"/>
  <c r="AC2" i="13" s="1"/>
  <c r="AC65" i="13"/>
  <c r="AC64" i="13"/>
  <c r="AC63" i="13"/>
  <c r="AC62" i="13"/>
  <c r="AC61" i="13"/>
  <c r="AC60" i="13"/>
  <c r="AC59" i="13"/>
  <c r="AC58" i="13"/>
  <c r="AC57" i="13"/>
  <c r="AC56" i="13"/>
  <c r="AC55" i="13"/>
  <c r="AC54" i="13"/>
  <c r="AC53" i="13"/>
  <c r="AC248" i="13"/>
  <c r="AC240" i="13"/>
  <c r="AC203" i="13"/>
  <c r="AC99" i="13"/>
  <c r="AC205" i="13"/>
  <c r="AC204" i="13"/>
  <c r="AC386" i="13"/>
  <c r="AC246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13" i="13"/>
  <c r="AC111" i="13"/>
  <c r="AC109" i="13"/>
  <c r="AC107" i="13"/>
  <c r="AC105" i="13"/>
  <c r="AC103" i="13"/>
  <c r="AC101" i="13"/>
  <c r="AC19" i="13"/>
  <c r="AC335" i="13"/>
  <c r="AC23" i="13"/>
  <c r="AC22" i="13"/>
  <c r="AC21" i="13"/>
  <c r="AC20" i="13"/>
  <c r="AD5" i="13"/>
  <c r="AC238" i="13"/>
  <c r="AC114" i="13"/>
  <c r="AC112" i="13"/>
  <c r="AC110" i="13"/>
  <c r="AC108" i="13"/>
  <c r="AC106" i="13"/>
  <c r="AC104" i="13"/>
  <c r="AC102" i="13"/>
  <c r="AC100" i="13"/>
  <c r="AC7" i="13"/>
  <c r="AC17" i="13"/>
  <c r="AC15" i="13"/>
  <c r="AC13" i="13"/>
  <c r="AC11" i="13"/>
  <c r="AC9" i="13"/>
  <c r="AC18" i="13"/>
  <c r="AC16" i="13"/>
  <c r="AC14" i="13"/>
  <c r="AC12" i="13"/>
  <c r="AC10" i="13"/>
  <c r="AC8" i="13"/>
  <c r="AB437" i="13"/>
  <c r="P391" i="13"/>
  <c r="Q391" i="13"/>
  <c r="R391" i="13"/>
  <c r="S391" i="13"/>
  <c r="T391" i="13"/>
  <c r="U391" i="13"/>
  <c r="V391" i="13"/>
  <c r="W391" i="13"/>
  <c r="X391" i="13"/>
  <c r="Y391" i="13"/>
  <c r="Z391" i="13"/>
  <c r="AA391" i="13"/>
  <c r="K299" i="13"/>
  <c r="AC299" i="13" s="1"/>
  <c r="N299" i="13"/>
  <c r="H299" i="13"/>
  <c r="L300" i="13"/>
  <c r="L255" i="13"/>
  <c r="H254" i="13"/>
  <c r="N254" i="13"/>
  <c r="K254" i="13"/>
  <c r="L25" i="13"/>
  <c r="N24" i="13"/>
  <c r="K24" i="13"/>
  <c r="AC24" i="13" s="1"/>
  <c r="H24" i="13"/>
  <c r="L71" i="13"/>
  <c r="K70" i="13"/>
  <c r="AC70" i="13" s="1"/>
  <c r="N70" i="13"/>
  <c r="H70" i="13"/>
  <c r="X7" i="10" a="1"/>
  <c r="X7" i="10" s="1"/>
  <c r="X6" i="10" s="1"/>
  <c r="X49" i="10" s="1"/>
  <c r="Y3" i="10"/>
  <c r="Y35" i="10" s="1"/>
  <c r="X84" i="10"/>
  <c r="X86" i="10" s="1"/>
  <c r="X90" i="10"/>
  <c r="N438" i="13"/>
  <c r="H438" i="13"/>
  <c r="L439" i="13"/>
  <c r="K438" i="13"/>
  <c r="AC438" i="13" s="1"/>
  <c r="K354" i="13"/>
  <c r="AC354" i="13" s="1"/>
  <c r="N354" i="13"/>
  <c r="L355" i="13"/>
  <c r="H354" i="13"/>
  <c r="N161" i="13"/>
  <c r="H161" i="13"/>
  <c r="L162" i="13"/>
  <c r="K161" i="13"/>
  <c r="N392" i="13"/>
  <c r="H392" i="13"/>
  <c r="L393" i="13"/>
  <c r="K392" i="13"/>
  <c r="P298" i="13"/>
  <c r="Q298" i="13"/>
  <c r="R298" i="13"/>
  <c r="S298" i="13"/>
  <c r="T298" i="13"/>
  <c r="U298" i="13"/>
  <c r="V298" i="13"/>
  <c r="W298" i="13"/>
  <c r="X298" i="13"/>
  <c r="Y298" i="13"/>
  <c r="Z298" i="13"/>
  <c r="AA298" i="13"/>
  <c r="P253" i="13"/>
  <c r="Q253" i="13"/>
  <c r="R253" i="13"/>
  <c r="S253" i="13"/>
  <c r="T253" i="13"/>
  <c r="U253" i="13"/>
  <c r="V253" i="13"/>
  <c r="W253" i="13"/>
  <c r="X253" i="13"/>
  <c r="Y253" i="13"/>
  <c r="Z253" i="13"/>
  <c r="AA253" i="13"/>
  <c r="P114" i="13"/>
  <c r="Q114" i="13"/>
  <c r="R114" i="13"/>
  <c r="S114" i="13"/>
  <c r="T114" i="13"/>
  <c r="U114" i="13"/>
  <c r="V114" i="13"/>
  <c r="W114" i="13"/>
  <c r="X114" i="13"/>
  <c r="Y114" i="13"/>
  <c r="Z114" i="13"/>
  <c r="AA114" i="13"/>
  <c r="U72" i="10" l="1"/>
  <c r="Z114" i="10"/>
  <c r="Z115" i="10" s="1"/>
  <c r="Z116" i="10" s="1"/>
  <c r="Y45" i="10"/>
  <c r="X70" i="10"/>
  <c r="X39" i="10"/>
  <c r="X47" i="10" s="1"/>
  <c r="Y58" i="10"/>
  <c r="Y57" i="10"/>
  <c r="Y59" i="10"/>
  <c r="Y65" i="10"/>
  <c r="U71" i="10"/>
  <c r="W48" i="10"/>
  <c r="Y43" i="10"/>
  <c r="Y68" i="10"/>
  <c r="Y64" i="10"/>
  <c r="Y69" i="10"/>
  <c r="Y56" i="10"/>
  <c r="Y63" i="10"/>
  <c r="Y67" i="10"/>
  <c r="Y62" i="10"/>
  <c r="Y11" i="10"/>
  <c r="Z128" i="10"/>
  <c r="Y61" i="10"/>
  <c r="Y66" i="10"/>
  <c r="Y60" i="10"/>
  <c r="Y10" i="10"/>
  <c r="V52" i="10"/>
  <c r="P392" i="13"/>
  <c r="Q392" i="13"/>
  <c r="R392" i="13"/>
  <c r="S392" i="13"/>
  <c r="T392" i="13"/>
  <c r="U392" i="13"/>
  <c r="V392" i="13"/>
  <c r="W392" i="13"/>
  <c r="X392" i="13"/>
  <c r="Y392" i="13"/>
  <c r="Z392" i="13"/>
  <c r="AA392" i="13"/>
  <c r="AB392" i="13"/>
  <c r="K355" i="13"/>
  <c r="AD355" i="13" s="1"/>
  <c r="N355" i="13"/>
  <c r="L356" i="13"/>
  <c r="H355" i="13"/>
  <c r="N439" i="13"/>
  <c r="H439" i="13"/>
  <c r="L440" i="13"/>
  <c r="K439" i="13"/>
  <c r="AD439" i="13" s="1"/>
  <c r="L72" i="13"/>
  <c r="K71" i="13"/>
  <c r="AD71" i="13" s="1"/>
  <c r="N71" i="13"/>
  <c r="H71" i="13"/>
  <c r="L26" i="13"/>
  <c r="N25" i="13"/>
  <c r="K25" i="13"/>
  <c r="AD25" i="13" s="1"/>
  <c r="H25" i="13"/>
  <c r="Y18" i="10"/>
  <c r="Y32" i="10"/>
  <c r="Y16" i="10"/>
  <c r="Y36" i="10"/>
  <c r="Y15" i="10"/>
  <c r="Y23" i="10"/>
  <c r="Y31" i="10"/>
  <c r="N209" i="13"/>
  <c r="H209" i="13"/>
  <c r="K209" i="13"/>
  <c r="AD209" i="13" s="1"/>
  <c r="L210" i="13"/>
  <c r="N393" i="13"/>
  <c r="H393" i="13"/>
  <c r="L394" i="13"/>
  <c r="K393" i="13"/>
  <c r="AD393" i="13" s="1"/>
  <c r="K255" i="13"/>
  <c r="AD255" i="13" s="1"/>
  <c r="L256" i="13"/>
  <c r="H255" i="13"/>
  <c r="N255" i="13"/>
  <c r="P299" i="13"/>
  <c r="Q299" i="13"/>
  <c r="R299" i="13"/>
  <c r="S299" i="13"/>
  <c r="T299" i="13"/>
  <c r="U299" i="13"/>
  <c r="V299" i="13"/>
  <c r="W299" i="13"/>
  <c r="X299" i="13"/>
  <c r="Y299" i="13"/>
  <c r="Z299" i="13"/>
  <c r="AA299" i="13"/>
  <c r="AB299" i="13"/>
  <c r="Y22" i="10"/>
  <c r="Y34" i="10"/>
  <c r="Y20" i="10"/>
  <c r="Y17" i="10"/>
  <c r="Y25" i="10"/>
  <c r="Y33" i="10"/>
  <c r="P115" i="13"/>
  <c r="Q115" i="13"/>
  <c r="R115" i="13"/>
  <c r="S115" i="13"/>
  <c r="T115" i="13"/>
  <c r="U115" i="13"/>
  <c r="V115" i="13"/>
  <c r="W115" i="13"/>
  <c r="X115" i="13"/>
  <c r="Y115" i="13"/>
  <c r="Z115" i="13"/>
  <c r="AA115" i="13"/>
  <c r="AB115" i="13"/>
  <c r="U74" i="10"/>
  <c r="P161" i="13"/>
  <c r="Q161" i="13"/>
  <c r="R161" i="13"/>
  <c r="S161" i="13"/>
  <c r="T161" i="13"/>
  <c r="U161" i="13"/>
  <c r="V161" i="13"/>
  <c r="W161" i="13"/>
  <c r="X161" i="13"/>
  <c r="Y161" i="13"/>
  <c r="Z161" i="13"/>
  <c r="AA161" i="13"/>
  <c r="AB161" i="13"/>
  <c r="P354" i="13"/>
  <c r="Q354" i="13"/>
  <c r="R354" i="13"/>
  <c r="S354" i="13"/>
  <c r="T354" i="13"/>
  <c r="U354" i="13"/>
  <c r="V354" i="13"/>
  <c r="W354" i="13"/>
  <c r="X354" i="13"/>
  <c r="Y354" i="13"/>
  <c r="Z354" i="13"/>
  <c r="AA354" i="13"/>
  <c r="AB35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P254" i="13"/>
  <c r="Q254" i="13"/>
  <c r="R254" i="13"/>
  <c r="S254" i="13"/>
  <c r="T254" i="13"/>
  <c r="U254" i="13"/>
  <c r="V254" i="13"/>
  <c r="W254" i="13"/>
  <c r="X254" i="13"/>
  <c r="Y254" i="13"/>
  <c r="Z254" i="13"/>
  <c r="AA254" i="13"/>
  <c r="AB254" i="13"/>
  <c r="K300" i="13"/>
  <c r="AD300" i="13" s="1"/>
  <c r="L301" i="13"/>
  <c r="H300" i="13"/>
  <c r="N300" i="13"/>
  <c r="AC161" i="13"/>
  <c r="AC392" i="13"/>
  <c r="Y12" i="10"/>
  <c r="Y28" i="10"/>
  <c r="Y38" i="10"/>
  <c r="Y24" i="10"/>
  <c r="Y19" i="10"/>
  <c r="Y27" i="10"/>
  <c r="N116" i="13"/>
  <c r="H116" i="13"/>
  <c r="L117" i="13"/>
  <c r="K116" i="13"/>
  <c r="AD116" i="13" s="1"/>
  <c r="T15" i="9"/>
  <c r="T17" i="9"/>
  <c r="U14" i="9" s="1"/>
  <c r="N162" i="13"/>
  <c r="H162" i="13"/>
  <c r="L163" i="13"/>
  <c r="K162" i="13"/>
  <c r="AD162" i="13" s="1"/>
  <c r="P438" i="13"/>
  <c r="Q438" i="13"/>
  <c r="R438" i="13"/>
  <c r="S438" i="13"/>
  <c r="T438" i="13"/>
  <c r="U438" i="13"/>
  <c r="V438" i="13"/>
  <c r="W438" i="13"/>
  <c r="X438" i="13"/>
  <c r="Y438" i="13"/>
  <c r="Z438" i="13"/>
  <c r="AA438" i="13"/>
  <c r="AB438" i="13"/>
  <c r="Y7" i="10" a="1"/>
  <c r="Y7" i="10" s="1"/>
  <c r="Y6" i="10" s="1"/>
  <c r="Y49" i="10" s="1"/>
  <c r="Z3" i="10"/>
  <c r="Z57" i="10" s="1"/>
  <c r="Y84" i="10"/>
  <c r="Y90" i="10"/>
  <c r="P70" i="13"/>
  <c r="Q70" i="13"/>
  <c r="R70" i="13"/>
  <c r="S70" i="13"/>
  <c r="T70" i="13"/>
  <c r="U70" i="13"/>
  <c r="V70" i="13"/>
  <c r="W70" i="13"/>
  <c r="X70" i="13"/>
  <c r="Y70" i="13"/>
  <c r="Z70" i="13"/>
  <c r="AA70" i="13"/>
  <c r="AB70" i="13"/>
  <c r="AD437" i="13"/>
  <c r="AD438" i="13"/>
  <c r="AD434" i="13"/>
  <c r="AD432" i="13"/>
  <c r="AD430" i="13"/>
  <c r="AD428" i="13"/>
  <c r="AD426" i="13"/>
  <c r="AD424" i="13"/>
  <c r="AD422" i="13"/>
  <c r="AD392" i="13"/>
  <c r="AD390" i="13"/>
  <c r="AD388" i="13"/>
  <c r="AD386" i="13"/>
  <c r="AD384" i="13"/>
  <c r="AD382" i="13"/>
  <c r="AD380" i="13"/>
  <c r="AD378" i="13"/>
  <c r="AD376" i="13"/>
  <c r="AD436" i="13"/>
  <c r="AD391" i="13"/>
  <c r="AD383" i="13"/>
  <c r="AD339" i="13"/>
  <c r="AD338" i="13"/>
  <c r="AD337" i="13"/>
  <c r="AD336" i="13"/>
  <c r="AD335" i="13"/>
  <c r="AD334" i="13"/>
  <c r="AD333" i="13"/>
  <c r="AD332" i="13"/>
  <c r="AD331" i="13"/>
  <c r="AD330" i="13"/>
  <c r="AD329" i="13"/>
  <c r="AD433" i="13"/>
  <c r="AD429" i="13"/>
  <c r="AD425" i="13"/>
  <c r="AD385" i="13"/>
  <c r="AD377" i="13"/>
  <c r="AD375" i="13"/>
  <c r="AD421" i="13"/>
  <c r="AD389" i="13"/>
  <c r="AD354" i="13"/>
  <c r="AD347" i="13"/>
  <c r="AD346" i="13"/>
  <c r="AD431" i="13"/>
  <c r="AD423" i="13"/>
  <c r="AD379" i="13"/>
  <c r="AD349" i="13"/>
  <c r="AD348" i="13"/>
  <c r="AD341" i="13"/>
  <c r="AD340" i="13"/>
  <c r="AD381" i="13"/>
  <c r="AD351" i="13"/>
  <c r="AD350" i="13"/>
  <c r="AD343" i="13"/>
  <c r="AD342" i="13"/>
  <c r="AD427" i="13"/>
  <c r="AD353" i="13"/>
  <c r="AD352" i="13"/>
  <c r="AD253" i="13"/>
  <c r="AD251" i="13"/>
  <c r="AD249" i="13"/>
  <c r="AD247" i="13"/>
  <c r="AD245" i="13"/>
  <c r="AD243" i="13"/>
  <c r="AD241" i="13"/>
  <c r="AD239" i="13"/>
  <c r="AD237" i="13"/>
  <c r="AD207" i="13"/>
  <c r="AD205" i="13"/>
  <c r="AD203" i="13"/>
  <c r="AD299" i="13"/>
  <c r="AD297" i="13"/>
  <c r="AD295" i="13"/>
  <c r="AD293" i="13"/>
  <c r="AD291" i="13"/>
  <c r="AD289" i="13"/>
  <c r="AD287" i="13"/>
  <c r="AD285" i="13"/>
  <c r="AD283" i="13"/>
  <c r="AD254" i="13"/>
  <c r="AD252" i="13"/>
  <c r="AD250" i="13"/>
  <c r="AD248" i="13"/>
  <c r="AD246" i="13"/>
  <c r="AD244" i="13"/>
  <c r="AD242" i="13"/>
  <c r="AD240" i="13"/>
  <c r="AD238" i="13"/>
  <c r="AD345" i="13"/>
  <c r="AD296" i="13"/>
  <c r="AD288" i="13"/>
  <c r="AD202" i="13"/>
  <c r="AD200" i="13"/>
  <c r="AD198" i="13"/>
  <c r="AD196" i="13"/>
  <c r="AD194" i="13"/>
  <c r="AD192" i="13"/>
  <c r="AD70" i="13"/>
  <c r="AD69" i="13"/>
  <c r="AD68" i="13"/>
  <c r="AD67" i="13"/>
  <c r="AD66" i="13"/>
  <c r="AD2" i="13" s="1"/>
  <c r="AD65" i="13"/>
  <c r="AD64" i="13"/>
  <c r="AD63" i="13"/>
  <c r="AD62" i="13"/>
  <c r="AD61" i="13"/>
  <c r="AD60" i="13"/>
  <c r="AD59" i="13"/>
  <c r="AD58" i="13"/>
  <c r="AD57" i="13"/>
  <c r="AD56" i="13"/>
  <c r="AD55" i="13"/>
  <c r="AD54" i="13"/>
  <c r="AD53" i="13"/>
  <c r="AD294" i="13"/>
  <c r="AD286" i="13"/>
  <c r="AD208" i="13"/>
  <c r="AD115" i="13"/>
  <c r="AD114" i="13"/>
  <c r="AD113" i="13"/>
  <c r="AD112" i="13"/>
  <c r="AD111" i="13"/>
  <c r="AD110" i="13"/>
  <c r="AD109" i="13"/>
  <c r="AD108" i="13"/>
  <c r="AD107" i="13"/>
  <c r="AD106" i="13"/>
  <c r="AD105" i="13"/>
  <c r="AD104" i="13"/>
  <c r="AD103" i="13"/>
  <c r="AD102" i="13"/>
  <c r="AD101" i="13"/>
  <c r="AD100" i="13"/>
  <c r="AD99" i="13"/>
  <c r="AD435" i="13"/>
  <c r="AD387" i="13"/>
  <c r="AD344" i="13"/>
  <c r="AD292" i="13"/>
  <c r="AD284" i="13"/>
  <c r="AD204" i="13"/>
  <c r="AD201" i="13"/>
  <c r="AD199" i="13"/>
  <c r="AD197" i="13"/>
  <c r="AD195" i="13"/>
  <c r="AD193" i="13"/>
  <c r="AD191" i="13"/>
  <c r="AD24" i="13"/>
  <c r="AD23" i="13"/>
  <c r="AD22" i="13"/>
  <c r="AD21" i="13"/>
  <c r="AD20" i="13"/>
  <c r="AD161" i="13"/>
  <c r="AD160" i="13"/>
  <c r="AD159" i="13"/>
  <c r="AD158" i="13"/>
  <c r="AD157" i="13"/>
  <c r="AD156" i="13"/>
  <c r="AD155" i="13"/>
  <c r="AD154" i="13"/>
  <c r="AD153" i="13"/>
  <c r="AD152" i="13"/>
  <c r="AD151" i="13"/>
  <c r="AD150" i="13"/>
  <c r="AD149" i="13"/>
  <c r="AD148" i="13"/>
  <c r="AD147" i="13"/>
  <c r="AD146" i="13"/>
  <c r="AD145" i="13"/>
  <c r="AD298" i="13"/>
  <c r="AD290" i="13"/>
  <c r="AD19" i="13"/>
  <c r="AE5" i="13"/>
  <c r="AD206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C254" i="13"/>
  <c r="AA5" i="10"/>
  <c r="Z4" i="10"/>
  <c r="Y14" i="10"/>
  <c r="Y30" i="10"/>
  <c r="Y26" i="10"/>
  <c r="Y13" i="10"/>
  <c r="Y21" i="10"/>
  <c r="Y29" i="10"/>
  <c r="Y37" i="10"/>
  <c r="P208" i="13"/>
  <c r="Q208" i="13"/>
  <c r="R208" i="13"/>
  <c r="S208" i="13"/>
  <c r="T208" i="13"/>
  <c r="U208" i="13"/>
  <c r="V208" i="13"/>
  <c r="W208" i="13"/>
  <c r="X208" i="13"/>
  <c r="Y208" i="13"/>
  <c r="Z208" i="13"/>
  <c r="AA208" i="13"/>
  <c r="AB208" i="13"/>
  <c r="Y86" i="10" l="1"/>
  <c r="Y50" i="10"/>
  <c r="AA114" i="10"/>
  <c r="AA115" i="10" s="1"/>
  <c r="AA116" i="10" s="1"/>
  <c r="X48" i="10"/>
  <c r="V74" i="10"/>
  <c r="V72" i="10"/>
  <c r="Z45" i="10"/>
  <c r="Z50" i="10" s="1"/>
  <c r="Z15" i="10"/>
  <c r="Z13" i="10"/>
  <c r="Z16" i="10"/>
  <c r="Z33" i="10"/>
  <c r="Z24" i="10"/>
  <c r="Z35" i="10"/>
  <c r="Z32" i="10"/>
  <c r="Z17" i="10"/>
  <c r="Z19" i="10"/>
  <c r="Z18" i="10"/>
  <c r="Z26" i="10"/>
  <c r="Z34" i="10"/>
  <c r="Z23" i="10"/>
  <c r="Z29" i="10"/>
  <c r="Z36" i="10"/>
  <c r="Z21" i="10"/>
  <c r="Z12" i="10"/>
  <c r="Z20" i="10"/>
  <c r="Z28" i="10"/>
  <c r="Z25" i="10"/>
  <c r="Z37" i="10"/>
  <c r="Z27" i="10"/>
  <c r="Z14" i="10"/>
  <c r="Z22" i="10"/>
  <c r="Z30" i="10"/>
  <c r="Z38" i="10"/>
  <c r="Z31" i="10"/>
  <c r="W52" i="10"/>
  <c r="Z68" i="10"/>
  <c r="Z60" i="10"/>
  <c r="Z11" i="10"/>
  <c r="Z56" i="10"/>
  <c r="Z64" i="10"/>
  <c r="AA128" i="10"/>
  <c r="V71" i="10"/>
  <c r="Z66" i="10"/>
  <c r="Z63" i="10"/>
  <c r="Z59" i="10"/>
  <c r="Z69" i="10"/>
  <c r="Z10" i="10"/>
  <c r="Z62" i="10"/>
  <c r="Z58" i="10"/>
  <c r="Z65" i="10"/>
  <c r="Z67" i="10"/>
  <c r="Z43" i="10"/>
  <c r="Z61" i="10"/>
  <c r="AB5" i="10"/>
  <c r="AA4" i="10"/>
  <c r="N163" i="13"/>
  <c r="H163" i="13"/>
  <c r="L164" i="13"/>
  <c r="K163" i="13"/>
  <c r="AE163" i="13" s="1"/>
  <c r="N117" i="13"/>
  <c r="H117" i="13"/>
  <c r="L118" i="13"/>
  <c r="K117" i="13"/>
  <c r="AE117" i="13" s="1"/>
  <c r="P300" i="13"/>
  <c r="Q300" i="13"/>
  <c r="R300" i="13"/>
  <c r="S300" i="13"/>
  <c r="T300" i="13"/>
  <c r="U300" i="13"/>
  <c r="V300" i="13"/>
  <c r="W300" i="13"/>
  <c r="X300" i="13"/>
  <c r="Y300" i="13"/>
  <c r="Z300" i="13"/>
  <c r="AA300" i="13"/>
  <c r="AB300" i="13"/>
  <c r="AC300" i="13"/>
  <c r="P439" i="13"/>
  <c r="Q439" i="13"/>
  <c r="R439" i="13"/>
  <c r="S439" i="13"/>
  <c r="T439" i="13"/>
  <c r="U439" i="13"/>
  <c r="V439" i="13"/>
  <c r="W439" i="13"/>
  <c r="X439" i="13"/>
  <c r="Y439" i="13"/>
  <c r="Z439" i="13"/>
  <c r="AA439" i="13"/>
  <c r="AB439" i="13"/>
  <c r="AC439" i="13"/>
  <c r="U15" i="9"/>
  <c r="U17" i="9"/>
  <c r="Y39" i="10"/>
  <c r="Y47" i="10" s="1"/>
  <c r="P393" i="13"/>
  <c r="Q393" i="13"/>
  <c r="R393" i="13"/>
  <c r="S393" i="13"/>
  <c r="T393" i="13"/>
  <c r="U393" i="13"/>
  <c r="V393" i="13"/>
  <c r="W393" i="13"/>
  <c r="X393" i="13"/>
  <c r="Y393" i="13"/>
  <c r="Z393" i="13"/>
  <c r="AA393" i="13"/>
  <c r="AB393" i="13"/>
  <c r="AC393" i="13"/>
  <c r="N210" i="13"/>
  <c r="H210" i="13"/>
  <c r="L211" i="13"/>
  <c r="K210" i="13"/>
  <c r="AE210" i="13" s="1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N440" i="13"/>
  <c r="H440" i="13"/>
  <c r="L441" i="13"/>
  <c r="K440" i="13"/>
  <c r="K356" i="13"/>
  <c r="AE356" i="13" s="1"/>
  <c r="N356" i="13"/>
  <c r="L357" i="13"/>
  <c r="H356" i="13"/>
  <c r="AE439" i="13"/>
  <c r="AE438" i="13"/>
  <c r="AE437" i="13"/>
  <c r="AE436" i="13"/>
  <c r="AE393" i="13"/>
  <c r="AE392" i="13"/>
  <c r="AE391" i="13"/>
  <c r="AE390" i="13"/>
  <c r="AE389" i="13"/>
  <c r="AE388" i="13"/>
  <c r="AE387" i="13"/>
  <c r="AE386" i="13"/>
  <c r="AE385" i="13"/>
  <c r="AE384" i="13"/>
  <c r="AE383" i="13"/>
  <c r="AE382" i="13"/>
  <c r="AE381" i="13"/>
  <c r="AE380" i="13"/>
  <c r="AE379" i="13"/>
  <c r="AE378" i="13"/>
  <c r="AE377" i="13"/>
  <c r="AE376" i="13"/>
  <c r="AE375" i="13"/>
  <c r="AE435" i="13"/>
  <c r="AE433" i="13"/>
  <c r="AE431" i="13"/>
  <c r="AE429" i="13"/>
  <c r="AE427" i="13"/>
  <c r="AE425" i="13"/>
  <c r="AE423" i="13"/>
  <c r="AE421" i="13"/>
  <c r="AE434" i="13"/>
  <c r="AE430" i="13"/>
  <c r="AE426" i="13"/>
  <c r="AE422" i="13"/>
  <c r="AE355" i="13"/>
  <c r="AE353" i="13"/>
  <c r="AE351" i="13"/>
  <c r="AE349" i="13"/>
  <c r="AE347" i="13"/>
  <c r="AE345" i="13"/>
  <c r="AE343" i="13"/>
  <c r="AE341" i="13"/>
  <c r="AE209" i="13"/>
  <c r="AE208" i="13"/>
  <c r="AE207" i="13"/>
  <c r="AE206" i="13"/>
  <c r="AE205" i="13"/>
  <c r="AE204" i="13"/>
  <c r="AE203" i="13"/>
  <c r="AE428" i="13"/>
  <c r="AE348" i="13"/>
  <c r="AE340" i="13"/>
  <c r="AE338" i="13"/>
  <c r="AE336" i="13"/>
  <c r="AE334" i="13"/>
  <c r="AE332" i="13"/>
  <c r="AE330" i="13"/>
  <c r="AE350" i="13"/>
  <c r="AE342" i="13"/>
  <c r="AE432" i="13"/>
  <c r="AE424" i="13"/>
  <c r="AE352" i="13"/>
  <c r="AE344" i="13"/>
  <c r="AE339" i="13"/>
  <c r="AE337" i="13"/>
  <c r="AE335" i="13"/>
  <c r="AE333" i="13"/>
  <c r="AE331" i="13"/>
  <c r="AE354" i="13"/>
  <c r="AE299" i="13"/>
  <c r="AE297" i="13"/>
  <c r="AE295" i="13"/>
  <c r="AE293" i="13"/>
  <c r="AE291" i="13"/>
  <c r="AE289" i="13"/>
  <c r="AE287" i="13"/>
  <c r="AE285" i="13"/>
  <c r="AE283" i="13"/>
  <c r="AE254" i="13"/>
  <c r="AE252" i="13"/>
  <c r="AE250" i="13"/>
  <c r="AE248" i="13"/>
  <c r="AE246" i="13"/>
  <c r="AE244" i="13"/>
  <c r="AE242" i="13"/>
  <c r="AE240" i="13"/>
  <c r="AE238" i="13"/>
  <c r="AE329" i="13"/>
  <c r="AE300" i="13"/>
  <c r="AE298" i="13"/>
  <c r="AE296" i="13"/>
  <c r="AE294" i="13"/>
  <c r="AE292" i="13"/>
  <c r="AE290" i="13"/>
  <c r="AE288" i="13"/>
  <c r="AE286" i="13"/>
  <c r="AE284" i="13"/>
  <c r="AE255" i="13"/>
  <c r="AE247" i="13"/>
  <c r="AE239" i="13"/>
  <c r="AE116" i="13"/>
  <c r="AE115" i="13"/>
  <c r="AE114" i="13"/>
  <c r="AE113" i="13"/>
  <c r="AE112" i="13"/>
  <c r="AE111" i="13"/>
  <c r="AE110" i="13"/>
  <c r="AE109" i="13"/>
  <c r="AE108" i="13"/>
  <c r="AE107" i="13"/>
  <c r="AE106" i="13"/>
  <c r="AE105" i="13"/>
  <c r="AE104" i="13"/>
  <c r="AE103" i="13"/>
  <c r="AE102" i="13"/>
  <c r="AE101" i="13"/>
  <c r="AE100" i="13"/>
  <c r="AE99" i="13"/>
  <c r="AE253" i="13"/>
  <c r="AE245" i="13"/>
  <c r="AE201" i="13"/>
  <c r="AE199" i="13"/>
  <c r="AE197" i="13"/>
  <c r="AE195" i="13"/>
  <c r="AE193" i="13"/>
  <c r="AE191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346" i="13"/>
  <c r="AE251" i="13"/>
  <c r="AE243" i="13"/>
  <c r="AE237" i="13"/>
  <c r="AE198" i="13"/>
  <c r="AE71" i="13"/>
  <c r="AE70" i="13"/>
  <c r="AE69" i="13"/>
  <c r="AE68" i="13"/>
  <c r="AE67" i="13"/>
  <c r="AE66" i="13"/>
  <c r="AE2" i="13" s="1"/>
  <c r="AE65" i="13"/>
  <c r="AE64" i="13"/>
  <c r="AE63" i="13"/>
  <c r="AE62" i="13"/>
  <c r="AE61" i="13"/>
  <c r="AE60" i="13"/>
  <c r="AE59" i="13"/>
  <c r="AE58" i="13"/>
  <c r="AE57" i="13"/>
  <c r="AE56" i="13"/>
  <c r="AE55" i="13"/>
  <c r="AE54" i="13"/>
  <c r="AE196" i="13"/>
  <c r="AE249" i="13"/>
  <c r="AE202" i="13"/>
  <c r="AE194" i="13"/>
  <c r="AE192" i="13"/>
  <c r="AE241" i="13"/>
  <c r="AF5" i="13"/>
  <c r="AE53" i="13"/>
  <c r="AE25" i="13"/>
  <c r="AE24" i="13"/>
  <c r="AE23" i="13"/>
  <c r="AE22" i="13"/>
  <c r="AE21" i="13"/>
  <c r="AE20" i="13"/>
  <c r="AE18" i="13"/>
  <c r="AE17" i="13"/>
  <c r="AE16" i="13"/>
  <c r="AE15" i="13"/>
  <c r="AE14" i="13"/>
  <c r="AE13" i="13"/>
  <c r="AE12" i="13"/>
  <c r="AE11" i="13"/>
  <c r="AE10" i="13"/>
  <c r="AE9" i="13"/>
  <c r="AE8" i="13"/>
  <c r="AE7" i="13"/>
  <c r="AE200" i="13"/>
  <c r="AE19" i="13"/>
  <c r="AA3" i="10"/>
  <c r="AA45" i="10" s="1"/>
  <c r="AA50" i="10" s="1"/>
  <c r="Z7" i="10" a="1"/>
  <c r="Z7" i="10" s="1"/>
  <c r="Z6" i="10" s="1"/>
  <c r="Z49" i="10" s="1"/>
  <c r="Z84" i="10"/>
  <c r="Z86" i="10" s="1"/>
  <c r="Z90" i="10"/>
  <c r="L257" i="13"/>
  <c r="H256" i="13"/>
  <c r="N256" i="13"/>
  <c r="K256" i="13"/>
  <c r="N394" i="13"/>
  <c r="H394" i="13"/>
  <c r="K394" i="13"/>
  <c r="L395" i="13"/>
  <c r="P209" i="13"/>
  <c r="Q209" i="13"/>
  <c r="R209" i="13"/>
  <c r="S209" i="13"/>
  <c r="T209" i="13"/>
  <c r="U209" i="13"/>
  <c r="V209" i="13"/>
  <c r="W209" i="13"/>
  <c r="X209" i="13"/>
  <c r="Y209" i="13"/>
  <c r="Z209" i="13"/>
  <c r="AA209" i="13"/>
  <c r="AB209" i="13"/>
  <c r="AC209" i="13"/>
  <c r="Y70" i="10"/>
  <c r="P71" i="13"/>
  <c r="Q71" i="13"/>
  <c r="R71" i="13"/>
  <c r="S71" i="13"/>
  <c r="T71" i="13"/>
  <c r="U71" i="13"/>
  <c r="V71" i="13"/>
  <c r="W71" i="13"/>
  <c r="X71" i="13"/>
  <c r="Y71" i="13"/>
  <c r="Z71" i="13"/>
  <c r="AA71" i="13"/>
  <c r="AB71" i="13"/>
  <c r="AC71" i="13"/>
  <c r="P162" i="13"/>
  <c r="Q162" i="13"/>
  <c r="R162" i="13"/>
  <c r="S162" i="13"/>
  <c r="T162" i="13"/>
  <c r="U162" i="13"/>
  <c r="V162" i="13"/>
  <c r="W162" i="13"/>
  <c r="X162" i="13"/>
  <c r="Y162" i="13"/>
  <c r="Z162" i="13"/>
  <c r="AA162" i="13"/>
  <c r="AB162" i="13"/>
  <c r="AC162" i="13"/>
  <c r="P116" i="13"/>
  <c r="Q116" i="13"/>
  <c r="R116" i="13"/>
  <c r="S116" i="13"/>
  <c r="T116" i="13"/>
  <c r="U116" i="13"/>
  <c r="V116" i="13"/>
  <c r="W116" i="13"/>
  <c r="X116" i="13"/>
  <c r="Y116" i="13"/>
  <c r="Z116" i="13"/>
  <c r="AA116" i="13"/>
  <c r="AB116" i="13"/>
  <c r="AC116" i="13"/>
  <c r="K301" i="13"/>
  <c r="N301" i="13"/>
  <c r="L302" i="13"/>
  <c r="H301" i="13"/>
  <c r="P255" i="13"/>
  <c r="Q255" i="13"/>
  <c r="R255" i="13"/>
  <c r="S255" i="13"/>
  <c r="T255" i="13"/>
  <c r="U255" i="13"/>
  <c r="V255" i="13"/>
  <c r="W255" i="13"/>
  <c r="X255" i="13"/>
  <c r="Y255" i="13"/>
  <c r="Z255" i="13"/>
  <c r="AA255" i="13"/>
  <c r="AB255" i="13"/>
  <c r="AC255" i="13"/>
  <c r="L27" i="13"/>
  <c r="N26" i="13"/>
  <c r="K26" i="13"/>
  <c r="AE26" i="13" s="1"/>
  <c r="H26" i="13"/>
  <c r="L73" i="13"/>
  <c r="K72" i="13"/>
  <c r="AE72" i="13" s="1"/>
  <c r="N72" i="13"/>
  <c r="H72" i="13"/>
  <c r="P355" i="13"/>
  <c r="Q355" i="13"/>
  <c r="R355" i="13"/>
  <c r="S355" i="13"/>
  <c r="T355" i="13"/>
  <c r="U355" i="13"/>
  <c r="V355" i="13"/>
  <c r="W355" i="13"/>
  <c r="X355" i="13"/>
  <c r="Y355" i="13"/>
  <c r="Z355" i="13"/>
  <c r="AA355" i="13"/>
  <c r="AB355" i="13"/>
  <c r="AC355" i="13"/>
  <c r="X52" i="10" l="1"/>
  <c r="X72" i="10" s="1"/>
  <c r="AB114" i="10"/>
  <c r="AB115" i="10" s="1"/>
  <c r="AB116" i="10" s="1"/>
  <c r="W71" i="10"/>
  <c r="W72" i="10"/>
  <c r="W74" i="10"/>
  <c r="Z39" i="10"/>
  <c r="Z47" i="10" s="1"/>
  <c r="Z70" i="10"/>
  <c r="Y48" i="10"/>
  <c r="AA43" i="10"/>
  <c r="AA68" i="10"/>
  <c r="AA60" i="10"/>
  <c r="AA56" i="10"/>
  <c r="AB128" i="10"/>
  <c r="AA66" i="10"/>
  <c r="AA67" i="10"/>
  <c r="AA11" i="10"/>
  <c r="AA57" i="10"/>
  <c r="AA10" i="10"/>
  <c r="AA65" i="10"/>
  <c r="AE301" i="13"/>
  <c r="AA15" i="10"/>
  <c r="AA26" i="10"/>
  <c r="AE440" i="13"/>
  <c r="AA19" i="10"/>
  <c r="AF435" i="13"/>
  <c r="AF434" i="13"/>
  <c r="AF433" i="13"/>
  <c r="AF432" i="13"/>
  <c r="AF431" i="13"/>
  <c r="AF430" i="13"/>
  <c r="AF429" i="13"/>
  <c r="AF428" i="13"/>
  <c r="AF427" i="13"/>
  <c r="AF426" i="13"/>
  <c r="AF425" i="13"/>
  <c r="AF424" i="13"/>
  <c r="AF423" i="13"/>
  <c r="AF422" i="13"/>
  <c r="AF421" i="13"/>
  <c r="AF440" i="13"/>
  <c r="AF439" i="13"/>
  <c r="AF438" i="13"/>
  <c r="AF437" i="13"/>
  <c r="AF393" i="13"/>
  <c r="AF392" i="13"/>
  <c r="AF385" i="13"/>
  <c r="AF384" i="13"/>
  <c r="AF377" i="13"/>
  <c r="AF376" i="13"/>
  <c r="AF375" i="13"/>
  <c r="AF256" i="13"/>
  <c r="AF255" i="13"/>
  <c r="AF254" i="13"/>
  <c r="AF253" i="13"/>
  <c r="AF252" i="13"/>
  <c r="AF251" i="13"/>
  <c r="AF250" i="13"/>
  <c r="AF249" i="13"/>
  <c r="AF248" i="13"/>
  <c r="AF247" i="13"/>
  <c r="AF246" i="13"/>
  <c r="AF245" i="13"/>
  <c r="AF244" i="13"/>
  <c r="AF243" i="13"/>
  <c r="AF242" i="13"/>
  <c r="AF241" i="13"/>
  <c r="AF240" i="13"/>
  <c r="AF239" i="13"/>
  <c r="AF238" i="13"/>
  <c r="AF237" i="13"/>
  <c r="AF387" i="13"/>
  <c r="AF386" i="13"/>
  <c r="AF379" i="13"/>
  <c r="AF378" i="13"/>
  <c r="AF391" i="13"/>
  <c r="AF390" i="13"/>
  <c r="AF350" i="13"/>
  <c r="AF349" i="13"/>
  <c r="AF342" i="13"/>
  <c r="AF341" i="13"/>
  <c r="AF436" i="13"/>
  <c r="AF381" i="13"/>
  <c r="AF380" i="13"/>
  <c r="AF352" i="13"/>
  <c r="AF351" i="13"/>
  <c r="AF344" i="13"/>
  <c r="AF343" i="13"/>
  <c r="AF339" i="13"/>
  <c r="AF337" i="13"/>
  <c r="AF335" i="13"/>
  <c r="AF333" i="13"/>
  <c r="AF331" i="13"/>
  <c r="AF394" i="13"/>
  <c r="AF383" i="13"/>
  <c r="AF382" i="13"/>
  <c r="AF354" i="13"/>
  <c r="AF353" i="13"/>
  <c r="AF346" i="13"/>
  <c r="AF345" i="13"/>
  <c r="AF329" i="13"/>
  <c r="AF356" i="13"/>
  <c r="AF355" i="13"/>
  <c r="AF336" i="13"/>
  <c r="AF330" i="13"/>
  <c r="AF332" i="13"/>
  <c r="AF300" i="13"/>
  <c r="AF298" i="13"/>
  <c r="AF296" i="13"/>
  <c r="AF294" i="13"/>
  <c r="AF292" i="13"/>
  <c r="AF290" i="13"/>
  <c r="AF288" i="13"/>
  <c r="AF286" i="13"/>
  <c r="AF284" i="13"/>
  <c r="AF210" i="13"/>
  <c r="AF208" i="13"/>
  <c r="AF206" i="13"/>
  <c r="AF340" i="13"/>
  <c r="AF338" i="13"/>
  <c r="AF334" i="13"/>
  <c r="AF389" i="13"/>
  <c r="AF347" i="13"/>
  <c r="AF299" i="13"/>
  <c r="AF291" i="13"/>
  <c r="AF283" i="13"/>
  <c r="AF209" i="13"/>
  <c r="AF201" i="13"/>
  <c r="AF199" i="13"/>
  <c r="AF197" i="13"/>
  <c r="AF195" i="13"/>
  <c r="AF193" i="13"/>
  <c r="AF191" i="13"/>
  <c r="AF163" i="13"/>
  <c r="AF162" i="13"/>
  <c r="AF161" i="13"/>
  <c r="AF160" i="13"/>
  <c r="AF159" i="13"/>
  <c r="AF158" i="13"/>
  <c r="AF157" i="13"/>
  <c r="AF156" i="13"/>
  <c r="AF155" i="13"/>
  <c r="AF154" i="13"/>
  <c r="AF153" i="13"/>
  <c r="AF152" i="13"/>
  <c r="AF151" i="13"/>
  <c r="AF150" i="13"/>
  <c r="AF149" i="13"/>
  <c r="AF148" i="13"/>
  <c r="AF147" i="13"/>
  <c r="AF146" i="13"/>
  <c r="AF145" i="13"/>
  <c r="AF388" i="13"/>
  <c r="AF297" i="13"/>
  <c r="AF289" i="13"/>
  <c r="AF204" i="13"/>
  <c r="AF203" i="13"/>
  <c r="AF348" i="13"/>
  <c r="AF295" i="13"/>
  <c r="AF287" i="13"/>
  <c r="AF207" i="13"/>
  <c r="AF205" i="13"/>
  <c r="AF202" i="13"/>
  <c r="AF200" i="13"/>
  <c r="AF198" i="13"/>
  <c r="AF196" i="13"/>
  <c r="AF194" i="13"/>
  <c r="AF285" i="13"/>
  <c r="AF53" i="13"/>
  <c r="AF192" i="13"/>
  <c r="AF301" i="13"/>
  <c r="AF117" i="13"/>
  <c r="AF116" i="13"/>
  <c r="AF115" i="13"/>
  <c r="AF114" i="13"/>
  <c r="AF113" i="13"/>
  <c r="AF112" i="13"/>
  <c r="AF111" i="13"/>
  <c r="AF110" i="13"/>
  <c r="AF109" i="13"/>
  <c r="AF108" i="13"/>
  <c r="AF107" i="13"/>
  <c r="AF106" i="13"/>
  <c r="AF105" i="13"/>
  <c r="AF104" i="13"/>
  <c r="AF103" i="13"/>
  <c r="AF102" i="13"/>
  <c r="AF101" i="13"/>
  <c r="AF100" i="13"/>
  <c r="AF26" i="13"/>
  <c r="AF25" i="13"/>
  <c r="AF24" i="13"/>
  <c r="AF23" i="13"/>
  <c r="AF22" i="13"/>
  <c r="AF21" i="13"/>
  <c r="AF20" i="13"/>
  <c r="AF19" i="13"/>
  <c r="AF18" i="13"/>
  <c r="AF17" i="13"/>
  <c r="AF16" i="13"/>
  <c r="AF15" i="13"/>
  <c r="AF14" i="13"/>
  <c r="AF13" i="13"/>
  <c r="AF12" i="13"/>
  <c r="AF11" i="13"/>
  <c r="AF10" i="13"/>
  <c r="AF9" i="13"/>
  <c r="AF8" i="13"/>
  <c r="AF7" i="13"/>
  <c r="AF99" i="13"/>
  <c r="AF72" i="13"/>
  <c r="AF70" i="13"/>
  <c r="AF68" i="13"/>
  <c r="AF66" i="13"/>
  <c r="AF2" i="13" s="1"/>
  <c r="AF64" i="13"/>
  <c r="AF62" i="13"/>
  <c r="AF60" i="13"/>
  <c r="AF58" i="13"/>
  <c r="AF56" i="13"/>
  <c r="AF54" i="13"/>
  <c r="AF293" i="13"/>
  <c r="AF67" i="13"/>
  <c r="AF59" i="13"/>
  <c r="AF69" i="13"/>
  <c r="AF61" i="13"/>
  <c r="AG5" i="13"/>
  <c r="AF71" i="13"/>
  <c r="AF63" i="13"/>
  <c r="AF55" i="13"/>
  <c r="AF65" i="13"/>
  <c r="AF57" i="13"/>
  <c r="P256" i="13"/>
  <c r="Q256" i="13"/>
  <c r="R256" i="13"/>
  <c r="S256" i="13"/>
  <c r="T256" i="13"/>
  <c r="U256" i="13"/>
  <c r="V256" i="13"/>
  <c r="W256" i="13"/>
  <c r="X256" i="13"/>
  <c r="Y256" i="13"/>
  <c r="Z256" i="13"/>
  <c r="AA256" i="13"/>
  <c r="AB256" i="13"/>
  <c r="AC256" i="13"/>
  <c r="AD256" i="13"/>
  <c r="K357" i="13"/>
  <c r="AF357" i="13" s="1"/>
  <c r="N357" i="13"/>
  <c r="H357" i="13"/>
  <c r="L358" i="13"/>
  <c r="N441" i="13"/>
  <c r="H441" i="13"/>
  <c r="L442" i="13"/>
  <c r="K441" i="13"/>
  <c r="N211" i="13"/>
  <c r="H211" i="13"/>
  <c r="K211" i="13"/>
  <c r="L212" i="13"/>
  <c r="P301" i="13"/>
  <c r="Q301" i="13"/>
  <c r="R301" i="13"/>
  <c r="S301" i="13"/>
  <c r="T301" i="13"/>
  <c r="U301" i="13"/>
  <c r="V301" i="13"/>
  <c r="W301" i="13"/>
  <c r="X301" i="13"/>
  <c r="Y301" i="13"/>
  <c r="Z301" i="13"/>
  <c r="AA301" i="13"/>
  <c r="AB301" i="13"/>
  <c r="AC301" i="13"/>
  <c r="AD301" i="13"/>
  <c r="P394" i="13"/>
  <c r="Q394" i="13"/>
  <c r="R394" i="13"/>
  <c r="S394" i="13"/>
  <c r="T394" i="13"/>
  <c r="U394" i="13"/>
  <c r="V394" i="13"/>
  <c r="W394" i="13"/>
  <c r="X394" i="13"/>
  <c r="Y394" i="13"/>
  <c r="Z394" i="13"/>
  <c r="AA394" i="13"/>
  <c r="AB394" i="13"/>
  <c r="AC394" i="13"/>
  <c r="AD394" i="13"/>
  <c r="AA7" i="10" a="1"/>
  <c r="AA7" i="10" s="1"/>
  <c r="AA6" i="10" s="1"/>
  <c r="AA49" i="10" s="1"/>
  <c r="AB3" i="10"/>
  <c r="AB45" i="10" s="1"/>
  <c r="AB50" i="10" s="1"/>
  <c r="AA84" i="10"/>
  <c r="AA86" i="10" s="1"/>
  <c r="AA90" i="10"/>
  <c r="AE394" i="13"/>
  <c r="AA37" i="10"/>
  <c r="AA13" i="10"/>
  <c r="AA29" i="10"/>
  <c r="AA24" i="10"/>
  <c r="AA32" i="10"/>
  <c r="P26" i="13"/>
  <c r="Q26" i="13"/>
  <c r="R26" i="13"/>
  <c r="S26" i="13"/>
  <c r="T26" i="13"/>
  <c r="U26" i="13"/>
  <c r="V26" i="13"/>
  <c r="W26" i="13"/>
  <c r="X26" i="13"/>
  <c r="Y26" i="13"/>
  <c r="Z26" i="13"/>
  <c r="AA26" i="13"/>
  <c r="AB26" i="13"/>
  <c r="AC26" i="13"/>
  <c r="AD26" i="13"/>
  <c r="P356" i="13"/>
  <c r="Q356" i="13"/>
  <c r="R356" i="13"/>
  <c r="S356" i="13"/>
  <c r="T356" i="13"/>
  <c r="U356" i="13"/>
  <c r="V356" i="13"/>
  <c r="W356" i="13"/>
  <c r="X356" i="13"/>
  <c r="Y356" i="13"/>
  <c r="Z356" i="13"/>
  <c r="AA356" i="13"/>
  <c r="AB356" i="13"/>
  <c r="AC356" i="13"/>
  <c r="AD356" i="13"/>
  <c r="P117" i="13"/>
  <c r="Q117" i="13"/>
  <c r="R117" i="13"/>
  <c r="S117" i="13"/>
  <c r="T117" i="13"/>
  <c r="U117" i="13"/>
  <c r="V117" i="13"/>
  <c r="W117" i="13"/>
  <c r="X117" i="13"/>
  <c r="Y117" i="13"/>
  <c r="Z117" i="13"/>
  <c r="AA117" i="13"/>
  <c r="AB117" i="13"/>
  <c r="AC117" i="13"/>
  <c r="AD117" i="13"/>
  <c r="P163" i="13"/>
  <c r="Q163" i="13"/>
  <c r="R163" i="13"/>
  <c r="S163" i="13"/>
  <c r="T163" i="13"/>
  <c r="U163" i="13"/>
  <c r="V163" i="13"/>
  <c r="W163" i="13"/>
  <c r="X163" i="13"/>
  <c r="Y163" i="13"/>
  <c r="Z163" i="13"/>
  <c r="AA163" i="13"/>
  <c r="AB163" i="13"/>
  <c r="AC163" i="13"/>
  <c r="AD163" i="13"/>
  <c r="P72" i="13"/>
  <c r="Q72" i="13"/>
  <c r="R72" i="13"/>
  <c r="S72" i="13"/>
  <c r="T72" i="13"/>
  <c r="U72" i="13"/>
  <c r="V72" i="13"/>
  <c r="W72" i="13"/>
  <c r="X72" i="13"/>
  <c r="Y72" i="13"/>
  <c r="Z72" i="13"/>
  <c r="AA72" i="13"/>
  <c r="AB72" i="13"/>
  <c r="AC72" i="13"/>
  <c r="AD72" i="13"/>
  <c r="K302" i="13"/>
  <c r="L303" i="13"/>
  <c r="H302" i="13"/>
  <c r="N302" i="13"/>
  <c r="K257" i="13"/>
  <c r="AF257" i="13" s="1"/>
  <c r="L258" i="13"/>
  <c r="H257" i="13"/>
  <c r="N257" i="13"/>
  <c r="AE256" i="13"/>
  <c r="P440" i="13"/>
  <c r="Q440" i="13"/>
  <c r="R440" i="13"/>
  <c r="S440" i="13"/>
  <c r="T440" i="13"/>
  <c r="U440" i="13"/>
  <c r="V440" i="13"/>
  <c r="W440" i="13"/>
  <c r="X440" i="13"/>
  <c r="Y440" i="13"/>
  <c r="Z440" i="13"/>
  <c r="AA440" i="13"/>
  <c r="AB440" i="13"/>
  <c r="AC440" i="13"/>
  <c r="AD440" i="13"/>
  <c r="P210" i="13"/>
  <c r="Q210" i="13"/>
  <c r="R210" i="13"/>
  <c r="S210" i="13"/>
  <c r="T210" i="13"/>
  <c r="U210" i="13"/>
  <c r="V210" i="13"/>
  <c r="W210" i="13"/>
  <c r="X210" i="13"/>
  <c r="Y210" i="13"/>
  <c r="Z210" i="13"/>
  <c r="AA210" i="13"/>
  <c r="AB210" i="13"/>
  <c r="AC210" i="13"/>
  <c r="AD210" i="13"/>
  <c r="N118" i="13"/>
  <c r="H118" i="13"/>
  <c r="L119" i="13"/>
  <c r="K118" i="13"/>
  <c r="AF118" i="13" s="1"/>
  <c r="N164" i="13"/>
  <c r="H164" i="13"/>
  <c r="L165" i="13"/>
  <c r="K164" i="13"/>
  <c r="AF164" i="13" s="1"/>
  <c r="AA17" i="10"/>
  <c r="AA21" i="10"/>
  <c r="AA12" i="10"/>
  <c r="AA20" i="10"/>
  <c r="AA36" i="10"/>
  <c r="L74" i="13"/>
  <c r="K73" i="13"/>
  <c r="N73" i="13"/>
  <c r="H73" i="13"/>
  <c r="L28" i="13"/>
  <c r="N27" i="13"/>
  <c r="K27" i="13"/>
  <c r="H27" i="13"/>
  <c r="N395" i="13"/>
  <c r="H395" i="13"/>
  <c r="L396" i="13"/>
  <c r="K395" i="13"/>
  <c r="AF395" i="13" s="1"/>
  <c r="AA23" i="10"/>
  <c r="AA35" i="10"/>
  <c r="AC5" i="10"/>
  <c r="AB4" i="10"/>
  <c r="AA14" i="10"/>
  <c r="AA22" i="10"/>
  <c r="AA38" i="10"/>
  <c r="X74" i="10" l="1"/>
  <c r="X71" i="10"/>
  <c r="AC114" i="10"/>
  <c r="AC115" i="10" s="1"/>
  <c r="AC116" i="10" s="1"/>
  <c r="Z48" i="10"/>
  <c r="Z52" i="10" s="1"/>
  <c r="Z74" i="10" s="1"/>
  <c r="AA34" i="10"/>
  <c r="AA59" i="10"/>
  <c r="AA64" i="10"/>
  <c r="AA30" i="10"/>
  <c r="AA25" i="10"/>
  <c r="AA28" i="10"/>
  <c r="AA33" i="10"/>
  <c r="AA16" i="10"/>
  <c r="AA27" i="10"/>
  <c r="AA18" i="10"/>
  <c r="AA31" i="10"/>
  <c r="AA62" i="10"/>
  <c r="AA63" i="10"/>
  <c r="AA61" i="10"/>
  <c r="AA69" i="10"/>
  <c r="AA58" i="10"/>
  <c r="AC128" i="10"/>
  <c r="Y52" i="10"/>
  <c r="N396" i="13"/>
  <c r="H396" i="13"/>
  <c r="K396" i="13"/>
  <c r="AG396" i="13" s="1"/>
  <c r="L397" i="13"/>
  <c r="L75" i="13"/>
  <c r="K74" i="13"/>
  <c r="AG74" i="13" s="1"/>
  <c r="N74" i="13"/>
  <c r="H74" i="13"/>
  <c r="N165" i="13"/>
  <c r="H165" i="13"/>
  <c r="L166" i="13"/>
  <c r="K165" i="13"/>
  <c r="AG165" i="13" s="1"/>
  <c r="P441" i="13"/>
  <c r="Q441" i="13"/>
  <c r="R441" i="13"/>
  <c r="S441" i="13"/>
  <c r="T441" i="13"/>
  <c r="U441" i="13"/>
  <c r="V441" i="13"/>
  <c r="W441" i="13"/>
  <c r="X441" i="13"/>
  <c r="Y441" i="13"/>
  <c r="Z441" i="13"/>
  <c r="AA441" i="13"/>
  <c r="AB441" i="13"/>
  <c r="AC441" i="13"/>
  <c r="AD441" i="13"/>
  <c r="AE441" i="13"/>
  <c r="K358" i="13"/>
  <c r="H358" i="13"/>
  <c r="N358" i="13"/>
  <c r="L359" i="13"/>
  <c r="L259" i="13"/>
  <c r="H258" i="13"/>
  <c r="N258" i="13"/>
  <c r="K258" i="13"/>
  <c r="AG258" i="13" s="1"/>
  <c r="K303" i="13"/>
  <c r="N303" i="13"/>
  <c r="H303" i="13"/>
  <c r="L304" i="13"/>
  <c r="P211" i="13"/>
  <c r="Q211" i="13"/>
  <c r="R211" i="13"/>
  <c r="S211" i="13"/>
  <c r="T211" i="13"/>
  <c r="U211" i="13"/>
  <c r="V211" i="13"/>
  <c r="W211" i="13"/>
  <c r="X211" i="13"/>
  <c r="Y211" i="13"/>
  <c r="Z211" i="13"/>
  <c r="AA211" i="13"/>
  <c r="AB211" i="13"/>
  <c r="AC211" i="13"/>
  <c r="AD211" i="13"/>
  <c r="AE211" i="13"/>
  <c r="N442" i="13"/>
  <c r="H442" i="13"/>
  <c r="L443" i="13"/>
  <c r="K442" i="13"/>
  <c r="AG442" i="13" s="1"/>
  <c r="AF211" i="13"/>
  <c r="N119" i="13"/>
  <c r="H119" i="13"/>
  <c r="L120" i="13"/>
  <c r="K119" i="13"/>
  <c r="AG119" i="13" s="1"/>
  <c r="N212" i="13"/>
  <c r="H212" i="13"/>
  <c r="L213" i="13"/>
  <c r="K212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P257" i="13"/>
  <c r="Q257" i="13"/>
  <c r="R257" i="13"/>
  <c r="S257" i="13"/>
  <c r="T257" i="13"/>
  <c r="U257" i="13"/>
  <c r="V257" i="13"/>
  <c r="W257" i="13"/>
  <c r="X257" i="13"/>
  <c r="Y257" i="13"/>
  <c r="Z257" i="13"/>
  <c r="AA257" i="13"/>
  <c r="AB257" i="13"/>
  <c r="AC257" i="13"/>
  <c r="AD257" i="13"/>
  <c r="AE257" i="13"/>
  <c r="P302" i="13"/>
  <c r="Q302" i="13"/>
  <c r="R302" i="13"/>
  <c r="S302" i="13"/>
  <c r="T302" i="13"/>
  <c r="U302" i="13"/>
  <c r="V302" i="13"/>
  <c r="W302" i="13"/>
  <c r="X302" i="13"/>
  <c r="Y302" i="13"/>
  <c r="Z302" i="13"/>
  <c r="AA302" i="13"/>
  <c r="AB302" i="13"/>
  <c r="AC302" i="13"/>
  <c r="AD302" i="13"/>
  <c r="AE302" i="13"/>
  <c r="AB7" i="10" a="1"/>
  <c r="AB7" i="10" s="1"/>
  <c r="AB6" i="10" s="1"/>
  <c r="AC3" i="10"/>
  <c r="AC45" i="10" s="1"/>
  <c r="AC50" i="10" s="1"/>
  <c r="AB84" i="10"/>
  <c r="AB86" i="10" s="1"/>
  <c r="AB90" i="10"/>
  <c r="AF27" i="13"/>
  <c r="AF302" i="13"/>
  <c r="AF441" i="13"/>
  <c r="K28" i="13"/>
  <c r="AG28" i="13" s="1"/>
  <c r="N28" i="13"/>
  <c r="H28" i="13"/>
  <c r="L29" i="13"/>
  <c r="AD5" i="10"/>
  <c r="AC4" i="10"/>
  <c r="P395" i="13"/>
  <c r="Q395" i="13"/>
  <c r="R395" i="13"/>
  <c r="S395" i="13"/>
  <c r="T395" i="13"/>
  <c r="U395" i="13"/>
  <c r="V395" i="13"/>
  <c r="W395" i="13"/>
  <c r="X395" i="13"/>
  <c r="Y395" i="13"/>
  <c r="Z395" i="13"/>
  <c r="AA395" i="13"/>
  <c r="AB395" i="13"/>
  <c r="AC395" i="13"/>
  <c r="AD395" i="13"/>
  <c r="AE395" i="13"/>
  <c r="P73" i="13"/>
  <c r="Q73" i="13"/>
  <c r="R73" i="13"/>
  <c r="S73" i="13"/>
  <c r="T73" i="13"/>
  <c r="U73" i="13"/>
  <c r="V73" i="13"/>
  <c r="W73" i="13"/>
  <c r="X73" i="13"/>
  <c r="Y73" i="13"/>
  <c r="Z73" i="13"/>
  <c r="AA73" i="13"/>
  <c r="AB73" i="13"/>
  <c r="AC73" i="13"/>
  <c r="AD73" i="13"/>
  <c r="AE73" i="13"/>
  <c r="P164" i="13"/>
  <c r="Q164" i="13"/>
  <c r="R164" i="13"/>
  <c r="S164" i="13"/>
  <c r="T164" i="13"/>
  <c r="U164" i="13"/>
  <c r="V164" i="13"/>
  <c r="W164" i="13"/>
  <c r="X164" i="13"/>
  <c r="Y164" i="13"/>
  <c r="Z164" i="13"/>
  <c r="AA164" i="13"/>
  <c r="AB164" i="13"/>
  <c r="AC164" i="13"/>
  <c r="AD164" i="13"/>
  <c r="AE164" i="13"/>
  <c r="P118" i="13"/>
  <c r="Q118" i="13"/>
  <c r="R118" i="13"/>
  <c r="S118" i="13"/>
  <c r="T118" i="13"/>
  <c r="U118" i="13"/>
  <c r="V118" i="13"/>
  <c r="W118" i="13"/>
  <c r="X118" i="13"/>
  <c r="Y118" i="13"/>
  <c r="Z118" i="13"/>
  <c r="AA118" i="13"/>
  <c r="AB118" i="13"/>
  <c r="AC118" i="13"/>
  <c r="AD118" i="13"/>
  <c r="AE118" i="13"/>
  <c r="P357" i="13"/>
  <c r="Q357" i="13"/>
  <c r="R357" i="13"/>
  <c r="S357" i="13"/>
  <c r="T357" i="13"/>
  <c r="U357" i="13"/>
  <c r="V357" i="13"/>
  <c r="W357" i="13"/>
  <c r="X357" i="13"/>
  <c r="Y357" i="13"/>
  <c r="Z357" i="13"/>
  <c r="AA357" i="13"/>
  <c r="AB357" i="13"/>
  <c r="AC357" i="13"/>
  <c r="AD357" i="13"/>
  <c r="AE357" i="13"/>
  <c r="AF73" i="13"/>
  <c r="AG440" i="13"/>
  <c r="AG438" i="13"/>
  <c r="AG436" i="13"/>
  <c r="AG441" i="13"/>
  <c r="AG435" i="13"/>
  <c r="AG433" i="13"/>
  <c r="AG431" i="13"/>
  <c r="AG429" i="13"/>
  <c r="AG427" i="13"/>
  <c r="AG425" i="13"/>
  <c r="AG423" i="13"/>
  <c r="AG421" i="13"/>
  <c r="AG395" i="13"/>
  <c r="AG393" i="13"/>
  <c r="AG391" i="13"/>
  <c r="AG389" i="13"/>
  <c r="AG387" i="13"/>
  <c r="AG385" i="13"/>
  <c r="AG383" i="13"/>
  <c r="AG381" i="13"/>
  <c r="AG379" i="13"/>
  <c r="AG377" i="13"/>
  <c r="AG375" i="13"/>
  <c r="AG357" i="13"/>
  <c r="AG356" i="13"/>
  <c r="AG355" i="13"/>
  <c r="AG354" i="13"/>
  <c r="AG353" i="13"/>
  <c r="AG352" i="13"/>
  <c r="AG351" i="13"/>
  <c r="AG350" i="13"/>
  <c r="AG349" i="13"/>
  <c r="AG348" i="13"/>
  <c r="AG347" i="13"/>
  <c r="AG346" i="13"/>
  <c r="AG345" i="13"/>
  <c r="AG344" i="13"/>
  <c r="AG343" i="13"/>
  <c r="AG342" i="13"/>
  <c r="AG341" i="13"/>
  <c r="AG340" i="13"/>
  <c r="AG439" i="13"/>
  <c r="AG386" i="13"/>
  <c r="AG378" i="13"/>
  <c r="AG302" i="13"/>
  <c r="AG301" i="13"/>
  <c r="AG300" i="13"/>
  <c r="AG299" i="13"/>
  <c r="AG298" i="13"/>
  <c r="AG297" i="13"/>
  <c r="AG296" i="13"/>
  <c r="AG295" i="13"/>
  <c r="AG294" i="13"/>
  <c r="AG293" i="13"/>
  <c r="AG292" i="13"/>
  <c r="AG291" i="13"/>
  <c r="AG290" i="13"/>
  <c r="AG289" i="13"/>
  <c r="AG288" i="13"/>
  <c r="AG287" i="13"/>
  <c r="AG286" i="13"/>
  <c r="AG285" i="13"/>
  <c r="AG284" i="13"/>
  <c r="AG283" i="13"/>
  <c r="AG432" i="13"/>
  <c r="AG428" i="13"/>
  <c r="AG424" i="13"/>
  <c r="AG388" i="13"/>
  <c r="AG380" i="13"/>
  <c r="AG422" i="13"/>
  <c r="AG392" i="13"/>
  <c r="AG376" i="13"/>
  <c r="AG339" i="13"/>
  <c r="AG337" i="13"/>
  <c r="AG335" i="13"/>
  <c r="AG333" i="13"/>
  <c r="AG331" i="13"/>
  <c r="AG437" i="13"/>
  <c r="AG434" i="13"/>
  <c r="AG426" i="13"/>
  <c r="AG394" i="13"/>
  <c r="AG382" i="13"/>
  <c r="AG329" i="13"/>
  <c r="AG384" i="13"/>
  <c r="AG338" i="13"/>
  <c r="AG336" i="13"/>
  <c r="AG334" i="13"/>
  <c r="AG332" i="13"/>
  <c r="AG330" i="13"/>
  <c r="AG430" i="13"/>
  <c r="AG256" i="13"/>
  <c r="AG254" i="13"/>
  <c r="AG252" i="13"/>
  <c r="AG250" i="13"/>
  <c r="AG248" i="13"/>
  <c r="AG246" i="13"/>
  <c r="AG244" i="13"/>
  <c r="AG242" i="13"/>
  <c r="AG240" i="13"/>
  <c r="AG238" i="13"/>
  <c r="AG210" i="13"/>
  <c r="AG208" i="13"/>
  <c r="AG206" i="13"/>
  <c r="AG204" i="13"/>
  <c r="AG202" i="13"/>
  <c r="AG201" i="13"/>
  <c r="AG200" i="13"/>
  <c r="AG199" i="13"/>
  <c r="AG198" i="13"/>
  <c r="AG197" i="13"/>
  <c r="AG196" i="13"/>
  <c r="AG195" i="13"/>
  <c r="AG194" i="13"/>
  <c r="AG193" i="13"/>
  <c r="AG192" i="13"/>
  <c r="AG191" i="13"/>
  <c r="AG257" i="13"/>
  <c r="AG255" i="13"/>
  <c r="AG253" i="13"/>
  <c r="AG251" i="13"/>
  <c r="AG249" i="13"/>
  <c r="AG247" i="13"/>
  <c r="AG245" i="13"/>
  <c r="AG243" i="13"/>
  <c r="AG241" i="13"/>
  <c r="AG239" i="13"/>
  <c r="AG237" i="13"/>
  <c r="AG203" i="13"/>
  <c r="AG211" i="13"/>
  <c r="AG207" i="13"/>
  <c r="AG205" i="13"/>
  <c r="AG73" i="13"/>
  <c r="AG72" i="13"/>
  <c r="AG71" i="13"/>
  <c r="AG70" i="13"/>
  <c r="AG69" i="13"/>
  <c r="AG68" i="13"/>
  <c r="AG67" i="13"/>
  <c r="AG66" i="13"/>
  <c r="AG2" i="13" s="1"/>
  <c r="AG65" i="13"/>
  <c r="AG64" i="13"/>
  <c r="AG63" i="13"/>
  <c r="AG62" i="13"/>
  <c r="AG61" i="13"/>
  <c r="AG60" i="13"/>
  <c r="AG59" i="13"/>
  <c r="AG58" i="13"/>
  <c r="AG57" i="13"/>
  <c r="AG56" i="13"/>
  <c r="AG55" i="13"/>
  <c r="AG54" i="13"/>
  <c r="AG53" i="13"/>
  <c r="AG164" i="13"/>
  <c r="AG163" i="13"/>
  <c r="AG162" i="13"/>
  <c r="AG161" i="13"/>
  <c r="AG160" i="13"/>
  <c r="AG159" i="13"/>
  <c r="AG158" i="13"/>
  <c r="AG157" i="13"/>
  <c r="AG156" i="13"/>
  <c r="AG155" i="13"/>
  <c r="AG154" i="13"/>
  <c r="AG153" i="13"/>
  <c r="AG152" i="13"/>
  <c r="AG151" i="13"/>
  <c r="AG150" i="13"/>
  <c r="AG149" i="13"/>
  <c r="AG148" i="13"/>
  <c r="AG147" i="13"/>
  <c r="AG146" i="13"/>
  <c r="AG145" i="13"/>
  <c r="AG390" i="13"/>
  <c r="AG99" i="13"/>
  <c r="AG117" i="13"/>
  <c r="AG115" i="13"/>
  <c r="AG113" i="13"/>
  <c r="AG111" i="13"/>
  <c r="AG109" i="13"/>
  <c r="AG107" i="13"/>
  <c r="AG105" i="13"/>
  <c r="AG103" i="13"/>
  <c r="AG101" i="13"/>
  <c r="AG27" i="13"/>
  <c r="AG26" i="13"/>
  <c r="AG25" i="13"/>
  <c r="AG24" i="13"/>
  <c r="AG23" i="13"/>
  <c r="AG22" i="13"/>
  <c r="AG21" i="13"/>
  <c r="AG20" i="13"/>
  <c r="AG209" i="13"/>
  <c r="AG118" i="13"/>
  <c r="AG116" i="13"/>
  <c r="AG114" i="13"/>
  <c r="AG112" i="13"/>
  <c r="AG110" i="13"/>
  <c r="AG108" i="13"/>
  <c r="AG106" i="13"/>
  <c r="AG104" i="13"/>
  <c r="AG102" i="13"/>
  <c r="AG100" i="13"/>
  <c r="AG19" i="13"/>
  <c r="AH5" i="13"/>
  <c r="AG17" i="13"/>
  <c r="AG15" i="13"/>
  <c r="AG13" i="13"/>
  <c r="AG11" i="13"/>
  <c r="AG9" i="13"/>
  <c r="AG18" i="13"/>
  <c r="AG16" i="13"/>
  <c r="AG14" i="13"/>
  <c r="AG12" i="13"/>
  <c r="AG10" i="13"/>
  <c r="AG8" i="13"/>
  <c r="AG7" i="13"/>
  <c r="Y72" i="10" l="1"/>
  <c r="AD114" i="10"/>
  <c r="AD115" i="10" s="1"/>
  <c r="AD116" i="10" s="1"/>
  <c r="Z72" i="10"/>
  <c r="AA39" i="10"/>
  <c r="AA47" i="10" s="1"/>
  <c r="AA70" i="10"/>
  <c r="AB49" i="10"/>
  <c r="AB24" i="10"/>
  <c r="AB31" i="10"/>
  <c r="AB23" i="10"/>
  <c r="AB15" i="10"/>
  <c r="AB26" i="10"/>
  <c r="AB34" i="10"/>
  <c r="AB18" i="10"/>
  <c r="AB37" i="10"/>
  <c r="AB29" i="10"/>
  <c r="AB21" i="10"/>
  <c r="AB13" i="10"/>
  <c r="AB16" i="10"/>
  <c r="AB32" i="10"/>
  <c r="AB12" i="10"/>
  <c r="AB35" i="10"/>
  <c r="AB27" i="10"/>
  <c r="AB19" i="10"/>
  <c r="AB38" i="10"/>
  <c r="AB14" i="10"/>
  <c r="AB22" i="10"/>
  <c r="AB28" i="10"/>
  <c r="AB33" i="10"/>
  <c r="AB25" i="10"/>
  <c r="AB17" i="10"/>
  <c r="AB30" i="10"/>
  <c r="AB36" i="10"/>
  <c r="AB20" i="10"/>
  <c r="AB10" i="10"/>
  <c r="AB64" i="10"/>
  <c r="AB11" i="10"/>
  <c r="AB43" i="10"/>
  <c r="AB63" i="10"/>
  <c r="AB57" i="10"/>
  <c r="AB59" i="10"/>
  <c r="AB61" i="10"/>
  <c r="AB68" i="10"/>
  <c r="AB65" i="10"/>
  <c r="AB66" i="10"/>
  <c r="AB67" i="10"/>
  <c r="AB62" i="10"/>
  <c r="AB69" i="10"/>
  <c r="AB58" i="10"/>
  <c r="AB60" i="10"/>
  <c r="AB56" i="10"/>
  <c r="AC24" i="10"/>
  <c r="AC18" i="10"/>
  <c r="AC63" i="10"/>
  <c r="AC43" i="10"/>
  <c r="AC10" i="10"/>
  <c r="Y74" i="10"/>
  <c r="Y71" i="10"/>
  <c r="AC64" i="10"/>
  <c r="AC59" i="10"/>
  <c r="AD128" i="10"/>
  <c r="Z71" i="10"/>
  <c r="AC60" i="10"/>
  <c r="AC69" i="10"/>
  <c r="AC56" i="10"/>
  <c r="AC20" i="10"/>
  <c r="AC36" i="10"/>
  <c r="AC14" i="10"/>
  <c r="AC22" i="10"/>
  <c r="AC38" i="10"/>
  <c r="AC16" i="10"/>
  <c r="AC34" i="10"/>
  <c r="AC17" i="10"/>
  <c r="AC33" i="10"/>
  <c r="AG212" i="13"/>
  <c r="AG303" i="13"/>
  <c r="AH442" i="13"/>
  <c r="AH437" i="13"/>
  <c r="AH436" i="13"/>
  <c r="AH434" i="13"/>
  <c r="AH432" i="13"/>
  <c r="AH430" i="13"/>
  <c r="AH428" i="13"/>
  <c r="AH426" i="13"/>
  <c r="AH424" i="13"/>
  <c r="AH422" i="13"/>
  <c r="AH396" i="13"/>
  <c r="AH394" i="13"/>
  <c r="AH441" i="13"/>
  <c r="AH440" i="13"/>
  <c r="AH433" i="13"/>
  <c r="AH429" i="13"/>
  <c r="AH425" i="13"/>
  <c r="AH388" i="13"/>
  <c r="AH387" i="13"/>
  <c r="AH380" i="13"/>
  <c r="AH379" i="13"/>
  <c r="AH358" i="13"/>
  <c r="AH356" i="13"/>
  <c r="AH354" i="13"/>
  <c r="AH352" i="13"/>
  <c r="AH350" i="13"/>
  <c r="AH348" i="13"/>
  <c r="AH346" i="13"/>
  <c r="AH344" i="13"/>
  <c r="AH342" i="13"/>
  <c r="AH340" i="13"/>
  <c r="AH339" i="13"/>
  <c r="AH338" i="13"/>
  <c r="AH337" i="13"/>
  <c r="AH336" i="13"/>
  <c r="AH335" i="13"/>
  <c r="AH334" i="13"/>
  <c r="AH333" i="13"/>
  <c r="AH332" i="13"/>
  <c r="AH331" i="13"/>
  <c r="AH330" i="13"/>
  <c r="AH329" i="13"/>
  <c r="AH421" i="13"/>
  <c r="AH395" i="13"/>
  <c r="AH390" i="13"/>
  <c r="AH389" i="13"/>
  <c r="AH382" i="13"/>
  <c r="AH381" i="13"/>
  <c r="AH431" i="13"/>
  <c r="AH423" i="13"/>
  <c r="AH393" i="13"/>
  <c r="AH378" i="13"/>
  <c r="AH377" i="13"/>
  <c r="AH375" i="13"/>
  <c r="AH351" i="13"/>
  <c r="AH343" i="13"/>
  <c r="AH439" i="13"/>
  <c r="AH438" i="13"/>
  <c r="AH384" i="13"/>
  <c r="AH383" i="13"/>
  <c r="AH353" i="13"/>
  <c r="AH345" i="13"/>
  <c r="AH435" i="13"/>
  <c r="AH427" i="13"/>
  <c r="AH386" i="13"/>
  <c r="AH385" i="13"/>
  <c r="AH355" i="13"/>
  <c r="AH347" i="13"/>
  <c r="AH357" i="13"/>
  <c r="AH302" i="13"/>
  <c r="AH300" i="13"/>
  <c r="AH298" i="13"/>
  <c r="AH296" i="13"/>
  <c r="AH294" i="13"/>
  <c r="AH292" i="13"/>
  <c r="AH290" i="13"/>
  <c r="AH288" i="13"/>
  <c r="AH286" i="13"/>
  <c r="AH284" i="13"/>
  <c r="AH257" i="13"/>
  <c r="AH255" i="13"/>
  <c r="AH253" i="13"/>
  <c r="AH251" i="13"/>
  <c r="AH249" i="13"/>
  <c r="AH247" i="13"/>
  <c r="AH245" i="13"/>
  <c r="AH243" i="13"/>
  <c r="AH241" i="13"/>
  <c r="AH239" i="13"/>
  <c r="AH237" i="13"/>
  <c r="AH211" i="13"/>
  <c r="AH209" i="13"/>
  <c r="AH207" i="13"/>
  <c r="AH341" i="13"/>
  <c r="AH303" i="13"/>
  <c r="AH301" i="13"/>
  <c r="AH299" i="13"/>
  <c r="AH297" i="13"/>
  <c r="AH295" i="13"/>
  <c r="AH293" i="13"/>
  <c r="AH291" i="13"/>
  <c r="AH289" i="13"/>
  <c r="AH287" i="13"/>
  <c r="AH285" i="13"/>
  <c r="AH283" i="13"/>
  <c r="AH349" i="13"/>
  <c r="AH258" i="13"/>
  <c r="AH250" i="13"/>
  <c r="AH242" i="13"/>
  <c r="AH212" i="13"/>
  <c r="AH208" i="13"/>
  <c r="AH205" i="13"/>
  <c r="AH204" i="13"/>
  <c r="AH74" i="13"/>
  <c r="AH73" i="13"/>
  <c r="AH72" i="13"/>
  <c r="AH71" i="13"/>
  <c r="AH70" i="13"/>
  <c r="AH69" i="13"/>
  <c r="AH68" i="13"/>
  <c r="AH67" i="13"/>
  <c r="AH66" i="13"/>
  <c r="AH2" i="13" s="1"/>
  <c r="AH65" i="13"/>
  <c r="AH64" i="13"/>
  <c r="AH63" i="13"/>
  <c r="AH62" i="13"/>
  <c r="AH61" i="13"/>
  <c r="AH60" i="13"/>
  <c r="AH59" i="13"/>
  <c r="AH58" i="13"/>
  <c r="AH57" i="13"/>
  <c r="AH56" i="13"/>
  <c r="AH55" i="13"/>
  <c r="AH54" i="13"/>
  <c r="AH53" i="13"/>
  <c r="AH392" i="13"/>
  <c r="AH256" i="13"/>
  <c r="AH248" i="13"/>
  <c r="AH240" i="13"/>
  <c r="AH202" i="13"/>
  <c r="AH200" i="13"/>
  <c r="AH198" i="13"/>
  <c r="AH196" i="13"/>
  <c r="AH194" i="13"/>
  <c r="AH192" i="13"/>
  <c r="AH119" i="13"/>
  <c r="AH118" i="13"/>
  <c r="AH117" i="13"/>
  <c r="AH116" i="13"/>
  <c r="AH115" i="13"/>
  <c r="AH114" i="13"/>
  <c r="AH113" i="13"/>
  <c r="AH112" i="13"/>
  <c r="AH111" i="13"/>
  <c r="AH110" i="13"/>
  <c r="AH109" i="13"/>
  <c r="AH108" i="13"/>
  <c r="AH107" i="13"/>
  <c r="AH106" i="13"/>
  <c r="AH105" i="13"/>
  <c r="AH104" i="13"/>
  <c r="AH103" i="13"/>
  <c r="AH102" i="13"/>
  <c r="AH101" i="13"/>
  <c r="AH100" i="13"/>
  <c r="AH99" i="13"/>
  <c r="AH391" i="13"/>
  <c r="AH376" i="13"/>
  <c r="AH254" i="13"/>
  <c r="AH246" i="13"/>
  <c r="AH238" i="13"/>
  <c r="AH210" i="13"/>
  <c r="AH206" i="13"/>
  <c r="AH203" i="13"/>
  <c r="AH201" i="13"/>
  <c r="AH193" i="13"/>
  <c r="AH27" i="13"/>
  <c r="AH26" i="13"/>
  <c r="AH25" i="13"/>
  <c r="AH24" i="13"/>
  <c r="AH23" i="13"/>
  <c r="AH22" i="13"/>
  <c r="AH21" i="13"/>
  <c r="AH20" i="13"/>
  <c r="AH199" i="13"/>
  <c r="AH252" i="13"/>
  <c r="AH197" i="13"/>
  <c r="AH195" i="13"/>
  <c r="AH164" i="13"/>
  <c r="AH160" i="13"/>
  <c r="AH156" i="13"/>
  <c r="AH152" i="13"/>
  <c r="AH148" i="13"/>
  <c r="AH165" i="13"/>
  <c r="AH161" i="13"/>
  <c r="AH157" i="13"/>
  <c r="AH153" i="13"/>
  <c r="AH149" i="13"/>
  <c r="AH19" i="13"/>
  <c r="AI5" i="13"/>
  <c r="AH244" i="13"/>
  <c r="AH162" i="13"/>
  <c r="AH158" i="13"/>
  <c r="AH154" i="13"/>
  <c r="AH150" i="13"/>
  <c r="AH146" i="13"/>
  <c r="AH145" i="13"/>
  <c r="AH18" i="13"/>
  <c r="AH17" i="13"/>
  <c r="AH16" i="13"/>
  <c r="AH15" i="13"/>
  <c r="AH14" i="13"/>
  <c r="AH13" i="13"/>
  <c r="AH12" i="13"/>
  <c r="AH11" i="13"/>
  <c r="AH10" i="13"/>
  <c r="AH9" i="13"/>
  <c r="AH8" i="13"/>
  <c r="AH7" i="13"/>
  <c r="AH191" i="13"/>
  <c r="AH163" i="13"/>
  <c r="AH159" i="13"/>
  <c r="AH155" i="13"/>
  <c r="AH151" i="13"/>
  <c r="AH147" i="13"/>
  <c r="AH28" i="13"/>
  <c r="K29" i="13"/>
  <c r="N29" i="13"/>
  <c r="H29" i="13"/>
  <c r="L30" i="13"/>
  <c r="P358" i="13"/>
  <c r="Q358" i="13"/>
  <c r="R358" i="13"/>
  <c r="S358" i="13"/>
  <c r="T358" i="13"/>
  <c r="U358" i="13"/>
  <c r="V358" i="13"/>
  <c r="W358" i="13"/>
  <c r="X358" i="13"/>
  <c r="Y358" i="13"/>
  <c r="Z358" i="13"/>
  <c r="AA358" i="13"/>
  <c r="AB358" i="13"/>
  <c r="AC358" i="13"/>
  <c r="AD358" i="13"/>
  <c r="AE358" i="13"/>
  <c r="AF358" i="13"/>
  <c r="N397" i="13"/>
  <c r="H397" i="13"/>
  <c r="L398" i="13"/>
  <c r="K397" i="13"/>
  <c r="AE5" i="10"/>
  <c r="AD4" i="10"/>
  <c r="AC19" i="10"/>
  <c r="P212" i="13"/>
  <c r="Q212" i="13"/>
  <c r="R212" i="13"/>
  <c r="S212" i="13"/>
  <c r="T212" i="13"/>
  <c r="U212" i="13"/>
  <c r="V212" i="13"/>
  <c r="W212" i="13"/>
  <c r="X212" i="13"/>
  <c r="Y212" i="13"/>
  <c r="Z212" i="13"/>
  <c r="AA212" i="13"/>
  <c r="AB212" i="13"/>
  <c r="AC212" i="13"/>
  <c r="AD212" i="13"/>
  <c r="AE212" i="13"/>
  <c r="AF212" i="13"/>
  <c r="N443" i="13"/>
  <c r="H443" i="13"/>
  <c r="L444" i="13"/>
  <c r="K443" i="13"/>
  <c r="P303" i="13"/>
  <c r="Q303" i="13"/>
  <c r="R303" i="13"/>
  <c r="S303" i="13"/>
  <c r="T303" i="13"/>
  <c r="U303" i="13"/>
  <c r="V303" i="13"/>
  <c r="W303" i="13"/>
  <c r="X303" i="13"/>
  <c r="Y303" i="13"/>
  <c r="Z303" i="13"/>
  <c r="AA303" i="13"/>
  <c r="AB303" i="13"/>
  <c r="AC303" i="13"/>
  <c r="AD303" i="13"/>
  <c r="AE303" i="13"/>
  <c r="AF303" i="13"/>
  <c r="K259" i="13"/>
  <c r="L260" i="13"/>
  <c r="H259" i="13"/>
  <c r="N259" i="13"/>
  <c r="K359" i="13"/>
  <c r="N359" i="13"/>
  <c r="L360" i="13"/>
  <c r="H359" i="13"/>
  <c r="P396" i="13"/>
  <c r="Q396" i="13"/>
  <c r="R396" i="13"/>
  <c r="S396" i="13"/>
  <c r="T396" i="13"/>
  <c r="U396" i="13"/>
  <c r="V396" i="13"/>
  <c r="W396" i="13"/>
  <c r="X396" i="13"/>
  <c r="Y396" i="13"/>
  <c r="Z396" i="13"/>
  <c r="AA396" i="13"/>
  <c r="AB396" i="13"/>
  <c r="AC396" i="13"/>
  <c r="AD396" i="13"/>
  <c r="AE396" i="13"/>
  <c r="AF396" i="13"/>
  <c r="AG358" i="13"/>
  <c r="AC7" i="10" a="1"/>
  <c r="AC7" i="10" s="1"/>
  <c r="AC6" i="10" s="1"/>
  <c r="AD3" i="10"/>
  <c r="AD45" i="10" s="1"/>
  <c r="AD50" i="10" s="1"/>
  <c r="AC84" i="10"/>
  <c r="AC86" i="10" s="1"/>
  <c r="AC90" i="10"/>
  <c r="N213" i="13"/>
  <c r="H213" i="13"/>
  <c r="K213" i="13"/>
  <c r="L214" i="13"/>
  <c r="K304" i="13"/>
  <c r="L305" i="13"/>
  <c r="H304" i="13"/>
  <c r="N304" i="13"/>
  <c r="P258" i="13"/>
  <c r="Q258" i="13"/>
  <c r="R258" i="13"/>
  <c r="S258" i="13"/>
  <c r="T258" i="13"/>
  <c r="U258" i="13"/>
  <c r="V258" i="13"/>
  <c r="W258" i="13"/>
  <c r="X258" i="13"/>
  <c r="Y258" i="13"/>
  <c r="Z258" i="13"/>
  <c r="AA258" i="13"/>
  <c r="AB258" i="13"/>
  <c r="AC258" i="13"/>
  <c r="AD258" i="13"/>
  <c r="AE258" i="13"/>
  <c r="AF258" i="13"/>
  <c r="P165" i="13"/>
  <c r="Q165" i="13"/>
  <c r="R165" i="13"/>
  <c r="S165" i="13"/>
  <c r="T165" i="13"/>
  <c r="U165" i="13"/>
  <c r="V165" i="13"/>
  <c r="W165" i="13"/>
  <c r="X165" i="13"/>
  <c r="Y165" i="13"/>
  <c r="Z165" i="13"/>
  <c r="AA165" i="13"/>
  <c r="AB165" i="13"/>
  <c r="AC165" i="13"/>
  <c r="AD165" i="13"/>
  <c r="AE165" i="13"/>
  <c r="AF165" i="13"/>
  <c r="P74" i="13"/>
  <c r="Q74" i="13"/>
  <c r="R74" i="13"/>
  <c r="S74" i="13"/>
  <c r="T74" i="13"/>
  <c r="U74" i="13"/>
  <c r="V74" i="13"/>
  <c r="W74" i="13"/>
  <c r="X74" i="13"/>
  <c r="Y74" i="13"/>
  <c r="Z74" i="13"/>
  <c r="AA74" i="13"/>
  <c r="AB74" i="13"/>
  <c r="AC74" i="13"/>
  <c r="AD74" i="13"/>
  <c r="AE74" i="13"/>
  <c r="AF74" i="13"/>
  <c r="N120" i="13"/>
  <c r="H120" i="13"/>
  <c r="L121" i="13"/>
  <c r="K120" i="13"/>
  <c r="P442" i="13"/>
  <c r="Q442" i="13"/>
  <c r="R442" i="13"/>
  <c r="S442" i="13"/>
  <c r="T442" i="13"/>
  <c r="U442" i="13"/>
  <c r="V442" i="13"/>
  <c r="W442" i="13"/>
  <c r="X442" i="13"/>
  <c r="Y442" i="13"/>
  <c r="Z442" i="13"/>
  <c r="AA442" i="13"/>
  <c r="AB442" i="13"/>
  <c r="AC442" i="13"/>
  <c r="AD442" i="13"/>
  <c r="AE442" i="13"/>
  <c r="AF442" i="13"/>
  <c r="AC15" i="10"/>
  <c r="AC23" i="10"/>
  <c r="AC31" i="10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P119" i="13"/>
  <c r="Q119" i="13"/>
  <c r="R119" i="13"/>
  <c r="S119" i="13"/>
  <c r="T119" i="13"/>
  <c r="U119" i="13"/>
  <c r="V119" i="13"/>
  <c r="W119" i="13"/>
  <c r="X119" i="13"/>
  <c r="Y119" i="13"/>
  <c r="Z119" i="13"/>
  <c r="AA119" i="13"/>
  <c r="AB119" i="13"/>
  <c r="AC119" i="13"/>
  <c r="AD119" i="13"/>
  <c r="AE119" i="13"/>
  <c r="AF119" i="13"/>
  <c r="N166" i="13"/>
  <c r="H166" i="13"/>
  <c r="L167" i="13"/>
  <c r="K166" i="13"/>
  <c r="AH166" i="13" s="1"/>
  <c r="L76" i="13"/>
  <c r="K75" i="13"/>
  <c r="N75" i="13"/>
  <c r="H75" i="13"/>
  <c r="AE114" i="10" l="1"/>
  <c r="AE115" i="10" s="1"/>
  <c r="AE116" i="10" s="1"/>
  <c r="AA48" i="10"/>
  <c r="AA52" i="10" s="1"/>
  <c r="AB70" i="10"/>
  <c r="AC49" i="10"/>
  <c r="AC25" i="10"/>
  <c r="AC28" i="10"/>
  <c r="AC29" i="10"/>
  <c r="AC26" i="10"/>
  <c r="AC37" i="10"/>
  <c r="AC57" i="10"/>
  <c r="AC66" i="10"/>
  <c r="AC61" i="10"/>
  <c r="AC62" i="10"/>
  <c r="AC68" i="10"/>
  <c r="AC27" i="10"/>
  <c r="AC12" i="10"/>
  <c r="AC13" i="10"/>
  <c r="AC21" i="10"/>
  <c r="AC30" i="10"/>
  <c r="AC65" i="10"/>
  <c r="AC58" i="10"/>
  <c r="AC67" i="10"/>
  <c r="AC11" i="10"/>
  <c r="AC32" i="10"/>
  <c r="AC35" i="10"/>
  <c r="AB39" i="10"/>
  <c r="AB47" i="10" s="1"/>
  <c r="AD62" i="10"/>
  <c r="AD57" i="10"/>
  <c r="AD10" i="10"/>
  <c r="AE128" i="10"/>
  <c r="AD59" i="10"/>
  <c r="P120" i="13"/>
  <c r="Q120" i="13"/>
  <c r="R120" i="13"/>
  <c r="S120" i="13"/>
  <c r="T120" i="13"/>
  <c r="U120" i="13"/>
  <c r="V120" i="13"/>
  <c r="W120" i="13"/>
  <c r="X120" i="13"/>
  <c r="Y120" i="13"/>
  <c r="Z120" i="13"/>
  <c r="AA120" i="13"/>
  <c r="AB120" i="13"/>
  <c r="AC120" i="13"/>
  <c r="AD120" i="13"/>
  <c r="AE120" i="13"/>
  <c r="AF120" i="13"/>
  <c r="AG120" i="13"/>
  <c r="P304" i="13"/>
  <c r="Q304" i="13"/>
  <c r="R304" i="13"/>
  <c r="S304" i="13"/>
  <c r="T304" i="13"/>
  <c r="U304" i="13"/>
  <c r="V304" i="13"/>
  <c r="W304" i="13"/>
  <c r="X304" i="13"/>
  <c r="Y304" i="13"/>
  <c r="Z304" i="13"/>
  <c r="AA304" i="13"/>
  <c r="AB304" i="13"/>
  <c r="AC304" i="13"/>
  <c r="AD304" i="13"/>
  <c r="AE304" i="13"/>
  <c r="AF304" i="13"/>
  <c r="AG304" i="13"/>
  <c r="P213" i="13"/>
  <c r="Q213" i="13"/>
  <c r="R213" i="13"/>
  <c r="S213" i="13"/>
  <c r="T213" i="13"/>
  <c r="U213" i="13"/>
  <c r="V213" i="13"/>
  <c r="W213" i="13"/>
  <c r="X213" i="13"/>
  <c r="Y213" i="13"/>
  <c r="Z213" i="13"/>
  <c r="AA213" i="13"/>
  <c r="AB213" i="13"/>
  <c r="AC213" i="13"/>
  <c r="AD213" i="13"/>
  <c r="AE213" i="13"/>
  <c r="AF213" i="13"/>
  <c r="AG213" i="13"/>
  <c r="L261" i="13"/>
  <c r="H260" i="13"/>
  <c r="N260" i="13"/>
  <c r="K260" i="13"/>
  <c r="AI260" i="13" s="1"/>
  <c r="P443" i="13"/>
  <c r="Q443" i="13"/>
  <c r="R443" i="13"/>
  <c r="S443" i="13"/>
  <c r="T443" i="13"/>
  <c r="U443" i="13"/>
  <c r="V443" i="13"/>
  <c r="W443" i="13"/>
  <c r="X443" i="13"/>
  <c r="Y443" i="13"/>
  <c r="Z443" i="13"/>
  <c r="AA443" i="13"/>
  <c r="AB443" i="13"/>
  <c r="AC443" i="13"/>
  <c r="AD443" i="13"/>
  <c r="AE443" i="13"/>
  <c r="AF443" i="13"/>
  <c r="AG443" i="13"/>
  <c r="AD37" i="10"/>
  <c r="AD38" i="10"/>
  <c r="AH443" i="13"/>
  <c r="N121" i="13"/>
  <c r="H121" i="13"/>
  <c r="L122" i="13"/>
  <c r="K121" i="13"/>
  <c r="P359" i="13"/>
  <c r="Q359" i="13"/>
  <c r="R359" i="13"/>
  <c r="S359" i="13"/>
  <c r="T359" i="13"/>
  <c r="U359" i="13"/>
  <c r="V359" i="13"/>
  <c r="W359" i="13"/>
  <c r="X359" i="13"/>
  <c r="Y359" i="13"/>
  <c r="Z359" i="13"/>
  <c r="AA359" i="13"/>
  <c r="AB359" i="13"/>
  <c r="AC359" i="13"/>
  <c r="AD359" i="13"/>
  <c r="AE359" i="13"/>
  <c r="AF359" i="13"/>
  <c r="AG359" i="13"/>
  <c r="P259" i="13"/>
  <c r="Q259" i="13"/>
  <c r="R259" i="13"/>
  <c r="S259" i="13"/>
  <c r="T259" i="13"/>
  <c r="U259" i="13"/>
  <c r="V259" i="13"/>
  <c r="W259" i="13"/>
  <c r="X259" i="13"/>
  <c r="Y259" i="13"/>
  <c r="Z259" i="13"/>
  <c r="AA259" i="13"/>
  <c r="AB259" i="13"/>
  <c r="AC259" i="13"/>
  <c r="AD259" i="13"/>
  <c r="AE259" i="13"/>
  <c r="AF259" i="13"/>
  <c r="AG259" i="13"/>
  <c r="N444" i="13"/>
  <c r="H444" i="13"/>
  <c r="L445" i="13"/>
  <c r="K444" i="13"/>
  <c r="AD25" i="10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H120" i="13"/>
  <c r="L77" i="13"/>
  <c r="K76" i="13"/>
  <c r="AI76" i="13" s="1"/>
  <c r="N76" i="13"/>
  <c r="H76" i="13"/>
  <c r="AD26" i="10"/>
  <c r="P397" i="13"/>
  <c r="Q397" i="13"/>
  <c r="R397" i="13"/>
  <c r="S397" i="13"/>
  <c r="T397" i="13"/>
  <c r="U397" i="13"/>
  <c r="V397" i="13"/>
  <c r="W397" i="13"/>
  <c r="X397" i="13"/>
  <c r="Y397" i="13"/>
  <c r="Z397" i="13"/>
  <c r="AA397" i="13"/>
  <c r="AB397" i="13"/>
  <c r="AC397" i="13"/>
  <c r="AD397" i="13"/>
  <c r="AE397" i="13"/>
  <c r="AF397" i="13"/>
  <c r="AG397" i="13"/>
  <c r="K30" i="13"/>
  <c r="AI30" i="13" s="1"/>
  <c r="N30" i="13"/>
  <c r="H30" i="13"/>
  <c r="L31" i="13"/>
  <c r="AH259" i="13"/>
  <c r="AH304" i="13"/>
  <c r="AH397" i="13"/>
  <c r="P75" i="13"/>
  <c r="Q75" i="13"/>
  <c r="R75" i="13"/>
  <c r="S75" i="13"/>
  <c r="T75" i="13"/>
  <c r="U75" i="13"/>
  <c r="V75" i="13"/>
  <c r="W75" i="13"/>
  <c r="X75" i="13"/>
  <c r="Y75" i="13"/>
  <c r="Z75" i="13"/>
  <c r="AA75" i="13"/>
  <c r="AB75" i="13"/>
  <c r="AC75" i="13"/>
  <c r="AD75" i="13"/>
  <c r="AE75" i="13"/>
  <c r="AF75" i="13"/>
  <c r="AG75" i="13"/>
  <c r="N167" i="13"/>
  <c r="H167" i="13"/>
  <c r="L168" i="13"/>
  <c r="K167" i="13"/>
  <c r="AI167" i="13" s="1"/>
  <c r="P166" i="13"/>
  <c r="Q166" i="13"/>
  <c r="R166" i="13"/>
  <c r="S166" i="13"/>
  <c r="T166" i="13"/>
  <c r="U166" i="13"/>
  <c r="V166" i="13"/>
  <c r="W166" i="13"/>
  <c r="X166" i="13"/>
  <c r="Y166" i="13"/>
  <c r="Z166" i="13"/>
  <c r="AA166" i="13"/>
  <c r="AB166" i="13"/>
  <c r="AC166" i="13"/>
  <c r="AD166" i="13"/>
  <c r="AE166" i="13"/>
  <c r="AF166" i="13"/>
  <c r="AG166" i="13"/>
  <c r="K305" i="13"/>
  <c r="AI305" i="13" s="1"/>
  <c r="N305" i="13"/>
  <c r="H305" i="13"/>
  <c r="L306" i="13"/>
  <c r="N214" i="13"/>
  <c r="H214" i="13"/>
  <c r="L215" i="13"/>
  <c r="K214" i="13"/>
  <c r="AI214" i="13" s="1"/>
  <c r="AD7" i="10" a="1"/>
  <c r="AD7" i="10" s="1"/>
  <c r="AD6" i="10" s="1"/>
  <c r="AD49" i="10" s="1"/>
  <c r="AE3" i="10"/>
  <c r="AE7" i="10" s="1" a="1"/>
  <c r="AE7" i="10" s="1"/>
  <c r="AD84" i="10"/>
  <c r="AD86" i="10" s="1"/>
  <c r="AD90" i="10"/>
  <c r="L361" i="13"/>
  <c r="K360" i="13"/>
  <c r="AI360" i="13" s="1"/>
  <c r="H360" i="13"/>
  <c r="N360" i="13"/>
  <c r="AD17" i="10"/>
  <c r="AD28" i="10"/>
  <c r="AF5" i="10"/>
  <c r="AE4" i="10"/>
  <c r="N398" i="13"/>
  <c r="H398" i="13"/>
  <c r="K398" i="13"/>
  <c r="L399" i="13"/>
  <c r="AI444" i="13"/>
  <c r="AI443" i="13"/>
  <c r="AI442" i="13"/>
  <c r="AI441" i="13"/>
  <c r="AI440" i="13"/>
  <c r="AI439" i="13"/>
  <c r="AI438" i="13"/>
  <c r="AI437" i="13"/>
  <c r="AI436" i="13"/>
  <c r="AI397" i="13"/>
  <c r="AI396" i="13"/>
  <c r="AI395" i="13"/>
  <c r="AI394" i="13"/>
  <c r="AI393" i="13"/>
  <c r="AI392" i="13"/>
  <c r="AI391" i="13"/>
  <c r="AI390" i="13"/>
  <c r="AI389" i="13"/>
  <c r="AI388" i="13"/>
  <c r="AI387" i="13"/>
  <c r="AI386" i="13"/>
  <c r="AI385" i="13"/>
  <c r="AI384" i="13"/>
  <c r="AI383" i="13"/>
  <c r="AI382" i="13"/>
  <c r="AI381" i="13"/>
  <c r="AI380" i="13"/>
  <c r="AI379" i="13"/>
  <c r="AI378" i="13"/>
  <c r="AI377" i="13"/>
  <c r="AI376" i="13"/>
  <c r="AI375" i="13"/>
  <c r="AI434" i="13"/>
  <c r="AI432" i="13"/>
  <c r="AI430" i="13"/>
  <c r="AI428" i="13"/>
  <c r="AI426" i="13"/>
  <c r="AI424" i="13"/>
  <c r="AI422" i="13"/>
  <c r="AI421" i="13"/>
  <c r="AI213" i="13"/>
  <c r="AI212" i="13"/>
  <c r="AI211" i="13"/>
  <c r="AI210" i="13"/>
  <c r="AI209" i="13"/>
  <c r="AI208" i="13"/>
  <c r="AI207" i="13"/>
  <c r="AI206" i="13"/>
  <c r="AI205" i="13"/>
  <c r="AI204" i="13"/>
  <c r="AI203" i="13"/>
  <c r="AI435" i="13"/>
  <c r="AI431" i="13"/>
  <c r="AI427" i="13"/>
  <c r="AI423" i="13"/>
  <c r="AI353" i="13"/>
  <c r="AI352" i="13"/>
  <c r="AI345" i="13"/>
  <c r="AI344" i="13"/>
  <c r="AI329" i="13"/>
  <c r="AI429" i="13"/>
  <c r="AI355" i="13"/>
  <c r="AI354" i="13"/>
  <c r="AI347" i="13"/>
  <c r="AI346" i="13"/>
  <c r="AI338" i="13"/>
  <c r="AI336" i="13"/>
  <c r="AI334" i="13"/>
  <c r="AI332" i="13"/>
  <c r="AI330" i="13"/>
  <c r="AI357" i="13"/>
  <c r="AI356" i="13"/>
  <c r="AI349" i="13"/>
  <c r="AI348" i="13"/>
  <c r="AI341" i="13"/>
  <c r="AI340" i="13"/>
  <c r="AI433" i="13"/>
  <c r="AI359" i="13"/>
  <c r="AI358" i="13"/>
  <c r="AI337" i="13"/>
  <c r="AI331" i="13"/>
  <c r="AI259" i="13"/>
  <c r="AI257" i="13"/>
  <c r="AI255" i="13"/>
  <c r="AI253" i="13"/>
  <c r="AI251" i="13"/>
  <c r="AI249" i="13"/>
  <c r="AI247" i="13"/>
  <c r="AI245" i="13"/>
  <c r="AI243" i="13"/>
  <c r="AI241" i="13"/>
  <c r="AI239" i="13"/>
  <c r="AI237" i="13"/>
  <c r="AI425" i="13"/>
  <c r="AI333" i="13"/>
  <c r="AI303" i="13"/>
  <c r="AI301" i="13"/>
  <c r="AI299" i="13"/>
  <c r="AI297" i="13"/>
  <c r="AI295" i="13"/>
  <c r="AI293" i="13"/>
  <c r="AI291" i="13"/>
  <c r="AI289" i="13"/>
  <c r="AI287" i="13"/>
  <c r="AI285" i="13"/>
  <c r="AI283" i="13"/>
  <c r="AI343" i="13"/>
  <c r="AI342" i="13"/>
  <c r="AI339" i="13"/>
  <c r="AI335" i="13"/>
  <c r="AI258" i="13"/>
  <c r="AI256" i="13"/>
  <c r="AI254" i="13"/>
  <c r="AI252" i="13"/>
  <c r="AI250" i="13"/>
  <c r="AI248" i="13"/>
  <c r="AI246" i="13"/>
  <c r="AI244" i="13"/>
  <c r="AI242" i="13"/>
  <c r="AI240" i="13"/>
  <c r="AI238" i="13"/>
  <c r="AI351" i="13"/>
  <c r="AI302" i="13"/>
  <c r="AI294" i="13"/>
  <c r="AI286" i="13"/>
  <c r="AI202" i="13"/>
  <c r="AI200" i="13"/>
  <c r="AI198" i="13"/>
  <c r="AI196" i="13"/>
  <c r="AI194" i="13"/>
  <c r="AI192" i="13"/>
  <c r="AI121" i="13"/>
  <c r="AI120" i="13"/>
  <c r="AI119" i="13"/>
  <c r="AI118" i="13"/>
  <c r="AI117" i="13"/>
  <c r="AI116" i="13"/>
  <c r="AI115" i="13"/>
  <c r="AI114" i="13"/>
  <c r="AI113" i="13"/>
  <c r="AI112" i="13"/>
  <c r="AI111" i="13"/>
  <c r="AI110" i="13"/>
  <c r="AI109" i="13"/>
  <c r="AI108" i="13"/>
  <c r="AI107" i="13"/>
  <c r="AI106" i="13"/>
  <c r="AI105" i="13"/>
  <c r="AI104" i="13"/>
  <c r="AI103" i="13"/>
  <c r="AI102" i="13"/>
  <c r="AI101" i="13"/>
  <c r="AI100" i="13"/>
  <c r="AI99" i="13"/>
  <c r="AI300" i="13"/>
  <c r="AI292" i="13"/>
  <c r="AI284" i="13"/>
  <c r="AI166" i="13"/>
  <c r="AI165" i="13"/>
  <c r="AI164" i="13"/>
  <c r="AI163" i="13"/>
  <c r="AI162" i="13"/>
  <c r="AI161" i="13"/>
  <c r="AI160" i="13"/>
  <c r="AI159" i="13"/>
  <c r="AI158" i="13"/>
  <c r="AI157" i="13"/>
  <c r="AI156" i="13"/>
  <c r="AI155" i="13"/>
  <c r="AI154" i="13"/>
  <c r="AI153" i="13"/>
  <c r="AI152" i="13"/>
  <c r="AI151" i="13"/>
  <c r="AI150" i="13"/>
  <c r="AI149" i="13"/>
  <c r="AI148" i="13"/>
  <c r="AI147" i="13"/>
  <c r="AI146" i="13"/>
  <c r="AI145" i="13"/>
  <c r="AI350" i="13"/>
  <c r="AI298" i="13"/>
  <c r="AI290" i="13"/>
  <c r="AI201" i="13"/>
  <c r="AI199" i="13"/>
  <c r="AI197" i="13"/>
  <c r="AI195" i="13"/>
  <c r="AI193" i="13"/>
  <c r="AI288" i="13"/>
  <c r="AI304" i="13"/>
  <c r="AI191" i="13"/>
  <c r="AI75" i="13"/>
  <c r="AI74" i="13"/>
  <c r="AI73" i="13"/>
  <c r="AI72" i="13"/>
  <c r="AI71" i="13"/>
  <c r="AI70" i="13"/>
  <c r="AI69" i="13"/>
  <c r="AI68" i="13"/>
  <c r="AI67" i="13"/>
  <c r="AI66" i="13"/>
  <c r="AI65" i="13"/>
  <c r="AI64" i="13"/>
  <c r="AI63" i="13"/>
  <c r="AI62" i="13"/>
  <c r="AI61" i="13"/>
  <c r="AI60" i="13"/>
  <c r="AI59" i="13"/>
  <c r="AI58" i="13"/>
  <c r="AI57" i="13"/>
  <c r="AI56" i="13"/>
  <c r="AI55" i="13"/>
  <c r="AI54" i="13"/>
  <c r="AI29" i="13"/>
  <c r="AI28" i="13"/>
  <c r="AI296" i="13"/>
  <c r="AI53" i="13"/>
  <c r="AI19" i="13"/>
  <c r="AJ5" i="13"/>
  <c r="AI18" i="13"/>
  <c r="AI17" i="13"/>
  <c r="AI16" i="13"/>
  <c r="AI15" i="13"/>
  <c r="AI14" i="13"/>
  <c r="AI13" i="13"/>
  <c r="AI12" i="13"/>
  <c r="AI11" i="13"/>
  <c r="AI10" i="13"/>
  <c r="AI9" i="13"/>
  <c r="AI8" i="13"/>
  <c r="AI7" i="13"/>
  <c r="AI26" i="13"/>
  <c r="AI22" i="13"/>
  <c r="AI27" i="13"/>
  <c r="AI23" i="13"/>
  <c r="AI24" i="13"/>
  <c r="AI20" i="13"/>
  <c r="AI25" i="13"/>
  <c r="AI21" i="13"/>
  <c r="AH75" i="13"/>
  <c r="AH213" i="13"/>
  <c r="AH359" i="13"/>
  <c r="AA71" i="10" l="1"/>
  <c r="AF114" i="10"/>
  <c r="AF115" i="10" s="1"/>
  <c r="AF116" i="10" s="1"/>
  <c r="AB48" i="10"/>
  <c r="AA72" i="10"/>
  <c r="AE45" i="10"/>
  <c r="AE50" i="10" s="1"/>
  <c r="AA74" i="10"/>
  <c r="AC70" i="10"/>
  <c r="AC39" i="10"/>
  <c r="AC47" i="10" s="1"/>
  <c r="AD20" i="10"/>
  <c r="AD21" i="10"/>
  <c r="AD33" i="10"/>
  <c r="AD30" i="10"/>
  <c r="AD63" i="10"/>
  <c r="AD67" i="10"/>
  <c r="AD68" i="10"/>
  <c r="AD12" i="10"/>
  <c r="AD13" i="10"/>
  <c r="AD29" i="10"/>
  <c r="AD24" i="10"/>
  <c r="AD15" i="10"/>
  <c r="AD22" i="10"/>
  <c r="AD27" i="10"/>
  <c r="AD11" i="10"/>
  <c r="AD60" i="10"/>
  <c r="AD58" i="10"/>
  <c r="AD66" i="10"/>
  <c r="AD18" i="10"/>
  <c r="AD32" i="10"/>
  <c r="AD23" i="10"/>
  <c r="AD56" i="10"/>
  <c r="AD61" i="10"/>
  <c r="AD36" i="10"/>
  <c r="AD31" i="10"/>
  <c r="AD34" i="10"/>
  <c r="AD19" i="10"/>
  <c r="AD16" i="10"/>
  <c r="AD14" i="10"/>
  <c r="AD65" i="10"/>
  <c r="AD64" i="10"/>
  <c r="AD43" i="10"/>
  <c r="AD69" i="10"/>
  <c r="AD35" i="10"/>
  <c r="AE11" i="10"/>
  <c r="AF128" i="10"/>
  <c r="AE10" i="10"/>
  <c r="AE66" i="10"/>
  <c r="AE56" i="10"/>
  <c r="AE68" i="10"/>
  <c r="AE33" i="10"/>
  <c r="AE27" i="10"/>
  <c r="AE22" i="10"/>
  <c r="AE34" i="10"/>
  <c r="AE35" i="10"/>
  <c r="AE32" i="10"/>
  <c r="AE36" i="10"/>
  <c r="AI398" i="13"/>
  <c r="L362" i="13"/>
  <c r="K361" i="13"/>
  <c r="AJ361" i="13" s="1"/>
  <c r="N361" i="13"/>
  <c r="H361" i="13"/>
  <c r="P214" i="13"/>
  <c r="Q214" i="13"/>
  <c r="R214" i="13"/>
  <c r="S214" i="13"/>
  <c r="T214" i="13"/>
  <c r="U214" i="13"/>
  <c r="V214" i="13"/>
  <c r="W214" i="13"/>
  <c r="X214" i="13"/>
  <c r="Y214" i="13"/>
  <c r="Z214" i="13"/>
  <c r="AA214" i="13"/>
  <c r="AB214" i="13"/>
  <c r="AC214" i="13"/>
  <c r="AD214" i="13"/>
  <c r="AE214" i="13"/>
  <c r="AF214" i="13"/>
  <c r="AG214" i="13"/>
  <c r="AH214" i="13"/>
  <c r="K306" i="13"/>
  <c r="L307" i="13"/>
  <c r="H306" i="13"/>
  <c r="N306" i="13"/>
  <c r="N122" i="13"/>
  <c r="H122" i="13"/>
  <c r="L123" i="13"/>
  <c r="K122" i="13"/>
  <c r="AJ122" i="13" s="1"/>
  <c r="AJ443" i="13"/>
  <c r="AJ441" i="13"/>
  <c r="AJ439" i="13"/>
  <c r="AJ437" i="13"/>
  <c r="AJ435" i="13"/>
  <c r="AJ434" i="13"/>
  <c r="AJ433" i="13"/>
  <c r="AJ432" i="13"/>
  <c r="AJ431" i="13"/>
  <c r="AJ430" i="13"/>
  <c r="AJ429" i="13"/>
  <c r="AJ428" i="13"/>
  <c r="AJ427" i="13"/>
  <c r="AJ426" i="13"/>
  <c r="AJ425" i="13"/>
  <c r="AJ424" i="13"/>
  <c r="AJ423" i="13"/>
  <c r="AJ422" i="13"/>
  <c r="AJ421" i="13"/>
  <c r="AJ444" i="13"/>
  <c r="AJ436" i="13"/>
  <c r="AJ398" i="13"/>
  <c r="AJ396" i="13"/>
  <c r="AJ394" i="13"/>
  <c r="AJ392" i="13"/>
  <c r="AJ390" i="13"/>
  <c r="AJ388" i="13"/>
  <c r="AJ386" i="13"/>
  <c r="AJ384" i="13"/>
  <c r="AJ382" i="13"/>
  <c r="AJ380" i="13"/>
  <c r="AJ378" i="13"/>
  <c r="AJ376" i="13"/>
  <c r="AJ438" i="13"/>
  <c r="AJ442" i="13"/>
  <c r="AJ395" i="13"/>
  <c r="AJ389" i="13"/>
  <c r="AJ381" i="13"/>
  <c r="AJ359" i="13"/>
  <c r="AJ357" i="13"/>
  <c r="AJ355" i="13"/>
  <c r="AJ353" i="13"/>
  <c r="AJ351" i="13"/>
  <c r="AJ349" i="13"/>
  <c r="AJ347" i="13"/>
  <c r="AJ345" i="13"/>
  <c r="AJ343" i="13"/>
  <c r="AJ341" i="13"/>
  <c r="AJ260" i="13"/>
  <c r="AJ259" i="13"/>
  <c r="AJ258" i="13"/>
  <c r="AJ257" i="13"/>
  <c r="AJ256" i="13"/>
  <c r="AJ255" i="13"/>
  <c r="AJ254" i="13"/>
  <c r="AJ253" i="13"/>
  <c r="AJ252" i="13"/>
  <c r="AJ251" i="13"/>
  <c r="AJ250" i="13"/>
  <c r="AJ249" i="13"/>
  <c r="AJ248" i="13"/>
  <c r="AJ247" i="13"/>
  <c r="AJ246" i="13"/>
  <c r="AJ245" i="13"/>
  <c r="AJ244" i="13"/>
  <c r="AJ243" i="13"/>
  <c r="AJ242" i="13"/>
  <c r="AJ241" i="13"/>
  <c r="AJ240" i="13"/>
  <c r="AJ239" i="13"/>
  <c r="AJ238" i="13"/>
  <c r="AJ237" i="13"/>
  <c r="AJ391" i="13"/>
  <c r="AJ383" i="13"/>
  <c r="AJ379" i="13"/>
  <c r="AJ354" i="13"/>
  <c r="AJ346" i="13"/>
  <c r="AJ338" i="13"/>
  <c r="AJ336" i="13"/>
  <c r="AJ334" i="13"/>
  <c r="AJ332" i="13"/>
  <c r="AJ330" i="13"/>
  <c r="AJ440" i="13"/>
  <c r="AJ397" i="13"/>
  <c r="AJ385" i="13"/>
  <c r="AJ356" i="13"/>
  <c r="AJ348" i="13"/>
  <c r="AJ340" i="13"/>
  <c r="AJ387" i="13"/>
  <c r="AJ358" i="13"/>
  <c r="AJ350" i="13"/>
  <c r="AJ342" i="13"/>
  <c r="AJ339" i="13"/>
  <c r="AJ337" i="13"/>
  <c r="AJ335" i="13"/>
  <c r="AJ333" i="13"/>
  <c r="AJ331" i="13"/>
  <c r="AJ375" i="13"/>
  <c r="AJ360" i="13"/>
  <c r="AJ305" i="13"/>
  <c r="AJ303" i="13"/>
  <c r="AJ301" i="13"/>
  <c r="AJ299" i="13"/>
  <c r="AJ297" i="13"/>
  <c r="AJ295" i="13"/>
  <c r="AJ293" i="13"/>
  <c r="AJ291" i="13"/>
  <c r="AJ289" i="13"/>
  <c r="AJ287" i="13"/>
  <c r="AJ285" i="13"/>
  <c r="AJ283" i="13"/>
  <c r="AJ213" i="13"/>
  <c r="AJ211" i="13"/>
  <c r="AJ209" i="13"/>
  <c r="AJ207" i="13"/>
  <c r="AJ205" i="13"/>
  <c r="AJ203" i="13"/>
  <c r="AJ329" i="13"/>
  <c r="AJ377" i="13"/>
  <c r="AJ344" i="13"/>
  <c r="AJ306" i="13"/>
  <c r="AJ304" i="13"/>
  <c r="AJ302" i="13"/>
  <c r="AJ300" i="13"/>
  <c r="AJ298" i="13"/>
  <c r="AJ296" i="13"/>
  <c r="AJ294" i="13"/>
  <c r="AJ292" i="13"/>
  <c r="AJ290" i="13"/>
  <c r="AJ288" i="13"/>
  <c r="AJ286" i="13"/>
  <c r="AJ284" i="13"/>
  <c r="AJ393" i="13"/>
  <c r="AJ167" i="13"/>
  <c r="AJ166" i="13"/>
  <c r="AJ165" i="13"/>
  <c r="AJ164" i="13"/>
  <c r="AJ163" i="13"/>
  <c r="AJ162" i="13"/>
  <c r="AJ161" i="13"/>
  <c r="AJ160" i="13"/>
  <c r="AJ159" i="13"/>
  <c r="AJ158" i="13"/>
  <c r="AJ157" i="13"/>
  <c r="AJ156" i="13"/>
  <c r="AJ155" i="13"/>
  <c r="AJ154" i="13"/>
  <c r="AJ153" i="13"/>
  <c r="AJ152" i="13"/>
  <c r="AJ151" i="13"/>
  <c r="AJ150" i="13"/>
  <c r="AJ149" i="13"/>
  <c r="AJ148" i="13"/>
  <c r="AJ147" i="13"/>
  <c r="AJ146" i="13"/>
  <c r="AJ145" i="13"/>
  <c r="AJ214" i="13"/>
  <c r="AJ210" i="13"/>
  <c r="AJ206" i="13"/>
  <c r="AJ201" i="13"/>
  <c r="AJ199" i="13"/>
  <c r="AJ197" i="13"/>
  <c r="AJ195" i="13"/>
  <c r="AJ193" i="13"/>
  <c r="AJ191" i="13"/>
  <c r="AJ30" i="13"/>
  <c r="AJ29" i="13"/>
  <c r="AJ28" i="13"/>
  <c r="AJ352" i="13"/>
  <c r="AJ208" i="13"/>
  <c r="AJ204" i="13"/>
  <c r="AJ196" i="13"/>
  <c r="AJ192" i="13"/>
  <c r="AJ121" i="13"/>
  <c r="AJ120" i="13"/>
  <c r="AJ119" i="13"/>
  <c r="AJ118" i="13"/>
  <c r="AJ117" i="13"/>
  <c r="AJ116" i="13"/>
  <c r="AJ115" i="13"/>
  <c r="AJ114" i="13"/>
  <c r="AJ113" i="13"/>
  <c r="AJ112" i="13"/>
  <c r="AJ111" i="13"/>
  <c r="AJ110" i="13"/>
  <c r="AJ109" i="13"/>
  <c r="AJ108" i="13"/>
  <c r="AJ107" i="13"/>
  <c r="AJ106" i="13"/>
  <c r="AJ105" i="13"/>
  <c r="AJ104" i="13"/>
  <c r="AJ103" i="13"/>
  <c r="AJ102" i="13"/>
  <c r="AJ101" i="13"/>
  <c r="AJ100" i="13"/>
  <c r="AJ202" i="13"/>
  <c r="AJ194" i="13"/>
  <c r="AJ200" i="13"/>
  <c r="AJ53" i="13"/>
  <c r="AJ27" i="13"/>
  <c r="AJ26" i="13"/>
  <c r="AJ25" i="13"/>
  <c r="AJ24" i="13"/>
  <c r="AJ23" i="13"/>
  <c r="AJ22" i="13"/>
  <c r="AJ21" i="13"/>
  <c r="AJ20" i="13"/>
  <c r="AJ19" i="13"/>
  <c r="AJ198" i="13"/>
  <c r="AJ99" i="13"/>
  <c r="AJ76" i="13"/>
  <c r="AJ74" i="13"/>
  <c r="AJ72" i="13"/>
  <c r="AJ70" i="13"/>
  <c r="AJ68" i="13"/>
  <c r="AJ66" i="13"/>
  <c r="AJ64" i="13"/>
  <c r="AJ62" i="13"/>
  <c r="AJ60" i="13"/>
  <c r="AJ58" i="13"/>
  <c r="AJ56" i="13"/>
  <c r="AJ54" i="13"/>
  <c r="AJ18" i="13"/>
  <c r="AJ17" i="13"/>
  <c r="AJ16" i="13"/>
  <c r="AJ15" i="13"/>
  <c r="AJ14" i="13"/>
  <c r="AJ13" i="13"/>
  <c r="AJ12" i="13"/>
  <c r="AJ11" i="13"/>
  <c r="AJ10" i="13"/>
  <c r="AJ9" i="13"/>
  <c r="AJ8" i="13"/>
  <c r="AJ7" i="13"/>
  <c r="AJ212" i="13"/>
  <c r="AJ75" i="13"/>
  <c r="AJ73" i="13"/>
  <c r="AJ71" i="13"/>
  <c r="AJ69" i="13"/>
  <c r="AJ67" i="13"/>
  <c r="AJ65" i="13"/>
  <c r="AJ63" i="13"/>
  <c r="AJ61" i="13"/>
  <c r="AJ59" i="13"/>
  <c r="AJ57" i="13"/>
  <c r="AJ55" i="13"/>
  <c r="AK5" i="13"/>
  <c r="N399" i="13"/>
  <c r="H399" i="13"/>
  <c r="L400" i="13"/>
  <c r="K399" i="13"/>
  <c r="AJ399" i="13" s="1"/>
  <c r="N215" i="13"/>
  <c r="H215" i="13"/>
  <c r="K215" i="13"/>
  <c r="L216" i="13"/>
  <c r="P167" i="13"/>
  <c r="Q167" i="13"/>
  <c r="R167" i="13"/>
  <c r="S167" i="13"/>
  <c r="T167" i="13"/>
  <c r="U167" i="13"/>
  <c r="V167" i="13"/>
  <c r="W167" i="13"/>
  <c r="X167" i="13"/>
  <c r="Y167" i="13"/>
  <c r="Z167" i="13"/>
  <c r="AA167" i="13"/>
  <c r="AB167" i="13"/>
  <c r="AC167" i="13"/>
  <c r="AD167" i="13"/>
  <c r="AE167" i="13"/>
  <c r="AF167" i="13"/>
  <c r="AG167" i="13"/>
  <c r="AH167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P398" i="13"/>
  <c r="Q398" i="13"/>
  <c r="R398" i="13"/>
  <c r="S398" i="13"/>
  <c r="T398" i="13"/>
  <c r="U398" i="13"/>
  <c r="V398" i="13"/>
  <c r="W398" i="13"/>
  <c r="X398" i="13"/>
  <c r="Y398" i="13"/>
  <c r="Z398" i="13"/>
  <c r="AA398" i="13"/>
  <c r="AB398" i="13"/>
  <c r="AC398" i="13"/>
  <c r="AD398" i="13"/>
  <c r="AE398" i="13"/>
  <c r="AF398" i="13"/>
  <c r="AG398" i="13"/>
  <c r="AH398" i="13"/>
  <c r="AE6" i="10"/>
  <c r="AE49" i="10" s="1"/>
  <c r="AF3" i="10"/>
  <c r="AE89" i="10"/>
  <c r="AE84" i="10"/>
  <c r="AE86" i="10" s="1"/>
  <c r="AE90" i="10"/>
  <c r="N168" i="13"/>
  <c r="H168" i="13"/>
  <c r="L169" i="13"/>
  <c r="K168" i="13"/>
  <c r="K31" i="13"/>
  <c r="AJ31" i="13" s="1"/>
  <c r="N31" i="13"/>
  <c r="H31" i="13"/>
  <c r="L32" i="13"/>
  <c r="P76" i="13"/>
  <c r="Q76" i="13"/>
  <c r="R76" i="13"/>
  <c r="S76" i="13"/>
  <c r="T76" i="13"/>
  <c r="U76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P444" i="13"/>
  <c r="Q444" i="13"/>
  <c r="R444" i="13"/>
  <c r="S444" i="13"/>
  <c r="T444" i="13"/>
  <c r="U444" i="13"/>
  <c r="V444" i="13"/>
  <c r="W444" i="13"/>
  <c r="X444" i="13"/>
  <c r="Y444" i="13"/>
  <c r="Z444" i="13"/>
  <c r="AA444" i="13"/>
  <c r="AB444" i="13"/>
  <c r="AC444" i="13"/>
  <c r="AD444" i="13"/>
  <c r="AE444" i="13"/>
  <c r="AF444" i="13"/>
  <c r="AG444" i="13"/>
  <c r="AH444" i="13"/>
  <c r="K261" i="13"/>
  <c r="L262" i="13"/>
  <c r="H261" i="13"/>
  <c r="N261" i="13"/>
  <c r="AG5" i="10"/>
  <c r="AF4" i="10"/>
  <c r="P360" i="13"/>
  <c r="Q360" i="13"/>
  <c r="R360" i="13"/>
  <c r="S360" i="13"/>
  <c r="T360" i="13"/>
  <c r="U360" i="13"/>
  <c r="V360" i="13"/>
  <c r="W360" i="13"/>
  <c r="X360" i="13"/>
  <c r="Y360" i="13"/>
  <c r="Z360" i="13"/>
  <c r="AA360" i="13"/>
  <c r="AB360" i="13"/>
  <c r="AC360" i="13"/>
  <c r="AD360" i="13"/>
  <c r="AE360" i="13"/>
  <c r="AF360" i="13"/>
  <c r="AG360" i="13"/>
  <c r="AH360" i="13"/>
  <c r="P305" i="13"/>
  <c r="Q305" i="13"/>
  <c r="R305" i="13"/>
  <c r="S305" i="13"/>
  <c r="T305" i="13"/>
  <c r="U305" i="13"/>
  <c r="V305" i="13"/>
  <c r="W305" i="13"/>
  <c r="X305" i="13"/>
  <c r="Y305" i="13"/>
  <c r="Z305" i="13"/>
  <c r="AA305" i="13"/>
  <c r="AB305" i="13"/>
  <c r="AC305" i="13"/>
  <c r="AD305" i="13"/>
  <c r="AE305" i="13"/>
  <c r="AF305" i="13"/>
  <c r="AG305" i="13"/>
  <c r="AH305" i="13"/>
  <c r="L78" i="13"/>
  <c r="K77" i="13"/>
  <c r="N77" i="13"/>
  <c r="H77" i="13"/>
  <c r="N445" i="13"/>
  <c r="H445" i="13"/>
  <c r="L446" i="13"/>
  <c r="K445" i="13"/>
  <c r="P121" i="13"/>
  <c r="Q121" i="13"/>
  <c r="R121" i="13"/>
  <c r="S121" i="13"/>
  <c r="T121" i="13"/>
  <c r="U121" i="13"/>
  <c r="V121" i="13"/>
  <c r="W121" i="13"/>
  <c r="X121" i="13"/>
  <c r="Y121" i="13"/>
  <c r="Z121" i="13"/>
  <c r="AA121" i="13"/>
  <c r="AB121" i="13"/>
  <c r="AC121" i="13"/>
  <c r="AD121" i="13"/>
  <c r="AE121" i="13"/>
  <c r="AF121" i="13"/>
  <c r="AG121" i="13"/>
  <c r="AH121" i="13"/>
  <c r="P260" i="13"/>
  <c r="Q260" i="13"/>
  <c r="R260" i="13"/>
  <c r="S260" i="13"/>
  <c r="T260" i="13"/>
  <c r="U260" i="13"/>
  <c r="V260" i="13"/>
  <c r="W260" i="13"/>
  <c r="X260" i="13"/>
  <c r="Y260" i="13"/>
  <c r="Z260" i="13"/>
  <c r="AA260" i="13"/>
  <c r="AB260" i="13"/>
  <c r="AC260" i="13"/>
  <c r="AD260" i="13"/>
  <c r="AE260" i="13"/>
  <c r="AF260" i="13"/>
  <c r="AG260" i="13"/>
  <c r="AH260" i="13"/>
  <c r="AG114" i="10" l="1"/>
  <c r="AG115" i="10" s="1"/>
  <c r="AG116" i="10" s="1"/>
  <c r="AC48" i="10"/>
  <c r="AC52" i="10" s="1"/>
  <c r="AC71" i="10" s="1"/>
  <c r="AF45" i="10"/>
  <c r="AF50" i="10" s="1"/>
  <c r="AB52" i="10"/>
  <c r="AB72" i="10" s="1"/>
  <c r="AD70" i="10"/>
  <c r="AD39" i="10"/>
  <c r="AD47" i="10" s="1"/>
  <c r="AE28" i="10"/>
  <c r="AE17" i="10"/>
  <c r="AE37" i="10"/>
  <c r="AE31" i="10"/>
  <c r="AE67" i="10"/>
  <c r="AE69" i="10"/>
  <c r="AE20" i="10"/>
  <c r="AE21" i="10"/>
  <c r="AE57" i="10"/>
  <c r="AE14" i="10"/>
  <c r="AE62" i="10"/>
  <c r="AE24" i="10"/>
  <c r="AE18" i="10"/>
  <c r="AE13" i="10"/>
  <c r="AE65" i="10"/>
  <c r="AE58" i="10"/>
  <c r="AE16" i="10"/>
  <c r="AE23" i="10"/>
  <c r="AE29" i="10"/>
  <c r="AE25" i="10"/>
  <c r="AE60" i="10"/>
  <c r="AE12" i="10"/>
  <c r="AE15" i="10"/>
  <c r="AE26" i="10"/>
  <c r="AE19" i="10"/>
  <c r="AE38" i="10"/>
  <c r="AE30" i="10"/>
  <c r="AE64" i="10"/>
  <c r="AE61" i="10"/>
  <c r="AE59" i="10"/>
  <c r="AE43" i="10"/>
  <c r="AE63" i="10"/>
  <c r="AG128" i="10"/>
  <c r="P77" i="13"/>
  <c r="Q77" i="13"/>
  <c r="R77" i="13"/>
  <c r="S77" i="13"/>
  <c r="T77" i="13"/>
  <c r="U77" i="13"/>
  <c r="V77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K32" i="13"/>
  <c r="AK32" i="13" s="1"/>
  <c r="N32" i="13"/>
  <c r="H32" i="13"/>
  <c r="L33" i="13"/>
  <c r="P168" i="13"/>
  <c r="Q168" i="13"/>
  <c r="R168" i="13"/>
  <c r="S168" i="13"/>
  <c r="T168" i="13"/>
  <c r="U168" i="13"/>
  <c r="V168" i="13"/>
  <c r="W168" i="13"/>
  <c r="X168" i="13"/>
  <c r="Y168" i="13"/>
  <c r="Z168" i="13"/>
  <c r="AA168" i="13"/>
  <c r="AB168" i="13"/>
  <c r="AC168" i="13"/>
  <c r="AD168" i="13"/>
  <c r="AE168" i="13"/>
  <c r="AF168" i="13"/>
  <c r="AG168" i="13"/>
  <c r="AH168" i="13"/>
  <c r="AI168" i="13"/>
  <c r="AF7" i="10" a="1"/>
  <c r="AF7" i="10" s="1"/>
  <c r="AG3" i="10"/>
  <c r="AF84" i="10"/>
  <c r="AF86" i="10" s="1"/>
  <c r="AF89" i="10"/>
  <c r="AF90" i="10"/>
  <c r="P215" i="13"/>
  <c r="Q215" i="13"/>
  <c r="R215" i="13"/>
  <c r="S215" i="13"/>
  <c r="T215" i="13"/>
  <c r="U215" i="13"/>
  <c r="V215" i="13"/>
  <c r="W215" i="13"/>
  <c r="X215" i="13"/>
  <c r="Y215" i="13"/>
  <c r="Z215" i="13"/>
  <c r="AA215" i="13"/>
  <c r="AB215" i="13"/>
  <c r="AC215" i="13"/>
  <c r="AD215" i="13"/>
  <c r="AE215" i="13"/>
  <c r="AF215" i="13"/>
  <c r="AG215" i="13"/>
  <c r="AH215" i="13"/>
  <c r="AI215" i="13"/>
  <c r="AJ215" i="13"/>
  <c r="N123" i="13"/>
  <c r="H123" i="13"/>
  <c r="L124" i="13"/>
  <c r="K123" i="13"/>
  <c r="AK123" i="13" s="1"/>
  <c r="L79" i="13"/>
  <c r="K78" i="13"/>
  <c r="AK78" i="13" s="1"/>
  <c r="N78" i="13"/>
  <c r="H78" i="13"/>
  <c r="AG4" i="10"/>
  <c r="AH5" i="10"/>
  <c r="L263" i="13"/>
  <c r="H262" i="13"/>
  <c r="N262" i="13"/>
  <c r="K262" i="13"/>
  <c r="AK262" i="13" s="1"/>
  <c r="N169" i="13"/>
  <c r="H169" i="13"/>
  <c r="L170" i="13"/>
  <c r="K169" i="13"/>
  <c r="AK169" i="13" s="1"/>
  <c r="P399" i="13"/>
  <c r="Q399" i="13"/>
  <c r="R399" i="13"/>
  <c r="S399" i="13"/>
  <c r="T399" i="13"/>
  <c r="U399" i="13"/>
  <c r="V399" i="13"/>
  <c r="W399" i="13"/>
  <c r="X399" i="13"/>
  <c r="Y399" i="13"/>
  <c r="Z399" i="13"/>
  <c r="AA399" i="13"/>
  <c r="AB399" i="13"/>
  <c r="AC399" i="13"/>
  <c r="AD399" i="13"/>
  <c r="AE399" i="13"/>
  <c r="AF399" i="13"/>
  <c r="AG399" i="13"/>
  <c r="AH399" i="13"/>
  <c r="AI399" i="13"/>
  <c r="AK445" i="13"/>
  <c r="AK438" i="13"/>
  <c r="AK437" i="13"/>
  <c r="AK360" i="13"/>
  <c r="AK359" i="13"/>
  <c r="AK358" i="13"/>
  <c r="AK357" i="13"/>
  <c r="AK356" i="13"/>
  <c r="AK355" i="13"/>
  <c r="AK354" i="13"/>
  <c r="AK353" i="13"/>
  <c r="AK352" i="13"/>
  <c r="AK351" i="13"/>
  <c r="AK350" i="13"/>
  <c r="AK349" i="13"/>
  <c r="AK348" i="13"/>
  <c r="AK347" i="13"/>
  <c r="AK346" i="13"/>
  <c r="AK345" i="13"/>
  <c r="AK344" i="13"/>
  <c r="AK343" i="13"/>
  <c r="AK342" i="13"/>
  <c r="AK341" i="13"/>
  <c r="AK340" i="13"/>
  <c r="AK440" i="13"/>
  <c r="AK439" i="13"/>
  <c r="AK435" i="13"/>
  <c r="AK433" i="13"/>
  <c r="AK431" i="13"/>
  <c r="AK429" i="13"/>
  <c r="AK427" i="13"/>
  <c r="AK425" i="13"/>
  <c r="AK423" i="13"/>
  <c r="AK421" i="13"/>
  <c r="AK399" i="13"/>
  <c r="AK397" i="13"/>
  <c r="AK395" i="13"/>
  <c r="AK393" i="13"/>
  <c r="AK444" i="13"/>
  <c r="AK443" i="13"/>
  <c r="AK432" i="13"/>
  <c r="AK428" i="13"/>
  <c r="AK424" i="13"/>
  <c r="AK391" i="13"/>
  <c r="AK390" i="13"/>
  <c r="AK383" i="13"/>
  <c r="AK382" i="13"/>
  <c r="AK306" i="13"/>
  <c r="AK305" i="13"/>
  <c r="AK304" i="13"/>
  <c r="AK303" i="13"/>
  <c r="AK302" i="13"/>
  <c r="AK301" i="13"/>
  <c r="AK300" i="13"/>
  <c r="AK299" i="13"/>
  <c r="AK298" i="13"/>
  <c r="AK297" i="13"/>
  <c r="AK296" i="13"/>
  <c r="AK295" i="13"/>
  <c r="AK294" i="13"/>
  <c r="AK293" i="13"/>
  <c r="AK292" i="13"/>
  <c r="AK291" i="13"/>
  <c r="AK290" i="13"/>
  <c r="AK289" i="13"/>
  <c r="AK288" i="13"/>
  <c r="AK287" i="13"/>
  <c r="AK286" i="13"/>
  <c r="AK285" i="13"/>
  <c r="AK284" i="13"/>
  <c r="AK283" i="13"/>
  <c r="AK398" i="13"/>
  <c r="AK394" i="13"/>
  <c r="AK392" i="13"/>
  <c r="AK385" i="13"/>
  <c r="AK384" i="13"/>
  <c r="AK377" i="13"/>
  <c r="AK376" i="13"/>
  <c r="AK375" i="13"/>
  <c r="AK436" i="13"/>
  <c r="AK434" i="13"/>
  <c r="AK426" i="13"/>
  <c r="AK396" i="13"/>
  <c r="AK381" i="13"/>
  <c r="AK380" i="13"/>
  <c r="AK361" i="13"/>
  <c r="AK442" i="13"/>
  <c r="AK441" i="13"/>
  <c r="AK387" i="13"/>
  <c r="AK386" i="13"/>
  <c r="AK339" i="13"/>
  <c r="AK337" i="13"/>
  <c r="AK335" i="13"/>
  <c r="AK333" i="13"/>
  <c r="AK331" i="13"/>
  <c r="AK430" i="13"/>
  <c r="AK389" i="13"/>
  <c r="AK388" i="13"/>
  <c r="AK329" i="13"/>
  <c r="AK332" i="13"/>
  <c r="AK202" i="13"/>
  <c r="AK201" i="13"/>
  <c r="AK200" i="13"/>
  <c r="AK199" i="13"/>
  <c r="AK198" i="13"/>
  <c r="AK197" i="13"/>
  <c r="AK196" i="13"/>
  <c r="AK195" i="13"/>
  <c r="AK194" i="13"/>
  <c r="AK193" i="13"/>
  <c r="AK192" i="13"/>
  <c r="AK191" i="13"/>
  <c r="AK338" i="13"/>
  <c r="AK334" i="13"/>
  <c r="AK260" i="13"/>
  <c r="AK258" i="13"/>
  <c r="AK256" i="13"/>
  <c r="AK254" i="13"/>
  <c r="AK252" i="13"/>
  <c r="AK250" i="13"/>
  <c r="AK248" i="13"/>
  <c r="AK246" i="13"/>
  <c r="AK244" i="13"/>
  <c r="AK242" i="13"/>
  <c r="AK240" i="13"/>
  <c r="AK238" i="13"/>
  <c r="AK214" i="13"/>
  <c r="AK212" i="13"/>
  <c r="AK210" i="13"/>
  <c r="AK208" i="13"/>
  <c r="AK206" i="13"/>
  <c r="AK422" i="13"/>
  <c r="AK379" i="13"/>
  <c r="AK378" i="13"/>
  <c r="AK261" i="13"/>
  <c r="AK253" i="13"/>
  <c r="AK245" i="13"/>
  <c r="AK215" i="13"/>
  <c r="AK211" i="13"/>
  <c r="AK207" i="13"/>
  <c r="AK31" i="13"/>
  <c r="AK30" i="13"/>
  <c r="AK29" i="13"/>
  <c r="AK28" i="13"/>
  <c r="AK27" i="13"/>
  <c r="AK259" i="13"/>
  <c r="AK251" i="13"/>
  <c r="AK243" i="13"/>
  <c r="AK237" i="13"/>
  <c r="AK77" i="13"/>
  <c r="AK76" i="13"/>
  <c r="AK75" i="13"/>
  <c r="AK74" i="13"/>
  <c r="AK73" i="13"/>
  <c r="AK72" i="13"/>
  <c r="AK71" i="13"/>
  <c r="AK70" i="13"/>
  <c r="AK69" i="13"/>
  <c r="AK68" i="13"/>
  <c r="AK67" i="13"/>
  <c r="AK66" i="13"/>
  <c r="AK65" i="13"/>
  <c r="AK64" i="13"/>
  <c r="AK63" i="13"/>
  <c r="AK62" i="13"/>
  <c r="AK61" i="13"/>
  <c r="AK60" i="13"/>
  <c r="AK59" i="13"/>
  <c r="AK58" i="13"/>
  <c r="AK57" i="13"/>
  <c r="AK56" i="13"/>
  <c r="AK55" i="13"/>
  <c r="AK54" i="13"/>
  <c r="AK53" i="13"/>
  <c r="AK257" i="13"/>
  <c r="AK249" i="13"/>
  <c r="AK241" i="13"/>
  <c r="AK213" i="13"/>
  <c r="AK209" i="13"/>
  <c r="AK204" i="13"/>
  <c r="AK203" i="13"/>
  <c r="AK239" i="13"/>
  <c r="AK205" i="13"/>
  <c r="AK99" i="13"/>
  <c r="AK336" i="13"/>
  <c r="AK255" i="13"/>
  <c r="AK168" i="13"/>
  <c r="AK167" i="13"/>
  <c r="AK166" i="13"/>
  <c r="AK165" i="13"/>
  <c r="AK164" i="13"/>
  <c r="AK163" i="13"/>
  <c r="AK162" i="13"/>
  <c r="AK161" i="13"/>
  <c r="AK160" i="13"/>
  <c r="AK159" i="13"/>
  <c r="AK158" i="13"/>
  <c r="AK157" i="13"/>
  <c r="AK156" i="13"/>
  <c r="AK155" i="13"/>
  <c r="AK154" i="13"/>
  <c r="AK153" i="13"/>
  <c r="AK152" i="13"/>
  <c r="AK151" i="13"/>
  <c r="AK150" i="13"/>
  <c r="AK149" i="13"/>
  <c r="AK148" i="13"/>
  <c r="AK147" i="13"/>
  <c r="AK146" i="13"/>
  <c r="AK145" i="13"/>
  <c r="AK247" i="13"/>
  <c r="AK122" i="13"/>
  <c r="AK120" i="13"/>
  <c r="AK118" i="13"/>
  <c r="AK116" i="13"/>
  <c r="AK114" i="13"/>
  <c r="AK112" i="13"/>
  <c r="AK110" i="13"/>
  <c r="AK108" i="13"/>
  <c r="AK106" i="13"/>
  <c r="AK104" i="13"/>
  <c r="AK102" i="13"/>
  <c r="AK100" i="13"/>
  <c r="AK330" i="13"/>
  <c r="AK26" i="13"/>
  <c r="AK25" i="13"/>
  <c r="AK24" i="13"/>
  <c r="AK23" i="13"/>
  <c r="AK22" i="13"/>
  <c r="AK21" i="13"/>
  <c r="AK20" i="13"/>
  <c r="AL5" i="13"/>
  <c r="AK121" i="13"/>
  <c r="AK119" i="13"/>
  <c r="AK117" i="13"/>
  <c r="AK115" i="13"/>
  <c r="AK113" i="13"/>
  <c r="AK111" i="13"/>
  <c r="AK109" i="13"/>
  <c r="AK107" i="13"/>
  <c r="AK105" i="13"/>
  <c r="AK103" i="13"/>
  <c r="AK101" i="13"/>
  <c r="AK19" i="13"/>
  <c r="AK18" i="13"/>
  <c r="AK16" i="13"/>
  <c r="AK14" i="13"/>
  <c r="AK12" i="13"/>
  <c r="AK10" i="13"/>
  <c r="AK8" i="13"/>
  <c r="AK7" i="13"/>
  <c r="AK17" i="13"/>
  <c r="AK15" i="13"/>
  <c r="AK13" i="13"/>
  <c r="AK11" i="13"/>
  <c r="AK9" i="13"/>
  <c r="AJ77" i="13"/>
  <c r="AJ168" i="13"/>
  <c r="P361" i="13"/>
  <c r="Q361" i="13"/>
  <c r="R361" i="13"/>
  <c r="S361" i="13"/>
  <c r="T361" i="13"/>
  <c r="U361" i="13"/>
  <c r="V361" i="13"/>
  <c r="W361" i="13"/>
  <c r="X361" i="13"/>
  <c r="Y361" i="13"/>
  <c r="Z361" i="13"/>
  <c r="AA361" i="13"/>
  <c r="AB361" i="13"/>
  <c r="AC361" i="13"/>
  <c r="AD361" i="13"/>
  <c r="AE361" i="13"/>
  <c r="AF361" i="13"/>
  <c r="AG361" i="13"/>
  <c r="AH361" i="13"/>
  <c r="AI361" i="13"/>
  <c r="P445" i="13"/>
  <c r="Q445" i="13"/>
  <c r="R445" i="13"/>
  <c r="S445" i="13"/>
  <c r="T445" i="13"/>
  <c r="U445" i="13"/>
  <c r="V445" i="13"/>
  <c r="W445" i="13"/>
  <c r="X445" i="13"/>
  <c r="Y445" i="13"/>
  <c r="Z445" i="13"/>
  <c r="AA445" i="13"/>
  <c r="AB445" i="13"/>
  <c r="AC445" i="13"/>
  <c r="AD445" i="13"/>
  <c r="AE445" i="13"/>
  <c r="AF445" i="13"/>
  <c r="AG445" i="13"/>
  <c r="AH445" i="13"/>
  <c r="AI445" i="13"/>
  <c r="P261" i="13"/>
  <c r="Q261" i="13"/>
  <c r="R261" i="13"/>
  <c r="S261" i="13"/>
  <c r="T261" i="13"/>
  <c r="U261" i="13"/>
  <c r="V261" i="13"/>
  <c r="W261" i="13"/>
  <c r="X261" i="13"/>
  <c r="Y261" i="13"/>
  <c r="Z261" i="13"/>
  <c r="AA261" i="13"/>
  <c r="AB261" i="13"/>
  <c r="AC261" i="13"/>
  <c r="AD261" i="13"/>
  <c r="AE261" i="13"/>
  <c r="AF261" i="13"/>
  <c r="AG261" i="13"/>
  <c r="AH261" i="13"/>
  <c r="AI261" i="13"/>
  <c r="AE91" i="10"/>
  <c r="N400" i="13"/>
  <c r="H400" i="13"/>
  <c r="K400" i="13"/>
  <c r="L401" i="13"/>
  <c r="K307" i="13"/>
  <c r="N307" i="13"/>
  <c r="H307" i="13"/>
  <c r="L308" i="13"/>
  <c r="L363" i="13"/>
  <c r="N362" i="13"/>
  <c r="K362" i="13"/>
  <c r="AK362" i="13" s="1"/>
  <c r="H362" i="13"/>
  <c r="N446" i="13"/>
  <c r="H446" i="13"/>
  <c r="L447" i="13"/>
  <c r="K446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N216" i="13"/>
  <c r="H216" i="13"/>
  <c r="L217" i="13"/>
  <c r="K216" i="13"/>
  <c r="AJ261" i="13"/>
  <c r="AJ445" i="13"/>
  <c r="P122" i="13"/>
  <c r="Q122" i="13"/>
  <c r="R122" i="13"/>
  <c r="S122" i="13"/>
  <c r="T122" i="13"/>
  <c r="U122" i="13"/>
  <c r="V122" i="13"/>
  <c r="W122" i="13"/>
  <c r="X122" i="13"/>
  <c r="Y122" i="13"/>
  <c r="Z122" i="13"/>
  <c r="AA122" i="13"/>
  <c r="AB122" i="13"/>
  <c r="AC122" i="13"/>
  <c r="AD122" i="13"/>
  <c r="AE122" i="13"/>
  <c r="AF122" i="13"/>
  <c r="AG122" i="13"/>
  <c r="AH122" i="13"/>
  <c r="AI122" i="13"/>
  <c r="P306" i="13"/>
  <c r="Q306" i="13"/>
  <c r="R306" i="13"/>
  <c r="S306" i="13"/>
  <c r="T306" i="13"/>
  <c r="U306" i="13"/>
  <c r="V306" i="13"/>
  <c r="W306" i="13"/>
  <c r="X306" i="13"/>
  <c r="Y306" i="13"/>
  <c r="Z306" i="13"/>
  <c r="AA306" i="13"/>
  <c r="AB306" i="13"/>
  <c r="AC306" i="13"/>
  <c r="AD306" i="13"/>
  <c r="AE306" i="13"/>
  <c r="AF306" i="13"/>
  <c r="AG306" i="13"/>
  <c r="AH306" i="13"/>
  <c r="AI306" i="13"/>
  <c r="AG45" i="10" l="1"/>
  <c r="AF43" i="10"/>
  <c r="J7" i="11"/>
  <c r="J6" i="11" s="1"/>
  <c r="AH114" i="10"/>
  <c r="AH115" i="10" s="1"/>
  <c r="AH116" i="10" s="1"/>
  <c r="AD48" i="10"/>
  <c r="AD52" i="10" s="1"/>
  <c r="AD74" i="10" s="1"/>
  <c r="AC72" i="10"/>
  <c r="AC74" i="10"/>
  <c r="AB74" i="10"/>
  <c r="AB71" i="10"/>
  <c r="AE70" i="10"/>
  <c r="AE39" i="10"/>
  <c r="AE47" i="10" s="1"/>
  <c r="AH128" i="10"/>
  <c r="N217" i="13"/>
  <c r="H217" i="13"/>
  <c r="K217" i="13"/>
  <c r="L218" i="13"/>
  <c r="P216" i="13"/>
  <c r="Q216" i="13"/>
  <c r="R216" i="13"/>
  <c r="S216" i="13"/>
  <c r="T216" i="13"/>
  <c r="U216" i="13"/>
  <c r="V216" i="13"/>
  <c r="W216" i="13"/>
  <c r="X216" i="13"/>
  <c r="Y216" i="13"/>
  <c r="Z216" i="13"/>
  <c r="AA216" i="13"/>
  <c r="AB216" i="13"/>
  <c r="AC216" i="13"/>
  <c r="AD216" i="13"/>
  <c r="AE216" i="13"/>
  <c r="AF216" i="13"/>
  <c r="AG216" i="13"/>
  <c r="AH216" i="13"/>
  <c r="AI216" i="13"/>
  <c r="AJ216" i="13"/>
  <c r="L364" i="13"/>
  <c r="N363" i="13"/>
  <c r="H363" i="13"/>
  <c r="K363" i="13"/>
  <c r="P307" i="13"/>
  <c r="Q307" i="13"/>
  <c r="R307" i="13"/>
  <c r="S307" i="13"/>
  <c r="T307" i="13"/>
  <c r="U307" i="13"/>
  <c r="V307" i="13"/>
  <c r="W307" i="13"/>
  <c r="X307" i="13"/>
  <c r="Y307" i="13"/>
  <c r="Z307" i="13"/>
  <c r="AA307" i="13"/>
  <c r="AB307" i="13"/>
  <c r="AC307" i="13"/>
  <c r="AD307" i="13"/>
  <c r="AE307" i="13"/>
  <c r="AF307" i="13"/>
  <c r="AG307" i="13"/>
  <c r="AH307" i="13"/>
  <c r="AI307" i="13"/>
  <c r="AJ307" i="13"/>
  <c r="AL446" i="13"/>
  <c r="AL444" i="13"/>
  <c r="AL442" i="13"/>
  <c r="AL440" i="13"/>
  <c r="AL438" i="13"/>
  <c r="AL436" i="13"/>
  <c r="AL363" i="13"/>
  <c r="AL362" i="13"/>
  <c r="AL361" i="13"/>
  <c r="AL439" i="13"/>
  <c r="AL435" i="13"/>
  <c r="AL433" i="13"/>
  <c r="AL431" i="13"/>
  <c r="AL429" i="13"/>
  <c r="AL427" i="13"/>
  <c r="AL425" i="13"/>
  <c r="AL423" i="13"/>
  <c r="AL421" i="13"/>
  <c r="AL399" i="13"/>
  <c r="AL397" i="13"/>
  <c r="AL395" i="13"/>
  <c r="AL393" i="13"/>
  <c r="AL391" i="13"/>
  <c r="AL389" i="13"/>
  <c r="AL387" i="13"/>
  <c r="AL385" i="13"/>
  <c r="AL383" i="13"/>
  <c r="AL381" i="13"/>
  <c r="AL379" i="13"/>
  <c r="AL377" i="13"/>
  <c r="AL375" i="13"/>
  <c r="AL441" i="13"/>
  <c r="AL445" i="13"/>
  <c r="AL398" i="13"/>
  <c r="AL394" i="13"/>
  <c r="AL392" i="13"/>
  <c r="AL384" i="13"/>
  <c r="AL376" i="13"/>
  <c r="AL339" i="13"/>
  <c r="AL338" i="13"/>
  <c r="AL337" i="13"/>
  <c r="AL336" i="13"/>
  <c r="AL335" i="13"/>
  <c r="AL334" i="13"/>
  <c r="AL333" i="13"/>
  <c r="AL332" i="13"/>
  <c r="AL331" i="13"/>
  <c r="AL330" i="13"/>
  <c r="AL329" i="13"/>
  <c r="AL434" i="13"/>
  <c r="AL430" i="13"/>
  <c r="AL426" i="13"/>
  <c r="AL422" i="13"/>
  <c r="AL386" i="13"/>
  <c r="AL378" i="13"/>
  <c r="AL437" i="13"/>
  <c r="AL382" i="13"/>
  <c r="AL356" i="13"/>
  <c r="AL355" i="13"/>
  <c r="AL348" i="13"/>
  <c r="AL347" i="13"/>
  <c r="AL340" i="13"/>
  <c r="AL443" i="13"/>
  <c r="AL432" i="13"/>
  <c r="AL424" i="13"/>
  <c r="AL400" i="13"/>
  <c r="AL388" i="13"/>
  <c r="AL358" i="13"/>
  <c r="AL357" i="13"/>
  <c r="AL350" i="13"/>
  <c r="AL349" i="13"/>
  <c r="AL342" i="13"/>
  <c r="AL341" i="13"/>
  <c r="AL390" i="13"/>
  <c r="AL360" i="13"/>
  <c r="AL359" i="13"/>
  <c r="AL352" i="13"/>
  <c r="AL351" i="13"/>
  <c r="AL344" i="13"/>
  <c r="AL343" i="13"/>
  <c r="AL262" i="13"/>
  <c r="AL260" i="13"/>
  <c r="AL258" i="13"/>
  <c r="AL256" i="13"/>
  <c r="AL254" i="13"/>
  <c r="AL252" i="13"/>
  <c r="AL250" i="13"/>
  <c r="AL248" i="13"/>
  <c r="AL246" i="13"/>
  <c r="AL244" i="13"/>
  <c r="AL242" i="13"/>
  <c r="AL240" i="13"/>
  <c r="AL238" i="13"/>
  <c r="AL216" i="13"/>
  <c r="AL214" i="13"/>
  <c r="AL212" i="13"/>
  <c r="AL210" i="13"/>
  <c r="AL208" i="13"/>
  <c r="AL206" i="13"/>
  <c r="AL204" i="13"/>
  <c r="AL428" i="13"/>
  <c r="AL306" i="13"/>
  <c r="AL304" i="13"/>
  <c r="AL302" i="13"/>
  <c r="AL300" i="13"/>
  <c r="AL298" i="13"/>
  <c r="AL296" i="13"/>
  <c r="AL294" i="13"/>
  <c r="AL292" i="13"/>
  <c r="AL290" i="13"/>
  <c r="AL288" i="13"/>
  <c r="AL286" i="13"/>
  <c r="AL284" i="13"/>
  <c r="AL380" i="13"/>
  <c r="AL346" i="13"/>
  <c r="AL345" i="13"/>
  <c r="AL261" i="13"/>
  <c r="AL259" i="13"/>
  <c r="AL257" i="13"/>
  <c r="AL255" i="13"/>
  <c r="AL253" i="13"/>
  <c r="AL251" i="13"/>
  <c r="AL249" i="13"/>
  <c r="AL247" i="13"/>
  <c r="AL245" i="13"/>
  <c r="AL243" i="13"/>
  <c r="AL241" i="13"/>
  <c r="AL239" i="13"/>
  <c r="AL237" i="13"/>
  <c r="AL353" i="13"/>
  <c r="AL305" i="13"/>
  <c r="AL297" i="13"/>
  <c r="AL289" i="13"/>
  <c r="AL201" i="13"/>
  <c r="AL199" i="13"/>
  <c r="AL197" i="13"/>
  <c r="AL195" i="13"/>
  <c r="AL193" i="13"/>
  <c r="AL191" i="13"/>
  <c r="AL78" i="13"/>
  <c r="AL77" i="13"/>
  <c r="AL76" i="13"/>
  <c r="AL75" i="13"/>
  <c r="AL74" i="13"/>
  <c r="AL73" i="13"/>
  <c r="AL72" i="13"/>
  <c r="AL71" i="13"/>
  <c r="AL70" i="13"/>
  <c r="AL69" i="13"/>
  <c r="AL68" i="13"/>
  <c r="AL67" i="13"/>
  <c r="AL66" i="13"/>
  <c r="AL65" i="13"/>
  <c r="AL64" i="13"/>
  <c r="AL63" i="13"/>
  <c r="AL62" i="13"/>
  <c r="AL61" i="13"/>
  <c r="AL60" i="13"/>
  <c r="AL59" i="13"/>
  <c r="AL58" i="13"/>
  <c r="AL57" i="13"/>
  <c r="AL56" i="13"/>
  <c r="AL55" i="13"/>
  <c r="AL54" i="13"/>
  <c r="AL53" i="13"/>
  <c r="AL303" i="13"/>
  <c r="AL295" i="13"/>
  <c r="AL287" i="13"/>
  <c r="AL217" i="13"/>
  <c r="AL213" i="13"/>
  <c r="AL209" i="13"/>
  <c r="AL203" i="13"/>
  <c r="AL123" i="13"/>
  <c r="AL122" i="13"/>
  <c r="AL121" i="13"/>
  <c r="AL120" i="13"/>
  <c r="AL119" i="13"/>
  <c r="AL118" i="13"/>
  <c r="AL117" i="13"/>
  <c r="AL116" i="13"/>
  <c r="AL115" i="13"/>
  <c r="AL114" i="13"/>
  <c r="AL113" i="13"/>
  <c r="AL112" i="13"/>
  <c r="AL111" i="13"/>
  <c r="AL110" i="13"/>
  <c r="AL109" i="13"/>
  <c r="AL108" i="13"/>
  <c r="AL107" i="13"/>
  <c r="AL106" i="13"/>
  <c r="AL105" i="13"/>
  <c r="AL104" i="13"/>
  <c r="AL103" i="13"/>
  <c r="AL102" i="13"/>
  <c r="AL101" i="13"/>
  <c r="AL100" i="13"/>
  <c r="AL99" i="13"/>
  <c r="AL396" i="13"/>
  <c r="AL354" i="13"/>
  <c r="AL301" i="13"/>
  <c r="AL293" i="13"/>
  <c r="AL285" i="13"/>
  <c r="AL205" i="13"/>
  <c r="AL202" i="13"/>
  <c r="AL200" i="13"/>
  <c r="AL198" i="13"/>
  <c r="AL196" i="13"/>
  <c r="AL194" i="13"/>
  <c r="AL291" i="13"/>
  <c r="AL211" i="13"/>
  <c r="AL26" i="13"/>
  <c r="AL25" i="13"/>
  <c r="AL24" i="13"/>
  <c r="AL23" i="13"/>
  <c r="AL22" i="13"/>
  <c r="AL21" i="13"/>
  <c r="AL20" i="13"/>
  <c r="AL207" i="13"/>
  <c r="AL169" i="13"/>
  <c r="AL168" i="13"/>
  <c r="AL167" i="13"/>
  <c r="AL166" i="13"/>
  <c r="AL165" i="13"/>
  <c r="AL164" i="13"/>
  <c r="AL163" i="13"/>
  <c r="AL162" i="13"/>
  <c r="AL161" i="13"/>
  <c r="AL160" i="13"/>
  <c r="AL159" i="13"/>
  <c r="AL158" i="13"/>
  <c r="AL157" i="13"/>
  <c r="AL156" i="13"/>
  <c r="AL155" i="13"/>
  <c r="AL154" i="13"/>
  <c r="AL153" i="13"/>
  <c r="AL152" i="13"/>
  <c r="AL151" i="13"/>
  <c r="AL150" i="13"/>
  <c r="AL149" i="13"/>
  <c r="AL148" i="13"/>
  <c r="AL147" i="13"/>
  <c r="AL146" i="13"/>
  <c r="AL145" i="13"/>
  <c r="AL307" i="13"/>
  <c r="AL283" i="13"/>
  <c r="AL31" i="13"/>
  <c r="AL29" i="13"/>
  <c r="AM5" i="13"/>
  <c r="AL299" i="13"/>
  <c r="AL215" i="13"/>
  <c r="AL192" i="13"/>
  <c r="AL32" i="13"/>
  <c r="AL30" i="13"/>
  <c r="AL28" i="13"/>
  <c r="AL27" i="13"/>
  <c r="AL19" i="13"/>
  <c r="AL18" i="13"/>
  <c r="AL17" i="13"/>
  <c r="AL16" i="13"/>
  <c r="AL15" i="13"/>
  <c r="AL14" i="13"/>
  <c r="AL13" i="13"/>
  <c r="AL12" i="13"/>
  <c r="AL11" i="13"/>
  <c r="AL10" i="13"/>
  <c r="AL9" i="13"/>
  <c r="AL8" i="13"/>
  <c r="AL7" i="13"/>
  <c r="P262" i="13"/>
  <c r="Q262" i="13"/>
  <c r="R262" i="13"/>
  <c r="S262" i="13"/>
  <c r="T262" i="13"/>
  <c r="U262" i="13"/>
  <c r="V262" i="13"/>
  <c r="W262" i="13"/>
  <c r="X262" i="13"/>
  <c r="Y262" i="13"/>
  <c r="Z262" i="13"/>
  <c r="AA262" i="13"/>
  <c r="AB262" i="13"/>
  <c r="AC262" i="13"/>
  <c r="AD262" i="13"/>
  <c r="AE262" i="13"/>
  <c r="AF262" i="13"/>
  <c r="AG262" i="13"/>
  <c r="AH262" i="13"/>
  <c r="AI262" i="13"/>
  <c r="AJ262" i="13"/>
  <c r="AH4" i="10"/>
  <c r="AI5" i="10"/>
  <c r="L80" i="13"/>
  <c r="K79" i="13"/>
  <c r="N79" i="13"/>
  <c r="H79" i="13"/>
  <c r="AF6" i="10"/>
  <c r="K308" i="13"/>
  <c r="L309" i="13"/>
  <c r="H308" i="13"/>
  <c r="N308" i="13"/>
  <c r="P123" i="13"/>
  <c r="Q123" i="13"/>
  <c r="R123" i="13"/>
  <c r="S123" i="13"/>
  <c r="T123" i="13"/>
  <c r="U123" i="13"/>
  <c r="V123" i="13"/>
  <c r="W123" i="13"/>
  <c r="X123" i="13"/>
  <c r="Y123" i="13"/>
  <c r="Z123" i="13"/>
  <c r="AA123" i="13"/>
  <c r="AB123" i="13"/>
  <c r="AC123" i="13"/>
  <c r="AD123" i="13"/>
  <c r="AE123" i="13"/>
  <c r="AF123" i="13"/>
  <c r="AG123" i="13"/>
  <c r="AH123" i="13"/>
  <c r="AI123" i="13"/>
  <c r="AJ123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P446" i="13"/>
  <c r="Q446" i="13"/>
  <c r="R446" i="13"/>
  <c r="S446" i="13"/>
  <c r="T446" i="13"/>
  <c r="U446" i="13"/>
  <c r="V446" i="13"/>
  <c r="W446" i="13"/>
  <c r="X446" i="13"/>
  <c r="Y446" i="13"/>
  <c r="Z446" i="13"/>
  <c r="AA446" i="13"/>
  <c r="AB446" i="13"/>
  <c r="AC446" i="13"/>
  <c r="AD446" i="13"/>
  <c r="AE446" i="13"/>
  <c r="AF446" i="13"/>
  <c r="AG446" i="13"/>
  <c r="AH446" i="13"/>
  <c r="AI446" i="13"/>
  <c r="AJ446" i="13"/>
  <c r="N401" i="13"/>
  <c r="H401" i="13"/>
  <c r="L402" i="13"/>
  <c r="K401" i="13"/>
  <c r="AK307" i="13"/>
  <c r="AK446" i="13"/>
  <c r="P169" i="13"/>
  <c r="Q169" i="13"/>
  <c r="R169" i="13"/>
  <c r="S169" i="13"/>
  <c r="T169" i="13"/>
  <c r="U169" i="13"/>
  <c r="V169" i="13"/>
  <c r="W169" i="13"/>
  <c r="X169" i="13"/>
  <c r="Y169" i="13"/>
  <c r="Z169" i="13"/>
  <c r="AA169" i="13"/>
  <c r="AB169" i="13"/>
  <c r="AC169" i="13"/>
  <c r="AD169" i="13"/>
  <c r="AE169" i="13"/>
  <c r="AF169" i="13"/>
  <c r="AG169" i="13"/>
  <c r="AH169" i="13"/>
  <c r="AI169" i="13"/>
  <c r="AJ169" i="13"/>
  <c r="N124" i="13"/>
  <c r="H124" i="13"/>
  <c r="L125" i="13"/>
  <c r="K124" i="13"/>
  <c r="K33" i="13"/>
  <c r="N33" i="13"/>
  <c r="H33" i="13"/>
  <c r="L34" i="13"/>
  <c r="N447" i="13"/>
  <c r="H447" i="13"/>
  <c r="L448" i="13"/>
  <c r="K447" i="13"/>
  <c r="P362" i="13"/>
  <c r="Q362" i="13"/>
  <c r="R362" i="13"/>
  <c r="S362" i="13"/>
  <c r="T362" i="13"/>
  <c r="U362" i="13"/>
  <c r="V362" i="13"/>
  <c r="W362" i="13"/>
  <c r="X362" i="13"/>
  <c r="Y362" i="13"/>
  <c r="Z362" i="13"/>
  <c r="AA362" i="13"/>
  <c r="AB362" i="13"/>
  <c r="AC362" i="13"/>
  <c r="AD362" i="13"/>
  <c r="AE362" i="13"/>
  <c r="AF362" i="13"/>
  <c r="AG362" i="13"/>
  <c r="AH362" i="13"/>
  <c r="AI362" i="13"/>
  <c r="AJ362" i="13"/>
  <c r="P400" i="13"/>
  <c r="Q400" i="13"/>
  <c r="R400" i="13"/>
  <c r="S400" i="13"/>
  <c r="T400" i="13"/>
  <c r="U400" i="13"/>
  <c r="V400" i="13"/>
  <c r="W400" i="13"/>
  <c r="X400" i="13"/>
  <c r="Y400" i="13"/>
  <c r="Z400" i="13"/>
  <c r="AA400" i="13"/>
  <c r="AB400" i="13"/>
  <c r="AC400" i="13"/>
  <c r="AD400" i="13"/>
  <c r="AE400" i="13"/>
  <c r="AF400" i="13"/>
  <c r="AG400" i="13"/>
  <c r="AH400" i="13"/>
  <c r="AI400" i="13"/>
  <c r="AJ400" i="13"/>
  <c r="AK216" i="13"/>
  <c r="AK400" i="13"/>
  <c r="K170" i="13"/>
  <c r="AL170" i="13" s="1"/>
  <c r="L171" i="13"/>
  <c r="H170" i="13"/>
  <c r="N170" i="13"/>
  <c r="K263" i="13"/>
  <c r="L264" i="13"/>
  <c r="H263" i="13"/>
  <c r="N263" i="13"/>
  <c r="P78" i="13"/>
  <c r="Q78" i="13"/>
  <c r="R78" i="13"/>
  <c r="S78" i="13"/>
  <c r="T78" i="13"/>
  <c r="U78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AF91" i="10"/>
  <c r="AG7" i="10" a="1"/>
  <c r="AG7" i="10" s="1"/>
  <c r="AG43" i="10" s="1"/>
  <c r="AH3" i="10"/>
  <c r="AG84" i="10"/>
  <c r="AG90" i="10"/>
  <c r="AG89" i="10"/>
  <c r="AG86" i="10" l="1"/>
  <c r="AG50" i="10"/>
  <c r="AI114" i="10"/>
  <c r="AI115" i="10" s="1"/>
  <c r="AI116" i="10" s="1"/>
  <c r="AE48" i="10"/>
  <c r="AE52" i="10" s="1"/>
  <c r="AE71" i="10" s="1"/>
  <c r="AD72" i="10"/>
  <c r="AH45" i="10"/>
  <c r="AH50" i="10" s="1"/>
  <c r="AF59" i="10"/>
  <c r="AF66" i="10"/>
  <c r="AF63" i="10"/>
  <c r="AF64" i="10"/>
  <c r="AF62" i="10"/>
  <c r="AF61" i="10"/>
  <c r="AF57" i="10"/>
  <c r="AF58" i="10"/>
  <c r="AF67" i="10"/>
  <c r="AF60" i="10"/>
  <c r="AF69" i="10"/>
  <c r="AF56" i="10"/>
  <c r="AF65" i="10"/>
  <c r="AF10" i="10"/>
  <c r="AF11" i="10"/>
  <c r="AF68" i="10"/>
  <c r="AD71" i="10"/>
  <c r="AI128" i="10"/>
  <c r="AG6" i="10"/>
  <c r="L265" i="13"/>
  <c r="H264" i="13"/>
  <c r="N264" i="13"/>
  <c r="K264" i="13"/>
  <c r="AM264" i="13" s="1"/>
  <c r="N171" i="13"/>
  <c r="H171" i="13"/>
  <c r="L172" i="13"/>
  <c r="K171" i="13"/>
  <c r="P447" i="13"/>
  <c r="Q447" i="13"/>
  <c r="R447" i="13"/>
  <c r="S447" i="13"/>
  <c r="T447" i="13"/>
  <c r="U447" i="13"/>
  <c r="V447" i="13"/>
  <c r="W447" i="13"/>
  <c r="X447" i="13"/>
  <c r="Y447" i="13"/>
  <c r="Z447" i="13"/>
  <c r="AA447" i="13"/>
  <c r="AB447" i="13"/>
  <c r="AC447" i="13"/>
  <c r="AD447" i="13"/>
  <c r="AE447" i="13"/>
  <c r="AF447" i="13"/>
  <c r="AG447" i="13"/>
  <c r="AH447" i="13"/>
  <c r="AI447" i="13"/>
  <c r="AJ447" i="13"/>
  <c r="AK447" i="13"/>
  <c r="P401" i="13"/>
  <c r="Q401" i="13"/>
  <c r="R401" i="13"/>
  <c r="S401" i="13"/>
  <c r="T401" i="13"/>
  <c r="U401" i="13"/>
  <c r="V401" i="13"/>
  <c r="W401" i="13"/>
  <c r="X401" i="13"/>
  <c r="Y401" i="13"/>
  <c r="Z401" i="13"/>
  <c r="AA401" i="13"/>
  <c r="AB401" i="13"/>
  <c r="AC401" i="13"/>
  <c r="AD401" i="13"/>
  <c r="AE401" i="13"/>
  <c r="AF401" i="13"/>
  <c r="AG401" i="13"/>
  <c r="AH401" i="13"/>
  <c r="AI401" i="13"/>
  <c r="AJ401" i="13"/>
  <c r="AK401" i="13"/>
  <c r="P308" i="13"/>
  <c r="Q308" i="13"/>
  <c r="R308" i="13"/>
  <c r="S308" i="13"/>
  <c r="T308" i="13"/>
  <c r="U308" i="13"/>
  <c r="V308" i="13"/>
  <c r="W308" i="13"/>
  <c r="X308" i="13"/>
  <c r="Y308" i="13"/>
  <c r="Z308" i="13"/>
  <c r="AA308" i="13"/>
  <c r="AB308" i="13"/>
  <c r="AC308" i="13"/>
  <c r="AD308" i="13"/>
  <c r="AE308" i="13"/>
  <c r="AF308" i="13"/>
  <c r="AG308" i="13"/>
  <c r="AH308" i="13"/>
  <c r="AI308" i="13"/>
  <c r="AJ308" i="13"/>
  <c r="AK308" i="13"/>
  <c r="AM447" i="13"/>
  <c r="AM446" i="13"/>
  <c r="AM445" i="13"/>
  <c r="AM444" i="13"/>
  <c r="AM443" i="13"/>
  <c r="AM442" i="13"/>
  <c r="AM441" i="13"/>
  <c r="AM440" i="13"/>
  <c r="AM439" i="13"/>
  <c r="AM438" i="13"/>
  <c r="AM437" i="13"/>
  <c r="AM436" i="13"/>
  <c r="AM401" i="13"/>
  <c r="AM400" i="13"/>
  <c r="AM399" i="13"/>
  <c r="AM398" i="13"/>
  <c r="AM397" i="13"/>
  <c r="AM396" i="13"/>
  <c r="AM395" i="13"/>
  <c r="AM394" i="13"/>
  <c r="AM393" i="13"/>
  <c r="AM392" i="13"/>
  <c r="AM391" i="13"/>
  <c r="AM390" i="13"/>
  <c r="AM389" i="13"/>
  <c r="AM388" i="13"/>
  <c r="AM387" i="13"/>
  <c r="AM386" i="13"/>
  <c r="AM385" i="13"/>
  <c r="AM384" i="13"/>
  <c r="AM383" i="13"/>
  <c r="AM382" i="13"/>
  <c r="AM381" i="13"/>
  <c r="AM380" i="13"/>
  <c r="AM379" i="13"/>
  <c r="AM378" i="13"/>
  <c r="AM377" i="13"/>
  <c r="AM376" i="13"/>
  <c r="AM375" i="13"/>
  <c r="AM363" i="13"/>
  <c r="AM361" i="13"/>
  <c r="AM434" i="13"/>
  <c r="AM432" i="13"/>
  <c r="AM430" i="13"/>
  <c r="AM428" i="13"/>
  <c r="AM426" i="13"/>
  <c r="AM424" i="13"/>
  <c r="AM422" i="13"/>
  <c r="AM435" i="13"/>
  <c r="AM431" i="13"/>
  <c r="AM427" i="13"/>
  <c r="AM423" i="13"/>
  <c r="AM360" i="13"/>
  <c r="AM358" i="13"/>
  <c r="AM356" i="13"/>
  <c r="AM354" i="13"/>
  <c r="AM352" i="13"/>
  <c r="AM350" i="13"/>
  <c r="AM348" i="13"/>
  <c r="AM346" i="13"/>
  <c r="AM344" i="13"/>
  <c r="AM342" i="13"/>
  <c r="AM340" i="13"/>
  <c r="AM217" i="13"/>
  <c r="AM216" i="13"/>
  <c r="AM215" i="13"/>
  <c r="AM214" i="13"/>
  <c r="AM213" i="13"/>
  <c r="AM212" i="13"/>
  <c r="AM211" i="13"/>
  <c r="AM210" i="13"/>
  <c r="AM209" i="13"/>
  <c r="AM208" i="13"/>
  <c r="AM207" i="13"/>
  <c r="AM206" i="13"/>
  <c r="AM205" i="13"/>
  <c r="AM204" i="13"/>
  <c r="AM203" i="13"/>
  <c r="AM429" i="13"/>
  <c r="AM362" i="13"/>
  <c r="AM357" i="13"/>
  <c r="AM349" i="13"/>
  <c r="AM341" i="13"/>
  <c r="AM339" i="13"/>
  <c r="AM337" i="13"/>
  <c r="AM335" i="13"/>
  <c r="AM333" i="13"/>
  <c r="AM331" i="13"/>
  <c r="AM359" i="13"/>
  <c r="AM351" i="13"/>
  <c r="AM343" i="13"/>
  <c r="AM329" i="13"/>
  <c r="AM433" i="13"/>
  <c r="AM425" i="13"/>
  <c r="AM353" i="13"/>
  <c r="AM345" i="13"/>
  <c r="AM338" i="13"/>
  <c r="AM336" i="13"/>
  <c r="AM334" i="13"/>
  <c r="AM332" i="13"/>
  <c r="AM330" i="13"/>
  <c r="AM308" i="13"/>
  <c r="AM306" i="13"/>
  <c r="AM304" i="13"/>
  <c r="AM302" i="13"/>
  <c r="AM300" i="13"/>
  <c r="AM298" i="13"/>
  <c r="AM296" i="13"/>
  <c r="AM294" i="13"/>
  <c r="AM292" i="13"/>
  <c r="AM290" i="13"/>
  <c r="AM288" i="13"/>
  <c r="AM286" i="13"/>
  <c r="AM284" i="13"/>
  <c r="AM263" i="13"/>
  <c r="AM261" i="13"/>
  <c r="AM259" i="13"/>
  <c r="AM257" i="13"/>
  <c r="AM255" i="13"/>
  <c r="AM253" i="13"/>
  <c r="AM251" i="13"/>
  <c r="AM249" i="13"/>
  <c r="AM247" i="13"/>
  <c r="AM245" i="13"/>
  <c r="AM243" i="13"/>
  <c r="AM241" i="13"/>
  <c r="AM239" i="13"/>
  <c r="AM237" i="13"/>
  <c r="AM347" i="13"/>
  <c r="AM307" i="13"/>
  <c r="AM305" i="13"/>
  <c r="AM303" i="13"/>
  <c r="AM301" i="13"/>
  <c r="AM299" i="13"/>
  <c r="AM297" i="13"/>
  <c r="AM295" i="13"/>
  <c r="AM293" i="13"/>
  <c r="AM291" i="13"/>
  <c r="AM289" i="13"/>
  <c r="AM287" i="13"/>
  <c r="AM285" i="13"/>
  <c r="AM283" i="13"/>
  <c r="AM355" i="13"/>
  <c r="AM256" i="13"/>
  <c r="AM248" i="13"/>
  <c r="AM240" i="13"/>
  <c r="AM170" i="13"/>
  <c r="AM124" i="13"/>
  <c r="AM123" i="13"/>
  <c r="AM122" i="13"/>
  <c r="AM121" i="13"/>
  <c r="AM120" i="13"/>
  <c r="AM119" i="13"/>
  <c r="AM118" i="13"/>
  <c r="AM117" i="13"/>
  <c r="AM116" i="13"/>
  <c r="AM115" i="13"/>
  <c r="AM114" i="13"/>
  <c r="AM113" i="13"/>
  <c r="AM112" i="13"/>
  <c r="AM111" i="13"/>
  <c r="AM110" i="13"/>
  <c r="AM109" i="13"/>
  <c r="AM108" i="13"/>
  <c r="AM107" i="13"/>
  <c r="AM106" i="13"/>
  <c r="AM105" i="13"/>
  <c r="AM104" i="13"/>
  <c r="AM103" i="13"/>
  <c r="AM102" i="13"/>
  <c r="AM101" i="13"/>
  <c r="AM100" i="13"/>
  <c r="AM99" i="13"/>
  <c r="AM262" i="13"/>
  <c r="AM254" i="13"/>
  <c r="AM246" i="13"/>
  <c r="AM238" i="13"/>
  <c r="AM202" i="13"/>
  <c r="AM200" i="13"/>
  <c r="AM198" i="13"/>
  <c r="AM196" i="13"/>
  <c r="AM194" i="13"/>
  <c r="AM192" i="13"/>
  <c r="AM169" i="13"/>
  <c r="AM168" i="13"/>
  <c r="AM167" i="13"/>
  <c r="AM166" i="13"/>
  <c r="AM165" i="13"/>
  <c r="AM164" i="13"/>
  <c r="AM163" i="13"/>
  <c r="AM162" i="13"/>
  <c r="AM161" i="13"/>
  <c r="AM160" i="13"/>
  <c r="AM159" i="13"/>
  <c r="AM158" i="13"/>
  <c r="AM157" i="13"/>
  <c r="AM156" i="13"/>
  <c r="AM155" i="13"/>
  <c r="AM154" i="13"/>
  <c r="AM153" i="13"/>
  <c r="AM152" i="13"/>
  <c r="AM151" i="13"/>
  <c r="AM150" i="13"/>
  <c r="AM149" i="13"/>
  <c r="AM148" i="13"/>
  <c r="AM147" i="13"/>
  <c r="AM146" i="13"/>
  <c r="AM145" i="13"/>
  <c r="AM260" i="13"/>
  <c r="AM252" i="13"/>
  <c r="AM244" i="13"/>
  <c r="AM242" i="13"/>
  <c r="AM199" i="13"/>
  <c r="AM79" i="13"/>
  <c r="AM78" i="13"/>
  <c r="AM77" i="13"/>
  <c r="AM76" i="13"/>
  <c r="AM75" i="13"/>
  <c r="AM74" i="13"/>
  <c r="AM73" i="13"/>
  <c r="AM72" i="13"/>
  <c r="AM71" i="13"/>
  <c r="AM70" i="13"/>
  <c r="AM69" i="13"/>
  <c r="AM68" i="13"/>
  <c r="AM67" i="13"/>
  <c r="AM66" i="13"/>
  <c r="AM65" i="13"/>
  <c r="AM64" i="13"/>
  <c r="AM63" i="13"/>
  <c r="AM62" i="13"/>
  <c r="AM61" i="13"/>
  <c r="AM60" i="13"/>
  <c r="AM59" i="13"/>
  <c r="AM58" i="13"/>
  <c r="AM57" i="13"/>
  <c r="AM56" i="13"/>
  <c r="AM55" i="13"/>
  <c r="AM54" i="13"/>
  <c r="AM33" i="13"/>
  <c r="AM32" i="13"/>
  <c r="AM31" i="13"/>
  <c r="AM30" i="13"/>
  <c r="AM29" i="13"/>
  <c r="AM28" i="13"/>
  <c r="AM27" i="13"/>
  <c r="AM421" i="13"/>
  <c r="AM197" i="13"/>
  <c r="AM191" i="13"/>
  <c r="AM171" i="13"/>
  <c r="AM258" i="13"/>
  <c r="AM195" i="13"/>
  <c r="AM201" i="13"/>
  <c r="AN5" i="13"/>
  <c r="AM193" i="13"/>
  <c r="AM26" i="13"/>
  <c r="AM25" i="13"/>
  <c r="AM24" i="13"/>
  <c r="AM23" i="13"/>
  <c r="AM22" i="13"/>
  <c r="AM21" i="13"/>
  <c r="AM20" i="13"/>
  <c r="AM19" i="13"/>
  <c r="AM18" i="13"/>
  <c r="AM17" i="13"/>
  <c r="AM16" i="13"/>
  <c r="AM15" i="13"/>
  <c r="AM14" i="13"/>
  <c r="AM13" i="13"/>
  <c r="AM12" i="13"/>
  <c r="AM11" i="13"/>
  <c r="AM10" i="13"/>
  <c r="AM9" i="13"/>
  <c r="AM8" i="13"/>
  <c r="AM7" i="13"/>
  <c r="AM250" i="13"/>
  <c r="AM53" i="13"/>
  <c r="AL447" i="13"/>
  <c r="L365" i="13"/>
  <c r="N364" i="13"/>
  <c r="K364" i="13"/>
  <c r="H364" i="13"/>
  <c r="P263" i="13"/>
  <c r="Q263" i="13"/>
  <c r="R263" i="13"/>
  <c r="S263" i="13"/>
  <c r="T263" i="13"/>
  <c r="U263" i="13"/>
  <c r="V263" i="13"/>
  <c r="W263" i="13"/>
  <c r="X263" i="13"/>
  <c r="Y263" i="13"/>
  <c r="Z263" i="13"/>
  <c r="AA263" i="13"/>
  <c r="AB263" i="13"/>
  <c r="AC263" i="13"/>
  <c r="AD263" i="13"/>
  <c r="AE263" i="13"/>
  <c r="AF263" i="13"/>
  <c r="AG263" i="13"/>
  <c r="AH263" i="13"/>
  <c r="AI263" i="13"/>
  <c r="AJ263" i="13"/>
  <c r="AK263" i="13"/>
  <c r="P170" i="13"/>
  <c r="Q170" i="13"/>
  <c r="R170" i="13"/>
  <c r="S170" i="13"/>
  <c r="T170" i="13"/>
  <c r="U170" i="13"/>
  <c r="V170" i="13"/>
  <c r="W170" i="13"/>
  <c r="X170" i="13"/>
  <c r="Y170" i="13"/>
  <c r="Z170" i="13"/>
  <c r="AA170" i="13"/>
  <c r="AB170" i="13"/>
  <c r="AC170" i="13"/>
  <c r="AD170" i="13"/>
  <c r="AE170" i="13"/>
  <c r="AF170" i="13"/>
  <c r="AG170" i="13"/>
  <c r="AH170" i="13"/>
  <c r="AI170" i="13"/>
  <c r="AJ170" i="13"/>
  <c r="AK170" i="13"/>
  <c r="N448" i="13"/>
  <c r="H448" i="13"/>
  <c r="L449" i="13"/>
  <c r="K448" i="13"/>
  <c r="P33" i="13"/>
  <c r="Q33" i="13"/>
  <c r="R33" i="13"/>
  <c r="S33" i="13"/>
  <c r="T33" i="13"/>
  <c r="U33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AK33" i="13"/>
  <c r="N402" i="13"/>
  <c r="H402" i="13"/>
  <c r="K402" i="13"/>
  <c r="L403" i="13"/>
  <c r="AF24" i="10"/>
  <c r="AF35" i="10"/>
  <c r="AF27" i="10"/>
  <c r="AF19" i="10"/>
  <c r="AF22" i="10"/>
  <c r="AF38" i="10"/>
  <c r="AF18" i="10"/>
  <c r="AF33" i="10"/>
  <c r="AF25" i="10"/>
  <c r="AF17" i="10"/>
  <c r="AF20" i="10"/>
  <c r="AF28" i="10"/>
  <c r="AF12" i="10"/>
  <c r="AF36" i="10"/>
  <c r="AF31" i="10"/>
  <c r="AF23" i="10"/>
  <c r="AF15" i="10"/>
  <c r="AF34" i="10"/>
  <c r="AF14" i="10"/>
  <c r="AF26" i="10"/>
  <c r="AF30" i="10"/>
  <c r="AF37" i="10"/>
  <c r="AF29" i="10"/>
  <c r="AF21" i="10"/>
  <c r="AF13" i="10"/>
  <c r="AF32" i="10"/>
  <c r="AF16" i="10"/>
  <c r="P79" i="13"/>
  <c r="Q79" i="13"/>
  <c r="R79" i="13"/>
  <c r="S79" i="13"/>
  <c r="T79" i="13"/>
  <c r="U79" i="13"/>
  <c r="V79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AK79" i="13"/>
  <c r="AL263" i="13"/>
  <c r="AL308" i="13"/>
  <c r="AL401" i="13"/>
  <c r="P363" i="13"/>
  <c r="Q363" i="13"/>
  <c r="R363" i="13"/>
  <c r="S363" i="13"/>
  <c r="T363" i="13"/>
  <c r="U363" i="13"/>
  <c r="V363" i="13"/>
  <c r="W363" i="13"/>
  <c r="X363" i="13"/>
  <c r="Y363" i="13"/>
  <c r="Z363" i="13"/>
  <c r="AA363" i="13"/>
  <c r="AB363" i="13"/>
  <c r="AC363" i="13"/>
  <c r="AD363" i="13"/>
  <c r="AE363" i="13"/>
  <c r="AF363" i="13"/>
  <c r="AG363" i="13"/>
  <c r="AH363" i="13"/>
  <c r="AI363" i="13"/>
  <c r="AJ363" i="13"/>
  <c r="AK363" i="13"/>
  <c r="AI3" i="10"/>
  <c r="AH7" i="10" a="1"/>
  <c r="AH7" i="10" s="1"/>
  <c r="AH6" i="10" s="1"/>
  <c r="AH84" i="10"/>
  <c r="AH86" i="10" s="1"/>
  <c r="AH89" i="10"/>
  <c r="AH90" i="10"/>
  <c r="K34" i="13"/>
  <c r="N34" i="13"/>
  <c r="H34" i="13"/>
  <c r="L35" i="13"/>
  <c r="P124" i="13"/>
  <c r="Q124" i="13"/>
  <c r="R124" i="13"/>
  <c r="S124" i="13"/>
  <c r="T124" i="13"/>
  <c r="U124" i="13"/>
  <c r="V124" i="13"/>
  <c r="W124" i="13"/>
  <c r="X124" i="13"/>
  <c r="Y124" i="13"/>
  <c r="Z124" i="13"/>
  <c r="AA124" i="13"/>
  <c r="AB124" i="13"/>
  <c r="AC124" i="13"/>
  <c r="AD124" i="13"/>
  <c r="AE124" i="13"/>
  <c r="AF124" i="13"/>
  <c r="AG124" i="13"/>
  <c r="AH124" i="13"/>
  <c r="AI124" i="13"/>
  <c r="AJ124" i="13"/>
  <c r="AK124" i="13"/>
  <c r="L81" i="13"/>
  <c r="K80" i="13"/>
  <c r="N80" i="13"/>
  <c r="H80" i="13"/>
  <c r="AJ5" i="10"/>
  <c r="AI4" i="10"/>
  <c r="AL79" i="13"/>
  <c r="N218" i="13"/>
  <c r="H218" i="13"/>
  <c r="L219" i="13"/>
  <c r="K218" i="13"/>
  <c r="AG91" i="10"/>
  <c r="N125" i="13"/>
  <c r="H125" i="13"/>
  <c r="L126" i="13"/>
  <c r="K125" i="13"/>
  <c r="K309" i="13"/>
  <c r="N309" i="13"/>
  <c r="L310" i="13"/>
  <c r="H309" i="13"/>
  <c r="AL33" i="13"/>
  <c r="AL124" i="13"/>
  <c r="P217" i="13"/>
  <c r="Q217" i="13"/>
  <c r="R217" i="13"/>
  <c r="S217" i="13"/>
  <c r="T217" i="13"/>
  <c r="U217" i="13"/>
  <c r="V217" i="13"/>
  <c r="W217" i="13"/>
  <c r="X217" i="13"/>
  <c r="Y217" i="13"/>
  <c r="Z217" i="13"/>
  <c r="AA217" i="13"/>
  <c r="AB217" i="13"/>
  <c r="AC217" i="13"/>
  <c r="AD217" i="13"/>
  <c r="AE217" i="13"/>
  <c r="AF217" i="13"/>
  <c r="AG217" i="13"/>
  <c r="AH217" i="13"/>
  <c r="AI217" i="13"/>
  <c r="AJ217" i="13"/>
  <c r="AK217" i="13"/>
  <c r="AJ114" i="10" l="1"/>
  <c r="AJ115" i="10" s="1"/>
  <c r="AJ116" i="10" s="1"/>
  <c r="AE72" i="10"/>
  <c r="AI45" i="10"/>
  <c r="AI50" i="10" s="1"/>
  <c r="AE74" i="10"/>
  <c r="AH64" i="10"/>
  <c r="AH68" i="10"/>
  <c r="AH43" i="10"/>
  <c r="AH19" i="10"/>
  <c r="AG68" i="10"/>
  <c r="AG69" i="10"/>
  <c r="AG10" i="10"/>
  <c r="AG64" i="10"/>
  <c r="AG67" i="10"/>
  <c r="AG11" i="10"/>
  <c r="AH11" i="10"/>
  <c r="AH10" i="10"/>
  <c r="AH14" i="10"/>
  <c r="AH67" i="10"/>
  <c r="AH69" i="10"/>
  <c r="AJ128" i="10"/>
  <c r="AH25" i="10"/>
  <c r="AH37" i="10"/>
  <c r="AH16" i="10"/>
  <c r="AH33" i="10"/>
  <c r="AH21" i="10"/>
  <c r="AH32" i="10"/>
  <c r="AH30" i="10"/>
  <c r="AH24" i="10"/>
  <c r="AH22" i="10"/>
  <c r="P80" i="13"/>
  <c r="Q80" i="13"/>
  <c r="R80" i="13"/>
  <c r="S80" i="13"/>
  <c r="T80" i="13"/>
  <c r="U80" i="13"/>
  <c r="V80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AK80" i="13"/>
  <c r="AL80" i="13"/>
  <c r="AI7" i="10" a="1"/>
  <c r="AI7" i="10" s="1"/>
  <c r="AI43" i="10" s="1"/>
  <c r="AJ3" i="10"/>
  <c r="AI84" i="10"/>
  <c r="AI86" i="10" s="1"/>
  <c r="AI90" i="10"/>
  <c r="AI89" i="10"/>
  <c r="AH20" i="10"/>
  <c r="AH13" i="10"/>
  <c r="AF70" i="10"/>
  <c r="P402" i="13"/>
  <c r="Q402" i="13"/>
  <c r="R402" i="13"/>
  <c r="S402" i="13"/>
  <c r="T402" i="13"/>
  <c r="U402" i="13"/>
  <c r="V402" i="13"/>
  <c r="W402" i="13"/>
  <c r="X402" i="13"/>
  <c r="Y402" i="13"/>
  <c r="Z402" i="13"/>
  <c r="AA402" i="13"/>
  <c r="AB402" i="13"/>
  <c r="AC402" i="13"/>
  <c r="AD402" i="13"/>
  <c r="AE402" i="13"/>
  <c r="AF402" i="13"/>
  <c r="AG402" i="13"/>
  <c r="AH402" i="13"/>
  <c r="AI402" i="13"/>
  <c r="AJ402" i="13"/>
  <c r="AK402" i="13"/>
  <c r="AL402" i="13"/>
  <c r="N449" i="13"/>
  <c r="H449" i="13"/>
  <c r="L450" i="13"/>
  <c r="K449" i="13"/>
  <c r="AM402" i="13"/>
  <c r="AH18" i="10"/>
  <c r="K265" i="13"/>
  <c r="AN265" i="13" s="1"/>
  <c r="L266" i="13"/>
  <c r="H265" i="13"/>
  <c r="N265" i="13"/>
  <c r="AH29" i="10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K34" i="13"/>
  <c r="AL34" i="13"/>
  <c r="AH91" i="10"/>
  <c r="AH17" i="10"/>
  <c r="AH12" i="10"/>
  <c r="P364" i="13"/>
  <c r="Q364" i="13"/>
  <c r="R364" i="13"/>
  <c r="S364" i="13"/>
  <c r="T364" i="13"/>
  <c r="U364" i="13"/>
  <c r="V364" i="13"/>
  <c r="W364" i="13"/>
  <c r="X364" i="13"/>
  <c r="Y364" i="13"/>
  <c r="Z364" i="13"/>
  <c r="AA364" i="13"/>
  <c r="AB364" i="13"/>
  <c r="AC364" i="13"/>
  <c r="AD364" i="13"/>
  <c r="AE364" i="13"/>
  <c r="AF364" i="13"/>
  <c r="AG364" i="13"/>
  <c r="AH364" i="13"/>
  <c r="AI364" i="13"/>
  <c r="AJ364" i="13"/>
  <c r="AK364" i="13"/>
  <c r="AL364" i="13"/>
  <c r="AN435" i="13"/>
  <c r="AN434" i="13"/>
  <c r="AN433" i="13"/>
  <c r="AN432" i="13"/>
  <c r="AN431" i="13"/>
  <c r="AN430" i="13"/>
  <c r="AN429" i="13"/>
  <c r="AN428" i="13"/>
  <c r="AN427" i="13"/>
  <c r="AN426" i="13"/>
  <c r="AN425" i="13"/>
  <c r="AN424" i="13"/>
  <c r="AN423" i="13"/>
  <c r="AN422" i="13"/>
  <c r="AN421" i="13"/>
  <c r="AN449" i="13"/>
  <c r="AN448" i="13"/>
  <c r="AN441" i="13"/>
  <c r="AN440" i="13"/>
  <c r="AN443" i="13"/>
  <c r="AN442" i="13"/>
  <c r="AN402" i="13"/>
  <c r="AN400" i="13"/>
  <c r="AN398" i="13"/>
  <c r="AN396" i="13"/>
  <c r="AN394" i="13"/>
  <c r="AN447" i="13"/>
  <c r="AN446" i="13"/>
  <c r="AN386" i="13"/>
  <c r="AN385" i="13"/>
  <c r="AN378" i="13"/>
  <c r="AN377" i="13"/>
  <c r="AN375" i="13"/>
  <c r="AN264" i="13"/>
  <c r="AN263" i="13"/>
  <c r="AN262" i="13"/>
  <c r="AN261" i="13"/>
  <c r="AN260" i="13"/>
  <c r="AN259" i="13"/>
  <c r="AN258" i="13"/>
  <c r="AN257" i="13"/>
  <c r="AN256" i="13"/>
  <c r="AN255" i="13"/>
  <c r="AN254" i="13"/>
  <c r="AN253" i="13"/>
  <c r="AN252" i="13"/>
  <c r="AN251" i="13"/>
  <c r="AN250" i="13"/>
  <c r="AN249" i="13"/>
  <c r="AN248" i="13"/>
  <c r="AN247" i="13"/>
  <c r="AN246" i="13"/>
  <c r="AN245" i="13"/>
  <c r="AN244" i="13"/>
  <c r="AN243" i="13"/>
  <c r="AN242" i="13"/>
  <c r="AN241" i="13"/>
  <c r="AN240" i="13"/>
  <c r="AN239" i="13"/>
  <c r="AN238" i="13"/>
  <c r="AN237" i="13"/>
  <c r="AN437" i="13"/>
  <c r="AN436" i="13"/>
  <c r="AN401" i="13"/>
  <c r="AN397" i="13"/>
  <c r="AN393" i="13"/>
  <c r="AN388" i="13"/>
  <c r="AN387" i="13"/>
  <c r="AN380" i="13"/>
  <c r="AN379" i="13"/>
  <c r="AN439" i="13"/>
  <c r="AN438" i="13"/>
  <c r="AN399" i="13"/>
  <c r="AN384" i="13"/>
  <c r="AN383" i="13"/>
  <c r="AN364" i="13"/>
  <c r="AN363" i="13"/>
  <c r="AN359" i="13"/>
  <c r="AN358" i="13"/>
  <c r="AN351" i="13"/>
  <c r="AN350" i="13"/>
  <c r="AN343" i="13"/>
  <c r="AN342" i="13"/>
  <c r="AN329" i="13"/>
  <c r="AN445" i="13"/>
  <c r="AN444" i="13"/>
  <c r="AN390" i="13"/>
  <c r="AN389" i="13"/>
  <c r="AN360" i="13"/>
  <c r="AN353" i="13"/>
  <c r="AN352" i="13"/>
  <c r="AN345" i="13"/>
  <c r="AN344" i="13"/>
  <c r="AN338" i="13"/>
  <c r="AN336" i="13"/>
  <c r="AN334" i="13"/>
  <c r="AN332" i="13"/>
  <c r="AN330" i="13"/>
  <c r="AN395" i="13"/>
  <c r="AN392" i="13"/>
  <c r="AN391" i="13"/>
  <c r="AN376" i="13"/>
  <c r="AN355" i="13"/>
  <c r="AN354" i="13"/>
  <c r="AN347" i="13"/>
  <c r="AN346" i="13"/>
  <c r="AN333" i="13"/>
  <c r="AN171" i="13"/>
  <c r="AN170" i="13"/>
  <c r="AN361" i="13"/>
  <c r="AN341" i="13"/>
  <c r="AN340" i="13"/>
  <c r="AN339" i="13"/>
  <c r="AN335" i="13"/>
  <c r="AN309" i="13"/>
  <c r="AN307" i="13"/>
  <c r="AN305" i="13"/>
  <c r="AN303" i="13"/>
  <c r="AN301" i="13"/>
  <c r="AN299" i="13"/>
  <c r="AN297" i="13"/>
  <c r="AN295" i="13"/>
  <c r="AN293" i="13"/>
  <c r="AN291" i="13"/>
  <c r="AN289" i="13"/>
  <c r="AN287" i="13"/>
  <c r="AN285" i="13"/>
  <c r="AN283" i="13"/>
  <c r="AN217" i="13"/>
  <c r="AN215" i="13"/>
  <c r="AN213" i="13"/>
  <c r="AN211" i="13"/>
  <c r="AN209" i="13"/>
  <c r="AN207" i="13"/>
  <c r="AN382" i="13"/>
  <c r="AN381" i="13"/>
  <c r="AN349" i="13"/>
  <c r="AN348" i="13"/>
  <c r="AN357" i="13"/>
  <c r="AN308" i="13"/>
  <c r="AN300" i="13"/>
  <c r="AN292" i="13"/>
  <c r="AN284" i="13"/>
  <c r="AN218" i="13"/>
  <c r="AN214" i="13"/>
  <c r="AN210" i="13"/>
  <c r="AN206" i="13"/>
  <c r="AN203" i="13"/>
  <c r="AN202" i="13"/>
  <c r="AN200" i="13"/>
  <c r="AN198" i="13"/>
  <c r="AN196" i="13"/>
  <c r="AN194" i="13"/>
  <c r="AN192" i="13"/>
  <c r="AN169" i="13"/>
  <c r="AN168" i="13"/>
  <c r="AN167" i="13"/>
  <c r="AN166" i="13"/>
  <c r="AN165" i="13"/>
  <c r="AN164" i="13"/>
  <c r="AN163" i="13"/>
  <c r="AN162" i="13"/>
  <c r="AN161" i="13"/>
  <c r="AN160" i="13"/>
  <c r="AN159" i="13"/>
  <c r="AN158" i="13"/>
  <c r="AN157" i="13"/>
  <c r="AN156" i="13"/>
  <c r="AN155" i="13"/>
  <c r="AN154" i="13"/>
  <c r="AN153" i="13"/>
  <c r="AN152" i="13"/>
  <c r="AN151" i="13"/>
  <c r="AN150" i="13"/>
  <c r="AN149" i="13"/>
  <c r="AN148" i="13"/>
  <c r="AN147" i="13"/>
  <c r="AN146" i="13"/>
  <c r="AN145" i="13"/>
  <c r="AN306" i="13"/>
  <c r="AN298" i="13"/>
  <c r="AN290" i="13"/>
  <c r="AN205" i="13"/>
  <c r="AN204" i="13"/>
  <c r="AN34" i="13"/>
  <c r="AN33" i="13"/>
  <c r="AN32" i="13"/>
  <c r="AN31" i="13"/>
  <c r="AN30" i="13"/>
  <c r="AN29" i="13"/>
  <c r="AN28" i="13"/>
  <c r="AN356" i="13"/>
  <c r="AN304" i="13"/>
  <c r="AN296" i="13"/>
  <c r="AN288" i="13"/>
  <c r="AN216" i="13"/>
  <c r="AN212" i="13"/>
  <c r="AN208" i="13"/>
  <c r="AN201" i="13"/>
  <c r="AN199" i="13"/>
  <c r="AN197" i="13"/>
  <c r="AN195" i="13"/>
  <c r="AN193" i="13"/>
  <c r="AN362" i="13"/>
  <c r="AN294" i="13"/>
  <c r="AN191" i="13"/>
  <c r="AN53" i="13"/>
  <c r="AN331" i="13"/>
  <c r="AN286" i="13"/>
  <c r="AN125" i="13"/>
  <c r="AN124" i="13"/>
  <c r="AN123" i="13"/>
  <c r="AN122" i="13"/>
  <c r="AN121" i="13"/>
  <c r="AN120" i="13"/>
  <c r="AN119" i="13"/>
  <c r="AN118" i="13"/>
  <c r="AN117" i="13"/>
  <c r="AN116" i="13"/>
  <c r="AN115" i="13"/>
  <c r="AN114" i="13"/>
  <c r="AN113" i="13"/>
  <c r="AN112" i="13"/>
  <c r="AN111" i="13"/>
  <c r="AN110" i="13"/>
  <c r="AN109" i="13"/>
  <c r="AN108" i="13"/>
  <c r="AN107" i="13"/>
  <c r="AN106" i="13"/>
  <c r="AN105" i="13"/>
  <c r="AN104" i="13"/>
  <c r="AN103" i="13"/>
  <c r="AN102" i="13"/>
  <c r="AN101" i="13"/>
  <c r="AN100" i="13"/>
  <c r="AN26" i="13"/>
  <c r="AN25" i="13"/>
  <c r="AN24" i="13"/>
  <c r="AN23" i="13"/>
  <c r="AN22" i="13"/>
  <c r="AN21" i="13"/>
  <c r="AN20" i="13"/>
  <c r="AN19" i="13"/>
  <c r="AN302" i="13"/>
  <c r="AN18" i="13"/>
  <c r="AN17" i="13"/>
  <c r="AN16" i="13"/>
  <c r="AN15" i="13"/>
  <c r="AN14" i="13"/>
  <c r="AN13" i="13"/>
  <c r="AN12" i="13"/>
  <c r="AN11" i="13"/>
  <c r="AN10" i="13"/>
  <c r="AN9" i="13"/>
  <c r="AN8" i="13"/>
  <c r="AN7" i="13"/>
  <c r="AN79" i="13"/>
  <c r="AN77" i="13"/>
  <c r="AN75" i="13"/>
  <c r="AN73" i="13"/>
  <c r="AN71" i="13"/>
  <c r="AN69" i="13"/>
  <c r="AN67" i="13"/>
  <c r="AN65" i="13"/>
  <c r="AN63" i="13"/>
  <c r="AN61" i="13"/>
  <c r="AN59" i="13"/>
  <c r="AN57" i="13"/>
  <c r="AN55" i="13"/>
  <c r="AN27" i="13"/>
  <c r="AN337" i="13"/>
  <c r="AN99" i="13"/>
  <c r="AN80" i="13"/>
  <c r="AN78" i="13"/>
  <c r="AN76" i="13"/>
  <c r="AN74" i="13"/>
  <c r="AN68" i="13"/>
  <c r="AN60" i="13"/>
  <c r="AN70" i="13"/>
  <c r="AN62" i="13"/>
  <c r="AN54" i="13"/>
  <c r="AN72" i="13"/>
  <c r="AN64" i="13"/>
  <c r="AN56" i="13"/>
  <c r="AN66" i="13"/>
  <c r="AN58" i="13"/>
  <c r="AO5" i="13"/>
  <c r="P171" i="13"/>
  <c r="Q171" i="13"/>
  <c r="R171" i="13"/>
  <c r="S171" i="13"/>
  <c r="T171" i="13"/>
  <c r="U171" i="13"/>
  <c r="V171" i="13"/>
  <c r="W171" i="13"/>
  <c r="X171" i="13"/>
  <c r="Y171" i="13"/>
  <c r="Z171" i="13"/>
  <c r="AA171" i="13"/>
  <c r="AB171" i="13"/>
  <c r="AC171" i="13"/>
  <c r="AD171" i="13"/>
  <c r="AE171" i="13"/>
  <c r="AF171" i="13"/>
  <c r="AG171" i="13"/>
  <c r="AH171" i="13"/>
  <c r="AI171" i="13"/>
  <c r="AJ171" i="13"/>
  <c r="AK171" i="13"/>
  <c r="AL171" i="13"/>
  <c r="P264" i="13"/>
  <c r="Q264" i="13"/>
  <c r="R264" i="13"/>
  <c r="S264" i="13"/>
  <c r="T264" i="13"/>
  <c r="U264" i="13"/>
  <c r="V264" i="13"/>
  <c r="W264" i="13"/>
  <c r="X264" i="13"/>
  <c r="Y264" i="13"/>
  <c r="Z264" i="13"/>
  <c r="AA264" i="13"/>
  <c r="AB264" i="13"/>
  <c r="AC264" i="13"/>
  <c r="AD264" i="13"/>
  <c r="AE264" i="13"/>
  <c r="AF264" i="13"/>
  <c r="AG264" i="13"/>
  <c r="AH264" i="13"/>
  <c r="AI264" i="13"/>
  <c r="AJ264" i="13"/>
  <c r="AK264" i="13"/>
  <c r="AL264" i="13"/>
  <c r="P309" i="13"/>
  <c r="Q309" i="13"/>
  <c r="R309" i="13"/>
  <c r="S309" i="13"/>
  <c r="T309" i="13"/>
  <c r="U309" i="13"/>
  <c r="V309" i="13"/>
  <c r="W309" i="13"/>
  <c r="X309" i="13"/>
  <c r="Y309" i="13"/>
  <c r="Z309" i="13"/>
  <c r="AA309" i="13"/>
  <c r="AB309" i="13"/>
  <c r="AC309" i="13"/>
  <c r="AD309" i="13"/>
  <c r="AE309" i="13"/>
  <c r="AF309" i="13"/>
  <c r="AG309" i="13"/>
  <c r="AH309" i="13"/>
  <c r="AI309" i="13"/>
  <c r="AJ309" i="13"/>
  <c r="AK309" i="13"/>
  <c r="AL309" i="13"/>
  <c r="L82" i="13"/>
  <c r="K81" i="13"/>
  <c r="N81" i="13"/>
  <c r="H81" i="13"/>
  <c r="P125" i="13"/>
  <c r="Q125" i="13"/>
  <c r="R125" i="13"/>
  <c r="S125" i="13"/>
  <c r="T125" i="13"/>
  <c r="U125" i="13"/>
  <c r="V125" i="13"/>
  <c r="W125" i="13"/>
  <c r="X125" i="13"/>
  <c r="Y125" i="13"/>
  <c r="Z125" i="13"/>
  <c r="AA125" i="13"/>
  <c r="AB125" i="13"/>
  <c r="AC125" i="13"/>
  <c r="AD125" i="13"/>
  <c r="AE125" i="13"/>
  <c r="AF125" i="13"/>
  <c r="AG125" i="13"/>
  <c r="AH125" i="13"/>
  <c r="AI125" i="13"/>
  <c r="AJ125" i="13"/>
  <c r="AK125" i="13"/>
  <c r="AL125" i="13"/>
  <c r="P218" i="13"/>
  <c r="Q218" i="13"/>
  <c r="R218" i="13"/>
  <c r="S218" i="13"/>
  <c r="T218" i="13"/>
  <c r="U218" i="13"/>
  <c r="V218" i="13"/>
  <c r="W218" i="13"/>
  <c r="X218" i="13"/>
  <c r="Y218" i="13"/>
  <c r="Z218" i="13"/>
  <c r="AA218" i="13"/>
  <c r="AB218" i="13"/>
  <c r="AC218" i="13"/>
  <c r="AD218" i="13"/>
  <c r="AE218" i="13"/>
  <c r="AF218" i="13"/>
  <c r="AG218" i="13"/>
  <c r="AH218" i="13"/>
  <c r="AI218" i="13"/>
  <c r="AJ218" i="13"/>
  <c r="AK218" i="13"/>
  <c r="AL218" i="13"/>
  <c r="AH38" i="10"/>
  <c r="AK5" i="10"/>
  <c r="AJ4" i="10"/>
  <c r="K35" i="13"/>
  <c r="N35" i="13"/>
  <c r="H35" i="13"/>
  <c r="L36" i="13"/>
  <c r="AH36" i="10"/>
  <c r="AH27" i="10"/>
  <c r="AM34" i="13"/>
  <c r="AM364" i="13"/>
  <c r="AH23" i="10"/>
  <c r="AH34" i="10"/>
  <c r="AH15" i="10"/>
  <c r="K172" i="13"/>
  <c r="AN172" i="13" s="1"/>
  <c r="L173" i="13"/>
  <c r="H172" i="13"/>
  <c r="N172" i="13"/>
  <c r="K310" i="13"/>
  <c r="AN310" i="13" s="1"/>
  <c r="L311" i="13"/>
  <c r="H310" i="13"/>
  <c r="N310" i="13"/>
  <c r="N126" i="13"/>
  <c r="H126" i="13"/>
  <c r="L127" i="13"/>
  <c r="K126" i="13"/>
  <c r="N219" i="13"/>
  <c r="H219" i="13"/>
  <c r="K219" i="13"/>
  <c r="L220" i="13"/>
  <c r="AH28" i="10"/>
  <c r="AH35" i="10"/>
  <c r="AF39" i="10"/>
  <c r="N403" i="13"/>
  <c r="H403" i="13"/>
  <c r="L404" i="13"/>
  <c r="K403" i="13"/>
  <c r="AN403" i="13" s="1"/>
  <c r="P448" i="13"/>
  <c r="Q448" i="13"/>
  <c r="R448" i="13"/>
  <c r="S448" i="13"/>
  <c r="T448" i="13"/>
  <c r="U448" i="13"/>
  <c r="V448" i="13"/>
  <c r="W448" i="13"/>
  <c r="X448" i="13"/>
  <c r="Y448" i="13"/>
  <c r="Z448" i="13"/>
  <c r="AA448" i="13"/>
  <c r="AB448" i="13"/>
  <c r="AC448" i="13"/>
  <c r="AD448" i="13"/>
  <c r="AE448" i="13"/>
  <c r="AF448" i="13"/>
  <c r="AG448" i="13"/>
  <c r="AH448" i="13"/>
  <c r="AI448" i="13"/>
  <c r="AJ448" i="13"/>
  <c r="AK448" i="13"/>
  <c r="AL448" i="13"/>
  <c r="L366" i="13"/>
  <c r="N365" i="13"/>
  <c r="K365" i="13"/>
  <c r="AN365" i="13" s="1"/>
  <c r="H365" i="13"/>
  <c r="AM80" i="13"/>
  <c r="AM125" i="13"/>
  <c r="AM309" i="13"/>
  <c r="AM218" i="13"/>
  <c r="AM448" i="13"/>
  <c r="AH26" i="10"/>
  <c r="AH31" i="10"/>
  <c r="AG37" i="10"/>
  <c r="AG29" i="10"/>
  <c r="AG21" i="10"/>
  <c r="AG13" i="10"/>
  <c r="AG22" i="10"/>
  <c r="AG34" i="10"/>
  <c r="AG18" i="10"/>
  <c r="AG35" i="10"/>
  <c r="AG27" i="10"/>
  <c r="AG19" i="10"/>
  <c r="AG36" i="10"/>
  <c r="AG20" i="10"/>
  <c r="AG32" i="10"/>
  <c r="AG14" i="10"/>
  <c r="AG33" i="10"/>
  <c r="AG25" i="10"/>
  <c r="AG17" i="10"/>
  <c r="AG12" i="10"/>
  <c r="AG26" i="10"/>
  <c r="AG16" i="10"/>
  <c r="AG30" i="10"/>
  <c r="AG31" i="10"/>
  <c r="AG23" i="10"/>
  <c r="AG15" i="10"/>
  <c r="AG24" i="10"/>
  <c r="AG38" i="10"/>
  <c r="AG28" i="10"/>
  <c r="AK114" i="10" l="1"/>
  <c r="AK115" i="10" s="1"/>
  <c r="AK116" i="10" s="1"/>
  <c r="AJ45" i="10"/>
  <c r="AF49" i="10"/>
  <c r="AF47" i="10"/>
  <c r="AF48" i="10"/>
  <c r="AK128" i="10"/>
  <c r="AN81" i="13"/>
  <c r="AG39" i="10"/>
  <c r="N220" i="13"/>
  <c r="H220" i="13"/>
  <c r="L221" i="13"/>
  <c r="K220" i="13"/>
  <c r="AO220" i="13" s="1"/>
  <c r="L267" i="13"/>
  <c r="H266" i="13"/>
  <c r="N266" i="13"/>
  <c r="K266" i="13"/>
  <c r="AO266" i="13" s="1"/>
  <c r="AJ7" i="10" a="1"/>
  <c r="AJ7" i="10" s="1"/>
  <c r="AJ43" i="10" s="1"/>
  <c r="AK3" i="10"/>
  <c r="AJ84" i="10"/>
  <c r="AJ86" i="10" s="1"/>
  <c r="AJ89" i="10"/>
  <c r="AJ90" i="10"/>
  <c r="L367" i="13"/>
  <c r="N366" i="13"/>
  <c r="H366" i="13"/>
  <c r="K366" i="13"/>
  <c r="AO366" i="13" s="1"/>
  <c r="P126" i="13"/>
  <c r="Q126" i="13"/>
  <c r="R126" i="13"/>
  <c r="S126" i="13"/>
  <c r="T126" i="13"/>
  <c r="U126" i="13"/>
  <c r="V126" i="13"/>
  <c r="W126" i="13"/>
  <c r="X126" i="13"/>
  <c r="Y126" i="13"/>
  <c r="Z126" i="13"/>
  <c r="AA126" i="13"/>
  <c r="AB126" i="13"/>
  <c r="AC126" i="13"/>
  <c r="AD126" i="13"/>
  <c r="AE126" i="13"/>
  <c r="AF126" i="13"/>
  <c r="AG126" i="13"/>
  <c r="AH126" i="13"/>
  <c r="AI126" i="13"/>
  <c r="AJ126" i="13"/>
  <c r="AK126" i="13"/>
  <c r="AL126" i="13"/>
  <c r="AM126" i="13"/>
  <c r="L83" i="13"/>
  <c r="K82" i="13"/>
  <c r="N82" i="13"/>
  <c r="H82" i="13"/>
  <c r="P219" i="13"/>
  <c r="Q219" i="13"/>
  <c r="R219" i="13"/>
  <c r="S219" i="13"/>
  <c r="T219" i="13"/>
  <c r="U219" i="13"/>
  <c r="V219" i="13"/>
  <c r="W219" i="13"/>
  <c r="X219" i="13"/>
  <c r="Y219" i="13"/>
  <c r="Z219" i="13"/>
  <c r="AA219" i="13"/>
  <c r="AB219" i="13"/>
  <c r="AC219" i="13"/>
  <c r="AD219" i="13"/>
  <c r="AE219" i="13"/>
  <c r="AF219" i="13"/>
  <c r="AG219" i="13"/>
  <c r="AH219" i="13"/>
  <c r="AI219" i="13"/>
  <c r="AJ219" i="13"/>
  <c r="AK219" i="13"/>
  <c r="AL219" i="13"/>
  <c r="AM219" i="13"/>
  <c r="N127" i="13"/>
  <c r="H127" i="13"/>
  <c r="L128" i="13"/>
  <c r="K127" i="13"/>
  <c r="AO127" i="13" s="1"/>
  <c r="P35" i="13"/>
  <c r="Q35" i="13"/>
  <c r="R35" i="13"/>
  <c r="S35" i="13"/>
  <c r="T35" i="13"/>
  <c r="U35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AK35" i="13"/>
  <c r="AL35" i="13"/>
  <c r="AM35" i="13"/>
  <c r="AH39" i="10"/>
  <c r="P265" i="13"/>
  <c r="Q265" i="13"/>
  <c r="R265" i="13"/>
  <c r="S265" i="13"/>
  <c r="T265" i="13"/>
  <c r="U265" i="13"/>
  <c r="V265" i="13"/>
  <c r="W265" i="13"/>
  <c r="X265" i="13"/>
  <c r="Y265" i="13"/>
  <c r="Z265" i="13"/>
  <c r="AA265" i="13"/>
  <c r="AB265" i="13"/>
  <c r="AC265" i="13"/>
  <c r="AD265" i="13"/>
  <c r="AE265" i="13"/>
  <c r="AF265" i="13"/>
  <c r="AG265" i="13"/>
  <c r="AH265" i="13"/>
  <c r="AI265" i="13"/>
  <c r="AJ265" i="13"/>
  <c r="AK265" i="13"/>
  <c r="AL265" i="13"/>
  <c r="AM265" i="13"/>
  <c r="AI6" i="10"/>
  <c r="AN219" i="13"/>
  <c r="P449" i="13"/>
  <c r="Q449" i="13"/>
  <c r="R449" i="13"/>
  <c r="S449" i="13"/>
  <c r="T449" i="13"/>
  <c r="U449" i="13"/>
  <c r="V449" i="13"/>
  <c r="W449" i="13"/>
  <c r="X449" i="13"/>
  <c r="Y449" i="13"/>
  <c r="Z449" i="13"/>
  <c r="AA449" i="13"/>
  <c r="AB449" i="13"/>
  <c r="AC449" i="13"/>
  <c r="AD449" i="13"/>
  <c r="AE449" i="13"/>
  <c r="AF449" i="13"/>
  <c r="AG449" i="13"/>
  <c r="AH449" i="13"/>
  <c r="AI449" i="13"/>
  <c r="AJ449" i="13"/>
  <c r="AK449" i="13"/>
  <c r="AL449" i="13"/>
  <c r="AM449" i="13"/>
  <c r="P365" i="13"/>
  <c r="Q365" i="13"/>
  <c r="R365" i="13"/>
  <c r="S365" i="13"/>
  <c r="T365" i="13"/>
  <c r="U365" i="13"/>
  <c r="V365" i="13"/>
  <c r="W365" i="13"/>
  <c r="X365" i="13"/>
  <c r="Y365" i="13"/>
  <c r="Z365" i="13"/>
  <c r="AA365" i="13"/>
  <c r="AB365" i="13"/>
  <c r="AC365" i="13"/>
  <c r="AD365" i="13"/>
  <c r="AE365" i="13"/>
  <c r="AF365" i="13"/>
  <c r="AG365" i="13"/>
  <c r="AH365" i="13"/>
  <c r="AI365" i="13"/>
  <c r="AJ365" i="13"/>
  <c r="AK365" i="13"/>
  <c r="AL365" i="13"/>
  <c r="AM365" i="13"/>
  <c r="P403" i="13"/>
  <c r="Q403" i="13"/>
  <c r="R403" i="13"/>
  <c r="S403" i="13"/>
  <c r="T403" i="13"/>
  <c r="U403" i="13"/>
  <c r="V403" i="13"/>
  <c r="W403" i="13"/>
  <c r="X403" i="13"/>
  <c r="Y403" i="13"/>
  <c r="Z403" i="13"/>
  <c r="AA403" i="13"/>
  <c r="AB403" i="13"/>
  <c r="AC403" i="13"/>
  <c r="AD403" i="13"/>
  <c r="AE403" i="13"/>
  <c r="AF403" i="13"/>
  <c r="AG403" i="13"/>
  <c r="AH403" i="13"/>
  <c r="AI403" i="13"/>
  <c r="AJ403" i="13"/>
  <c r="AK403" i="13"/>
  <c r="AL403" i="13"/>
  <c r="AM403" i="13"/>
  <c r="K311" i="13"/>
  <c r="AO311" i="13" s="1"/>
  <c r="N311" i="13"/>
  <c r="H311" i="13"/>
  <c r="L312" i="13"/>
  <c r="N173" i="13"/>
  <c r="L174" i="13"/>
  <c r="K173" i="13"/>
  <c r="AO173" i="13" s="1"/>
  <c r="H173" i="13"/>
  <c r="K36" i="13"/>
  <c r="AO36" i="13" s="1"/>
  <c r="N36" i="13"/>
  <c r="H36" i="13"/>
  <c r="L37" i="13"/>
  <c r="AK4" i="10"/>
  <c r="AL5" i="10"/>
  <c r="AO449" i="13"/>
  <c r="AO447" i="13"/>
  <c r="AO445" i="13"/>
  <c r="AO443" i="13"/>
  <c r="AO441" i="13"/>
  <c r="AO439" i="13"/>
  <c r="AO437" i="13"/>
  <c r="AO442" i="13"/>
  <c r="AO434" i="13"/>
  <c r="AO432" i="13"/>
  <c r="AO430" i="13"/>
  <c r="AO428" i="13"/>
  <c r="AO426" i="13"/>
  <c r="AO424" i="13"/>
  <c r="AO422" i="13"/>
  <c r="AO402" i="13"/>
  <c r="AO400" i="13"/>
  <c r="AO398" i="13"/>
  <c r="AO396" i="13"/>
  <c r="AO394" i="13"/>
  <c r="AO392" i="13"/>
  <c r="AO390" i="13"/>
  <c r="AO388" i="13"/>
  <c r="AO386" i="13"/>
  <c r="AO384" i="13"/>
  <c r="AO382" i="13"/>
  <c r="AO380" i="13"/>
  <c r="AO378" i="13"/>
  <c r="AO376" i="13"/>
  <c r="AO364" i="13"/>
  <c r="AO362" i="13"/>
  <c r="AO360" i="13"/>
  <c r="AO359" i="13"/>
  <c r="AO358" i="13"/>
  <c r="AO357" i="13"/>
  <c r="AO356" i="13"/>
  <c r="AO355" i="13"/>
  <c r="AO354" i="13"/>
  <c r="AO353" i="13"/>
  <c r="AO352" i="13"/>
  <c r="AO351" i="13"/>
  <c r="AO350" i="13"/>
  <c r="AO349" i="13"/>
  <c r="AO348" i="13"/>
  <c r="AO347" i="13"/>
  <c r="AO346" i="13"/>
  <c r="AO345" i="13"/>
  <c r="AO344" i="13"/>
  <c r="AO343" i="13"/>
  <c r="AO342" i="13"/>
  <c r="AO341" i="13"/>
  <c r="AO340" i="13"/>
  <c r="AO444" i="13"/>
  <c r="AO436" i="13"/>
  <c r="AO448" i="13"/>
  <c r="AO401" i="13"/>
  <c r="AO397" i="13"/>
  <c r="AO393" i="13"/>
  <c r="AO387" i="13"/>
  <c r="AO379" i="13"/>
  <c r="AO361" i="13"/>
  <c r="AO310" i="13"/>
  <c r="AO309" i="13"/>
  <c r="AO308" i="13"/>
  <c r="AO307" i="13"/>
  <c r="AO306" i="13"/>
  <c r="AO305" i="13"/>
  <c r="AO304" i="13"/>
  <c r="AO303" i="13"/>
  <c r="AO302" i="13"/>
  <c r="AO301" i="13"/>
  <c r="AO300" i="13"/>
  <c r="AO299" i="13"/>
  <c r="AO298" i="13"/>
  <c r="AO297" i="13"/>
  <c r="AO296" i="13"/>
  <c r="AO295" i="13"/>
  <c r="AO294" i="13"/>
  <c r="AO293" i="13"/>
  <c r="AO292" i="13"/>
  <c r="AO291" i="13"/>
  <c r="AO290" i="13"/>
  <c r="AO289" i="13"/>
  <c r="AO288" i="13"/>
  <c r="AO287" i="13"/>
  <c r="AO286" i="13"/>
  <c r="AO285" i="13"/>
  <c r="AO284" i="13"/>
  <c r="AO283" i="13"/>
  <c r="AO438" i="13"/>
  <c r="AO433" i="13"/>
  <c r="AO429" i="13"/>
  <c r="AO425" i="13"/>
  <c r="AO389" i="13"/>
  <c r="AO381" i="13"/>
  <c r="AO440" i="13"/>
  <c r="AO385" i="13"/>
  <c r="AO365" i="13"/>
  <c r="AO338" i="13"/>
  <c r="AO336" i="13"/>
  <c r="AO334" i="13"/>
  <c r="AO332" i="13"/>
  <c r="AO330" i="13"/>
  <c r="AO446" i="13"/>
  <c r="AO435" i="13"/>
  <c r="AO427" i="13"/>
  <c r="AO403" i="13"/>
  <c r="AO395" i="13"/>
  <c r="AO391" i="13"/>
  <c r="AO421" i="13"/>
  <c r="AO377" i="13"/>
  <c r="AO375" i="13"/>
  <c r="AO339" i="13"/>
  <c r="AO337" i="13"/>
  <c r="AO335" i="13"/>
  <c r="AO333" i="13"/>
  <c r="AO331" i="13"/>
  <c r="AO329" i="13"/>
  <c r="AO265" i="13"/>
  <c r="AO263" i="13"/>
  <c r="AO261" i="13"/>
  <c r="AO259" i="13"/>
  <c r="AO257" i="13"/>
  <c r="AO255" i="13"/>
  <c r="AO253" i="13"/>
  <c r="AO251" i="13"/>
  <c r="AO249" i="13"/>
  <c r="AO247" i="13"/>
  <c r="AO245" i="13"/>
  <c r="AO243" i="13"/>
  <c r="AO241" i="13"/>
  <c r="AO239" i="13"/>
  <c r="AO237" i="13"/>
  <c r="AO219" i="13"/>
  <c r="AO217" i="13"/>
  <c r="AO215" i="13"/>
  <c r="AO213" i="13"/>
  <c r="AO211" i="13"/>
  <c r="AO209" i="13"/>
  <c r="AO207" i="13"/>
  <c r="AO205" i="13"/>
  <c r="AO203" i="13"/>
  <c r="AO202" i="13"/>
  <c r="AO201" i="13"/>
  <c r="AO200" i="13"/>
  <c r="AO199" i="13"/>
  <c r="AO198" i="13"/>
  <c r="AO197" i="13"/>
  <c r="AO196" i="13"/>
  <c r="AO195" i="13"/>
  <c r="AO194" i="13"/>
  <c r="AO193" i="13"/>
  <c r="AO192" i="13"/>
  <c r="AO191" i="13"/>
  <c r="AO431" i="13"/>
  <c r="AO363" i="13"/>
  <c r="AO423" i="13"/>
  <c r="AO383" i="13"/>
  <c r="AO264" i="13"/>
  <c r="AO262" i="13"/>
  <c r="AO260" i="13"/>
  <c r="AO258" i="13"/>
  <c r="AO256" i="13"/>
  <c r="AO254" i="13"/>
  <c r="AO252" i="13"/>
  <c r="AO250" i="13"/>
  <c r="AO248" i="13"/>
  <c r="AO246" i="13"/>
  <c r="AO244" i="13"/>
  <c r="AO242" i="13"/>
  <c r="AO240" i="13"/>
  <c r="AO238" i="13"/>
  <c r="AO399" i="13"/>
  <c r="AO204" i="13"/>
  <c r="AO35" i="13"/>
  <c r="AO34" i="13"/>
  <c r="AO33" i="13"/>
  <c r="AO32" i="13"/>
  <c r="AO31" i="13"/>
  <c r="AO30" i="13"/>
  <c r="AO29" i="13"/>
  <c r="AO28" i="13"/>
  <c r="AO27" i="13"/>
  <c r="AO216" i="13"/>
  <c r="AO212" i="13"/>
  <c r="AO208" i="13"/>
  <c r="AO171" i="13"/>
  <c r="AO81" i="13"/>
  <c r="AO80" i="13"/>
  <c r="AO79" i="13"/>
  <c r="AO78" i="13"/>
  <c r="AO77" i="13"/>
  <c r="AO76" i="13"/>
  <c r="AO75" i="13"/>
  <c r="AO74" i="13"/>
  <c r="AO73" i="13"/>
  <c r="AO72" i="13"/>
  <c r="AO71" i="13"/>
  <c r="AO70" i="13"/>
  <c r="AO69" i="13"/>
  <c r="AO68" i="13"/>
  <c r="AO67" i="13"/>
  <c r="AO66" i="13"/>
  <c r="AO65" i="13"/>
  <c r="AO64" i="13"/>
  <c r="AO63" i="13"/>
  <c r="AO62" i="13"/>
  <c r="AO61" i="13"/>
  <c r="AO60" i="13"/>
  <c r="AO59" i="13"/>
  <c r="AO58" i="13"/>
  <c r="AO57" i="13"/>
  <c r="AO56" i="13"/>
  <c r="AO55" i="13"/>
  <c r="AO54" i="13"/>
  <c r="AO53" i="13"/>
  <c r="AO214" i="13"/>
  <c r="AO172" i="13"/>
  <c r="AO169" i="13"/>
  <c r="AO168" i="13"/>
  <c r="AO167" i="13"/>
  <c r="AO166" i="13"/>
  <c r="AO165" i="13"/>
  <c r="AO164" i="13"/>
  <c r="AO163" i="13"/>
  <c r="AO162" i="13"/>
  <c r="AO161" i="13"/>
  <c r="AO160" i="13"/>
  <c r="AO159" i="13"/>
  <c r="AO158" i="13"/>
  <c r="AO157" i="13"/>
  <c r="AO156" i="13"/>
  <c r="AO155" i="13"/>
  <c r="AO154" i="13"/>
  <c r="AO153" i="13"/>
  <c r="AO152" i="13"/>
  <c r="AO151" i="13"/>
  <c r="AO150" i="13"/>
  <c r="AO149" i="13"/>
  <c r="AO148" i="13"/>
  <c r="AO147" i="13"/>
  <c r="AO146" i="13"/>
  <c r="AO145" i="13"/>
  <c r="AO210" i="13"/>
  <c r="AO206" i="13"/>
  <c r="AO170" i="13"/>
  <c r="AO99" i="13"/>
  <c r="AO126" i="13"/>
  <c r="AO124" i="13"/>
  <c r="AO122" i="13"/>
  <c r="AO120" i="13"/>
  <c r="AO118" i="13"/>
  <c r="AO116" i="13"/>
  <c r="AO114" i="13"/>
  <c r="AO112" i="13"/>
  <c r="AO110" i="13"/>
  <c r="AO108" i="13"/>
  <c r="AO106" i="13"/>
  <c r="AO104" i="13"/>
  <c r="AO102" i="13"/>
  <c r="AO100" i="13"/>
  <c r="AO26" i="13"/>
  <c r="AO25" i="13"/>
  <c r="AO24" i="13"/>
  <c r="AO23" i="13"/>
  <c r="AO22" i="13"/>
  <c r="AO21" i="13"/>
  <c r="AO20" i="13"/>
  <c r="AO19" i="13"/>
  <c r="AO218" i="13"/>
  <c r="AO125" i="13"/>
  <c r="AO123" i="13"/>
  <c r="AO121" i="13"/>
  <c r="AO119" i="13"/>
  <c r="AO117" i="13"/>
  <c r="AO115" i="13"/>
  <c r="AO113" i="13"/>
  <c r="AO111" i="13"/>
  <c r="AO109" i="13"/>
  <c r="AO107" i="13"/>
  <c r="AO105" i="13"/>
  <c r="AO103" i="13"/>
  <c r="AO101" i="13"/>
  <c r="AP5" i="13"/>
  <c r="AO18" i="13"/>
  <c r="AO16" i="13"/>
  <c r="AO14" i="13"/>
  <c r="AO12" i="13"/>
  <c r="AO10" i="13"/>
  <c r="AO8" i="13"/>
  <c r="AO7" i="13"/>
  <c r="AO17" i="13"/>
  <c r="AO15" i="13"/>
  <c r="AO13" i="13"/>
  <c r="AO11" i="13"/>
  <c r="AO9" i="13"/>
  <c r="N404" i="13"/>
  <c r="H404" i="13"/>
  <c r="K404" i="13"/>
  <c r="L405" i="13"/>
  <c r="P310" i="13"/>
  <c r="Q310" i="13"/>
  <c r="R310" i="13"/>
  <c r="S310" i="13"/>
  <c r="T310" i="13"/>
  <c r="U310" i="13"/>
  <c r="V310" i="13"/>
  <c r="W310" i="13"/>
  <c r="X310" i="13"/>
  <c r="Y310" i="13"/>
  <c r="Z310" i="13"/>
  <c r="AA310" i="13"/>
  <c r="AB310" i="13"/>
  <c r="AC310" i="13"/>
  <c r="AD310" i="13"/>
  <c r="AE310" i="13"/>
  <c r="AF310" i="13"/>
  <c r="AG310" i="13"/>
  <c r="AH310" i="13"/>
  <c r="AI310" i="13"/>
  <c r="AJ310" i="13"/>
  <c r="AK310" i="13"/>
  <c r="AL310" i="13"/>
  <c r="AM310" i="13"/>
  <c r="P172" i="13"/>
  <c r="Q172" i="13"/>
  <c r="R172" i="13"/>
  <c r="S172" i="13"/>
  <c r="T172" i="13"/>
  <c r="U172" i="13"/>
  <c r="V172" i="13"/>
  <c r="W172" i="13"/>
  <c r="X172" i="13"/>
  <c r="Y172" i="13"/>
  <c r="Z172" i="13"/>
  <c r="AA172" i="13"/>
  <c r="AB172" i="13"/>
  <c r="AC172" i="13"/>
  <c r="AD172" i="13"/>
  <c r="AE172" i="13"/>
  <c r="AF172" i="13"/>
  <c r="AG172" i="13"/>
  <c r="AH172" i="13"/>
  <c r="AI172" i="13"/>
  <c r="AJ172" i="13"/>
  <c r="AK172" i="13"/>
  <c r="AL172" i="13"/>
  <c r="AM172" i="13"/>
  <c r="P81" i="13"/>
  <c r="Q81" i="13"/>
  <c r="R81" i="13"/>
  <c r="S81" i="13"/>
  <c r="T81" i="13"/>
  <c r="U81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AK81" i="13"/>
  <c r="AL81" i="13"/>
  <c r="AM81" i="13"/>
  <c r="AN126" i="13"/>
  <c r="AN35" i="13"/>
  <c r="N450" i="13"/>
  <c r="H450" i="13"/>
  <c r="L451" i="13"/>
  <c r="K450" i="13"/>
  <c r="AO450" i="13" s="1"/>
  <c r="AI91" i="10"/>
  <c r="AK45" i="10" l="1"/>
  <c r="AK50" i="10" s="1"/>
  <c r="AJ50" i="10"/>
  <c r="AG47" i="10"/>
  <c r="AL114" i="10"/>
  <c r="AL115" i="10" s="1"/>
  <c r="AL116" i="10" s="1"/>
  <c r="AH49" i="10"/>
  <c r="AH47" i="10"/>
  <c r="AG49" i="10"/>
  <c r="AI11" i="10"/>
  <c r="AI68" i="10"/>
  <c r="AI67" i="10"/>
  <c r="AI69" i="10"/>
  <c r="AI64" i="10"/>
  <c r="AI10" i="10"/>
  <c r="AL128" i="10"/>
  <c r="AF52" i="10"/>
  <c r="AF72" i="10" s="1"/>
  <c r="AJ91" i="10"/>
  <c r="N221" i="13"/>
  <c r="H221" i="13"/>
  <c r="K221" i="13"/>
  <c r="AP221" i="13" s="1"/>
  <c r="L222" i="13"/>
  <c r="N128" i="13"/>
  <c r="H128" i="13"/>
  <c r="L129" i="13"/>
  <c r="K128" i="13"/>
  <c r="AP128" i="13" s="1"/>
  <c r="K174" i="13"/>
  <c r="L175" i="13"/>
  <c r="H174" i="13"/>
  <c r="N174" i="13"/>
  <c r="L84" i="13"/>
  <c r="K83" i="13"/>
  <c r="N83" i="13"/>
  <c r="H83" i="13"/>
  <c r="L368" i="13"/>
  <c r="H367" i="13"/>
  <c r="N367" i="13"/>
  <c r="K367" i="13"/>
  <c r="AP367" i="13" s="1"/>
  <c r="K267" i="13"/>
  <c r="L268" i="13"/>
  <c r="H267" i="13"/>
  <c r="N267" i="13"/>
  <c r="P82" i="13"/>
  <c r="Q82" i="13"/>
  <c r="R82" i="13"/>
  <c r="S82" i="13"/>
  <c r="T82" i="13"/>
  <c r="U82" i="13"/>
  <c r="V82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AK82" i="13"/>
  <c r="AL82" i="13"/>
  <c r="AM82" i="13"/>
  <c r="AN82" i="13"/>
  <c r="P450" i="13"/>
  <c r="Q450" i="13"/>
  <c r="R450" i="13"/>
  <c r="S450" i="13"/>
  <c r="T450" i="13"/>
  <c r="U450" i="13"/>
  <c r="V450" i="13"/>
  <c r="W450" i="13"/>
  <c r="X450" i="13"/>
  <c r="Y450" i="13"/>
  <c r="Z450" i="13"/>
  <c r="AA450" i="13"/>
  <c r="AB450" i="13"/>
  <c r="AC450" i="13"/>
  <c r="AD450" i="13"/>
  <c r="AE450" i="13"/>
  <c r="AF450" i="13"/>
  <c r="AG450" i="13"/>
  <c r="AH450" i="13"/>
  <c r="AI450" i="13"/>
  <c r="AJ450" i="13"/>
  <c r="AK450" i="13"/>
  <c r="AL450" i="13"/>
  <c r="AM450" i="13"/>
  <c r="AN450" i="13"/>
  <c r="N405" i="13"/>
  <c r="H405" i="13"/>
  <c r="L406" i="13"/>
  <c r="K405" i="13"/>
  <c r="AP405" i="13" s="1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P311" i="13"/>
  <c r="Q311" i="13"/>
  <c r="R311" i="13"/>
  <c r="S311" i="13"/>
  <c r="T311" i="13"/>
  <c r="U311" i="13"/>
  <c r="V311" i="13"/>
  <c r="W311" i="13"/>
  <c r="X311" i="13"/>
  <c r="Y311" i="13"/>
  <c r="Z311" i="13"/>
  <c r="AA311" i="13"/>
  <c r="AB311" i="13"/>
  <c r="AC311" i="13"/>
  <c r="AD311" i="13"/>
  <c r="AE311" i="13"/>
  <c r="AF311" i="13"/>
  <c r="AG311" i="13"/>
  <c r="AH311" i="13"/>
  <c r="AI311" i="13"/>
  <c r="AJ311" i="13"/>
  <c r="AK311" i="13"/>
  <c r="AL311" i="13"/>
  <c r="AM311" i="13"/>
  <c r="AN311" i="13"/>
  <c r="P366" i="13"/>
  <c r="Q366" i="13"/>
  <c r="R366" i="13"/>
  <c r="S366" i="13"/>
  <c r="T366" i="13"/>
  <c r="U366" i="13"/>
  <c r="V366" i="13"/>
  <c r="W366" i="13"/>
  <c r="X366" i="13"/>
  <c r="Y366" i="13"/>
  <c r="Z366" i="13"/>
  <c r="AA366" i="13"/>
  <c r="AB366" i="13"/>
  <c r="AC366" i="13"/>
  <c r="AD366" i="13"/>
  <c r="AE366" i="13"/>
  <c r="AF366" i="13"/>
  <c r="AG366" i="13"/>
  <c r="AH366" i="13"/>
  <c r="AI366" i="13"/>
  <c r="AJ366" i="13"/>
  <c r="AK366" i="13"/>
  <c r="AL366" i="13"/>
  <c r="AM366" i="13"/>
  <c r="AN366" i="13"/>
  <c r="P266" i="13"/>
  <c r="Q266" i="13"/>
  <c r="R266" i="13"/>
  <c r="S266" i="13"/>
  <c r="T266" i="13"/>
  <c r="U266" i="13"/>
  <c r="V266" i="13"/>
  <c r="W266" i="13"/>
  <c r="X266" i="13"/>
  <c r="Y266" i="13"/>
  <c r="Z266" i="13"/>
  <c r="AA266" i="13"/>
  <c r="AB266" i="13"/>
  <c r="AC266" i="13"/>
  <c r="AD266" i="13"/>
  <c r="AE266" i="13"/>
  <c r="AF266" i="13"/>
  <c r="AG266" i="13"/>
  <c r="AH266" i="13"/>
  <c r="AI266" i="13"/>
  <c r="AJ266" i="13"/>
  <c r="AK266" i="13"/>
  <c r="AL266" i="13"/>
  <c r="AM266" i="13"/>
  <c r="AN266" i="13"/>
  <c r="AM5" i="10"/>
  <c r="AL4" i="10"/>
  <c r="P173" i="13"/>
  <c r="Q173" i="13"/>
  <c r="R173" i="13"/>
  <c r="S173" i="13"/>
  <c r="T173" i="13"/>
  <c r="U173" i="13"/>
  <c r="V173" i="13"/>
  <c r="W173" i="13"/>
  <c r="X173" i="13"/>
  <c r="Y173" i="13"/>
  <c r="Z173" i="13"/>
  <c r="AA173" i="13"/>
  <c r="AB173" i="13"/>
  <c r="AC173" i="13"/>
  <c r="AD173" i="13"/>
  <c r="AE173" i="13"/>
  <c r="AF173" i="13"/>
  <c r="AG173" i="13"/>
  <c r="AH173" i="13"/>
  <c r="AI173" i="13"/>
  <c r="AJ173" i="13"/>
  <c r="AK173" i="13"/>
  <c r="AL173" i="13"/>
  <c r="AM173" i="13"/>
  <c r="AN173" i="13"/>
  <c r="N451" i="13"/>
  <c r="H451" i="13"/>
  <c r="L452" i="13"/>
  <c r="K451" i="13"/>
  <c r="AP451" i="13" s="1"/>
  <c r="P404" i="13"/>
  <c r="Q404" i="13"/>
  <c r="R404" i="13"/>
  <c r="S404" i="13"/>
  <c r="T404" i="13"/>
  <c r="U404" i="13"/>
  <c r="V404" i="13"/>
  <c r="W404" i="13"/>
  <c r="X404" i="13"/>
  <c r="Y404" i="13"/>
  <c r="Z404" i="13"/>
  <c r="AA404" i="13"/>
  <c r="AB404" i="13"/>
  <c r="AC404" i="13"/>
  <c r="AD404" i="13"/>
  <c r="AE404" i="13"/>
  <c r="AF404" i="13"/>
  <c r="AG404" i="13"/>
  <c r="AH404" i="13"/>
  <c r="AI404" i="13"/>
  <c r="AJ404" i="13"/>
  <c r="AK404" i="13"/>
  <c r="AL404" i="13"/>
  <c r="AM404" i="13"/>
  <c r="AN404" i="13"/>
  <c r="AP366" i="13"/>
  <c r="AP365" i="13"/>
  <c r="AP364" i="13"/>
  <c r="AP363" i="13"/>
  <c r="AP362" i="13"/>
  <c r="AP361" i="13"/>
  <c r="AP444" i="13"/>
  <c r="AP443" i="13"/>
  <c r="AP436" i="13"/>
  <c r="AP446" i="13"/>
  <c r="AP445" i="13"/>
  <c r="AP438" i="13"/>
  <c r="AP437" i="13"/>
  <c r="AP435" i="13"/>
  <c r="AP433" i="13"/>
  <c r="AP431" i="13"/>
  <c r="AP429" i="13"/>
  <c r="AP427" i="13"/>
  <c r="AP425" i="13"/>
  <c r="AP423" i="13"/>
  <c r="AP421" i="13"/>
  <c r="AP403" i="13"/>
  <c r="AP401" i="13"/>
  <c r="AP399" i="13"/>
  <c r="AP397" i="13"/>
  <c r="AP395" i="13"/>
  <c r="AP393" i="13"/>
  <c r="AP450" i="13"/>
  <c r="AP449" i="13"/>
  <c r="AP434" i="13"/>
  <c r="AP430" i="13"/>
  <c r="AP426" i="13"/>
  <c r="AP422" i="13"/>
  <c r="AP389" i="13"/>
  <c r="AP388" i="13"/>
  <c r="AP381" i="13"/>
  <c r="AP380" i="13"/>
  <c r="AP359" i="13"/>
  <c r="AP357" i="13"/>
  <c r="AP355" i="13"/>
  <c r="AP353" i="13"/>
  <c r="AP351" i="13"/>
  <c r="AP349" i="13"/>
  <c r="AP347" i="13"/>
  <c r="AP345" i="13"/>
  <c r="AP343" i="13"/>
  <c r="AP341" i="13"/>
  <c r="AP339" i="13"/>
  <c r="AP338" i="13"/>
  <c r="AP337" i="13"/>
  <c r="AP336" i="13"/>
  <c r="AP335" i="13"/>
  <c r="AP334" i="13"/>
  <c r="AP333" i="13"/>
  <c r="AP332" i="13"/>
  <c r="AP331" i="13"/>
  <c r="AP330" i="13"/>
  <c r="AP329" i="13"/>
  <c r="AP440" i="13"/>
  <c r="AP439" i="13"/>
  <c r="AP404" i="13"/>
  <c r="AP400" i="13"/>
  <c r="AP396" i="13"/>
  <c r="AP391" i="13"/>
  <c r="AP390" i="13"/>
  <c r="AP383" i="13"/>
  <c r="AP382" i="13"/>
  <c r="AP442" i="13"/>
  <c r="AP441" i="13"/>
  <c r="AP432" i="13"/>
  <c r="AP424" i="13"/>
  <c r="AP402" i="13"/>
  <c r="AP394" i="13"/>
  <c r="AP387" i="13"/>
  <c r="AP386" i="13"/>
  <c r="AP360" i="13"/>
  <c r="AP352" i="13"/>
  <c r="AP344" i="13"/>
  <c r="AP448" i="13"/>
  <c r="AP447" i="13"/>
  <c r="AP392" i="13"/>
  <c r="AP377" i="13"/>
  <c r="AP376" i="13"/>
  <c r="AP375" i="13"/>
  <c r="AP354" i="13"/>
  <c r="AP346" i="13"/>
  <c r="AP428" i="13"/>
  <c r="AP398" i="13"/>
  <c r="AP379" i="13"/>
  <c r="AP378" i="13"/>
  <c r="AP356" i="13"/>
  <c r="AP348" i="13"/>
  <c r="AP340" i="13"/>
  <c r="AP311" i="13"/>
  <c r="AP309" i="13"/>
  <c r="AP307" i="13"/>
  <c r="AP305" i="13"/>
  <c r="AP303" i="13"/>
  <c r="AP301" i="13"/>
  <c r="AP299" i="13"/>
  <c r="AP297" i="13"/>
  <c r="AP295" i="13"/>
  <c r="AP293" i="13"/>
  <c r="AP291" i="13"/>
  <c r="AP289" i="13"/>
  <c r="AP287" i="13"/>
  <c r="AP285" i="13"/>
  <c r="AP283" i="13"/>
  <c r="AP342" i="13"/>
  <c r="AP266" i="13"/>
  <c r="AP264" i="13"/>
  <c r="AP262" i="13"/>
  <c r="AP260" i="13"/>
  <c r="AP258" i="13"/>
  <c r="AP256" i="13"/>
  <c r="AP254" i="13"/>
  <c r="AP252" i="13"/>
  <c r="AP250" i="13"/>
  <c r="AP248" i="13"/>
  <c r="AP246" i="13"/>
  <c r="AP244" i="13"/>
  <c r="AP242" i="13"/>
  <c r="AP240" i="13"/>
  <c r="AP238" i="13"/>
  <c r="AP220" i="13"/>
  <c r="AP218" i="13"/>
  <c r="AP216" i="13"/>
  <c r="AP214" i="13"/>
  <c r="AP212" i="13"/>
  <c r="AP210" i="13"/>
  <c r="AP208" i="13"/>
  <c r="AP206" i="13"/>
  <c r="AP385" i="13"/>
  <c r="AP384" i="13"/>
  <c r="AP350" i="13"/>
  <c r="AP310" i="13"/>
  <c r="AP308" i="13"/>
  <c r="AP306" i="13"/>
  <c r="AP304" i="13"/>
  <c r="AP302" i="13"/>
  <c r="AP300" i="13"/>
  <c r="AP298" i="13"/>
  <c r="AP296" i="13"/>
  <c r="AP294" i="13"/>
  <c r="AP292" i="13"/>
  <c r="AP290" i="13"/>
  <c r="AP288" i="13"/>
  <c r="AP286" i="13"/>
  <c r="AP284" i="13"/>
  <c r="AP259" i="13"/>
  <c r="AP251" i="13"/>
  <c r="AP243" i="13"/>
  <c r="AP237" i="13"/>
  <c r="AP217" i="13"/>
  <c r="AP213" i="13"/>
  <c r="AP209" i="13"/>
  <c r="AP205" i="13"/>
  <c r="AP173" i="13"/>
  <c r="AP171" i="13"/>
  <c r="AP82" i="13"/>
  <c r="AP81" i="13"/>
  <c r="AP80" i="13"/>
  <c r="AP79" i="13"/>
  <c r="AP78" i="13"/>
  <c r="AP77" i="13"/>
  <c r="AP76" i="13"/>
  <c r="AP75" i="13"/>
  <c r="AP74" i="13"/>
  <c r="AP73" i="13"/>
  <c r="AP72" i="13"/>
  <c r="AP71" i="13"/>
  <c r="AP70" i="13"/>
  <c r="AP69" i="13"/>
  <c r="AP68" i="13"/>
  <c r="AP67" i="13"/>
  <c r="AP66" i="13"/>
  <c r="AP65" i="13"/>
  <c r="AP64" i="13"/>
  <c r="AP63" i="13"/>
  <c r="AP62" i="13"/>
  <c r="AP61" i="13"/>
  <c r="AP60" i="13"/>
  <c r="AP59" i="13"/>
  <c r="AP58" i="13"/>
  <c r="AP57" i="13"/>
  <c r="AP56" i="13"/>
  <c r="AP55" i="13"/>
  <c r="AP54" i="13"/>
  <c r="AP53" i="13"/>
  <c r="AP265" i="13"/>
  <c r="AP257" i="13"/>
  <c r="AP249" i="13"/>
  <c r="AP241" i="13"/>
  <c r="AP201" i="13"/>
  <c r="AP199" i="13"/>
  <c r="AP197" i="13"/>
  <c r="AP195" i="13"/>
  <c r="AP193" i="13"/>
  <c r="AP191" i="13"/>
  <c r="AP127" i="13"/>
  <c r="AP126" i="13"/>
  <c r="AP125" i="13"/>
  <c r="AP124" i="13"/>
  <c r="AP123" i="13"/>
  <c r="AP122" i="13"/>
  <c r="AP121" i="13"/>
  <c r="AP120" i="13"/>
  <c r="AP119" i="13"/>
  <c r="AP118" i="13"/>
  <c r="AP117" i="13"/>
  <c r="AP116" i="13"/>
  <c r="AP115" i="13"/>
  <c r="AP114" i="13"/>
  <c r="AP113" i="13"/>
  <c r="AP112" i="13"/>
  <c r="AP111" i="13"/>
  <c r="AP110" i="13"/>
  <c r="AP109" i="13"/>
  <c r="AP108" i="13"/>
  <c r="AP107" i="13"/>
  <c r="AP106" i="13"/>
  <c r="AP105" i="13"/>
  <c r="AP104" i="13"/>
  <c r="AP103" i="13"/>
  <c r="AP102" i="13"/>
  <c r="AP101" i="13"/>
  <c r="AP100" i="13"/>
  <c r="AP99" i="13"/>
  <c r="AP358" i="13"/>
  <c r="AP263" i="13"/>
  <c r="AP255" i="13"/>
  <c r="AP247" i="13"/>
  <c r="AP239" i="13"/>
  <c r="AP219" i="13"/>
  <c r="AP215" i="13"/>
  <c r="AP211" i="13"/>
  <c r="AP207" i="13"/>
  <c r="AP245" i="13"/>
  <c r="AP202" i="13"/>
  <c r="AP194" i="13"/>
  <c r="AP26" i="13"/>
  <c r="AP25" i="13"/>
  <c r="AP24" i="13"/>
  <c r="AP23" i="13"/>
  <c r="AP22" i="13"/>
  <c r="AP21" i="13"/>
  <c r="AP20" i="13"/>
  <c r="AP19" i="13"/>
  <c r="AP200" i="13"/>
  <c r="AP170" i="13"/>
  <c r="AP261" i="13"/>
  <c r="AP198" i="13"/>
  <c r="AP192" i="13"/>
  <c r="AP27" i="13"/>
  <c r="AP253" i="13"/>
  <c r="AP172" i="13"/>
  <c r="AP169" i="13"/>
  <c r="AP165" i="13"/>
  <c r="AP161" i="13"/>
  <c r="AP157" i="13"/>
  <c r="AP153" i="13"/>
  <c r="AP149" i="13"/>
  <c r="AP204" i="13"/>
  <c r="AP196" i="13"/>
  <c r="AP166" i="13"/>
  <c r="AP162" i="13"/>
  <c r="AP158" i="13"/>
  <c r="AP154" i="13"/>
  <c r="AP150" i="13"/>
  <c r="AP146" i="13"/>
  <c r="AP145" i="13"/>
  <c r="AP36" i="13"/>
  <c r="AP34" i="13"/>
  <c r="AP32" i="13"/>
  <c r="AP30" i="13"/>
  <c r="AP28" i="13"/>
  <c r="AQ5" i="13"/>
  <c r="AP167" i="13"/>
  <c r="AP163" i="13"/>
  <c r="AP159" i="13"/>
  <c r="AP155" i="13"/>
  <c r="AP151" i="13"/>
  <c r="AP147" i="13"/>
  <c r="AP18" i="13"/>
  <c r="AP17" i="13"/>
  <c r="AP16" i="13"/>
  <c r="AP15" i="13"/>
  <c r="AP14" i="13"/>
  <c r="AP13" i="13"/>
  <c r="AP12" i="13"/>
  <c r="AP11" i="13"/>
  <c r="AP10" i="13"/>
  <c r="AP9" i="13"/>
  <c r="AP8" i="13"/>
  <c r="AP7" i="13"/>
  <c r="AP203" i="13"/>
  <c r="AP168" i="13"/>
  <c r="AP164" i="13"/>
  <c r="AP160" i="13"/>
  <c r="AP156" i="13"/>
  <c r="AP152" i="13"/>
  <c r="AP148" i="13"/>
  <c r="AP35" i="13"/>
  <c r="AP29" i="13"/>
  <c r="AP31" i="13"/>
  <c r="AP33" i="13"/>
  <c r="AO82" i="13"/>
  <c r="AO404" i="13"/>
  <c r="K37" i="13"/>
  <c r="AP37" i="13" s="1"/>
  <c r="N37" i="13"/>
  <c r="H37" i="13"/>
  <c r="L38" i="13"/>
  <c r="K312" i="13"/>
  <c r="AP312" i="13" s="1"/>
  <c r="L313" i="13"/>
  <c r="H312" i="13"/>
  <c r="N312" i="13"/>
  <c r="AI36" i="10"/>
  <c r="AI28" i="10"/>
  <c r="AI20" i="10"/>
  <c r="AI12" i="10"/>
  <c r="AI31" i="10"/>
  <c r="AI19" i="10"/>
  <c r="AI37" i="10"/>
  <c r="AI21" i="10"/>
  <c r="AI34" i="10"/>
  <c r="AI26" i="10"/>
  <c r="AI18" i="10"/>
  <c r="AI29" i="10"/>
  <c r="AI15" i="10"/>
  <c r="AI35" i="10"/>
  <c r="AI17" i="10"/>
  <c r="AI32" i="10"/>
  <c r="AI24" i="10"/>
  <c r="AI27" i="10"/>
  <c r="AI13" i="10"/>
  <c r="AI33" i="10"/>
  <c r="AI16" i="10"/>
  <c r="AI38" i="10"/>
  <c r="AI30" i="10"/>
  <c r="AI22" i="10"/>
  <c r="AI14" i="10"/>
  <c r="AI25" i="10"/>
  <c r="AI23" i="10"/>
  <c r="P127" i="13"/>
  <c r="Q127" i="13"/>
  <c r="R127" i="13"/>
  <c r="S127" i="13"/>
  <c r="T127" i="13"/>
  <c r="U127" i="13"/>
  <c r="V127" i="13"/>
  <c r="W127" i="13"/>
  <c r="X127" i="13"/>
  <c r="Y127" i="13"/>
  <c r="Z127" i="13"/>
  <c r="AA127" i="13"/>
  <c r="AB127" i="13"/>
  <c r="AC127" i="13"/>
  <c r="AD127" i="13"/>
  <c r="AE127" i="13"/>
  <c r="AF127" i="13"/>
  <c r="AG127" i="13"/>
  <c r="AH127" i="13"/>
  <c r="AI127" i="13"/>
  <c r="AJ127" i="13"/>
  <c r="AK127" i="13"/>
  <c r="AL127" i="13"/>
  <c r="AM127" i="13"/>
  <c r="AN127" i="13"/>
  <c r="AK7" i="10" a="1"/>
  <c r="AK7" i="10" s="1"/>
  <c r="AK43" i="10" s="1"/>
  <c r="AL3" i="10"/>
  <c r="AL45" i="10" s="1"/>
  <c r="AL50" i="10" s="1"/>
  <c r="AK84" i="10"/>
  <c r="AK89" i="10"/>
  <c r="AK90" i="10"/>
  <c r="AJ6" i="10"/>
  <c r="P220" i="13"/>
  <c r="Q220" i="13"/>
  <c r="R220" i="13"/>
  <c r="S220" i="13"/>
  <c r="T220" i="13"/>
  <c r="U220" i="13"/>
  <c r="V220" i="13"/>
  <c r="W220" i="13"/>
  <c r="X220" i="13"/>
  <c r="Y220" i="13"/>
  <c r="Z220" i="13"/>
  <c r="AA220" i="13"/>
  <c r="AB220" i="13"/>
  <c r="AC220" i="13"/>
  <c r="AD220" i="13"/>
  <c r="AE220" i="13"/>
  <c r="AF220" i="13"/>
  <c r="AG220" i="13"/>
  <c r="AH220" i="13"/>
  <c r="AI220" i="13"/>
  <c r="AJ220" i="13"/>
  <c r="AK220" i="13"/>
  <c r="AL220" i="13"/>
  <c r="AM220" i="13"/>
  <c r="AN220" i="13"/>
  <c r="AK86" i="10" l="1"/>
  <c r="AM114" i="10"/>
  <c r="AM115" i="10" s="1"/>
  <c r="AM116" i="10" s="1"/>
  <c r="AM128" i="10"/>
  <c r="AF74" i="10"/>
  <c r="AF71" i="10"/>
  <c r="AJ10" i="10"/>
  <c r="AJ11" i="10"/>
  <c r="AJ68" i="10"/>
  <c r="AJ69" i="10"/>
  <c r="AJ64" i="10"/>
  <c r="AJ67" i="10"/>
  <c r="AP174" i="13"/>
  <c r="AP83" i="13"/>
  <c r="P221" i="13"/>
  <c r="Q221" i="13"/>
  <c r="R221" i="13"/>
  <c r="S221" i="13"/>
  <c r="T221" i="13"/>
  <c r="U221" i="13"/>
  <c r="V221" i="13"/>
  <c r="W221" i="13"/>
  <c r="X221" i="13"/>
  <c r="Y221" i="13"/>
  <c r="Z221" i="13"/>
  <c r="AA221" i="13"/>
  <c r="AB221" i="13"/>
  <c r="AC221" i="13"/>
  <c r="AD221" i="13"/>
  <c r="AE221" i="13"/>
  <c r="AF221" i="13"/>
  <c r="AG221" i="13"/>
  <c r="AH221" i="13"/>
  <c r="AI221" i="13"/>
  <c r="AJ221" i="13"/>
  <c r="AK221" i="13"/>
  <c r="AL221" i="13"/>
  <c r="AM221" i="13"/>
  <c r="AN221" i="13"/>
  <c r="AO221" i="13"/>
  <c r="AK91" i="10"/>
  <c r="AI39" i="10"/>
  <c r="K38" i="13"/>
  <c r="N38" i="13"/>
  <c r="H38" i="13"/>
  <c r="L39" i="13"/>
  <c r="AN5" i="10"/>
  <c r="AM4" i="10"/>
  <c r="P83" i="13"/>
  <c r="Q83" i="13"/>
  <c r="R83" i="13"/>
  <c r="S83" i="13"/>
  <c r="T83" i="13"/>
  <c r="U83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AK83" i="13"/>
  <c r="AL83" i="13"/>
  <c r="AM83" i="13"/>
  <c r="AN83" i="13"/>
  <c r="AO83" i="13"/>
  <c r="AK6" i="10"/>
  <c r="P267" i="13"/>
  <c r="Q267" i="13"/>
  <c r="R267" i="13"/>
  <c r="S267" i="13"/>
  <c r="T267" i="13"/>
  <c r="U267" i="13"/>
  <c r="V267" i="13"/>
  <c r="W267" i="13"/>
  <c r="X267" i="13"/>
  <c r="Y267" i="13"/>
  <c r="Z267" i="13"/>
  <c r="AA267" i="13"/>
  <c r="AB267" i="13"/>
  <c r="AC267" i="13"/>
  <c r="AD267" i="13"/>
  <c r="AE267" i="13"/>
  <c r="AF267" i="13"/>
  <c r="AG267" i="13"/>
  <c r="AH267" i="13"/>
  <c r="AI267" i="13"/>
  <c r="AJ267" i="13"/>
  <c r="AK267" i="13"/>
  <c r="AL267" i="13"/>
  <c r="AM267" i="13"/>
  <c r="AN267" i="13"/>
  <c r="AO267" i="13"/>
  <c r="K313" i="13"/>
  <c r="AQ313" i="13" s="1"/>
  <c r="N313" i="13"/>
  <c r="H313" i="13"/>
  <c r="L314" i="13"/>
  <c r="AP267" i="13"/>
  <c r="P451" i="13"/>
  <c r="Q451" i="13"/>
  <c r="R451" i="13"/>
  <c r="S451" i="13"/>
  <c r="T451" i="13"/>
  <c r="U451" i="13"/>
  <c r="V451" i="13"/>
  <c r="W451" i="13"/>
  <c r="X451" i="13"/>
  <c r="Y451" i="13"/>
  <c r="Z451" i="13"/>
  <c r="AA451" i="13"/>
  <c r="AB451" i="13"/>
  <c r="AC451" i="13"/>
  <c r="AD451" i="13"/>
  <c r="AE451" i="13"/>
  <c r="AF451" i="13"/>
  <c r="AG451" i="13"/>
  <c r="AH451" i="13"/>
  <c r="AI451" i="13"/>
  <c r="AJ451" i="13"/>
  <c r="AK451" i="13"/>
  <c r="AL451" i="13"/>
  <c r="AM451" i="13"/>
  <c r="AN451" i="13"/>
  <c r="AO451" i="13"/>
  <c r="P405" i="13"/>
  <c r="Q405" i="13"/>
  <c r="R405" i="13"/>
  <c r="S405" i="13"/>
  <c r="T405" i="13"/>
  <c r="U405" i="13"/>
  <c r="V405" i="13"/>
  <c r="W405" i="13"/>
  <c r="X405" i="13"/>
  <c r="Y405" i="13"/>
  <c r="Z405" i="13"/>
  <c r="AA405" i="13"/>
  <c r="AB405" i="13"/>
  <c r="AC405" i="13"/>
  <c r="AD405" i="13"/>
  <c r="AE405" i="13"/>
  <c r="AF405" i="13"/>
  <c r="AG405" i="13"/>
  <c r="AH405" i="13"/>
  <c r="AI405" i="13"/>
  <c r="AJ405" i="13"/>
  <c r="AK405" i="13"/>
  <c r="AL405" i="13"/>
  <c r="AM405" i="13"/>
  <c r="AN405" i="13"/>
  <c r="AO405" i="13"/>
  <c r="L369" i="13"/>
  <c r="N368" i="13"/>
  <c r="H368" i="13"/>
  <c r="K368" i="13"/>
  <c r="AQ368" i="13" s="1"/>
  <c r="L85" i="13"/>
  <c r="K84" i="13"/>
  <c r="AQ84" i="13" s="1"/>
  <c r="N84" i="13"/>
  <c r="H84" i="13"/>
  <c r="N175" i="13"/>
  <c r="H175" i="13"/>
  <c r="L176" i="13"/>
  <c r="K175" i="13"/>
  <c r="AQ175" i="13" s="1"/>
  <c r="P128" i="13"/>
  <c r="Q128" i="13"/>
  <c r="R128" i="13"/>
  <c r="S128" i="13"/>
  <c r="T128" i="13"/>
  <c r="U128" i="13"/>
  <c r="V128" i="13"/>
  <c r="W128" i="13"/>
  <c r="X128" i="13"/>
  <c r="Y128" i="13"/>
  <c r="Z128" i="13"/>
  <c r="AA128" i="13"/>
  <c r="AB128" i="13"/>
  <c r="AC128" i="13"/>
  <c r="AD128" i="13"/>
  <c r="AE128" i="13"/>
  <c r="AF128" i="13"/>
  <c r="AG128" i="13"/>
  <c r="AH128" i="13"/>
  <c r="AI128" i="13"/>
  <c r="AJ128" i="13"/>
  <c r="AK128" i="13"/>
  <c r="AL128" i="13"/>
  <c r="AM128" i="13"/>
  <c r="AN128" i="13"/>
  <c r="AO128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K37" i="13"/>
  <c r="AL37" i="13"/>
  <c r="AM37" i="13"/>
  <c r="AN37" i="13"/>
  <c r="AO37" i="13"/>
  <c r="AJ28" i="10"/>
  <c r="AJ37" i="10"/>
  <c r="AJ29" i="10"/>
  <c r="AJ21" i="10"/>
  <c r="AJ13" i="10"/>
  <c r="AJ26" i="10"/>
  <c r="AJ30" i="10"/>
  <c r="AJ12" i="10"/>
  <c r="AJ16" i="10"/>
  <c r="AJ35" i="10"/>
  <c r="AJ27" i="10"/>
  <c r="AJ19" i="10"/>
  <c r="AJ18" i="10"/>
  <c r="AJ24" i="10"/>
  <c r="AJ33" i="10"/>
  <c r="AJ25" i="10"/>
  <c r="AJ17" i="10"/>
  <c r="AJ38" i="10"/>
  <c r="AJ14" i="10"/>
  <c r="AJ22" i="10"/>
  <c r="AJ32" i="10"/>
  <c r="AJ31" i="10"/>
  <c r="AJ15" i="10"/>
  <c r="AJ36" i="10"/>
  <c r="AJ34" i="10"/>
  <c r="AJ20" i="10"/>
  <c r="AJ23" i="10"/>
  <c r="AM3" i="10"/>
  <c r="AM45" i="10" s="1"/>
  <c r="AM50" i="10" s="1"/>
  <c r="AL7" i="10" a="1"/>
  <c r="AL7" i="10" s="1"/>
  <c r="AL6" i="10" s="1"/>
  <c r="AL84" i="10"/>
  <c r="AL86" i="10" s="1"/>
  <c r="AL89" i="10"/>
  <c r="AL90" i="10"/>
  <c r="P312" i="13"/>
  <c r="Q312" i="13"/>
  <c r="R312" i="13"/>
  <c r="S312" i="13"/>
  <c r="T312" i="13"/>
  <c r="U312" i="13"/>
  <c r="V312" i="13"/>
  <c r="W312" i="13"/>
  <c r="X312" i="13"/>
  <c r="Y312" i="13"/>
  <c r="Z312" i="13"/>
  <c r="AA312" i="13"/>
  <c r="AB312" i="13"/>
  <c r="AC312" i="13"/>
  <c r="AD312" i="13"/>
  <c r="AE312" i="13"/>
  <c r="AF312" i="13"/>
  <c r="AG312" i="13"/>
  <c r="AH312" i="13"/>
  <c r="AI312" i="13"/>
  <c r="AJ312" i="13"/>
  <c r="AK312" i="13"/>
  <c r="AL312" i="13"/>
  <c r="AM312" i="13"/>
  <c r="AN312" i="13"/>
  <c r="AO312" i="13"/>
  <c r="AQ451" i="13"/>
  <c r="AQ450" i="13"/>
  <c r="AQ449" i="13"/>
  <c r="AQ448" i="13"/>
  <c r="AQ447" i="13"/>
  <c r="AQ446" i="13"/>
  <c r="AQ445" i="13"/>
  <c r="AQ444" i="13"/>
  <c r="AQ443" i="13"/>
  <c r="AQ442" i="13"/>
  <c r="AQ441" i="13"/>
  <c r="AQ440" i="13"/>
  <c r="AQ439" i="13"/>
  <c r="AQ438" i="13"/>
  <c r="AQ437" i="13"/>
  <c r="AQ436" i="13"/>
  <c r="AQ405" i="13"/>
  <c r="AQ404" i="13"/>
  <c r="AQ403" i="13"/>
  <c r="AQ402" i="13"/>
  <c r="AQ401" i="13"/>
  <c r="AQ400" i="13"/>
  <c r="AQ399" i="13"/>
  <c r="AQ398" i="13"/>
  <c r="AQ397" i="13"/>
  <c r="AQ396" i="13"/>
  <c r="AQ395" i="13"/>
  <c r="AQ394" i="13"/>
  <c r="AQ393" i="13"/>
  <c r="AQ392" i="13"/>
  <c r="AQ391" i="13"/>
  <c r="AQ390" i="13"/>
  <c r="AQ389" i="13"/>
  <c r="AQ388" i="13"/>
  <c r="AQ387" i="13"/>
  <c r="AQ386" i="13"/>
  <c r="AQ385" i="13"/>
  <c r="AQ384" i="13"/>
  <c r="AQ383" i="13"/>
  <c r="AQ382" i="13"/>
  <c r="AQ381" i="13"/>
  <c r="AQ380" i="13"/>
  <c r="AQ379" i="13"/>
  <c r="AQ378" i="13"/>
  <c r="AQ377" i="13"/>
  <c r="AQ376" i="13"/>
  <c r="AQ375" i="13"/>
  <c r="AQ435" i="13"/>
  <c r="AQ433" i="13"/>
  <c r="AQ431" i="13"/>
  <c r="AQ429" i="13"/>
  <c r="AQ427" i="13"/>
  <c r="AQ425" i="13"/>
  <c r="AQ423" i="13"/>
  <c r="AQ421" i="13"/>
  <c r="AQ363" i="13"/>
  <c r="AQ362" i="13"/>
  <c r="AQ221" i="13"/>
  <c r="AQ220" i="13"/>
  <c r="AQ219" i="13"/>
  <c r="AQ218" i="13"/>
  <c r="AQ217" i="13"/>
  <c r="AQ216" i="13"/>
  <c r="AQ215" i="13"/>
  <c r="AQ214" i="13"/>
  <c r="AQ213" i="13"/>
  <c r="AQ212" i="13"/>
  <c r="AQ211" i="13"/>
  <c r="AQ210" i="13"/>
  <c r="AQ209" i="13"/>
  <c r="AQ208" i="13"/>
  <c r="AQ207" i="13"/>
  <c r="AQ206" i="13"/>
  <c r="AQ205" i="13"/>
  <c r="AQ204" i="13"/>
  <c r="AQ203" i="13"/>
  <c r="AQ432" i="13"/>
  <c r="AQ428" i="13"/>
  <c r="AQ424" i="13"/>
  <c r="AQ365" i="13"/>
  <c r="AQ364" i="13"/>
  <c r="AQ367" i="13"/>
  <c r="AQ366" i="13"/>
  <c r="AQ354" i="13"/>
  <c r="AQ353" i="13"/>
  <c r="AQ346" i="13"/>
  <c r="AQ345" i="13"/>
  <c r="AQ430" i="13"/>
  <c r="AQ356" i="13"/>
  <c r="AQ355" i="13"/>
  <c r="AQ348" i="13"/>
  <c r="AQ347" i="13"/>
  <c r="AQ340" i="13"/>
  <c r="AQ339" i="13"/>
  <c r="AQ337" i="13"/>
  <c r="AQ335" i="13"/>
  <c r="AQ333" i="13"/>
  <c r="AQ331" i="13"/>
  <c r="AQ422" i="13"/>
  <c r="AQ361" i="13"/>
  <c r="AQ358" i="13"/>
  <c r="AQ357" i="13"/>
  <c r="AQ350" i="13"/>
  <c r="AQ349" i="13"/>
  <c r="AQ342" i="13"/>
  <c r="AQ341" i="13"/>
  <c r="AQ329" i="13"/>
  <c r="AQ338" i="13"/>
  <c r="AQ334" i="13"/>
  <c r="AQ266" i="13"/>
  <c r="AQ264" i="13"/>
  <c r="AQ262" i="13"/>
  <c r="AQ260" i="13"/>
  <c r="AQ258" i="13"/>
  <c r="AQ256" i="13"/>
  <c r="AQ254" i="13"/>
  <c r="AQ252" i="13"/>
  <c r="AQ250" i="13"/>
  <c r="AQ248" i="13"/>
  <c r="AQ246" i="13"/>
  <c r="AQ244" i="13"/>
  <c r="AQ242" i="13"/>
  <c r="AQ240" i="13"/>
  <c r="AQ238" i="13"/>
  <c r="AQ434" i="13"/>
  <c r="AQ344" i="13"/>
  <c r="AQ343" i="13"/>
  <c r="AQ312" i="13"/>
  <c r="AQ310" i="13"/>
  <c r="AQ308" i="13"/>
  <c r="AQ306" i="13"/>
  <c r="AQ304" i="13"/>
  <c r="AQ302" i="13"/>
  <c r="AQ300" i="13"/>
  <c r="AQ298" i="13"/>
  <c r="AQ296" i="13"/>
  <c r="AQ294" i="13"/>
  <c r="AQ292" i="13"/>
  <c r="AQ290" i="13"/>
  <c r="AQ288" i="13"/>
  <c r="AQ286" i="13"/>
  <c r="AQ284" i="13"/>
  <c r="AQ426" i="13"/>
  <c r="AQ352" i="13"/>
  <c r="AQ351" i="13"/>
  <c r="AQ336" i="13"/>
  <c r="AQ330" i="13"/>
  <c r="AQ267" i="13"/>
  <c r="AQ265" i="13"/>
  <c r="AQ263" i="13"/>
  <c r="AQ261" i="13"/>
  <c r="AQ259" i="13"/>
  <c r="AQ257" i="13"/>
  <c r="AQ255" i="13"/>
  <c r="AQ253" i="13"/>
  <c r="AQ251" i="13"/>
  <c r="AQ249" i="13"/>
  <c r="AQ247" i="13"/>
  <c r="AQ245" i="13"/>
  <c r="AQ243" i="13"/>
  <c r="AQ241" i="13"/>
  <c r="AQ239" i="13"/>
  <c r="AQ237" i="13"/>
  <c r="AQ359" i="13"/>
  <c r="AQ311" i="13"/>
  <c r="AQ303" i="13"/>
  <c r="AQ295" i="13"/>
  <c r="AQ287" i="13"/>
  <c r="AQ201" i="13"/>
  <c r="AQ199" i="13"/>
  <c r="AQ197" i="13"/>
  <c r="AQ195" i="13"/>
  <c r="AQ193" i="13"/>
  <c r="AQ191" i="13"/>
  <c r="AQ128" i="13"/>
  <c r="AQ127" i="13"/>
  <c r="AQ126" i="13"/>
  <c r="AQ125" i="13"/>
  <c r="AQ124" i="13"/>
  <c r="AQ123" i="13"/>
  <c r="AQ122" i="13"/>
  <c r="AQ121" i="13"/>
  <c r="AQ120" i="13"/>
  <c r="AQ119" i="13"/>
  <c r="AQ118" i="13"/>
  <c r="AQ117" i="13"/>
  <c r="AQ116" i="13"/>
  <c r="AQ115" i="13"/>
  <c r="AQ114" i="13"/>
  <c r="AQ113" i="13"/>
  <c r="AQ112" i="13"/>
  <c r="AQ111" i="13"/>
  <c r="AQ110" i="13"/>
  <c r="AQ109" i="13"/>
  <c r="AQ108" i="13"/>
  <c r="AQ107" i="13"/>
  <c r="AQ106" i="13"/>
  <c r="AQ105" i="13"/>
  <c r="AQ104" i="13"/>
  <c r="AQ103" i="13"/>
  <c r="AQ102" i="13"/>
  <c r="AQ101" i="13"/>
  <c r="AQ100" i="13"/>
  <c r="AQ99" i="13"/>
  <c r="AQ309" i="13"/>
  <c r="AQ301" i="13"/>
  <c r="AQ293" i="13"/>
  <c r="AQ285" i="13"/>
  <c r="AQ174" i="13"/>
  <c r="AQ172" i="13"/>
  <c r="AQ170" i="13"/>
  <c r="AQ169" i="13"/>
  <c r="AQ168" i="13"/>
  <c r="AQ167" i="13"/>
  <c r="AQ166" i="13"/>
  <c r="AQ165" i="13"/>
  <c r="AQ164" i="13"/>
  <c r="AQ163" i="13"/>
  <c r="AQ162" i="13"/>
  <c r="AQ161" i="13"/>
  <c r="AQ160" i="13"/>
  <c r="AQ159" i="13"/>
  <c r="AQ158" i="13"/>
  <c r="AQ157" i="13"/>
  <c r="AQ156" i="13"/>
  <c r="AQ155" i="13"/>
  <c r="AQ154" i="13"/>
  <c r="AQ153" i="13"/>
  <c r="AQ152" i="13"/>
  <c r="AQ151" i="13"/>
  <c r="AQ150" i="13"/>
  <c r="AQ149" i="13"/>
  <c r="AQ148" i="13"/>
  <c r="AQ147" i="13"/>
  <c r="AQ146" i="13"/>
  <c r="AQ145" i="13"/>
  <c r="AQ360" i="13"/>
  <c r="AQ332" i="13"/>
  <c r="AQ307" i="13"/>
  <c r="AQ299" i="13"/>
  <c r="AQ291" i="13"/>
  <c r="AQ283" i="13"/>
  <c r="AQ202" i="13"/>
  <c r="AQ200" i="13"/>
  <c r="AQ198" i="13"/>
  <c r="AQ196" i="13"/>
  <c r="AQ194" i="13"/>
  <c r="AQ297" i="13"/>
  <c r="AQ171" i="13"/>
  <c r="AQ289" i="13"/>
  <c r="AQ192" i="13"/>
  <c r="AQ173" i="13"/>
  <c r="AQ83" i="13"/>
  <c r="AQ82" i="13"/>
  <c r="AQ81" i="13"/>
  <c r="AQ80" i="13"/>
  <c r="AQ79" i="13"/>
  <c r="AQ78" i="13"/>
  <c r="AQ77" i="13"/>
  <c r="AQ76" i="13"/>
  <c r="AQ75" i="13"/>
  <c r="AQ74" i="13"/>
  <c r="AQ73" i="13"/>
  <c r="AQ72" i="13"/>
  <c r="AQ71" i="13"/>
  <c r="AQ70" i="13"/>
  <c r="AQ69" i="13"/>
  <c r="AQ68" i="13"/>
  <c r="AQ67" i="13"/>
  <c r="AQ66" i="13"/>
  <c r="AQ65" i="13"/>
  <c r="AQ64" i="13"/>
  <c r="AQ63" i="13"/>
  <c r="AQ62" i="13"/>
  <c r="AQ61" i="13"/>
  <c r="AQ60" i="13"/>
  <c r="AQ59" i="13"/>
  <c r="AQ58" i="13"/>
  <c r="AQ57" i="13"/>
  <c r="AQ56" i="13"/>
  <c r="AQ55" i="13"/>
  <c r="AQ54" i="13"/>
  <c r="AQ38" i="13"/>
  <c r="AQ37" i="13"/>
  <c r="AQ36" i="13"/>
  <c r="AQ35" i="13"/>
  <c r="AQ34" i="13"/>
  <c r="AQ33" i="13"/>
  <c r="AQ32" i="13"/>
  <c r="AQ31" i="13"/>
  <c r="AQ30" i="13"/>
  <c r="AQ29" i="13"/>
  <c r="AQ28" i="13"/>
  <c r="AQ27" i="13"/>
  <c r="AR5" i="13"/>
  <c r="AQ18" i="13"/>
  <c r="AQ17" i="13"/>
  <c r="AQ16" i="13"/>
  <c r="AQ15" i="13"/>
  <c r="AQ14" i="13"/>
  <c r="AQ13" i="13"/>
  <c r="AQ12" i="13"/>
  <c r="AQ11" i="13"/>
  <c r="AQ10" i="13"/>
  <c r="AQ9" i="13"/>
  <c r="AQ8" i="13"/>
  <c r="AQ7" i="13"/>
  <c r="AQ305" i="13"/>
  <c r="AQ53" i="13"/>
  <c r="AQ23" i="13"/>
  <c r="AQ19" i="13"/>
  <c r="AQ24" i="13"/>
  <c r="AQ20" i="13"/>
  <c r="AQ25" i="13"/>
  <c r="AQ21" i="13"/>
  <c r="AQ26" i="13"/>
  <c r="AQ22" i="13"/>
  <c r="N452" i="13"/>
  <c r="H452" i="13"/>
  <c r="L453" i="13"/>
  <c r="K452" i="13"/>
  <c r="AQ452" i="13" s="1"/>
  <c r="N406" i="13"/>
  <c r="H406" i="13"/>
  <c r="K406" i="13"/>
  <c r="AQ406" i="13" s="1"/>
  <c r="L407" i="13"/>
  <c r="L269" i="13"/>
  <c r="H268" i="13"/>
  <c r="N268" i="13"/>
  <c r="K268" i="13"/>
  <c r="P367" i="13"/>
  <c r="Q367" i="13"/>
  <c r="R367" i="13"/>
  <c r="S367" i="13"/>
  <c r="T367" i="13"/>
  <c r="U367" i="13"/>
  <c r="V367" i="13"/>
  <c r="W367" i="13"/>
  <c r="X367" i="13"/>
  <c r="Y367" i="13"/>
  <c r="Z367" i="13"/>
  <c r="AA367" i="13"/>
  <c r="AB367" i="13"/>
  <c r="AC367" i="13"/>
  <c r="AD367" i="13"/>
  <c r="AE367" i="13"/>
  <c r="AF367" i="13"/>
  <c r="AG367" i="13"/>
  <c r="AH367" i="13"/>
  <c r="AI367" i="13"/>
  <c r="AJ367" i="13"/>
  <c r="AK367" i="13"/>
  <c r="AL367" i="13"/>
  <c r="AM367" i="13"/>
  <c r="AN367" i="13"/>
  <c r="AO367" i="13"/>
  <c r="P174" i="13"/>
  <c r="Q174" i="13"/>
  <c r="R174" i="13"/>
  <c r="S174" i="13"/>
  <c r="T174" i="13"/>
  <c r="U174" i="13"/>
  <c r="V174" i="13"/>
  <c r="W174" i="13"/>
  <c r="X174" i="13"/>
  <c r="Y174" i="13"/>
  <c r="Z174" i="13"/>
  <c r="AA174" i="13"/>
  <c r="AB174" i="13"/>
  <c r="AC174" i="13"/>
  <c r="AD174" i="13"/>
  <c r="AE174" i="13"/>
  <c r="AF174" i="13"/>
  <c r="AG174" i="13"/>
  <c r="AH174" i="13"/>
  <c r="AI174" i="13"/>
  <c r="AJ174" i="13"/>
  <c r="AK174" i="13"/>
  <c r="AL174" i="13"/>
  <c r="AM174" i="13"/>
  <c r="AN174" i="13"/>
  <c r="AO174" i="13"/>
  <c r="N129" i="13"/>
  <c r="H129" i="13"/>
  <c r="L130" i="13"/>
  <c r="K129" i="13"/>
  <c r="AQ129" i="13" s="1"/>
  <c r="N222" i="13"/>
  <c r="H222" i="13"/>
  <c r="L223" i="13"/>
  <c r="K222" i="13"/>
  <c r="AQ222" i="13" s="1"/>
  <c r="AN114" i="10" l="1"/>
  <c r="AN115" i="10" s="1"/>
  <c r="AN116" i="10" s="1"/>
  <c r="AI49" i="10"/>
  <c r="AI47" i="10"/>
  <c r="AL25" i="10"/>
  <c r="AL11" i="10"/>
  <c r="AL43" i="10"/>
  <c r="AL64" i="10"/>
  <c r="AL67" i="10"/>
  <c r="AL28" i="10"/>
  <c r="AK64" i="10"/>
  <c r="AK68" i="10"/>
  <c r="AK67" i="10"/>
  <c r="AK10" i="10"/>
  <c r="AK69" i="10"/>
  <c r="AK11" i="10"/>
  <c r="AN128" i="10"/>
  <c r="AL10" i="10"/>
  <c r="AL19" i="10"/>
  <c r="AL68" i="10"/>
  <c r="AL69" i="10"/>
  <c r="AL12" i="10"/>
  <c r="AL15" i="10"/>
  <c r="AL36" i="10"/>
  <c r="AL35" i="10"/>
  <c r="AL20" i="10"/>
  <c r="AL33" i="10"/>
  <c r="AL13" i="10"/>
  <c r="AL24" i="10"/>
  <c r="K176" i="13"/>
  <c r="AR176" i="13" s="1"/>
  <c r="L177" i="13"/>
  <c r="H176" i="13"/>
  <c r="N176" i="13"/>
  <c r="L86" i="13"/>
  <c r="K85" i="13"/>
  <c r="N85" i="13"/>
  <c r="H85" i="13"/>
  <c r="L370" i="13"/>
  <c r="K369" i="13"/>
  <c r="H369" i="13"/>
  <c r="N369" i="13"/>
  <c r="AO5" i="10"/>
  <c r="AN4" i="10"/>
  <c r="N453" i="13"/>
  <c r="H453" i="13"/>
  <c r="L454" i="13"/>
  <c r="K453" i="13"/>
  <c r="AR450" i="13"/>
  <c r="AR448" i="13"/>
  <c r="AR446" i="13"/>
  <c r="AR444" i="13"/>
  <c r="AR442" i="13"/>
  <c r="AR440" i="13"/>
  <c r="AR438" i="13"/>
  <c r="AR436" i="13"/>
  <c r="AR435" i="13"/>
  <c r="AR434" i="13"/>
  <c r="AR433" i="13"/>
  <c r="AR432" i="13"/>
  <c r="AR431" i="13"/>
  <c r="AR430" i="13"/>
  <c r="AR429" i="13"/>
  <c r="AR428" i="13"/>
  <c r="AR427" i="13"/>
  <c r="AR426" i="13"/>
  <c r="AR425" i="13"/>
  <c r="AR424" i="13"/>
  <c r="AR423" i="13"/>
  <c r="AR422" i="13"/>
  <c r="AR421" i="13"/>
  <c r="AR453" i="13"/>
  <c r="AR445" i="13"/>
  <c r="AR437" i="13"/>
  <c r="AR405" i="13"/>
  <c r="AR403" i="13"/>
  <c r="AR401" i="13"/>
  <c r="AR399" i="13"/>
  <c r="AR397" i="13"/>
  <c r="AR395" i="13"/>
  <c r="AR393" i="13"/>
  <c r="AR391" i="13"/>
  <c r="AR389" i="13"/>
  <c r="AR387" i="13"/>
  <c r="AR385" i="13"/>
  <c r="AR383" i="13"/>
  <c r="AR381" i="13"/>
  <c r="AR379" i="13"/>
  <c r="AR377" i="13"/>
  <c r="AR375" i="13"/>
  <c r="AR367" i="13"/>
  <c r="AR365" i="13"/>
  <c r="AR363" i="13"/>
  <c r="AR361" i="13"/>
  <c r="AR452" i="13"/>
  <c r="AR447" i="13"/>
  <c r="AR439" i="13"/>
  <c r="AR404" i="13"/>
  <c r="AR400" i="13"/>
  <c r="AR396" i="13"/>
  <c r="AR390" i="13"/>
  <c r="AR382" i="13"/>
  <c r="AR364" i="13"/>
  <c r="AR360" i="13"/>
  <c r="AR358" i="13"/>
  <c r="AR356" i="13"/>
  <c r="AR354" i="13"/>
  <c r="AR352" i="13"/>
  <c r="AR350" i="13"/>
  <c r="AR348" i="13"/>
  <c r="AR346" i="13"/>
  <c r="AR344" i="13"/>
  <c r="AR342" i="13"/>
  <c r="AR340" i="13"/>
  <c r="AR268" i="13"/>
  <c r="AR267" i="13"/>
  <c r="AR266" i="13"/>
  <c r="AR265" i="13"/>
  <c r="AR264" i="13"/>
  <c r="AR263" i="13"/>
  <c r="AR262" i="13"/>
  <c r="AR261" i="13"/>
  <c r="AR260" i="13"/>
  <c r="AR259" i="13"/>
  <c r="AR258" i="13"/>
  <c r="AR257" i="13"/>
  <c r="AR256" i="13"/>
  <c r="AR255" i="13"/>
  <c r="AR254" i="13"/>
  <c r="AR253" i="13"/>
  <c r="AR252" i="13"/>
  <c r="AR251" i="13"/>
  <c r="AR250" i="13"/>
  <c r="AR249" i="13"/>
  <c r="AR248" i="13"/>
  <c r="AR247" i="13"/>
  <c r="AR246" i="13"/>
  <c r="AR245" i="13"/>
  <c r="AR244" i="13"/>
  <c r="AR243" i="13"/>
  <c r="AR242" i="13"/>
  <c r="AR241" i="13"/>
  <c r="AR240" i="13"/>
  <c r="AR239" i="13"/>
  <c r="AR238" i="13"/>
  <c r="AR237" i="13"/>
  <c r="AR441" i="13"/>
  <c r="AR392" i="13"/>
  <c r="AR384" i="13"/>
  <c r="AR376" i="13"/>
  <c r="AR366" i="13"/>
  <c r="AR443" i="13"/>
  <c r="AR388" i="13"/>
  <c r="AR368" i="13"/>
  <c r="AR355" i="13"/>
  <c r="AR347" i="13"/>
  <c r="AR339" i="13"/>
  <c r="AR337" i="13"/>
  <c r="AR335" i="13"/>
  <c r="AR333" i="13"/>
  <c r="AR331" i="13"/>
  <c r="AR449" i="13"/>
  <c r="AR406" i="13"/>
  <c r="AR398" i="13"/>
  <c r="AR378" i="13"/>
  <c r="AR357" i="13"/>
  <c r="AR349" i="13"/>
  <c r="AR341" i="13"/>
  <c r="AR329" i="13"/>
  <c r="AR380" i="13"/>
  <c r="AR362" i="13"/>
  <c r="AR359" i="13"/>
  <c r="AR351" i="13"/>
  <c r="AR343" i="13"/>
  <c r="AR338" i="13"/>
  <c r="AR336" i="13"/>
  <c r="AR334" i="13"/>
  <c r="AR332" i="13"/>
  <c r="AR330" i="13"/>
  <c r="AR394" i="13"/>
  <c r="AR312" i="13"/>
  <c r="AR310" i="13"/>
  <c r="AR308" i="13"/>
  <c r="AR306" i="13"/>
  <c r="AR304" i="13"/>
  <c r="AR302" i="13"/>
  <c r="AR300" i="13"/>
  <c r="AR298" i="13"/>
  <c r="AR296" i="13"/>
  <c r="AR294" i="13"/>
  <c r="AR292" i="13"/>
  <c r="AR290" i="13"/>
  <c r="AR288" i="13"/>
  <c r="AR286" i="13"/>
  <c r="AR284" i="13"/>
  <c r="AR222" i="13"/>
  <c r="AR220" i="13"/>
  <c r="AR218" i="13"/>
  <c r="AR216" i="13"/>
  <c r="AR214" i="13"/>
  <c r="AR212" i="13"/>
  <c r="AR210" i="13"/>
  <c r="AR208" i="13"/>
  <c r="AR206" i="13"/>
  <c r="AR204" i="13"/>
  <c r="AR175" i="13"/>
  <c r="AR174" i="13"/>
  <c r="AR173" i="13"/>
  <c r="AR172" i="13"/>
  <c r="AR171" i="13"/>
  <c r="AR170" i="13"/>
  <c r="AR345" i="13"/>
  <c r="AR386" i="13"/>
  <c r="AR353" i="13"/>
  <c r="AR313" i="13"/>
  <c r="AR311" i="13"/>
  <c r="AR309" i="13"/>
  <c r="AR307" i="13"/>
  <c r="AR305" i="13"/>
  <c r="AR303" i="13"/>
  <c r="AR301" i="13"/>
  <c r="AR299" i="13"/>
  <c r="AR297" i="13"/>
  <c r="AR295" i="13"/>
  <c r="AR293" i="13"/>
  <c r="AR291" i="13"/>
  <c r="AR289" i="13"/>
  <c r="AR287" i="13"/>
  <c r="AR285" i="13"/>
  <c r="AR283" i="13"/>
  <c r="AR169" i="13"/>
  <c r="AR168" i="13"/>
  <c r="AR167" i="13"/>
  <c r="AR166" i="13"/>
  <c r="AR165" i="13"/>
  <c r="AR164" i="13"/>
  <c r="AR163" i="13"/>
  <c r="AR162" i="13"/>
  <c r="AR161" i="13"/>
  <c r="AR160" i="13"/>
  <c r="AR159" i="13"/>
  <c r="AR158" i="13"/>
  <c r="AR157" i="13"/>
  <c r="AR156" i="13"/>
  <c r="AR155" i="13"/>
  <c r="AR154" i="13"/>
  <c r="AR153" i="13"/>
  <c r="AR152" i="13"/>
  <c r="AR151" i="13"/>
  <c r="AR150" i="13"/>
  <c r="AR149" i="13"/>
  <c r="AR148" i="13"/>
  <c r="AR147" i="13"/>
  <c r="AR146" i="13"/>
  <c r="AR145" i="13"/>
  <c r="AR219" i="13"/>
  <c r="AR215" i="13"/>
  <c r="AR211" i="13"/>
  <c r="AR207" i="13"/>
  <c r="AR202" i="13"/>
  <c r="AR200" i="13"/>
  <c r="AR198" i="13"/>
  <c r="AR196" i="13"/>
  <c r="AR194" i="13"/>
  <c r="AR192" i="13"/>
  <c r="AR38" i="13"/>
  <c r="AR37" i="13"/>
  <c r="AR36" i="13"/>
  <c r="AR35" i="13"/>
  <c r="AR34" i="13"/>
  <c r="AR33" i="13"/>
  <c r="AR32" i="13"/>
  <c r="AR31" i="13"/>
  <c r="AR30" i="13"/>
  <c r="AR29" i="13"/>
  <c r="AR28" i="13"/>
  <c r="AR451" i="13"/>
  <c r="AR402" i="13"/>
  <c r="AR203" i="13"/>
  <c r="AR217" i="13"/>
  <c r="AR197" i="13"/>
  <c r="AR129" i="13"/>
  <c r="AR128" i="13"/>
  <c r="AR127" i="13"/>
  <c r="AR126" i="13"/>
  <c r="AR125" i="13"/>
  <c r="AR124" i="13"/>
  <c r="AR123" i="13"/>
  <c r="AR122" i="13"/>
  <c r="AR121" i="13"/>
  <c r="AR120" i="13"/>
  <c r="AR119" i="13"/>
  <c r="AR118" i="13"/>
  <c r="AR117" i="13"/>
  <c r="AR116" i="13"/>
  <c r="AR115" i="13"/>
  <c r="AR114" i="13"/>
  <c r="AR113" i="13"/>
  <c r="AR112" i="13"/>
  <c r="AR111" i="13"/>
  <c r="AR110" i="13"/>
  <c r="AR109" i="13"/>
  <c r="AR108" i="13"/>
  <c r="AR107" i="13"/>
  <c r="AR106" i="13"/>
  <c r="AR105" i="13"/>
  <c r="AR104" i="13"/>
  <c r="AR103" i="13"/>
  <c r="AR102" i="13"/>
  <c r="AR101" i="13"/>
  <c r="AR100" i="13"/>
  <c r="AR27" i="13"/>
  <c r="AR213" i="13"/>
  <c r="AR195" i="13"/>
  <c r="AR209" i="13"/>
  <c r="AR201" i="13"/>
  <c r="AR193" i="13"/>
  <c r="AR53" i="13"/>
  <c r="AR26" i="13"/>
  <c r="AR25" i="13"/>
  <c r="AR24" i="13"/>
  <c r="AR23" i="13"/>
  <c r="AR22" i="13"/>
  <c r="AR21" i="13"/>
  <c r="AR20" i="13"/>
  <c r="AR19" i="13"/>
  <c r="AR83" i="13"/>
  <c r="AR81" i="13"/>
  <c r="AR79" i="13"/>
  <c r="AR77" i="13"/>
  <c r="AR75" i="13"/>
  <c r="AR73" i="13"/>
  <c r="AR71" i="13"/>
  <c r="AR69" i="13"/>
  <c r="AR67" i="13"/>
  <c r="AR65" i="13"/>
  <c r="AR63" i="13"/>
  <c r="AR61" i="13"/>
  <c r="AR59" i="13"/>
  <c r="AR57" i="13"/>
  <c r="AR55" i="13"/>
  <c r="AR18" i="13"/>
  <c r="AR17" i="13"/>
  <c r="AR16" i="13"/>
  <c r="AR15" i="13"/>
  <c r="AR14" i="13"/>
  <c r="AR13" i="13"/>
  <c r="AR12" i="13"/>
  <c r="AR11" i="13"/>
  <c r="AR10" i="13"/>
  <c r="AR9" i="13"/>
  <c r="AR8" i="13"/>
  <c r="AR7" i="13"/>
  <c r="AR199" i="13"/>
  <c r="AR221" i="13"/>
  <c r="AR191" i="13"/>
  <c r="AR99" i="13"/>
  <c r="AR84" i="13"/>
  <c r="AR82" i="13"/>
  <c r="AR80" i="13"/>
  <c r="AR78" i="13"/>
  <c r="AR76" i="13"/>
  <c r="AR74" i="13"/>
  <c r="AR72" i="13"/>
  <c r="AR70" i="13"/>
  <c r="AR68" i="13"/>
  <c r="AR66" i="13"/>
  <c r="AR64" i="13"/>
  <c r="AR62" i="13"/>
  <c r="AR60" i="13"/>
  <c r="AR58" i="13"/>
  <c r="AR56" i="13"/>
  <c r="AR54" i="13"/>
  <c r="AR205" i="13"/>
  <c r="AS5" i="13"/>
  <c r="P368" i="13"/>
  <c r="Q368" i="13"/>
  <c r="R368" i="13"/>
  <c r="S368" i="13"/>
  <c r="T368" i="13"/>
  <c r="U368" i="13"/>
  <c r="V368" i="13"/>
  <c r="W368" i="13"/>
  <c r="X368" i="13"/>
  <c r="Y368" i="13"/>
  <c r="Z368" i="13"/>
  <c r="AA368" i="13"/>
  <c r="AB368" i="13"/>
  <c r="AC368" i="13"/>
  <c r="AD368" i="13"/>
  <c r="AE368" i="13"/>
  <c r="AF368" i="13"/>
  <c r="AG368" i="13"/>
  <c r="AH368" i="13"/>
  <c r="AI368" i="13"/>
  <c r="AJ368" i="13"/>
  <c r="AK368" i="13"/>
  <c r="AL368" i="13"/>
  <c r="AM368" i="13"/>
  <c r="AN368" i="13"/>
  <c r="AO368" i="13"/>
  <c r="AP368" i="13"/>
  <c r="AL34" i="10"/>
  <c r="AL29" i="10"/>
  <c r="P313" i="13"/>
  <c r="Q313" i="13"/>
  <c r="R313" i="13"/>
  <c r="S313" i="13"/>
  <c r="T313" i="13"/>
  <c r="U313" i="13"/>
  <c r="V313" i="13"/>
  <c r="W313" i="13"/>
  <c r="X313" i="13"/>
  <c r="Y313" i="13"/>
  <c r="Z313" i="13"/>
  <c r="AA313" i="13"/>
  <c r="AB313" i="13"/>
  <c r="AC313" i="13"/>
  <c r="AD313" i="13"/>
  <c r="AE313" i="13"/>
  <c r="AF313" i="13"/>
  <c r="AG313" i="13"/>
  <c r="AH313" i="13"/>
  <c r="AI313" i="13"/>
  <c r="AJ313" i="13"/>
  <c r="AK313" i="13"/>
  <c r="AL313" i="13"/>
  <c r="AM313" i="13"/>
  <c r="AN313" i="13"/>
  <c r="AO313" i="13"/>
  <c r="AP313" i="13"/>
  <c r="AL16" i="10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K38" i="13"/>
  <c r="AL38" i="13"/>
  <c r="AM38" i="13"/>
  <c r="AN38" i="13"/>
  <c r="AO38" i="13"/>
  <c r="AP38" i="13"/>
  <c r="P268" i="13"/>
  <c r="Q268" i="13"/>
  <c r="R268" i="13"/>
  <c r="S268" i="13"/>
  <c r="T268" i="13"/>
  <c r="U268" i="13"/>
  <c r="V268" i="13"/>
  <c r="W268" i="13"/>
  <c r="X268" i="13"/>
  <c r="Y268" i="13"/>
  <c r="Z268" i="13"/>
  <c r="AA268" i="13"/>
  <c r="AB268" i="13"/>
  <c r="AC268" i="13"/>
  <c r="AD268" i="13"/>
  <c r="AE268" i="13"/>
  <c r="AF268" i="13"/>
  <c r="AG268" i="13"/>
  <c r="AH268" i="13"/>
  <c r="AI268" i="13"/>
  <c r="AJ268" i="13"/>
  <c r="AK268" i="13"/>
  <c r="AL268" i="13"/>
  <c r="AM268" i="13"/>
  <c r="AN268" i="13"/>
  <c r="AO268" i="13"/>
  <c r="AP268" i="13"/>
  <c r="N223" i="13"/>
  <c r="H223" i="13"/>
  <c r="K223" i="13"/>
  <c r="AR223" i="13" s="1"/>
  <c r="L224" i="13"/>
  <c r="N130" i="13"/>
  <c r="H130" i="13"/>
  <c r="L131" i="13"/>
  <c r="K130" i="13"/>
  <c r="N407" i="13"/>
  <c r="H407" i="13"/>
  <c r="L408" i="13"/>
  <c r="K407" i="13"/>
  <c r="AL91" i="10"/>
  <c r="AL38" i="10"/>
  <c r="AL22" i="10"/>
  <c r="AL17" i="10"/>
  <c r="AL30" i="10"/>
  <c r="AL14" i="10"/>
  <c r="AL21" i="10"/>
  <c r="AL37" i="10"/>
  <c r="AL26" i="10"/>
  <c r="K314" i="13"/>
  <c r="AR314" i="13" s="1"/>
  <c r="L315" i="13"/>
  <c r="H314" i="13"/>
  <c r="N314" i="13"/>
  <c r="AK31" i="10"/>
  <c r="AK23" i="10"/>
  <c r="AK15" i="10"/>
  <c r="AK28" i="10"/>
  <c r="AK34" i="10"/>
  <c r="AK20" i="10"/>
  <c r="AK33" i="10"/>
  <c r="AK17" i="10"/>
  <c r="AK37" i="10"/>
  <c r="AK29" i="10"/>
  <c r="AK21" i="10"/>
  <c r="AK13" i="10"/>
  <c r="AK38" i="10"/>
  <c r="AK18" i="10"/>
  <c r="AK26" i="10"/>
  <c r="AK16" i="10"/>
  <c r="AK30" i="10"/>
  <c r="AK35" i="10"/>
  <c r="AK27" i="10"/>
  <c r="AK19" i="10"/>
  <c r="AK32" i="10"/>
  <c r="AK14" i="10"/>
  <c r="AK24" i="10"/>
  <c r="AK12" i="10"/>
  <c r="AK22" i="10"/>
  <c r="AK25" i="10"/>
  <c r="AK36" i="10"/>
  <c r="AL31" i="10"/>
  <c r="AL23" i="10"/>
  <c r="K39" i="13"/>
  <c r="N39" i="13"/>
  <c r="H39" i="13"/>
  <c r="L40" i="13"/>
  <c r="P222" i="13"/>
  <c r="Q222" i="13"/>
  <c r="R222" i="13"/>
  <c r="S222" i="13"/>
  <c r="T222" i="13"/>
  <c r="U222" i="13"/>
  <c r="V222" i="13"/>
  <c r="W222" i="13"/>
  <c r="X222" i="13"/>
  <c r="Y222" i="13"/>
  <c r="Z222" i="13"/>
  <c r="AA222" i="13"/>
  <c r="AB222" i="13"/>
  <c r="AC222" i="13"/>
  <c r="AD222" i="13"/>
  <c r="AE222" i="13"/>
  <c r="AF222" i="13"/>
  <c r="AG222" i="13"/>
  <c r="AH222" i="13"/>
  <c r="AI222" i="13"/>
  <c r="AJ222" i="13"/>
  <c r="AK222" i="13"/>
  <c r="AL222" i="13"/>
  <c r="AM222" i="13"/>
  <c r="AN222" i="13"/>
  <c r="AO222" i="13"/>
  <c r="AP222" i="13"/>
  <c r="P129" i="13"/>
  <c r="Q129" i="13"/>
  <c r="R129" i="13"/>
  <c r="S129" i="13"/>
  <c r="T129" i="13"/>
  <c r="U129" i="13"/>
  <c r="V129" i="13"/>
  <c r="W129" i="13"/>
  <c r="X129" i="13"/>
  <c r="Y129" i="13"/>
  <c r="Z129" i="13"/>
  <c r="AA129" i="13"/>
  <c r="AB129" i="13"/>
  <c r="AC129" i="13"/>
  <c r="AD129" i="13"/>
  <c r="AE129" i="13"/>
  <c r="AF129" i="13"/>
  <c r="AG129" i="13"/>
  <c r="AH129" i="13"/>
  <c r="AI129" i="13"/>
  <c r="AJ129" i="13"/>
  <c r="AK129" i="13"/>
  <c r="AL129" i="13"/>
  <c r="AM129" i="13"/>
  <c r="AN129" i="13"/>
  <c r="AO129" i="13"/>
  <c r="AP129" i="13"/>
  <c r="K269" i="13"/>
  <c r="AR269" i="13" s="1"/>
  <c r="L270" i="13"/>
  <c r="H269" i="13"/>
  <c r="N269" i="13"/>
  <c r="P406" i="13"/>
  <c r="Q406" i="13"/>
  <c r="R406" i="13"/>
  <c r="S406" i="13"/>
  <c r="T406" i="13"/>
  <c r="U406" i="13"/>
  <c r="V406" i="13"/>
  <c r="W406" i="13"/>
  <c r="X406" i="13"/>
  <c r="Y406" i="13"/>
  <c r="Z406" i="13"/>
  <c r="AA406" i="13"/>
  <c r="AB406" i="13"/>
  <c r="AC406" i="13"/>
  <c r="AD406" i="13"/>
  <c r="AE406" i="13"/>
  <c r="AF406" i="13"/>
  <c r="AG406" i="13"/>
  <c r="AH406" i="13"/>
  <c r="AI406" i="13"/>
  <c r="AJ406" i="13"/>
  <c r="AK406" i="13"/>
  <c r="AL406" i="13"/>
  <c r="AM406" i="13"/>
  <c r="AN406" i="13"/>
  <c r="AO406" i="13"/>
  <c r="AP406" i="13"/>
  <c r="P452" i="13"/>
  <c r="Q452" i="13"/>
  <c r="R452" i="13"/>
  <c r="S452" i="13"/>
  <c r="T452" i="13"/>
  <c r="U452" i="13"/>
  <c r="V452" i="13"/>
  <c r="W452" i="13"/>
  <c r="X452" i="13"/>
  <c r="Y452" i="13"/>
  <c r="Z452" i="13"/>
  <c r="AA452" i="13"/>
  <c r="AB452" i="13"/>
  <c r="AC452" i="13"/>
  <c r="AD452" i="13"/>
  <c r="AE452" i="13"/>
  <c r="AF452" i="13"/>
  <c r="AG452" i="13"/>
  <c r="AH452" i="13"/>
  <c r="AI452" i="13"/>
  <c r="AJ452" i="13"/>
  <c r="AK452" i="13"/>
  <c r="AL452" i="13"/>
  <c r="AM452" i="13"/>
  <c r="AN452" i="13"/>
  <c r="AO452" i="13"/>
  <c r="AP452" i="13"/>
  <c r="AQ268" i="13"/>
  <c r="AM7" i="10" a="1"/>
  <c r="AM7" i="10" s="1"/>
  <c r="AN3" i="10"/>
  <c r="AM84" i="10"/>
  <c r="AM86" i="10" s="1"/>
  <c r="AM90" i="10"/>
  <c r="AM89" i="10"/>
  <c r="AJ39" i="10"/>
  <c r="P175" i="13"/>
  <c r="Q175" i="13"/>
  <c r="R175" i="13"/>
  <c r="S175" i="13"/>
  <c r="T175" i="13"/>
  <c r="U175" i="13"/>
  <c r="V175" i="13"/>
  <c r="W175" i="13"/>
  <c r="X175" i="13"/>
  <c r="Y175" i="13"/>
  <c r="Z175" i="13"/>
  <c r="AA175" i="13"/>
  <c r="AB175" i="13"/>
  <c r="AC175" i="13"/>
  <c r="AD175" i="13"/>
  <c r="AE175" i="13"/>
  <c r="AF175" i="13"/>
  <c r="AG175" i="13"/>
  <c r="AH175" i="13"/>
  <c r="AI175" i="13"/>
  <c r="AJ175" i="13"/>
  <c r="AK175" i="13"/>
  <c r="AL175" i="13"/>
  <c r="AM175" i="13"/>
  <c r="AN175" i="13"/>
  <c r="AO175" i="13"/>
  <c r="AP175" i="13"/>
  <c r="P84" i="13"/>
  <c r="Q84" i="13"/>
  <c r="R84" i="13"/>
  <c r="S84" i="13"/>
  <c r="T84" i="13"/>
  <c r="U84" i="13"/>
  <c r="V84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AK84" i="13"/>
  <c r="AL84" i="13"/>
  <c r="AM84" i="13"/>
  <c r="AN84" i="13"/>
  <c r="AO84" i="13"/>
  <c r="AP84" i="13"/>
  <c r="AL18" i="10"/>
  <c r="AL27" i="10"/>
  <c r="AL32" i="10"/>
  <c r="AN45" i="10" l="1"/>
  <c r="AN50" i="10" s="1"/>
  <c r="AO114" i="10"/>
  <c r="AO115" i="10" s="1"/>
  <c r="AO116" i="10" s="1"/>
  <c r="AJ49" i="10"/>
  <c r="AJ47" i="10"/>
  <c r="AM6" i="10"/>
  <c r="AM43" i="10"/>
  <c r="AO128" i="10"/>
  <c r="AL39" i="10"/>
  <c r="AL47" i="10" s="1"/>
  <c r="P369" i="13"/>
  <c r="Q369" i="13"/>
  <c r="R369" i="13"/>
  <c r="S369" i="13"/>
  <c r="T369" i="13"/>
  <c r="U369" i="13"/>
  <c r="V369" i="13"/>
  <c r="W369" i="13"/>
  <c r="X369" i="13"/>
  <c r="Y369" i="13"/>
  <c r="Z369" i="13"/>
  <c r="AA369" i="13"/>
  <c r="AB369" i="13"/>
  <c r="AC369" i="13"/>
  <c r="AD369" i="13"/>
  <c r="AE369" i="13"/>
  <c r="AF369" i="13"/>
  <c r="AG369" i="13"/>
  <c r="AH369" i="13"/>
  <c r="AI369" i="13"/>
  <c r="AJ369" i="13"/>
  <c r="AK369" i="13"/>
  <c r="AL369" i="13"/>
  <c r="AM369" i="13"/>
  <c r="AN369" i="13"/>
  <c r="AO369" i="13"/>
  <c r="AP369" i="13"/>
  <c r="AQ369" i="13"/>
  <c r="P85" i="13"/>
  <c r="Q85" i="13"/>
  <c r="R85" i="13"/>
  <c r="S85" i="13"/>
  <c r="T85" i="13"/>
  <c r="U85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AK85" i="13"/>
  <c r="AL85" i="13"/>
  <c r="AM85" i="13"/>
  <c r="AN85" i="13"/>
  <c r="AO85" i="13"/>
  <c r="AP85" i="13"/>
  <c r="AQ85" i="13"/>
  <c r="N177" i="13"/>
  <c r="L178" i="13"/>
  <c r="K177" i="13"/>
  <c r="AS177" i="13" s="1"/>
  <c r="H177" i="13"/>
  <c r="P130" i="13"/>
  <c r="Q130" i="13"/>
  <c r="R130" i="13"/>
  <c r="S130" i="13"/>
  <c r="T130" i="13"/>
  <c r="U130" i="13"/>
  <c r="V130" i="13"/>
  <c r="W130" i="13"/>
  <c r="X130" i="13"/>
  <c r="Y130" i="13"/>
  <c r="Z130" i="13"/>
  <c r="AA130" i="13"/>
  <c r="AB130" i="13"/>
  <c r="AC130" i="13"/>
  <c r="AD130" i="13"/>
  <c r="AE130" i="13"/>
  <c r="AF130" i="13"/>
  <c r="AG130" i="13"/>
  <c r="AH130" i="13"/>
  <c r="AI130" i="13"/>
  <c r="AJ130" i="13"/>
  <c r="AK130" i="13"/>
  <c r="AL130" i="13"/>
  <c r="AM130" i="13"/>
  <c r="AN130" i="13"/>
  <c r="AO130" i="13"/>
  <c r="AP130" i="13"/>
  <c r="AQ130" i="13"/>
  <c r="N224" i="13"/>
  <c r="H224" i="13"/>
  <c r="L225" i="13"/>
  <c r="K224" i="13"/>
  <c r="AS224" i="13" s="1"/>
  <c r="AM91" i="10"/>
  <c r="AN7" i="10" a="1"/>
  <c r="AN7" i="10" s="1"/>
  <c r="AN6" i="10" s="1"/>
  <c r="AN38" i="10" s="1"/>
  <c r="AO3" i="10"/>
  <c r="AN89" i="10"/>
  <c r="AN84" i="10"/>
  <c r="AN86" i="10" s="1"/>
  <c r="AN90" i="10"/>
  <c r="L271" i="13"/>
  <c r="H270" i="13"/>
  <c r="N270" i="13"/>
  <c r="K270" i="13"/>
  <c r="AS270" i="13" s="1"/>
  <c r="P407" i="13"/>
  <c r="Q407" i="13"/>
  <c r="R407" i="13"/>
  <c r="S407" i="13"/>
  <c r="T407" i="13"/>
  <c r="U407" i="13"/>
  <c r="V407" i="13"/>
  <c r="W407" i="13"/>
  <c r="X407" i="13"/>
  <c r="Y407" i="13"/>
  <c r="Z407" i="13"/>
  <c r="AA407" i="13"/>
  <c r="AB407" i="13"/>
  <c r="AC407" i="13"/>
  <c r="AD407" i="13"/>
  <c r="AE407" i="13"/>
  <c r="AF407" i="13"/>
  <c r="AG407" i="13"/>
  <c r="AH407" i="13"/>
  <c r="AI407" i="13"/>
  <c r="AJ407" i="13"/>
  <c r="AK407" i="13"/>
  <c r="AL407" i="13"/>
  <c r="AM407" i="13"/>
  <c r="AN407" i="13"/>
  <c r="AO407" i="13"/>
  <c r="AP407" i="13"/>
  <c r="AQ407" i="13"/>
  <c r="N131" i="13"/>
  <c r="H131" i="13"/>
  <c r="L132" i="13"/>
  <c r="K131" i="13"/>
  <c r="P223" i="13"/>
  <c r="Q223" i="13"/>
  <c r="R223" i="13"/>
  <c r="S223" i="13"/>
  <c r="T223" i="13"/>
  <c r="U223" i="13"/>
  <c r="V223" i="13"/>
  <c r="W223" i="13"/>
  <c r="X223" i="13"/>
  <c r="Y223" i="13"/>
  <c r="Z223" i="13"/>
  <c r="AA223" i="13"/>
  <c r="AB223" i="13"/>
  <c r="AC223" i="13"/>
  <c r="AD223" i="13"/>
  <c r="AE223" i="13"/>
  <c r="AF223" i="13"/>
  <c r="AG223" i="13"/>
  <c r="AH223" i="13"/>
  <c r="AI223" i="13"/>
  <c r="AJ223" i="13"/>
  <c r="AK223" i="13"/>
  <c r="AL223" i="13"/>
  <c r="AM223" i="13"/>
  <c r="AN223" i="13"/>
  <c r="AO223" i="13"/>
  <c r="AP223" i="13"/>
  <c r="AQ223" i="13"/>
  <c r="AR407" i="13"/>
  <c r="AO4" i="10"/>
  <c r="AP5" i="10"/>
  <c r="L371" i="13"/>
  <c r="N370" i="13"/>
  <c r="K370" i="13"/>
  <c r="H370" i="13"/>
  <c r="L87" i="13"/>
  <c r="K86" i="13"/>
  <c r="N86" i="13"/>
  <c r="H86" i="13"/>
  <c r="P176" i="13"/>
  <c r="Q176" i="13"/>
  <c r="R176" i="13"/>
  <c r="S176" i="13"/>
  <c r="T176" i="13"/>
  <c r="U176" i="13"/>
  <c r="V176" i="13"/>
  <c r="W176" i="13"/>
  <c r="X176" i="13"/>
  <c r="Y176" i="13"/>
  <c r="Z176" i="13"/>
  <c r="AA176" i="13"/>
  <c r="AB176" i="13"/>
  <c r="AC176" i="13"/>
  <c r="AD176" i="13"/>
  <c r="AE176" i="13"/>
  <c r="AF176" i="13"/>
  <c r="AG176" i="13"/>
  <c r="AH176" i="13"/>
  <c r="AI176" i="13"/>
  <c r="AJ176" i="13"/>
  <c r="AK176" i="13"/>
  <c r="AL176" i="13"/>
  <c r="AM176" i="13"/>
  <c r="AN176" i="13"/>
  <c r="AO176" i="13"/>
  <c r="AP176" i="13"/>
  <c r="AQ176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K315" i="13"/>
  <c r="L316" i="13"/>
  <c r="N315" i="13"/>
  <c r="H315" i="13"/>
  <c r="N408" i="13"/>
  <c r="H408" i="13"/>
  <c r="K408" i="13"/>
  <c r="L409" i="13"/>
  <c r="AR369" i="13"/>
  <c r="P453" i="13"/>
  <c r="Q453" i="13"/>
  <c r="R453" i="13"/>
  <c r="S453" i="13"/>
  <c r="T453" i="13"/>
  <c r="U453" i="13"/>
  <c r="V453" i="13"/>
  <c r="W453" i="13"/>
  <c r="X453" i="13"/>
  <c r="Y453" i="13"/>
  <c r="Z453" i="13"/>
  <c r="AA453" i="13"/>
  <c r="AB453" i="13"/>
  <c r="AC453" i="13"/>
  <c r="AD453" i="13"/>
  <c r="AE453" i="13"/>
  <c r="AF453" i="13"/>
  <c r="AG453" i="13"/>
  <c r="AH453" i="13"/>
  <c r="AI453" i="13"/>
  <c r="AJ453" i="13"/>
  <c r="AK453" i="13"/>
  <c r="AL453" i="13"/>
  <c r="AM453" i="13"/>
  <c r="AN453" i="13"/>
  <c r="AO453" i="13"/>
  <c r="AP453" i="13"/>
  <c r="AQ453" i="13"/>
  <c r="AK39" i="10"/>
  <c r="P269" i="13"/>
  <c r="Q269" i="13"/>
  <c r="R269" i="13"/>
  <c r="S269" i="13"/>
  <c r="T269" i="13"/>
  <c r="U269" i="13"/>
  <c r="V269" i="13"/>
  <c r="W269" i="13"/>
  <c r="X269" i="13"/>
  <c r="Y269" i="13"/>
  <c r="Z269" i="13"/>
  <c r="AA269" i="13"/>
  <c r="AB269" i="13"/>
  <c r="AC269" i="13"/>
  <c r="AD269" i="13"/>
  <c r="AE269" i="13"/>
  <c r="AF269" i="13"/>
  <c r="AG269" i="13"/>
  <c r="AH269" i="13"/>
  <c r="AI269" i="13"/>
  <c r="AJ269" i="13"/>
  <c r="AK269" i="13"/>
  <c r="AL269" i="13"/>
  <c r="AM269" i="13"/>
  <c r="AN269" i="13"/>
  <c r="AO269" i="13"/>
  <c r="AP269" i="13"/>
  <c r="AQ269" i="13"/>
  <c r="K40" i="13"/>
  <c r="N40" i="13"/>
  <c r="H40" i="13"/>
  <c r="L41" i="13"/>
  <c r="P314" i="13"/>
  <c r="Q314" i="13"/>
  <c r="R314" i="13"/>
  <c r="S314" i="13"/>
  <c r="T314" i="13"/>
  <c r="U314" i="13"/>
  <c r="V314" i="13"/>
  <c r="W314" i="13"/>
  <c r="X314" i="13"/>
  <c r="Y314" i="13"/>
  <c r="Z314" i="13"/>
  <c r="AA314" i="13"/>
  <c r="AB314" i="13"/>
  <c r="AC314" i="13"/>
  <c r="AD314" i="13"/>
  <c r="AE314" i="13"/>
  <c r="AF314" i="13"/>
  <c r="AG314" i="13"/>
  <c r="AH314" i="13"/>
  <c r="AI314" i="13"/>
  <c r="AJ314" i="13"/>
  <c r="AK314" i="13"/>
  <c r="AL314" i="13"/>
  <c r="AM314" i="13"/>
  <c r="AN314" i="13"/>
  <c r="AO314" i="13"/>
  <c r="AP314" i="13"/>
  <c r="AQ314" i="13"/>
  <c r="AS452" i="13"/>
  <c r="AS447" i="13"/>
  <c r="AS446" i="13"/>
  <c r="AS439" i="13"/>
  <c r="AS438" i="13"/>
  <c r="AS360" i="13"/>
  <c r="AS359" i="13"/>
  <c r="AS358" i="13"/>
  <c r="AS357" i="13"/>
  <c r="AS356" i="13"/>
  <c r="AS355" i="13"/>
  <c r="AS354" i="13"/>
  <c r="AS353" i="13"/>
  <c r="AS352" i="13"/>
  <c r="AS351" i="13"/>
  <c r="AS350" i="13"/>
  <c r="AS349" i="13"/>
  <c r="AS348" i="13"/>
  <c r="AS347" i="13"/>
  <c r="AS346" i="13"/>
  <c r="AS345" i="13"/>
  <c r="AS344" i="13"/>
  <c r="AS343" i="13"/>
  <c r="AS342" i="13"/>
  <c r="AS341" i="13"/>
  <c r="AS340" i="13"/>
  <c r="AS339" i="13"/>
  <c r="AS451" i="13"/>
  <c r="AS449" i="13"/>
  <c r="AS448" i="13"/>
  <c r="AS441" i="13"/>
  <c r="AS440" i="13"/>
  <c r="AS434" i="13"/>
  <c r="AS432" i="13"/>
  <c r="AS430" i="13"/>
  <c r="AS428" i="13"/>
  <c r="AS426" i="13"/>
  <c r="AS424" i="13"/>
  <c r="AS422" i="13"/>
  <c r="AS406" i="13"/>
  <c r="AS404" i="13"/>
  <c r="AS402" i="13"/>
  <c r="AS400" i="13"/>
  <c r="AS398" i="13"/>
  <c r="AS396" i="13"/>
  <c r="AS394" i="13"/>
  <c r="AS437" i="13"/>
  <c r="AS436" i="13"/>
  <c r="AS433" i="13"/>
  <c r="AS429" i="13"/>
  <c r="AS425" i="13"/>
  <c r="AS392" i="13"/>
  <c r="AS391" i="13"/>
  <c r="AS384" i="13"/>
  <c r="AS383" i="13"/>
  <c r="AS376" i="13"/>
  <c r="AS366" i="13"/>
  <c r="AS365" i="13"/>
  <c r="AS314" i="13"/>
  <c r="AS313" i="13"/>
  <c r="AS312" i="13"/>
  <c r="AS311" i="13"/>
  <c r="AS310" i="13"/>
  <c r="AS309" i="13"/>
  <c r="AS308" i="13"/>
  <c r="AS307" i="13"/>
  <c r="AS306" i="13"/>
  <c r="AS305" i="13"/>
  <c r="AS304" i="13"/>
  <c r="AS303" i="13"/>
  <c r="AS302" i="13"/>
  <c r="AS301" i="13"/>
  <c r="AS300" i="13"/>
  <c r="AS299" i="13"/>
  <c r="AS298" i="13"/>
  <c r="AS297" i="13"/>
  <c r="AS296" i="13"/>
  <c r="AS295" i="13"/>
  <c r="AS294" i="13"/>
  <c r="AS293" i="13"/>
  <c r="AS292" i="13"/>
  <c r="AS291" i="13"/>
  <c r="AS290" i="13"/>
  <c r="AS289" i="13"/>
  <c r="AS288" i="13"/>
  <c r="AS287" i="13"/>
  <c r="AS286" i="13"/>
  <c r="AS285" i="13"/>
  <c r="AS284" i="13"/>
  <c r="AS283" i="13"/>
  <c r="AS443" i="13"/>
  <c r="AS442" i="13"/>
  <c r="AS421" i="13"/>
  <c r="AS407" i="13"/>
  <c r="AS403" i="13"/>
  <c r="AS399" i="13"/>
  <c r="AS395" i="13"/>
  <c r="AS386" i="13"/>
  <c r="AS385" i="13"/>
  <c r="AS378" i="13"/>
  <c r="AS377" i="13"/>
  <c r="AS375" i="13"/>
  <c r="AS368" i="13"/>
  <c r="AS367" i="13"/>
  <c r="AS453" i="13"/>
  <c r="AS445" i="13"/>
  <c r="AS444" i="13"/>
  <c r="AS435" i="13"/>
  <c r="AS427" i="13"/>
  <c r="AS405" i="13"/>
  <c r="AS397" i="13"/>
  <c r="AS390" i="13"/>
  <c r="AS389" i="13"/>
  <c r="AS369" i="13"/>
  <c r="AS329" i="13"/>
  <c r="AS450" i="13"/>
  <c r="AS380" i="13"/>
  <c r="AS379" i="13"/>
  <c r="AS362" i="13"/>
  <c r="AS361" i="13"/>
  <c r="AS338" i="13"/>
  <c r="AS336" i="13"/>
  <c r="AS334" i="13"/>
  <c r="AS332" i="13"/>
  <c r="AS330" i="13"/>
  <c r="AS431" i="13"/>
  <c r="AS423" i="13"/>
  <c r="AS401" i="13"/>
  <c r="AS393" i="13"/>
  <c r="AS382" i="13"/>
  <c r="AS381" i="13"/>
  <c r="AS363" i="13"/>
  <c r="AS364" i="13"/>
  <c r="AS335" i="13"/>
  <c r="AS202" i="13"/>
  <c r="AS201" i="13"/>
  <c r="AS200" i="13"/>
  <c r="AS199" i="13"/>
  <c r="AS198" i="13"/>
  <c r="AS197" i="13"/>
  <c r="AS196" i="13"/>
  <c r="AS195" i="13"/>
  <c r="AS194" i="13"/>
  <c r="AS193" i="13"/>
  <c r="AS192" i="13"/>
  <c r="AS191" i="13"/>
  <c r="AS269" i="13"/>
  <c r="AS267" i="13"/>
  <c r="AS265" i="13"/>
  <c r="AS263" i="13"/>
  <c r="AS261" i="13"/>
  <c r="AS259" i="13"/>
  <c r="AS257" i="13"/>
  <c r="AS255" i="13"/>
  <c r="AS253" i="13"/>
  <c r="AS251" i="13"/>
  <c r="AS249" i="13"/>
  <c r="AS247" i="13"/>
  <c r="AS245" i="13"/>
  <c r="AS243" i="13"/>
  <c r="AS241" i="13"/>
  <c r="AS239" i="13"/>
  <c r="AS237" i="13"/>
  <c r="AS223" i="13"/>
  <c r="AS221" i="13"/>
  <c r="AS219" i="13"/>
  <c r="AS217" i="13"/>
  <c r="AS215" i="13"/>
  <c r="AS213" i="13"/>
  <c r="AS211" i="13"/>
  <c r="AS209" i="13"/>
  <c r="AS207" i="13"/>
  <c r="AS205" i="13"/>
  <c r="AS388" i="13"/>
  <c r="AS387" i="13"/>
  <c r="AS337" i="13"/>
  <c r="AS331" i="13"/>
  <c r="AS262" i="13"/>
  <c r="AS254" i="13"/>
  <c r="AS246" i="13"/>
  <c r="AS238" i="13"/>
  <c r="AS220" i="13"/>
  <c r="AS216" i="13"/>
  <c r="AS212" i="13"/>
  <c r="AS208" i="13"/>
  <c r="AS176" i="13"/>
  <c r="AS174" i="13"/>
  <c r="AS172" i="13"/>
  <c r="AS170" i="13"/>
  <c r="AS39" i="13"/>
  <c r="AS38" i="13"/>
  <c r="AS37" i="13"/>
  <c r="AS36" i="13"/>
  <c r="AS35" i="13"/>
  <c r="AS34" i="13"/>
  <c r="AS33" i="13"/>
  <c r="AS32" i="13"/>
  <c r="AS31" i="13"/>
  <c r="AS30" i="13"/>
  <c r="AS29" i="13"/>
  <c r="AS28" i="13"/>
  <c r="AS27" i="13"/>
  <c r="AS268" i="13"/>
  <c r="AS260" i="13"/>
  <c r="AS252" i="13"/>
  <c r="AS244" i="13"/>
  <c r="AS203" i="13"/>
  <c r="AS85" i="13"/>
  <c r="AS84" i="13"/>
  <c r="AS83" i="13"/>
  <c r="AS82" i="13"/>
  <c r="AS81" i="13"/>
  <c r="AS80" i="13"/>
  <c r="AS79" i="13"/>
  <c r="AS78" i="13"/>
  <c r="AS77" i="13"/>
  <c r="AS76" i="13"/>
  <c r="AS75" i="13"/>
  <c r="AS74" i="13"/>
  <c r="AS73" i="13"/>
  <c r="AS72" i="13"/>
  <c r="AS71" i="13"/>
  <c r="AS70" i="13"/>
  <c r="AS69" i="13"/>
  <c r="AS68" i="13"/>
  <c r="AS67" i="13"/>
  <c r="AS66" i="13"/>
  <c r="AS65" i="13"/>
  <c r="AS64" i="13"/>
  <c r="AS63" i="13"/>
  <c r="AS62" i="13"/>
  <c r="AS61" i="13"/>
  <c r="AS60" i="13"/>
  <c r="AS59" i="13"/>
  <c r="AS58" i="13"/>
  <c r="AS57" i="13"/>
  <c r="AS56" i="13"/>
  <c r="AS55" i="13"/>
  <c r="AS54" i="13"/>
  <c r="AS53" i="13"/>
  <c r="AS333" i="13"/>
  <c r="AS266" i="13"/>
  <c r="AS258" i="13"/>
  <c r="AS250" i="13"/>
  <c r="AS242" i="13"/>
  <c r="AS222" i="13"/>
  <c r="AS218" i="13"/>
  <c r="AS214" i="13"/>
  <c r="AS210" i="13"/>
  <c r="AS206" i="13"/>
  <c r="AS204" i="13"/>
  <c r="AS248" i="13"/>
  <c r="AS99" i="13"/>
  <c r="AS240" i="13"/>
  <c r="AS173" i="13"/>
  <c r="AS264" i="13"/>
  <c r="AS169" i="13"/>
  <c r="AS168" i="13"/>
  <c r="AS167" i="13"/>
  <c r="AS166" i="13"/>
  <c r="AS165" i="13"/>
  <c r="AS164" i="13"/>
  <c r="AS163" i="13"/>
  <c r="AS162" i="13"/>
  <c r="AS161" i="13"/>
  <c r="AS160" i="13"/>
  <c r="AS159" i="13"/>
  <c r="AS158" i="13"/>
  <c r="AS157" i="13"/>
  <c r="AS156" i="13"/>
  <c r="AS155" i="13"/>
  <c r="AS154" i="13"/>
  <c r="AS153" i="13"/>
  <c r="AS152" i="13"/>
  <c r="AS151" i="13"/>
  <c r="AS150" i="13"/>
  <c r="AS149" i="13"/>
  <c r="AS148" i="13"/>
  <c r="AS147" i="13"/>
  <c r="AS146" i="13"/>
  <c r="AS145" i="13"/>
  <c r="AS175" i="13"/>
  <c r="AS171" i="13"/>
  <c r="AS129" i="13"/>
  <c r="AS127" i="13"/>
  <c r="AS125" i="13"/>
  <c r="AS123" i="13"/>
  <c r="AS121" i="13"/>
  <c r="AS119" i="13"/>
  <c r="AS117" i="13"/>
  <c r="AS115" i="13"/>
  <c r="AS113" i="13"/>
  <c r="AS111" i="13"/>
  <c r="AS109" i="13"/>
  <c r="AS107" i="13"/>
  <c r="AS105" i="13"/>
  <c r="AS103" i="13"/>
  <c r="AS101" i="13"/>
  <c r="AS256" i="13"/>
  <c r="AS26" i="13"/>
  <c r="AS25" i="13"/>
  <c r="AS24" i="13"/>
  <c r="AS23" i="13"/>
  <c r="AS22" i="13"/>
  <c r="AS21" i="13"/>
  <c r="AS20" i="13"/>
  <c r="AS19" i="13"/>
  <c r="AT5" i="13"/>
  <c r="AS130" i="13"/>
  <c r="AS128" i="13"/>
  <c r="AS126" i="13"/>
  <c r="AS124" i="13"/>
  <c r="AS122" i="13"/>
  <c r="AS120" i="13"/>
  <c r="AS118" i="13"/>
  <c r="AS116" i="13"/>
  <c r="AS114" i="13"/>
  <c r="AS112" i="13"/>
  <c r="AS110" i="13"/>
  <c r="AS108" i="13"/>
  <c r="AS106" i="13"/>
  <c r="AS104" i="13"/>
  <c r="AS102" i="13"/>
  <c r="AS100" i="13"/>
  <c r="AS7" i="13"/>
  <c r="AS17" i="13"/>
  <c r="AS15" i="13"/>
  <c r="AS13" i="13"/>
  <c r="AS11" i="13"/>
  <c r="AS9" i="13"/>
  <c r="AS18" i="13"/>
  <c r="AS16" i="13"/>
  <c r="AS14" i="13"/>
  <c r="AS12" i="13"/>
  <c r="AS10" i="13"/>
  <c r="AS8" i="13"/>
  <c r="AR85" i="13"/>
  <c r="AR130" i="13"/>
  <c r="AR39" i="13"/>
  <c r="N454" i="13"/>
  <c r="H454" i="13"/>
  <c r="L455" i="13"/>
  <c r="K454" i="13"/>
  <c r="AS454" i="13" s="1"/>
  <c r="AP114" i="10" l="1"/>
  <c r="AP115" i="10" s="1"/>
  <c r="AP116" i="10" s="1"/>
  <c r="AO45" i="10"/>
  <c r="AO50" i="10" s="1"/>
  <c r="AK49" i="10"/>
  <c r="AK47" i="10"/>
  <c r="AM17" i="10"/>
  <c r="AM34" i="10"/>
  <c r="AL49" i="10"/>
  <c r="AM31" i="10"/>
  <c r="AM38" i="10"/>
  <c r="AM20" i="10"/>
  <c r="AM19" i="10"/>
  <c r="AM29" i="10"/>
  <c r="AM14" i="10"/>
  <c r="AM12" i="10"/>
  <c r="AM37" i="10"/>
  <c r="AM26" i="10"/>
  <c r="AM13" i="10"/>
  <c r="AM16" i="10"/>
  <c r="AM35" i="10"/>
  <c r="AM27" i="10"/>
  <c r="AM33" i="10"/>
  <c r="AM25" i="10"/>
  <c r="AM21" i="10"/>
  <c r="AM28" i="10"/>
  <c r="AM24" i="10"/>
  <c r="AM18" i="10"/>
  <c r="AM22" i="10"/>
  <c r="AM30" i="10"/>
  <c r="AM32" i="10"/>
  <c r="AM15" i="10"/>
  <c r="AM23" i="10"/>
  <c r="AN37" i="10"/>
  <c r="AN22" i="10"/>
  <c r="AN29" i="10"/>
  <c r="AN21" i="10"/>
  <c r="AN12" i="10"/>
  <c r="AN36" i="10"/>
  <c r="AN13" i="10"/>
  <c r="AN67" i="10"/>
  <c r="AN69" i="10"/>
  <c r="AM64" i="10"/>
  <c r="AM67" i="10"/>
  <c r="AM10" i="10"/>
  <c r="AM69" i="10"/>
  <c r="AN64" i="10"/>
  <c r="AN10" i="10"/>
  <c r="AN43" i="10"/>
  <c r="AN11" i="10"/>
  <c r="AM36" i="10"/>
  <c r="AM11" i="10"/>
  <c r="AN35" i="10"/>
  <c r="AN27" i="10"/>
  <c r="AN30" i="10"/>
  <c r="AN19" i="10"/>
  <c r="AS86" i="13"/>
  <c r="AS131" i="13"/>
  <c r="AN32" i="10"/>
  <c r="AN20" i="10"/>
  <c r="AN17" i="10"/>
  <c r="AN16" i="10"/>
  <c r="AN25" i="10"/>
  <c r="AN28" i="10"/>
  <c r="AN26" i="10"/>
  <c r="AN23" i="10"/>
  <c r="AN18" i="10"/>
  <c r="AN24" i="10"/>
  <c r="AN31" i="10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K40" i="13"/>
  <c r="AL40" i="13"/>
  <c r="AM40" i="13"/>
  <c r="AN40" i="13"/>
  <c r="AO40" i="13"/>
  <c r="AP40" i="13"/>
  <c r="AQ40" i="13"/>
  <c r="AR40" i="13"/>
  <c r="K41" i="13"/>
  <c r="AT41" i="13" s="1"/>
  <c r="N41" i="13"/>
  <c r="H41" i="13"/>
  <c r="L42" i="13"/>
  <c r="N409" i="13"/>
  <c r="H409" i="13"/>
  <c r="L410" i="13"/>
  <c r="K409" i="13"/>
  <c r="AT409" i="13" s="1"/>
  <c r="P315" i="13"/>
  <c r="Q315" i="13"/>
  <c r="R315" i="13"/>
  <c r="S315" i="13"/>
  <c r="T315" i="13"/>
  <c r="U315" i="13"/>
  <c r="V315" i="13"/>
  <c r="W315" i="13"/>
  <c r="X315" i="13"/>
  <c r="Y315" i="13"/>
  <c r="Z315" i="13"/>
  <c r="AA315" i="13"/>
  <c r="AB315" i="13"/>
  <c r="AC315" i="13"/>
  <c r="AD315" i="13"/>
  <c r="AE315" i="13"/>
  <c r="AF315" i="13"/>
  <c r="AG315" i="13"/>
  <c r="AH315" i="13"/>
  <c r="AI315" i="13"/>
  <c r="AJ315" i="13"/>
  <c r="AK315" i="13"/>
  <c r="AL315" i="13"/>
  <c r="AM315" i="13"/>
  <c r="AN315" i="13"/>
  <c r="AO315" i="13"/>
  <c r="AP315" i="13"/>
  <c r="AQ315" i="13"/>
  <c r="AR315" i="13"/>
  <c r="P86" i="13"/>
  <c r="Q86" i="13"/>
  <c r="R86" i="13"/>
  <c r="S86" i="13"/>
  <c r="T86" i="13"/>
  <c r="U86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AK86" i="13"/>
  <c r="AL86" i="13"/>
  <c r="AM86" i="13"/>
  <c r="AN86" i="13"/>
  <c r="AO86" i="13"/>
  <c r="AP86" i="13"/>
  <c r="AQ86" i="13"/>
  <c r="AR86" i="13"/>
  <c r="P131" i="13"/>
  <c r="Q131" i="13"/>
  <c r="R131" i="13"/>
  <c r="S131" i="13"/>
  <c r="T131" i="13"/>
  <c r="U131" i="13"/>
  <c r="V131" i="13"/>
  <c r="W131" i="13"/>
  <c r="X131" i="13"/>
  <c r="Y131" i="13"/>
  <c r="Z131" i="13"/>
  <c r="AA131" i="13"/>
  <c r="AB131" i="13"/>
  <c r="AC131" i="13"/>
  <c r="AD131" i="13"/>
  <c r="AE131" i="13"/>
  <c r="AF131" i="13"/>
  <c r="AG131" i="13"/>
  <c r="AH131" i="13"/>
  <c r="AI131" i="13"/>
  <c r="AJ131" i="13"/>
  <c r="AK131" i="13"/>
  <c r="AL131" i="13"/>
  <c r="AM131" i="13"/>
  <c r="AN131" i="13"/>
  <c r="AO131" i="13"/>
  <c r="AP131" i="13"/>
  <c r="AQ131" i="13"/>
  <c r="AR131" i="13"/>
  <c r="K271" i="13"/>
  <c r="AT271" i="13" s="1"/>
  <c r="L272" i="13"/>
  <c r="H271" i="13"/>
  <c r="N271" i="13"/>
  <c r="AO7" i="10" a="1"/>
  <c r="AO7" i="10" s="1"/>
  <c r="AO43" i="10" s="1"/>
  <c r="AP3" i="10"/>
  <c r="AO84" i="10"/>
  <c r="AO86" i="10" s="1"/>
  <c r="AO89" i="10"/>
  <c r="AO90" i="10"/>
  <c r="N225" i="13"/>
  <c r="H225" i="13"/>
  <c r="K225" i="13"/>
  <c r="L226" i="13"/>
  <c r="P177" i="13"/>
  <c r="Q177" i="13"/>
  <c r="R177" i="13"/>
  <c r="S177" i="13"/>
  <c r="T177" i="13"/>
  <c r="U177" i="13"/>
  <c r="V177" i="13"/>
  <c r="W177" i="13"/>
  <c r="X177" i="13"/>
  <c r="Y177" i="13"/>
  <c r="Z177" i="13"/>
  <c r="AA177" i="13"/>
  <c r="AB177" i="13"/>
  <c r="AC177" i="13"/>
  <c r="AD177" i="13"/>
  <c r="AE177" i="13"/>
  <c r="AF177" i="13"/>
  <c r="AG177" i="13"/>
  <c r="AH177" i="13"/>
  <c r="AI177" i="13"/>
  <c r="AJ177" i="13"/>
  <c r="AK177" i="13"/>
  <c r="AL177" i="13"/>
  <c r="AM177" i="13"/>
  <c r="AN177" i="13"/>
  <c r="AO177" i="13"/>
  <c r="AP177" i="13"/>
  <c r="AQ177" i="13"/>
  <c r="AR177" i="13"/>
  <c r="K316" i="13"/>
  <c r="N316" i="13"/>
  <c r="L317" i="13"/>
  <c r="H316" i="13"/>
  <c r="P370" i="13"/>
  <c r="Q370" i="13"/>
  <c r="R370" i="13"/>
  <c r="S370" i="13"/>
  <c r="T370" i="13"/>
  <c r="U370" i="13"/>
  <c r="V370" i="13"/>
  <c r="W370" i="13"/>
  <c r="X370" i="13"/>
  <c r="Y370" i="13"/>
  <c r="Z370" i="13"/>
  <c r="AA370" i="13"/>
  <c r="AB370" i="13"/>
  <c r="AC370" i="13"/>
  <c r="AD370" i="13"/>
  <c r="AE370" i="13"/>
  <c r="AF370" i="13"/>
  <c r="AG370" i="13"/>
  <c r="AH370" i="13"/>
  <c r="AI370" i="13"/>
  <c r="AJ370" i="13"/>
  <c r="AK370" i="13"/>
  <c r="AL370" i="13"/>
  <c r="AM370" i="13"/>
  <c r="AN370" i="13"/>
  <c r="AO370" i="13"/>
  <c r="AP370" i="13"/>
  <c r="AQ370" i="13"/>
  <c r="AR370" i="13"/>
  <c r="AN91" i="10"/>
  <c r="AS370" i="13"/>
  <c r="P408" i="13"/>
  <c r="Q408" i="13"/>
  <c r="R408" i="13"/>
  <c r="S408" i="13"/>
  <c r="T408" i="13"/>
  <c r="U408" i="13"/>
  <c r="V408" i="13"/>
  <c r="W408" i="13"/>
  <c r="X408" i="13"/>
  <c r="Y408" i="13"/>
  <c r="Z408" i="13"/>
  <c r="AA408" i="13"/>
  <c r="AB408" i="13"/>
  <c r="AC408" i="13"/>
  <c r="AD408" i="13"/>
  <c r="AE408" i="13"/>
  <c r="AF408" i="13"/>
  <c r="AG408" i="13"/>
  <c r="AH408" i="13"/>
  <c r="AI408" i="13"/>
  <c r="AJ408" i="13"/>
  <c r="AK408" i="13"/>
  <c r="AL408" i="13"/>
  <c r="AM408" i="13"/>
  <c r="AN408" i="13"/>
  <c r="AO408" i="13"/>
  <c r="AP408" i="13"/>
  <c r="AQ408" i="13"/>
  <c r="AR408" i="13"/>
  <c r="L88" i="13"/>
  <c r="K87" i="13"/>
  <c r="N87" i="13"/>
  <c r="H87" i="13"/>
  <c r="L372" i="13"/>
  <c r="N371" i="13"/>
  <c r="K371" i="13"/>
  <c r="AT371" i="13" s="1"/>
  <c r="H371" i="13"/>
  <c r="N132" i="13"/>
  <c r="H132" i="13"/>
  <c r="L133" i="13"/>
  <c r="K132" i="13"/>
  <c r="AT132" i="13" s="1"/>
  <c r="P270" i="13"/>
  <c r="Q270" i="13"/>
  <c r="R270" i="13"/>
  <c r="S270" i="13"/>
  <c r="T270" i="13"/>
  <c r="U270" i="13"/>
  <c r="V270" i="13"/>
  <c r="W270" i="13"/>
  <c r="X270" i="13"/>
  <c r="Y270" i="13"/>
  <c r="Z270" i="13"/>
  <c r="AA270" i="13"/>
  <c r="AB270" i="13"/>
  <c r="AC270" i="13"/>
  <c r="AD270" i="13"/>
  <c r="AE270" i="13"/>
  <c r="AF270" i="13"/>
  <c r="AG270" i="13"/>
  <c r="AH270" i="13"/>
  <c r="AI270" i="13"/>
  <c r="AJ270" i="13"/>
  <c r="AK270" i="13"/>
  <c r="AL270" i="13"/>
  <c r="AM270" i="13"/>
  <c r="AN270" i="13"/>
  <c r="AO270" i="13"/>
  <c r="AP270" i="13"/>
  <c r="AQ270" i="13"/>
  <c r="AR270" i="13"/>
  <c r="K178" i="13"/>
  <c r="AT178" i="13" s="1"/>
  <c r="L179" i="13"/>
  <c r="H178" i="13"/>
  <c r="N178" i="13"/>
  <c r="AN15" i="10"/>
  <c r="AN14" i="10"/>
  <c r="AN34" i="10"/>
  <c r="P224" i="13"/>
  <c r="Q224" i="13"/>
  <c r="R224" i="13"/>
  <c r="S224" i="13"/>
  <c r="T224" i="13"/>
  <c r="U224" i="13"/>
  <c r="V224" i="13"/>
  <c r="W224" i="13"/>
  <c r="X224" i="13"/>
  <c r="Y224" i="13"/>
  <c r="Z224" i="13"/>
  <c r="AA224" i="13"/>
  <c r="AB224" i="13"/>
  <c r="AC224" i="13"/>
  <c r="AD224" i="13"/>
  <c r="AE224" i="13"/>
  <c r="AF224" i="13"/>
  <c r="AG224" i="13"/>
  <c r="AH224" i="13"/>
  <c r="AI224" i="13"/>
  <c r="AJ224" i="13"/>
  <c r="AK224" i="13"/>
  <c r="AL224" i="13"/>
  <c r="AM224" i="13"/>
  <c r="AN224" i="13"/>
  <c r="AO224" i="13"/>
  <c r="AP224" i="13"/>
  <c r="AQ224" i="13"/>
  <c r="AR224" i="13"/>
  <c r="P454" i="13"/>
  <c r="Q454" i="13"/>
  <c r="R454" i="13"/>
  <c r="S454" i="13"/>
  <c r="T454" i="13"/>
  <c r="U454" i="13"/>
  <c r="V454" i="13"/>
  <c r="W454" i="13"/>
  <c r="X454" i="13"/>
  <c r="Y454" i="13"/>
  <c r="Z454" i="13"/>
  <c r="AA454" i="13"/>
  <c r="AB454" i="13"/>
  <c r="AC454" i="13"/>
  <c r="AD454" i="13"/>
  <c r="AE454" i="13"/>
  <c r="AF454" i="13"/>
  <c r="AG454" i="13"/>
  <c r="AH454" i="13"/>
  <c r="AI454" i="13"/>
  <c r="AJ454" i="13"/>
  <c r="AK454" i="13"/>
  <c r="AL454" i="13"/>
  <c r="AM454" i="13"/>
  <c r="AN454" i="13"/>
  <c r="AO454" i="13"/>
  <c r="AP454" i="13"/>
  <c r="AQ454" i="13"/>
  <c r="AR454" i="13"/>
  <c r="AS40" i="13"/>
  <c r="N455" i="13"/>
  <c r="H455" i="13"/>
  <c r="L456" i="13"/>
  <c r="K455" i="13"/>
  <c r="AT454" i="13"/>
  <c r="AT453" i="13"/>
  <c r="AT452" i="13"/>
  <c r="AT451" i="13"/>
  <c r="AT449" i="13"/>
  <c r="AT447" i="13"/>
  <c r="AT445" i="13"/>
  <c r="AT443" i="13"/>
  <c r="AT441" i="13"/>
  <c r="AT439" i="13"/>
  <c r="AT437" i="13"/>
  <c r="AT370" i="13"/>
  <c r="AT369" i="13"/>
  <c r="AT368" i="13"/>
  <c r="AT367" i="13"/>
  <c r="AT366" i="13"/>
  <c r="AT365" i="13"/>
  <c r="AT364" i="13"/>
  <c r="AT363" i="13"/>
  <c r="AT362" i="13"/>
  <c r="AT361" i="13"/>
  <c r="AT448" i="13"/>
  <c r="AT440" i="13"/>
  <c r="AT434" i="13"/>
  <c r="AT432" i="13"/>
  <c r="AT430" i="13"/>
  <c r="AT428" i="13"/>
  <c r="AT426" i="13"/>
  <c r="AT424" i="13"/>
  <c r="AT422" i="13"/>
  <c r="AT408" i="13"/>
  <c r="AT406" i="13"/>
  <c r="AT404" i="13"/>
  <c r="AT402" i="13"/>
  <c r="AT400" i="13"/>
  <c r="AT398" i="13"/>
  <c r="AT396" i="13"/>
  <c r="AT394" i="13"/>
  <c r="AT392" i="13"/>
  <c r="AT390" i="13"/>
  <c r="AT388" i="13"/>
  <c r="AT386" i="13"/>
  <c r="AT384" i="13"/>
  <c r="AT382" i="13"/>
  <c r="AT380" i="13"/>
  <c r="AT378" i="13"/>
  <c r="AT376" i="13"/>
  <c r="AT450" i="13"/>
  <c r="AT442" i="13"/>
  <c r="AT438" i="13"/>
  <c r="AT421" i="13"/>
  <c r="AT407" i="13"/>
  <c r="AT403" i="13"/>
  <c r="AT399" i="13"/>
  <c r="AT395" i="13"/>
  <c r="AT385" i="13"/>
  <c r="AT377" i="13"/>
  <c r="AT375" i="13"/>
  <c r="AT338" i="13"/>
  <c r="AT337" i="13"/>
  <c r="AT336" i="13"/>
  <c r="AT335" i="13"/>
  <c r="AT334" i="13"/>
  <c r="AT333" i="13"/>
  <c r="AT332" i="13"/>
  <c r="AT331" i="13"/>
  <c r="AT330" i="13"/>
  <c r="AT329" i="13"/>
  <c r="AT444" i="13"/>
  <c r="AT435" i="13"/>
  <c r="AT431" i="13"/>
  <c r="AT427" i="13"/>
  <c r="AT423" i="13"/>
  <c r="AT387" i="13"/>
  <c r="AT379" i="13"/>
  <c r="AT446" i="13"/>
  <c r="AT391" i="13"/>
  <c r="AT357" i="13"/>
  <c r="AT356" i="13"/>
  <c r="AT349" i="13"/>
  <c r="AT348" i="13"/>
  <c r="AT341" i="13"/>
  <c r="AT340" i="13"/>
  <c r="AT433" i="13"/>
  <c r="AT425" i="13"/>
  <c r="AT401" i="13"/>
  <c r="AT393" i="13"/>
  <c r="AT381" i="13"/>
  <c r="AT359" i="13"/>
  <c r="AT358" i="13"/>
  <c r="AT351" i="13"/>
  <c r="AT350" i="13"/>
  <c r="AT343" i="13"/>
  <c r="AT342" i="13"/>
  <c r="AT383" i="13"/>
  <c r="AT360" i="13"/>
  <c r="AT353" i="13"/>
  <c r="AT352" i="13"/>
  <c r="AT345" i="13"/>
  <c r="AT344" i="13"/>
  <c r="AT436" i="13"/>
  <c r="AT397" i="13"/>
  <c r="AT339" i="13"/>
  <c r="AT269" i="13"/>
  <c r="AT267" i="13"/>
  <c r="AT265" i="13"/>
  <c r="AT263" i="13"/>
  <c r="AT261" i="13"/>
  <c r="AT259" i="13"/>
  <c r="AT257" i="13"/>
  <c r="AT255" i="13"/>
  <c r="AT253" i="13"/>
  <c r="AT251" i="13"/>
  <c r="AT249" i="13"/>
  <c r="AT247" i="13"/>
  <c r="AT245" i="13"/>
  <c r="AT243" i="13"/>
  <c r="AT241" i="13"/>
  <c r="AT239" i="13"/>
  <c r="AT237" i="13"/>
  <c r="AT223" i="13"/>
  <c r="AT221" i="13"/>
  <c r="AT219" i="13"/>
  <c r="AT217" i="13"/>
  <c r="AT215" i="13"/>
  <c r="AT213" i="13"/>
  <c r="AT211" i="13"/>
  <c r="AT209" i="13"/>
  <c r="AT207" i="13"/>
  <c r="AT205" i="13"/>
  <c r="AT203" i="13"/>
  <c r="AT347" i="13"/>
  <c r="AT346" i="13"/>
  <c r="AT315" i="13"/>
  <c r="AT313" i="13"/>
  <c r="AT311" i="13"/>
  <c r="AT309" i="13"/>
  <c r="AT307" i="13"/>
  <c r="AT305" i="13"/>
  <c r="AT303" i="13"/>
  <c r="AT301" i="13"/>
  <c r="AT299" i="13"/>
  <c r="AT297" i="13"/>
  <c r="AT295" i="13"/>
  <c r="AT293" i="13"/>
  <c r="AT291" i="13"/>
  <c r="AT289" i="13"/>
  <c r="AT287" i="13"/>
  <c r="AT285" i="13"/>
  <c r="AT283" i="13"/>
  <c r="AT429" i="13"/>
  <c r="AT389" i="13"/>
  <c r="AT355" i="13"/>
  <c r="AT354" i="13"/>
  <c r="AT270" i="13"/>
  <c r="AT268" i="13"/>
  <c r="AT266" i="13"/>
  <c r="AT264" i="13"/>
  <c r="AT262" i="13"/>
  <c r="AT260" i="13"/>
  <c r="AT258" i="13"/>
  <c r="AT256" i="13"/>
  <c r="AT254" i="13"/>
  <c r="AT252" i="13"/>
  <c r="AT250" i="13"/>
  <c r="AT248" i="13"/>
  <c r="AT246" i="13"/>
  <c r="AT244" i="13"/>
  <c r="AT242" i="13"/>
  <c r="AT240" i="13"/>
  <c r="AT238" i="13"/>
  <c r="AT224" i="13"/>
  <c r="AT222" i="13"/>
  <c r="AT405" i="13"/>
  <c r="AT314" i="13"/>
  <c r="AT306" i="13"/>
  <c r="AT298" i="13"/>
  <c r="AT290" i="13"/>
  <c r="AT202" i="13"/>
  <c r="AT200" i="13"/>
  <c r="AT198" i="13"/>
  <c r="AT196" i="13"/>
  <c r="AT194" i="13"/>
  <c r="AT192" i="13"/>
  <c r="AT86" i="13"/>
  <c r="AT85" i="13"/>
  <c r="AT84" i="13"/>
  <c r="AT83" i="13"/>
  <c r="AT82" i="13"/>
  <c r="AT81" i="13"/>
  <c r="AT80" i="13"/>
  <c r="AT79" i="13"/>
  <c r="AT78" i="13"/>
  <c r="AT77" i="13"/>
  <c r="AT76" i="13"/>
  <c r="AT75" i="13"/>
  <c r="AT74" i="13"/>
  <c r="AT73" i="13"/>
  <c r="AT72" i="13"/>
  <c r="AT71" i="13"/>
  <c r="AT70" i="13"/>
  <c r="AT69" i="13"/>
  <c r="AT68" i="13"/>
  <c r="AT67" i="13"/>
  <c r="AT66" i="13"/>
  <c r="AT65" i="13"/>
  <c r="AT64" i="13"/>
  <c r="AT63" i="13"/>
  <c r="AT62" i="13"/>
  <c r="AT61" i="13"/>
  <c r="AT60" i="13"/>
  <c r="AT59" i="13"/>
  <c r="AT58" i="13"/>
  <c r="AT57" i="13"/>
  <c r="AT56" i="13"/>
  <c r="AT55" i="13"/>
  <c r="AT54" i="13"/>
  <c r="AT53" i="13"/>
  <c r="AT312" i="13"/>
  <c r="AT304" i="13"/>
  <c r="AT296" i="13"/>
  <c r="AT288" i="13"/>
  <c r="AT218" i="13"/>
  <c r="AT214" i="13"/>
  <c r="AT210" i="13"/>
  <c r="AT206" i="13"/>
  <c r="AT204" i="13"/>
  <c r="AT177" i="13"/>
  <c r="AT175" i="13"/>
  <c r="AT173" i="13"/>
  <c r="AT171" i="13"/>
  <c r="AT131" i="13"/>
  <c r="AT130" i="13"/>
  <c r="AT129" i="13"/>
  <c r="AT128" i="13"/>
  <c r="AT127" i="13"/>
  <c r="AT126" i="13"/>
  <c r="AT125" i="13"/>
  <c r="AT124" i="13"/>
  <c r="AT123" i="13"/>
  <c r="AT122" i="13"/>
  <c r="AT121" i="13"/>
  <c r="AT120" i="13"/>
  <c r="AT119" i="13"/>
  <c r="AT118" i="13"/>
  <c r="AT117" i="13"/>
  <c r="AT116" i="13"/>
  <c r="AT115" i="13"/>
  <c r="AT114" i="13"/>
  <c r="AT113" i="13"/>
  <c r="AT112" i="13"/>
  <c r="AT111" i="13"/>
  <c r="AT110" i="13"/>
  <c r="AT109" i="13"/>
  <c r="AT108" i="13"/>
  <c r="AT107" i="13"/>
  <c r="AT106" i="13"/>
  <c r="AT105" i="13"/>
  <c r="AT104" i="13"/>
  <c r="AT103" i="13"/>
  <c r="AT102" i="13"/>
  <c r="AT101" i="13"/>
  <c r="AT100" i="13"/>
  <c r="AT99" i="13"/>
  <c r="AT310" i="13"/>
  <c r="AT302" i="13"/>
  <c r="AT294" i="13"/>
  <c r="AT286" i="13"/>
  <c r="AT201" i="13"/>
  <c r="AT199" i="13"/>
  <c r="AT197" i="13"/>
  <c r="AT195" i="13"/>
  <c r="AT193" i="13"/>
  <c r="AT300" i="13"/>
  <c r="AT220" i="13"/>
  <c r="AT174" i="13"/>
  <c r="AT170" i="13"/>
  <c r="AT26" i="13"/>
  <c r="AT25" i="13"/>
  <c r="AT24" i="13"/>
  <c r="AT23" i="13"/>
  <c r="AT22" i="13"/>
  <c r="AT21" i="13"/>
  <c r="AT20" i="13"/>
  <c r="AT19" i="13"/>
  <c r="AT292" i="13"/>
  <c r="AT216" i="13"/>
  <c r="AT169" i="13"/>
  <c r="AT168" i="13"/>
  <c r="AT167" i="13"/>
  <c r="AT166" i="13"/>
  <c r="AT165" i="13"/>
  <c r="AT164" i="13"/>
  <c r="AT163" i="13"/>
  <c r="AT162" i="13"/>
  <c r="AT161" i="13"/>
  <c r="AT160" i="13"/>
  <c r="AT159" i="13"/>
  <c r="AT158" i="13"/>
  <c r="AT157" i="13"/>
  <c r="AT156" i="13"/>
  <c r="AT155" i="13"/>
  <c r="AT154" i="13"/>
  <c r="AT153" i="13"/>
  <c r="AT152" i="13"/>
  <c r="AT151" i="13"/>
  <c r="AT150" i="13"/>
  <c r="AT149" i="13"/>
  <c r="AT148" i="13"/>
  <c r="AT147" i="13"/>
  <c r="AT146" i="13"/>
  <c r="AT145" i="13"/>
  <c r="AT284" i="13"/>
  <c r="AT212" i="13"/>
  <c r="AT191" i="13"/>
  <c r="AT176" i="13"/>
  <c r="AT172" i="13"/>
  <c r="AT308" i="13"/>
  <c r="AT40" i="13"/>
  <c r="AT38" i="13"/>
  <c r="AT36" i="13"/>
  <c r="AT34" i="13"/>
  <c r="AT32" i="13"/>
  <c r="AT30" i="13"/>
  <c r="AT28" i="13"/>
  <c r="AU5" i="13"/>
  <c r="AT39" i="13"/>
  <c r="AT37" i="13"/>
  <c r="AT35" i="13"/>
  <c r="AT33" i="13"/>
  <c r="AT31" i="13"/>
  <c r="AT29" i="13"/>
  <c r="AT18" i="13"/>
  <c r="AT17" i="13"/>
  <c r="AT16" i="13"/>
  <c r="AT15" i="13"/>
  <c r="AT14" i="13"/>
  <c r="AT13" i="13"/>
  <c r="AT12" i="13"/>
  <c r="AT11" i="13"/>
  <c r="AT10" i="13"/>
  <c r="AT9" i="13"/>
  <c r="AT8" i="13"/>
  <c r="AT7" i="13"/>
  <c r="AT208" i="13"/>
  <c r="AT27" i="13"/>
  <c r="AS315" i="13"/>
  <c r="AS408" i="13"/>
  <c r="AQ5" i="10"/>
  <c r="AP4" i="10"/>
  <c r="AN33" i="10"/>
  <c r="AQ114" i="10" l="1"/>
  <c r="AQ115" i="10" s="1"/>
  <c r="AQ116" i="10" s="1"/>
  <c r="AP45" i="10"/>
  <c r="AP50" i="10" s="1"/>
  <c r="AM39" i="10"/>
  <c r="AM47" i="10" s="1"/>
  <c r="AQ128" i="10"/>
  <c r="AT455" i="13"/>
  <c r="AP95" i="10"/>
  <c r="AN39" i="10"/>
  <c r="AN47" i="10" s="1"/>
  <c r="AU455" i="13"/>
  <c r="AU454" i="13"/>
  <c r="AU453" i="13"/>
  <c r="AU452" i="13"/>
  <c r="AU451" i="13"/>
  <c r="AU450" i="13"/>
  <c r="AU449" i="13"/>
  <c r="AU448" i="13"/>
  <c r="AU447" i="13"/>
  <c r="AU446" i="13"/>
  <c r="AU445" i="13"/>
  <c r="AU444" i="13"/>
  <c r="AU443" i="13"/>
  <c r="AU442" i="13"/>
  <c r="AU441" i="13"/>
  <c r="AU440" i="13"/>
  <c r="AU439" i="13"/>
  <c r="AU438" i="13"/>
  <c r="AU437" i="13"/>
  <c r="AU436" i="13"/>
  <c r="AU409" i="13"/>
  <c r="AU408" i="13"/>
  <c r="AU407" i="13"/>
  <c r="AU406" i="13"/>
  <c r="AU405" i="13"/>
  <c r="AU404" i="13"/>
  <c r="AU403" i="13"/>
  <c r="AU402" i="13"/>
  <c r="AU401" i="13"/>
  <c r="AU400" i="13"/>
  <c r="AU399" i="13"/>
  <c r="AU398" i="13"/>
  <c r="AU397" i="13"/>
  <c r="AU396" i="13"/>
  <c r="AU395" i="13"/>
  <c r="AU394" i="13"/>
  <c r="AU393" i="13"/>
  <c r="AU392" i="13"/>
  <c r="AU391" i="13"/>
  <c r="AU390" i="13"/>
  <c r="AU389" i="13"/>
  <c r="AU388" i="13"/>
  <c r="AU387" i="13"/>
  <c r="AU386" i="13"/>
  <c r="AU385" i="13"/>
  <c r="AU384" i="13"/>
  <c r="AU383" i="13"/>
  <c r="AU382" i="13"/>
  <c r="AU381" i="13"/>
  <c r="AU380" i="13"/>
  <c r="AU379" i="13"/>
  <c r="AU378" i="13"/>
  <c r="AU377" i="13"/>
  <c r="AU376" i="13"/>
  <c r="AU375" i="13"/>
  <c r="AU370" i="13"/>
  <c r="AU368" i="13"/>
  <c r="AU366" i="13"/>
  <c r="AU364" i="13"/>
  <c r="AU362" i="13"/>
  <c r="AU435" i="13"/>
  <c r="AU433" i="13"/>
  <c r="AU431" i="13"/>
  <c r="AU429" i="13"/>
  <c r="AU427" i="13"/>
  <c r="AU425" i="13"/>
  <c r="AU423" i="13"/>
  <c r="AU421" i="13"/>
  <c r="AU432" i="13"/>
  <c r="AU428" i="13"/>
  <c r="AU424" i="13"/>
  <c r="AU367" i="13"/>
  <c r="AU359" i="13"/>
  <c r="AU357" i="13"/>
  <c r="AU355" i="13"/>
  <c r="AU353" i="13"/>
  <c r="AU351" i="13"/>
  <c r="AU349" i="13"/>
  <c r="AU347" i="13"/>
  <c r="AU345" i="13"/>
  <c r="AU343" i="13"/>
  <c r="AU341" i="13"/>
  <c r="AU339" i="13"/>
  <c r="AU225" i="13"/>
  <c r="AU224" i="13"/>
  <c r="AU223" i="13"/>
  <c r="AU222" i="13"/>
  <c r="AU221" i="13"/>
  <c r="AU220" i="13"/>
  <c r="AU219" i="13"/>
  <c r="AU218" i="13"/>
  <c r="AU217" i="13"/>
  <c r="AU216" i="13"/>
  <c r="AU215" i="13"/>
  <c r="AU214" i="13"/>
  <c r="AU213" i="13"/>
  <c r="AU212" i="13"/>
  <c r="AU211" i="13"/>
  <c r="AU210" i="13"/>
  <c r="AU209" i="13"/>
  <c r="AU208" i="13"/>
  <c r="AU207" i="13"/>
  <c r="AU206" i="13"/>
  <c r="AU205" i="13"/>
  <c r="AU204" i="13"/>
  <c r="AU203" i="13"/>
  <c r="AU369" i="13"/>
  <c r="AU430" i="13"/>
  <c r="AU371" i="13"/>
  <c r="AU361" i="13"/>
  <c r="AU358" i="13"/>
  <c r="AU350" i="13"/>
  <c r="AU342" i="13"/>
  <c r="AU338" i="13"/>
  <c r="AU336" i="13"/>
  <c r="AU334" i="13"/>
  <c r="AU332" i="13"/>
  <c r="AU330" i="13"/>
  <c r="AU422" i="13"/>
  <c r="AU363" i="13"/>
  <c r="AU360" i="13"/>
  <c r="AU352" i="13"/>
  <c r="AU344" i="13"/>
  <c r="AU434" i="13"/>
  <c r="AU426" i="13"/>
  <c r="AU354" i="13"/>
  <c r="AU346" i="13"/>
  <c r="AU337" i="13"/>
  <c r="AU335" i="13"/>
  <c r="AU333" i="13"/>
  <c r="AU331" i="13"/>
  <c r="AU365" i="13"/>
  <c r="AU340" i="13"/>
  <c r="AU315" i="13"/>
  <c r="AU313" i="13"/>
  <c r="AU311" i="13"/>
  <c r="AU309" i="13"/>
  <c r="AU307" i="13"/>
  <c r="AU305" i="13"/>
  <c r="AU303" i="13"/>
  <c r="AU301" i="13"/>
  <c r="AU299" i="13"/>
  <c r="AU297" i="13"/>
  <c r="AU295" i="13"/>
  <c r="AU293" i="13"/>
  <c r="AU291" i="13"/>
  <c r="AU289" i="13"/>
  <c r="AU287" i="13"/>
  <c r="AU285" i="13"/>
  <c r="AU283" i="13"/>
  <c r="AU348" i="13"/>
  <c r="AU270" i="13"/>
  <c r="AU268" i="13"/>
  <c r="AU266" i="13"/>
  <c r="AU264" i="13"/>
  <c r="AU262" i="13"/>
  <c r="AU260" i="13"/>
  <c r="AU258" i="13"/>
  <c r="AU256" i="13"/>
  <c r="AU254" i="13"/>
  <c r="AU252" i="13"/>
  <c r="AU250" i="13"/>
  <c r="AU248" i="13"/>
  <c r="AU246" i="13"/>
  <c r="AU244" i="13"/>
  <c r="AU242" i="13"/>
  <c r="AU240" i="13"/>
  <c r="AU238" i="13"/>
  <c r="AU356" i="13"/>
  <c r="AU314" i="13"/>
  <c r="AU312" i="13"/>
  <c r="AU310" i="13"/>
  <c r="AU308" i="13"/>
  <c r="AU306" i="13"/>
  <c r="AU304" i="13"/>
  <c r="AU302" i="13"/>
  <c r="AU300" i="13"/>
  <c r="AU298" i="13"/>
  <c r="AU296" i="13"/>
  <c r="AU294" i="13"/>
  <c r="AU292" i="13"/>
  <c r="AU290" i="13"/>
  <c r="AU288" i="13"/>
  <c r="AU286" i="13"/>
  <c r="AU284" i="13"/>
  <c r="AU329" i="13"/>
  <c r="AU265" i="13"/>
  <c r="AU257" i="13"/>
  <c r="AU249" i="13"/>
  <c r="AU241" i="13"/>
  <c r="AU177" i="13"/>
  <c r="AU175" i="13"/>
  <c r="AU173" i="13"/>
  <c r="AU171" i="13"/>
  <c r="AU132" i="13"/>
  <c r="AU131" i="13"/>
  <c r="AU130" i="13"/>
  <c r="AU129" i="13"/>
  <c r="AU128" i="13"/>
  <c r="AU127" i="13"/>
  <c r="AU126" i="13"/>
  <c r="AU125" i="13"/>
  <c r="AU124" i="13"/>
  <c r="AU123" i="13"/>
  <c r="AU122" i="13"/>
  <c r="AU121" i="13"/>
  <c r="AU120" i="13"/>
  <c r="AU119" i="13"/>
  <c r="AU118" i="13"/>
  <c r="AU117" i="13"/>
  <c r="AU116" i="13"/>
  <c r="AU115" i="13"/>
  <c r="AU114" i="13"/>
  <c r="AU113" i="13"/>
  <c r="AU112" i="13"/>
  <c r="AU111" i="13"/>
  <c r="AU110" i="13"/>
  <c r="AU109" i="13"/>
  <c r="AU108" i="13"/>
  <c r="AU107" i="13"/>
  <c r="AU106" i="13"/>
  <c r="AU105" i="13"/>
  <c r="AU104" i="13"/>
  <c r="AU103" i="13"/>
  <c r="AU102" i="13"/>
  <c r="AU101" i="13"/>
  <c r="AU100" i="13"/>
  <c r="AU99" i="13"/>
  <c r="AU316" i="13"/>
  <c r="AU271" i="13"/>
  <c r="AU263" i="13"/>
  <c r="AU255" i="13"/>
  <c r="AU247" i="13"/>
  <c r="AU239" i="13"/>
  <c r="AU201" i="13"/>
  <c r="AU199" i="13"/>
  <c r="AU197" i="13"/>
  <c r="AU195" i="13"/>
  <c r="AU193" i="13"/>
  <c r="AU191" i="13"/>
  <c r="AU169" i="13"/>
  <c r="AU168" i="13"/>
  <c r="AU167" i="13"/>
  <c r="AU166" i="13"/>
  <c r="AU165" i="13"/>
  <c r="AU164" i="13"/>
  <c r="AU163" i="13"/>
  <c r="AU162" i="13"/>
  <c r="AU161" i="13"/>
  <c r="AU160" i="13"/>
  <c r="AU159" i="13"/>
  <c r="AU158" i="13"/>
  <c r="AU157" i="13"/>
  <c r="AU156" i="13"/>
  <c r="AU155" i="13"/>
  <c r="AU154" i="13"/>
  <c r="AU153" i="13"/>
  <c r="AU152" i="13"/>
  <c r="AU151" i="13"/>
  <c r="AU150" i="13"/>
  <c r="AU149" i="13"/>
  <c r="AU148" i="13"/>
  <c r="AU147" i="13"/>
  <c r="AU146" i="13"/>
  <c r="AU145" i="13"/>
  <c r="AU269" i="13"/>
  <c r="AU261" i="13"/>
  <c r="AU253" i="13"/>
  <c r="AU245" i="13"/>
  <c r="AU251" i="13"/>
  <c r="AU200" i="13"/>
  <c r="AU192" i="13"/>
  <c r="AU87" i="13"/>
  <c r="AU86" i="13"/>
  <c r="AU85" i="13"/>
  <c r="AU84" i="13"/>
  <c r="AU83" i="13"/>
  <c r="AU82" i="13"/>
  <c r="AU81" i="13"/>
  <c r="AU80" i="13"/>
  <c r="AU79" i="13"/>
  <c r="AU78" i="13"/>
  <c r="AU77" i="13"/>
  <c r="AU76" i="13"/>
  <c r="AU75" i="13"/>
  <c r="AU74" i="13"/>
  <c r="AU73" i="13"/>
  <c r="AU72" i="13"/>
  <c r="AU71" i="13"/>
  <c r="AU70" i="13"/>
  <c r="AU69" i="13"/>
  <c r="AU68" i="13"/>
  <c r="AU67" i="13"/>
  <c r="AU66" i="13"/>
  <c r="AU65" i="13"/>
  <c r="AU64" i="13"/>
  <c r="AU63" i="13"/>
  <c r="AU62" i="13"/>
  <c r="AU61" i="13"/>
  <c r="AU60" i="13"/>
  <c r="AU59" i="13"/>
  <c r="AU58" i="13"/>
  <c r="AU57" i="13"/>
  <c r="AU56" i="13"/>
  <c r="AU55" i="13"/>
  <c r="AU54" i="13"/>
  <c r="AU41" i="13"/>
  <c r="AU40" i="13"/>
  <c r="AU39" i="13"/>
  <c r="AU38" i="13"/>
  <c r="AU37" i="13"/>
  <c r="AU36" i="13"/>
  <c r="AU35" i="13"/>
  <c r="AU34" i="13"/>
  <c r="AU33" i="13"/>
  <c r="AU32" i="13"/>
  <c r="AU31" i="13"/>
  <c r="AU30" i="13"/>
  <c r="AU29" i="13"/>
  <c r="AU28" i="13"/>
  <c r="AU243" i="13"/>
  <c r="AU198" i="13"/>
  <c r="AU176" i="13"/>
  <c r="AU172" i="13"/>
  <c r="AU267" i="13"/>
  <c r="AU237" i="13"/>
  <c r="AU196" i="13"/>
  <c r="AU27" i="13"/>
  <c r="AU259" i="13"/>
  <c r="AU178" i="13"/>
  <c r="AV5" i="13"/>
  <c r="AU202" i="13"/>
  <c r="AU174" i="13"/>
  <c r="AU53" i="13"/>
  <c r="AU26" i="13"/>
  <c r="AU25" i="13"/>
  <c r="AU24" i="13"/>
  <c r="AU23" i="13"/>
  <c r="AU22" i="13"/>
  <c r="AU21" i="13"/>
  <c r="AU20" i="13"/>
  <c r="AU19" i="13"/>
  <c r="AU18" i="13"/>
  <c r="AU17" i="13"/>
  <c r="AU16" i="13"/>
  <c r="AU15" i="13"/>
  <c r="AU14" i="13"/>
  <c r="AU13" i="13"/>
  <c r="AU12" i="13"/>
  <c r="AU11" i="13"/>
  <c r="AU10" i="13"/>
  <c r="AU9" i="13"/>
  <c r="AU8" i="13"/>
  <c r="AU7" i="13"/>
  <c r="AU194" i="13"/>
  <c r="AU170" i="13"/>
  <c r="N456" i="13"/>
  <c r="H456" i="13"/>
  <c r="L457" i="13"/>
  <c r="K456" i="13"/>
  <c r="AU456" i="13" s="1"/>
  <c r="N410" i="13"/>
  <c r="H410" i="13"/>
  <c r="K410" i="13"/>
  <c r="AU410" i="13" s="1"/>
  <c r="L411" i="13"/>
  <c r="K42" i="13"/>
  <c r="N42" i="13"/>
  <c r="H42" i="13"/>
  <c r="L43" i="13"/>
  <c r="N226" i="13"/>
  <c r="H226" i="13"/>
  <c r="L227" i="13"/>
  <c r="K226" i="13"/>
  <c r="AU226" i="13" s="1"/>
  <c r="P132" i="13"/>
  <c r="Q132" i="13"/>
  <c r="R132" i="13"/>
  <c r="S132" i="13"/>
  <c r="T132" i="13"/>
  <c r="U132" i="13"/>
  <c r="V132" i="13"/>
  <c r="W132" i="13"/>
  <c r="X132" i="13"/>
  <c r="Y132" i="13"/>
  <c r="Z132" i="13"/>
  <c r="AA132" i="13"/>
  <c r="AB132" i="13"/>
  <c r="AC132" i="13"/>
  <c r="AD132" i="13"/>
  <c r="AE132" i="13"/>
  <c r="AF132" i="13"/>
  <c r="AG132" i="13"/>
  <c r="AH132" i="13"/>
  <c r="AI132" i="13"/>
  <c r="AJ132" i="13"/>
  <c r="AK132" i="13"/>
  <c r="AL132" i="13"/>
  <c r="AM132" i="13"/>
  <c r="AN132" i="13"/>
  <c r="AO132" i="13"/>
  <c r="AP132" i="13"/>
  <c r="AQ132" i="13"/>
  <c r="AR132" i="13"/>
  <c r="AS132" i="13"/>
  <c r="L373" i="13"/>
  <c r="N372" i="13"/>
  <c r="K372" i="13"/>
  <c r="H372" i="13"/>
  <c r="L89" i="13"/>
  <c r="K88" i="13"/>
  <c r="N88" i="13"/>
  <c r="H88" i="13"/>
  <c r="P316" i="13"/>
  <c r="Q316" i="13"/>
  <c r="R316" i="13"/>
  <c r="S316" i="13"/>
  <c r="T316" i="13"/>
  <c r="U316" i="13"/>
  <c r="V316" i="13"/>
  <c r="W316" i="13"/>
  <c r="X316" i="13"/>
  <c r="Y316" i="13"/>
  <c r="Z316" i="13"/>
  <c r="AA316" i="13"/>
  <c r="AB316" i="13"/>
  <c r="AC316" i="13"/>
  <c r="AD316" i="13"/>
  <c r="AE316" i="13"/>
  <c r="AF316" i="13"/>
  <c r="AG316" i="13"/>
  <c r="AH316" i="13"/>
  <c r="AI316" i="13"/>
  <c r="AJ316" i="13"/>
  <c r="AK316" i="13"/>
  <c r="AL316" i="13"/>
  <c r="AM316" i="13"/>
  <c r="AN316" i="13"/>
  <c r="AO316" i="13"/>
  <c r="AP316" i="13"/>
  <c r="AQ316" i="13"/>
  <c r="AR316" i="13"/>
  <c r="AS316" i="13"/>
  <c r="P87" i="13"/>
  <c r="Q87" i="13"/>
  <c r="R87" i="13"/>
  <c r="S87" i="13"/>
  <c r="T87" i="13"/>
  <c r="U87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AK87" i="13"/>
  <c r="AL87" i="13"/>
  <c r="AM87" i="13"/>
  <c r="AN87" i="13"/>
  <c r="AO87" i="13"/>
  <c r="AP87" i="13"/>
  <c r="AQ87" i="13"/>
  <c r="AR87" i="13"/>
  <c r="AS87" i="13"/>
  <c r="N179" i="13"/>
  <c r="H179" i="13"/>
  <c r="L180" i="13"/>
  <c r="K179" i="13"/>
  <c r="AU179" i="13" s="1"/>
  <c r="P225" i="13"/>
  <c r="Q225" i="13"/>
  <c r="R225" i="13"/>
  <c r="S225" i="13"/>
  <c r="T225" i="13"/>
  <c r="U225" i="13"/>
  <c r="V225" i="13"/>
  <c r="W225" i="13"/>
  <c r="X225" i="13"/>
  <c r="Y225" i="13"/>
  <c r="Z225" i="13"/>
  <c r="AA225" i="13"/>
  <c r="AB225" i="13"/>
  <c r="AC225" i="13"/>
  <c r="AD225" i="13"/>
  <c r="AE225" i="13"/>
  <c r="AF225" i="13"/>
  <c r="AG225" i="13"/>
  <c r="AH225" i="13"/>
  <c r="AI225" i="13"/>
  <c r="AJ225" i="13"/>
  <c r="AK225" i="13"/>
  <c r="AL225" i="13"/>
  <c r="AM225" i="13"/>
  <c r="AN225" i="13"/>
  <c r="AO225" i="13"/>
  <c r="AP225" i="13"/>
  <c r="AQ225" i="13"/>
  <c r="AR225" i="13"/>
  <c r="AS225" i="13"/>
  <c r="AR5" i="10"/>
  <c r="AQ4" i="10"/>
  <c r="AT87" i="13"/>
  <c r="AT225" i="13"/>
  <c r="P178" i="13"/>
  <c r="Q178" i="13"/>
  <c r="R178" i="13"/>
  <c r="S178" i="13"/>
  <c r="T178" i="13"/>
  <c r="U178" i="13"/>
  <c r="V178" i="13"/>
  <c r="W178" i="13"/>
  <c r="X178" i="13"/>
  <c r="Y178" i="13"/>
  <c r="Z178" i="13"/>
  <c r="AA178" i="13"/>
  <c r="AB178" i="13"/>
  <c r="AC178" i="13"/>
  <c r="AD178" i="13"/>
  <c r="AE178" i="13"/>
  <c r="AF178" i="13"/>
  <c r="AG178" i="13"/>
  <c r="AH178" i="13"/>
  <c r="AI178" i="13"/>
  <c r="AJ178" i="13"/>
  <c r="AK178" i="13"/>
  <c r="AL178" i="13"/>
  <c r="AM178" i="13"/>
  <c r="AN178" i="13"/>
  <c r="AO178" i="13"/>
  <c r="AP178" i="13"/>
  <c r="AQ178" i="13"/>
  <c r="AR178" i="13"/>
  <c r="AS178" i="13"/>
  <c r="N133" i="13"/>
  <c r="H133" i="13"/>
  <c r="L134" i="13"/>
  <c r="K133" i="13"/>
  <c r="AO6" i="10"/>
  <c r="P271" i="13"/>
  <c r="Q271" i="13"/>
  <c r="R271" i="13"/>
  <c r="S271" i="13"/>
  <c r="T271" i="13"/>
  <c r="U271" i="13"/>
  <c r="V271" i="13"/>
  <c r="W271" i="13"/>
  <c r="X271" i="13"/>
  <c r="Y271" i="13"/>
  <c r="Z271" i="13"/>
  <c r="AA271" i="13"/>
  <c r="AB271" i="13"/>
  <c r="AC271" i="13"/>
  <c r="AD271" i="13"/>
  <c r="AE271" i="13"/>
  <c r="AF271" i="13"/>
  <c r="AG271" i="13"/>
  <c r="AH271" i="13"/>
  <c r="AI271" i="13"/>
  <c r="AJ271" i="13"/>
  <c r="AK271" i="13"/>
  <c r="AL271" i="13"/>
  <c r="AM271" i="13"/>
  <c r="AN271" i="13"/>
  <c r="AO271" i="13"/>
  <c r="AP271" i="13"/>
  <c r="AQ271" i="13"/>
  <c r="AR271" i="13"/>
  <c r="AS271" i="13"/>
  <c r="L273" i="13"/>
  <c r="H272" i="13"/>
  <c r="N272" i="13"/>
  <c r="K272" i="13"/>
  <c r="AT316" i="13"/>
  <c r="P455" i="13"/>
  <c r="Q455" i="13"/>
  <c r="R455" i="13"/>
  <c r="S455" i="13"/>
  <c r="T455" i="13"/>
  <c r="U455" i="13"/>
  <c r="V455" i="13"/>
  <c r="W455" i="13"/>
  <c r="X455" i="13"/>
  <c r="Y455" i="13"/>
  <c r="Z455" i="13"/>
  <c r="AA455" i="13"/>
  <c r="AB455" i="13"/>
  <c r="AC455" i="13"/>
  <c r="AD455" i="13"/>
  <c r="AE455" i="13"/>
  <c r="AF455" i="13"/>
  <c r="AG455" i="13"/>
  <c r="AH455" i="13"/>
  <c r="AI455" i="13"/>
  <c r="AJ455" i="13"/>
  <c r="AK455" i="13"/>
  <c r="AL455" i="13"/>
  <c r="AM455" i="13"/>
  <c r="AN455" i="13"/>
  <c r="AO455" i="13"/>
  <c r="AP455" i="13"/>
  <c r="AQ455" i="13"/>
  <c r="AR455" i="13"/>
  <c r="AS455" i="13"/>
  <c r="P371" i="13"/>
  <c r="Q371" i="13"/>
  <c r="R371" i="13"/>
  <c r="S371" i="13"/>
  <c r="T371" i="13"/>
  <c r="U371" i="13"/>
  <c r="V371" i="13"/>
  <c r="W371" i="13"/>
  <c r="X371" i="13"/>
  <c r="Y371" i="13"/>
  <c r="Z371" i="13"/>
  <c r="AA371" i="13"/>
  <c r="AB371" i="13"/>
  <c r="AC371" i="13"/>
  <c r="AD371" i="13"/>
  <c r="AE371" i="13"/>
  <c r="AF371" i="13"/>
  <c r="AG371" i="13"/>
  <c r="AH371" i="13"/>
  <c r="AI371" i="13"/>
  <c r="AJ371" i="13"/>
  <c r="AK371" i="13"/>
  <c r="AL371" i="13"/>
  <c r="AM371" i="13"/>
  <c r="AN371" i="13"/>
  <c r="AO371" i="13"/>
  <c r="AP371" i="13"/>
  <c r="AQ371" i="13"/>
  <c r="AR371" i="13"/>
  <c r="AS371" i="13"/>
  <c r="K317" i="13"/>
  <c r="L318" i="13"/>
  <c r="H317" i="13"/>
  <c r="N317" i="13"/>
  <c r="AO91" i="10"/>
  <c r="AQ3" i="10"/>
  <c r="AP7" i="10" a="1"/>
  <c r="AP7" i="10" s="1"/>
  <c r="AP43" i="10" s="1"/>
  <c r="AP89" i="10"/>
  <c r="AP84" i="10"/>
  <c r="AP86" i="10" s="1"/>
  <c r="AP90" i="10"/>
  <c r="P409" i="13"/>
  <c r="Q409" i="13"/>
  <c r="R409" i="13"/>
  <c r="S409" i="13"/>
  <c r="T409" i="13"/>
  <c r="U409" i="13"/>
  <c r="V409" i="13"/>
  <c r="W409" i="13"/>
  <c r="X409" i="13"/>
  <c r="Y409" i="13"/>
  <c r="Z409" i="13"/>
  <c r="AA409" i="13"/>
  <c r="AB409" i="13"/>
  <c r="AC409" i="13"/>
  <c r="AD409" i="13"/>
  <c r="AE409" i="13"/>
  <c r="AF409" i="13"/>
  <c r="AG409" i="13"/>
  <c r="AH409" i="13"/>
  <c r="AI409" i="13"/>
  <c r="AJ409" i="13"/>
  <c r="AK409" i="13"/>
  <c r="AL409" i="13"/>
  <c r="AM409" i="13"/>
  <c r="AN409" i="13"/>
  <c r="AO409" i="13"/>
  <c r="AP409" i="13"/>
  <c r="AQ409" i="13"/>
  <c r="AR409" i="13"/>
  <c r="AS409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K41" i="13"/>
  <c r="AL41" i="13"/>
  <c r="AM41" i="13"/>
  <c r="AN41" i="13"/>
  <c r="AO41" i="13"/>
  <c r="AP41" i="13"/>
  <c r="AQ41" i="13"/>
  <c r="AR41" i="13"/>
  <c r="AS41" i="13"/>
  <c r="AQ45" i="10" l="1"/>
  <c r="AQ50" i="10" s="1"/>
  <c r="AR114" i="10"/>
  <c r="AR115" i="10" s="1"/>
  <c r="AR116" i="10" s="1"/>
  <c r="AM49" i="10"/>
  <c r="AN49" i="10"/>
  <c r="AO10" i="10"/>
  <c r="AO11" i="10"/>
  <c r="AO67" i="10"/>
  <c r="AO69" i="10"/>
  <c r="AO64" i="10"/>
  <c r="AQ95" i="10"/>
  <c r="AQ96" i="10" s="1"/>
  <c r="AU88" i="13"/>
  <c r="P317" i="13"/>
  <c r="Q317" i="13"/>
  <c r="R317" i="13"/>
  <c r="S317" i="13"/>
  <c r="T317" i="13"/>
  <c r="U317" i="13"/>
  <c r="V317" i="13"/>
  <c r="W317" i="13"/>
  <c r="X317" i="13"/>
  <c r="Y317" i="13"/>
  <c r="Z317" i="13"/>
  <c r="AA317" i="13"/>
  <c r="AB317" i="13"/>
  <c r="AC317" i="13"/>
  <c r="AD317" i="13"/>
  <c r="AE317" i="13"/>
  <c r="AF317" i="13"/>
  <c r="AG317" i="13"/>
  <c r="AH317" i="13"/>
  <c r="AI317" i="13"/>
  <c r="AJ317" i="13"/>
  <c r="AK317" i="13"/>
  <c r="AL317" i="13"/>
  <c r="AM317" i="13"/>
  <c r="AN317" i="13"/>
  <c r="AO317" i="13"/>
  <c r="AP317" i="13"/>
  <c r="AQ317" i="13"/>
  <c r="AR317" i="13"/>
  <c r="AS317" i="13"/>
  <c r="AT317" i="13"/>
  <c r="P272" i="13"/>
  <c r="Q272" i="13"/>
  <c r="R272" i="13"/>
  <c r="S272" i="13"/>
  <c r="T272" i="13"/>
  <c r="U272" i="13"/>
  <c r="V272" i="13"/>
  <c r="W272" i="13"/>
  <c r="X272" i="13"/>
  <c r="Y272" i="13"/>
  <c r="Z272" i="13"/>
  <c r="AA272" i="13"/>
  <c r="AB272" i="13"/>
  <c r="AC272" i="13"/>
  <c r="AD272" i="13"/>
  <c r="AE272" i="13"/>
  <c r="AF272" i="13"/>
  <c r="AG272" i="13"/>
  <c r="AH272" i="13"/>
  <c r="AI272" i="13"/>
  <c r="AJ272" i="13"/>
  <c r="AK272" i="13"/>
  <c r="AL272" i="13"/>
  <c r="AM272" i="13"/>
  <c r="AN272" i="13"/>
  <c r="AO272" i="13"/>
  <c r="AP272" i="13"/>
  <c r="AQ272" i="13"/>
  <c r="AR272" i="13"/>
  <c r="AS272" i="13"/>
  <c r="AT272" i="13"/>
  <c r="P133" i="13"/>
  <c r="Q133" i="13"/>
  <c r="R133" i="13"/>
  <c r="S133" i="13"/>
  <c r="T133" i="13"/>
  <c r="U133" i="13"/>
  <c r="V133" i="13"/>
  <c r="W133" i="13"/>
  <c r="X133" i="13"/>
  <c r="Y133" i="13"/>
  <c r="Z133" i="13"/>
  <c r="AA133" i="13"/>
  <c r="AB133" i="13"/>
  <c r="AC133" i="13"/>
  <c r="AD133" i="13"/>
  <c r="AE133" i="13"/>
  <c r="AF133" i="13"/>
  <c r="AG133" i="13"/>
  <c r="AH133" i="13"/>
  <c r="AI133" i="13"/>
  <c r="AJ133" i="13"/>
  <c r="AK133" i="13"/>
  <c r="AL133" i="13"/>
  <c r="AM133" i="13"/>
  <c r="AN133" i="13"/>
  <c r="AO133" i="13"/>
  <c r="AP133" i="13"/>
  <c r="AQ133" i="13"/>
  <c r="AR133" i="13"/>
  <c r="AS133" i="13"/>
  <c r="AT133" i="13"/>
  <c r="AS5" i="10"/>
  <c r="AR4" i="10"/>
  <c r="K180" i="13"/>
  <c r="AV180" i="13" s="1"/>
  <c r="L181" i="13"/>
  <c r="H180" i="13"/>
  <c r="N180" i="13"/>
  <c r="P372" i="13"/>
  <c r="Q372" i="13"/>
  <c r="R372" i="13"/>
  <c r="S372" i="13"/>
  <c r="T372" i="13"/>
  <c r="U372" i="13"/>
  <c r="V372" i="13"/>
  <c r="W372" i="13"/>
  <c r="X372" i="13"/>
  <c r="Y372" i="13"/>
  <c r="Z372" i="13"/>
  <c r="AA372" i="13"/>
  <c r="AB372" i="13"/>
  <c r="AC372" i="13"/>
  <c r="AD372" i="13"/>
  <c r="AE372" i="13"/>
  <c r="AF372" i="13"/>
  <c r="AG372" i="13"/>
  <c r="AH372" i="13"/>
  <c r="AI372" i="13"/>
  <c r="AJ372" i="13"/>
  <c r="AK372" i="13"/>
  <c r="AL372" i="13"/>
  <c r="AM372" i="13"/>
  <c r="AN372" i="13"/>
  <c r="AO372" i="13"/>
  <c r="AP372" i="13"/>
  <c r="AQ372" i="13"/>
  <c r="AR372" i="13"/>
  <c r="AS372" i="13"/>
  <c r="AT372" i="13"/>
  <c r="N227" i="13"/>
  <c r="H227" i="13"/>
  <c r="K227" i="13"/>
  <c r="AV227" i="13" s="1"/>
  <c r="L228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AN42" i="13"/>
  <c r="AO42" i="13"/>
  <c r="AP42" i="13"/>
  <c r="AQ42" i="13"/>
  <c r="AR42" i="13"/>
  <c r="AS42" i="13"/>
  <c r="AT42" i="13"/>
  <c r="AU272" i="13"/>
  <c r="AU372" i="13"/>
  <c r="AP96" i="10"/>
  <c r="AP91" i="10"/>
  <c r="N134" i="13"/>
  <c r="H134" i="13"/>
  <c r="L135" i="13"/>
  <c r="K134" i="13"/>
  <c r="AV134" i="13" s="1"/>
  <c r="P88" i="13"/>
  <c r="Q88" i="13"/>
  <c r="R88" i="13"/>
  <c r="S88" i="13"/>
  <c r="T88" i="13"/>
  <c r="U88" i="13"/>
  <c r="V88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AK88" i="13"/>
  <c r="AL88" i="13"/>
  <c r="AM88" i="13"/>
  <c r="AN88" i="13"/>
  <c r="AO88" i="13"/>
  <c r="AP88" i="13"/>
  <c r="AQ88" i="13"/>
  <c r="AR88" i="13"/>
  <c r="AS88" i="13"/>
  <c r="AT88" i="13"/>
  <c r="K43" i="13"/>
  <c r="AV43" i="13" s="1"/>
  <c r="N43" i="13"/>
  <c r="H43" i="13"/>
  <c r="L44" i="13"/>
  <c r="N411" i="13"/>
  <c r="H411" i="13"/>
  <c r="L412" i="13"/>
  <c r="K411" i="13"/>
  <c r="AV411" i="13" s="1"/>
  <c r="AU133" i="13"/>
  <c r="AP6" i="10"/>
  <c r="L90" i="13"/>
  <c r="K89" i="13"/>
  <c r="AV89" i="13" s="1"/>
  <c r="N89" i="13"/>
  <c r="H89" i="13"/>
  <c r="L374" i="13"/>
  <c r="N373" i="13"/>
  <c r="K373" i="13"/>
  <c r="AV373" i="13" s="1"/>
  <c r="H373" i="13"/>
  <c r="P410" i="13"/>
  <c r="Q410" i="13"/>
  <c r="R410" i="13"/>
  <c r="S410" i="13"/>
  <c r="T410" i="13"/>
  <c r="U410" i="13"/>
  <c r="V410" i="13"/>
  <c r="W410" i="13"/>
  <c r="X410" i="13"/>
  <c r="Y410" i="13"/>
  <c r="Z410" i="13"/>
  <c r="AA410" i="13"/>
  <c r="AB410" i="13"/>
  <c r="AC410" i="13"/>
  <c r="AD410" i="13"/>
  <c r="AE410" i="13"/>
  <c r="AF410" i="13"/>
  <c r="AG410" i="13"/>
  <c r="AH410" i="13"/>
  <c r="AI410" i="13"/>
  <c r="AJ410" i="13"/>
  <c r="AK410" i="13"/>
  <c r="AL410" i="13"/>
  <c r="AM410" i="13"/>
  <c r="AN410" i="13"/>
  <c r="AO410" i="13"/>
  <c r="AP410" i="13"/>
  <c r="AQ410" i="13"/>
  <c r="AR410" i="13"/>
  <c r="AS410" i="13"/>
  <c r="AT410" i="13"/>
  <c r="P456" i="13"/>
  <c r="Q456" i="13"/>
  <c r="R456" i="13"/>
  <c r="S456" i="13"/>
  <c r="T456" i="13"/>
  <c r="U456" i="13"/>
  <c r="V456" i="13"/>
  <c r="W456" i="13"/>
  <c r="X456" i="13"/>
  <c r="Y456" i="13"/>
  <c r="Z456" i="13"/>
  <c r="AA456" i="13"/>
  <c r="AB456" i="13"/>
  <c r="AC456" i="13"/>
  <c r="AD456" i="13"/>
  <c r="AE456" i="13"/>
  <c r="AF456" i="13"/>
  <c r="AG456" i="13"/>
  <c r="AH456" i="13"/>
  <c r="AI456" i="13"/>
  <c r="AJ456" i="13"/>
  <c r="AK456" i="13"/>
  <c r="AL456" i="13"/>
  <c r="AM456" i="13"/>
  <c r="AN456" i="13"/>
  <c r="AO456" i="13"/>
  <c r="AP456" i="13"/>
  <c r="AQ456" i="13"/>
  <c r="AR456" i="13"/>
  <c r="AS456" i="13"/>
  <c r="AT456" i="13"/>
  <c r="AV435" i="13"/>
  <c r="AV434" i="13"/>
  <c r="AV433" i="13"/>
  <c r="AV432" i="13"/>
  <c r="AV431" i="13"/>
  <c r="AV430" i="13"/>
  <c r="AV429" i="13"/>
  <c r="AV428" i="13"/>
  <c r="AV427" i="13"/>
  <c r="AV426" i="13"/>
  <c r="AV425" i="13"/>
  <c r="AV424" i="13"/>
  <c r="AV423" i="13"/>
  <c r="AV422" i="13"/>
  <c r="AV421" i="13"/>
  <c r="AV455" i="13"/>
  <c r="AV451" i="13"/>
  <c r="AV450" i="13"/>
  <c r="AV449" i="13"/>
  <c r="AV442" i="13"/>
  <c r="AV441" i="13"/>
  <c r="AV454" i="13"/>
  <c r="AV444" i="13"/>
  <c r="AV443" i="13"/>
  <c r="AV436" i="13"/>
  <c r="AV409" i="13"/>
  <c r="AV407" i="13"/>
  <c r="AV405" i="13"/>
  <c r="AV403" i="13"/>
  <c r="AV401" i="13"/>
  <c r="AV399" i="13"/>
  <c r="AV397" i="13"/>
  <c r="AV395" i="13"/>
  <c r="AV393" i="13"/>
  <c r="AV452" i="13"/>
  <c r="AV440" i="13"/>
  <c r="AV439" i="13"/>
  <c r="AV387" i="13"/>
  <c r="AV386" i="13"/>
  <c r="AV379" i="13"/>
  <c r="AV378" i="13"/>
  <c r="AV369" i="13"/>
  <c r="AV368" i="13"/>
  <c r="AV361" i="13"/>
  <c r="AV272" i="13"/>
  <c r="AV271" i="13"/>
  <c r="AV270" i="13"/>
  <c r="AV269" i="13"/>
  <c r="AV268" i="13"/>
  <c r="AV267" i="13"/>
  <c r="AV266" i="13"/>
  <c r="AV265" i="13"/>
  <c r="AV264" i="13"/>
  <c r="AV263" i="13"/>
  <c r="AV262" i="13"/>
  <c r="AV261" i="13"/>
  <c r="AV260" i="13"/>
  <c r="AV259" i="13"/>
  <c r="AV258" i="13"/>
  <c r="AV257" i="13"/>
  <c r="AV256" i="13"/>
  <c r="AV255" i="13"/>
  <c r="AV254" i="13"/>
  <c r="AV253" i="13"/>
  <c r="AV252" i="13"/>
  <c r="AV251" i="13"/>
  <c r="AV250" i="13"/>
  <c r="AV249" i="13"/>
  <c r="AV248" i="13"/>
  <c r="AV247" i="13"/>
  <c r="AV246" i="13"/>
  <c r="AV245" i="13"/>
  <c r="AV244" i="13"/>
  <c r="AV243" i="13"/>
  <c r="AV242" i="13"/>
  <c r="AV241" i="13"/>
  <c r="AV240" i="13"/>
  <c r="AV239" i="13"/>
  <c r="AV238" i="13"/>
  <c r="AV237" i="13"/>
  <c r="AV453" i="13"/>
  <c r="AV446" i="13"/>
  <c r="AV445" i="13"/>
  <c r="AV410" i="13"/>
  <c r="AV406" i="13"/>
  <c r="AV402" i="13"/>
  <c r="AV398" i="13"/>
  <c r="AV394" i="13"/>
  <c r="AV389" i="13"/>
  <c r="AV388" i="13"/>
  <c r="AV381" i="13"/>
  <c r="AV380" i="13"/>
  <c r="AV371" i="13"/>
  <c r="AV370" i="13"/>
  <c r="AV456" i="13"/>
  <c r="AV448" i="13"/>
  <c r="AV447" i="13"/>
  <c r="AV408" i="13"/>
  <c r="AV400" i="13"/>
  <c r="AV392" i="13"/>
  <c r="AV377" i="13"/>
  <c r="AV376" i="13"/>
  <c r="AV375" i="13"/>
  <c r="AV372" i="13"/>
  <c r="AV363" i="13"/>
  <c r="AV362" i="13"/>
  <c r="AV360" i="13"/>
  <c r="AV359" i="13"/>
  <c r="AV352" i="13"/>
  <c r="AV351" i="13"/>
  <c r="AV344" i="13"/>
  <c r="AV343" i="13"/>
  <c r="AV383" i="13"/>
  <c r="AV382" i="13"/>
  <c r="AV354" i="13"/>
  <c r="AV353" i="13"/>
  <c r="AV346" i="13"/>
  <c r="AV345" i="13"/>
  <c r="AV337" i="13"/>
  <c r="AV335" i="13"/>
  <c r="AV333" i="13"/>
  <c r="AV331" i="13"/>
  <c r="AV317" i="13"/>
  <c r="AV404" i="13"/>
  <c r="AV396" i="13"/>
  <c r="AV385" i="13"/>
  <c r="AV384" i="13"/>
  <c r="AV365" i="13"/>
  <c r="AV364" i="13"/>
  <c r="AV356" i="13"/>
  <c r="AV355" i="13"/>
  <c r="AV348" i="13"/>
  <c r="AV347" i="13"/>
  <c r="AV340" i="13"/>
  <c r="AV339" i="13"/>
  <c r="AV329" i="13"/>
  <c r="AV438" i="13"/>
  <c r="AV367" i="13"/>
  <c r="AV366" i="13"/>
  <c r="AV342" i="13"/>
  <c r="AV341" i="13"/>
  <c r="AV179" i="13"/>
  <c r="AV178" i="13"/>
  <c r="AV177" i="13"/>
  <c r="AV176" i="13"/>
  <c r="AV175" i="13"/>
  <c r="AV174" i="13"/>
  <c r="AV173" i="13"/>
  <c r="AV172" i="13"/>
  <c r="AV171" i="13"/>
  <c r="AV170" i="13"/>
  <c r="AV350" i="13"/>
  <c r="AV349" i="13"/>
  <c r="AV336" i="13"/>
  <c r="AV330" i="13"/>
  <c r="AV314" i="13"/>
  <c r="AV312" i="13"/>
  <c r="AV310" i="13"/>
  <c r="AV308" i="13"/>
  <c r="AV306" i="13"/>
  <c r="AV304" i="13"/>
  <c r="AV302" i="13"/>
  <c r="AV300" i="13"/>
  <c r="AV298" i="13"/>
  <c r="AV296" i="13"/>
  <c r="AV294" i="13"/>
  <c r="AV292" i="13"/>
  <c r="AV290" i="13"/>
  <c r="AV288" i="13"/>
  <c r="AV286" i="13"/>
  <c r="AV284" i="13"/>
  <c r="AV226" i="13"/>
  <c r="AV224" i="13"/>
  <c r="AV222" i="13"/>
  <c r="AV220" i="13"/>
  <c r="AV218" i="13"/>
  <c r="AV216" i="13"/>
  <c r="AV214" i="13"/>
  <c r="AV212" i="13"/>
  <c r="AV210" i="13"/>
  <c r="AV208" i="13"/>
  <c r="AV206" i="13"/>
  <c r="AV437" i="13"/>
  <c r="AV391" i="13"/>
  <c r="AV390" i="13"/>
  <c r="AV358" i="13"/>
  <c r="AV357" i="13"/>
  <c r="AV332" i="13"/>
  <c r="AV316" i="13"/>
  <c r="AV309" i="13"/>
  <c r="AV301" i="13"/>
  <c r="AV293" i="13"/>
  <c r="AV285" i="13"/>
  <c r="AV219" i="13"/>
  <c r="AV215" i="13"/>
  <c r="AV211" i="13"/>
  <c r="AV207" i="13"/>
  <c r="AV204" i="13"/>
  <c r="AV203" i="13"/>
  <c r="AV201" i="13"/>
  <c r="AV199" i="13"/>
  <c r="AV197" i="13"/>
  <c r="AV195" i="13"/>
  <c r="AV193" i="13"/>
  <c r="AV191" i="13"/>
  <c r="AV169" i="13"/>
  <c r="AV168" i="13"/>
  <c r="AV167" i="13"/>
  <c r="AV166" i="13"/>
  <c r="AV165" i="13"/>
  <c r="AV164" i="13"/>
  <c r="AV163" i="13"/>
  <c r="AV162" i="13"/>
  <c r="AV161" i="13"/>
  <c r="AV160" i="13"/>
  <c r="AV159" i="13"/>
  <c r="AV158" i="13"/>
  <c r="AV157" i="13"/>
  <c r="AV156" i="13"/>
  <c r="AV155" i="13"/>
  <c r="AV154" i="13"/>
  <c r="AV153" i="13"/>
  <c r="AV152" i="13"/>
  <c r="AV151" i="13"/>
  <c r="AV150" i="13"/>
  <c r="AV149" i="13"/>
  <c r="AV148" i="13"/>
  <c r="AV147" i="13"/>
  <c r="AV146" i="13"/>
  <c r="AV145" i="13"/>
  <c r="AV315" i="13"/>
  <c r="AV307" i="13"/>
  <c r="AV299" i="13"/>
  <c r="AV291" i="13"/>
  <c r="AV283" i="13"/>
  <c r="AV42" i="13"/>
  <c r="AV41" i="13"/>
  <c r="AV40" i="13"/>
  <c r="AV39" i="13"/>
  <c r="AV38" i="13"/>
  <c r="AV37" i="13"/>
  <c r="AV36" i="13"/>
  <c r="AV35" i="13"/>
  <c r="AV34" i="13"/>
  <c r="AV33" i="13"/>
  <c r="AV32" i="13"/>
  <c r="AV31" i="13"/>
  <c r="AV30" i="13"/>
  <c r="AV29" i="13"/>
  <c r="AV28" i="13"/>
  <c r="AV334" i="13"/>
  <c r="AV313" i="13"/>
  <c r="AV305" i="13"/>
  <c r="AV297" i="13"/>
  <c r="AV289" i="13"/>
  <c r="AV225" i="13"/>
  <c r="AV221" i="13"/>
  <c r="AV217" i="13"/>
  <c r="AV213" i="13"/>
  <c r="AV209" i="13"/>
  <c r="AV205" i="13"/>
  <c r="AV202" i="13"/>
  <c r="AV200" i="13"/>
  <c r="AV198" i="13"/>
  <c r="AV196" i="13"/>
  <c r="AV194" i="13"/>
  <c r="AV303" i="13"/>
  <c r="AV53" i="13"/>
  <c r="AV338" i="13"/>
  <c r="AV295" i="13"/>
  <c r="AV223" i="13"/>
  <c r="AV287" i="13"/>
  <c r="AV133" i="13"/>
  <c r="AV132" i="13"/>
  <c r="AV131" i="13"/>
  <c r="AV130" i="13"/>
  <c r="AV129" i="13"/>
  <c r="AV128" i="13"/>
  <c r="AV127" i="13"/>
  <c r="AV126" i="13"/>
  <c r="AV125" i="13"/>
  <c r="AV124" i="13"/>
  <c r="AV123" i="13"/>
  <c r="AV122" i="13"/>
  <c r="AV121" i="13"/>
  <c r="AV120" i="13"/>
  <c r="AV119" i="13"/>
  <c r="AV118" i="13"/>
  <c r="AV117" i="13"/>
  <c r="AV116" i="13"/>
  <c r="AV115" i="13"/>
  <c r="AV114" i="13"/>
  <c r="AV113" i="13"/>
  <c r="AV112" i="13"/>
  <c r="AV111" i="13"/>
  <c r="AV110" i="13"/>
  <c r="AV109" i="13"/>
  <c r="AV108" i="13"/>
  <c r="AV107" i="13"/>
  <c r="AV106" i="13"/>
  <c r="AV105" i="13"/>
  <c r="AV104" i="13"/>
  <c r="AV103" i="13"/>
  <c r="AV102" i="13"/>
  <c r="AV101" i="13"/>
  <c r="AV100" i="13"/>
  <c r="AV26" i="13"/>
  <c r="AV25" i="13"/>
  <c r="AV24" i="13"/>
  <c r="AV23" i="13"/>
  <c r="AV22" i="13"/>
  <c r="AV21" i="13"/>
  <c r="AV20" i="13"/>
  <c r="AV19" i="13"/>
  <c r="AV18" i="13"/>
  <c r="AV17" i="13"/>
  <c r="AV16" i="13"/>
  <c r="AV15" i="13"/>
  <c r="AV14" i="13"/>
  <c r="AV13" i="13"/>
  <c r="AV12" i="13"/>
  <c r="AV11" i="13"/>
  <c r="AV10" i="13"/>
  <c r="AV9" i="13"/>
  <c r="AV8" i="13"/>
  <c r="AV7" i="13"/>
  <c r="AV192" i="13"/>
  <c r="AV99" i="13"/>
  <c r="AV88" i="13"/>
  <c r="AV86" i="13"/>
  <c r="AV84" i="13"/>
  <c r="AV82" i="13"/>
  <c r="AV80" i="13"/>
  <c r="AV78" i="13"/>
  <c r="AV76" i="13"/>
  <c r="AV74" i="13"/>
  <c r="AV72" i="13"/>
  <c r="AV70" i="13"/>
  <c r="AV68" i="13"/>
  <c r="AV66" i="13"/>
  <c r="AV64" i="13"/>
  <c r="AV62" i="13"/>
  <c r="AV60" i="13"/>
  <c r="AV58" i="13"/>
  <c r="AV56" i="13"/>
  <c r="AV54" i="13"/>
  <c r="AV311" i="13"/>
  <c r="AV27" i="13"/>
  <c r="AV87" i="13"/>
  <c r="AV85" i="13"/>
  <c r="AV83" i="13"/>
  <c r="AV81" i="13"/>
  <c r="AV79" i="13"/>
  <c r="AV77" i="13"/>
  <c r="AV75" i="13"/>
  <c r="AV69" i="13"/>
  <c r="AV61" i="13"/>
  <c r="AV71" i="13"/>
  <c r="AV63" i="13"/>
  <c r="AV55" i="13"/>
  <c r="AW5" i="13"/>
  <c r="AV73" i="13"/>
  <c r="AV65" i="13"/>
  <c r="AV57" i="13"/>
  <c r="AV67" i="13"/>
  <c r="AV59" i="13"/>
  <c r="AU317" i="13"/>
  <c r="AQ7" i="10" a="1"/>
  <c r="AQ7" i="10" s="1"/>
  <c r="AQ6" i="10" s="1"/>
  <c r="AQ37" i="10" s="1"/>
  <c r="AR3" i="10"/>
  <c r="AR45" i="10" s="1"/>
  <c r="AR50" i="10" s="1"/>
  <c r="AQ84" i="10"/>
  <c r="AQ86" i="10" s="1"/>
  <c r="AQ89" i="10"/>
  <c r="AQ90" i="10"/>
  <c r="K318" i="13"/>
  <c r="L319" i="13"/>
  <c r="H318" i="13"/>
  <c r="N318" i="13"/>
  <c r="K273" i="13"/>
  <c r="L274" i="13"/>
  <c r="H273" i="13"/>
  <c r="N273" i="13"/>
  <c r="AO23" i="10"/>
  <c r="AO31" i="10"/>
  <c r="AO30" i="10"/>
  <c r="AO33" i="10"/>
  <c r="AO25" i="10"/>
  <c r="AO17" i="10"/>
  <c r="AO26" i="10"/>
  <c r="AO16" i="10"/>
  <c r="AO32" i="10"/>
  <c r="AO14" i="10"/>
  <c r="AO15" i="10"/>
  <c r="AO24" i="10"/>
  <c r="AO12" i="10"/>
  <c r="AO36" i="10"/>
  <c r="AO27" i="10"/>
  <c r="AO28" i="10"/>
  <c r="AO22" i="10"/>
  <c r="AO29" i="10"/>
  <c r="AO35" i="10"/>
  <c r="AO38" i="10"/>
  <c r="AO37" i="10"/>
  <c r="AO34" i="10"/>
  <c r="AO19" i="10"/>
  <c r="AO21" i="10"/>
  <c r="AO18" i="10"/>
  <c r="AO13" i="10"/>
  <c r="AO20" i="10"/>
  <c r="P179" i="13"/>
  <c r="Q179" i="13"/>
  <c r="R179" i="13"/>
  <c r="S179" i="13"/>
  <c r="T179" i="13"/>
  <c r="U179" i="13"/>
  <c r="V179" i="13"/>
  <c r="W179" i="13"/>
  <c r="X179" i="13"/>
  <c r="Y179" i="13"/>
  <c r="Z179" i="13"/>
  <c r="AA179" i="13"/>
  <c r="AB179" i="13"/>
  <c r="AC179" i="13"/>
  <c r="AD179" i="13"/>
  <c r="AE179" i="13"/>
  <c r="AF179" i="13"/>
  <c r="AG179" i="13"/>
  <c r="AH179" i="13"/>
  <c r="AI179" i="13"/>
  <c r="AJ179" i="13"/>
  <c r="AK179" i="13"/>
  <c r="AL179" i="13"/>
  <c r="AM179" i="13"/>
  <c r="AN179" i="13"/>
  <c r="AO179" i="13"/>
  <c r="AP179" i="13"/>
  <c r="AQ179" i="13"/>
  <c r="AR179" i="13"/>
  <c r="AS179" i="13"/>
  <c r="AT179" i="13"/>
  <c r="P226" i="13"/>
  <c r="Q226" i="13"/>
  <c r="R226" i="13"/>
  <c r="S226" i="13"/>
  <c r="T226" i="13"/>
  <c r="U226" i="13"/>
  <c r="V226" i="13"/>
  <c r="W226" i="13"/>
  <c r="X226" i="13"/>
  <c r="Y226" i="13"/>
  <c r="Z226" i="13"/>
  <c r="AA226" i="13"/>
  <c r="AB226" i="13"/>
  <c r="AC226" i="13"/>
  <c r="AD226" i="13"/>
  <c r="AE226" i="13"/>
  <c r="AF226" i="13"/>
  <c r="AG226" i="13"/>
  <c r="AH226" i="13"/>
  <c r="AI226" i="13"/>
  <c r="AJ226" i="13"/>
  <c r="AK226" i="13"/>
  <c r="AL226" i="13"/>
  <c r="AM226" i="13"/>
  <c r="AN226" i="13"/>
  <c r="AO226" i="13"/>
  <c r="AP226" i="13"/>
  <c r="AQ226" i="13"/>
  <c r="AR226" i="13"/>
  <c r="AS226" i="13"/>
  <c r="AT226" i="13"/>
  <c r="N457" i="13"/>
  <c r="H457" i="13"/>
  <c r="L458" i="13"/>
  <c r="K457" i="13"/>
  <c r="AU42" i="13"/>
  <c r="AS114" i="10" l="1"/>
  <c r="AS115" i="10" s="1"/>
  <c r="AS116" i="10" s="1"/>
  <c r="AP69" i="10"/>
  <c r="AP67" i="10"/>
  <c r="AP10" i="10"/>
  <c r="AP64" i="10"/>
  <c r="AP11" i="10"/>
  <c r="AQ17" i="10"/>
  <c r="AQ43" i="10"/>
  <c r="AQ67" i="10"/>
  <c r="AQ64" i="10"/>
  <c r="AQ11" i="10"/>
  <c r="AQ10" i="10"/>
  <c r="AQ69" i="10"/>
  <c r="AS128" i="10"/>
  <c r="AQ36" i="10"/>
  <c r="AQ12" i="10"/>
  <c r="AQ27" i="10"/>
  <c r="AQ28" i="10"/>
  <c r="AQ13" i="10"/>
  <c r="AQ20" i="10"/>
  <c r="AQ35" i="10"/>
  <c r="AR95" i="10"/>
  <c r="AQ91" i="10"/>
  <c r="AQ99" i="10" s="1"/>
  <c r="AP99" i="10"/>
  <c r="N458" i="13"/>
  <c r="H458" i="13"/>
  <c r="L459" i="13"/>
  <c r="K458" i="13"/>
  <c r="AW458" i="13" s="1"/>
  <c r="N374" i="13"/>
  <c r="H374" i="13"/>
  <c r="K374" i="13"/>
  <c r="AW374" i="13" s="1"/>
  <c r="L91" i="13"/>
  <c r="K90" i="13"/>
  <c r="AW90" i="13" s="1"/>
  <c r="N90" i="13"/>
  <c r="H90" i="13"/>
  <c r="AP17" i="10"/>
  <c r="AP32" i="10"/>
  <c r="AP24" i="10"/>
  <c r="AP16" i="10"/>
  <c r="AP31" i="10"/>
  <c r="AP21" i="10"/>
  <c r="AP38" i="10"/>
  <c r="AP30" i="10"/>
  <c r="AP22" i="10"/>
  <c r="AP14" i="10"/>
  <c r="AP23" i="10"/>
  <c r="AP19" i="10"/>
  <c r="AP35" i="10"/>
  <c r="AP36" i="10"/>
  <c r="AP20" i="10"/>
  <c r="AP37" i="10"/>
  <c r="AP29" i="10"/>
  <c r="AP27" i="10"/>
  <c r="AP34" i="10"/>
  <c r="AP18" i="10"/>
  <c r="AP25" i="10"/>
  <c r="AP28" i="10"/>
  <c r="AP12" i="10"/>
  <c r="AP15" i="10"/>
  <c r="AP13" i="10"/>
  <c r="AP26" i="10"/>
  <c r="AP33" i="10"/>
  <c r="AQ32" i="10"/>
  <c r="AQ19" i="10"/>
  <c r="N135" i="13"/>
  <c r="H135" i="13"/>
  <c r="L136" i="13"/>
  <c r="K135" i="13"/>
  <c r="AW135" i="13" s="1"/>
  <c r="P227" i="13"/>
  <c r="Q227" i="13"/>
  <c r="R227" i="13"/>
  <c r="S227" i="13"/>
  <c r="T227" i="13"/>
  <c r="U227" i="13"/>
  <c r="V227" i="13"/>
  <c r="W227" i="13"/>
  <c r="X227" i="13"/>
  <c r="Y227" i="13"/>
  <c r="Z227" i="13"/>
  <c r="AA227" i="13"/>
  <c r="AB227" i="13"/>
  <c r="AC227" i="13"/>
  <c r="AD227" i="13"/>
  <c r="AE227" i="13"/>
  <c r="AF227" i="13"/>
  <c r="AG227" i="13"/>
  <c r="AH227" i="13"/>
  <c r="AI227" i="13"/>
  <c r="AJ227" i="13"/>
  <c r="AK227" i="13"/>
  <c r="AL227" i="13"/>
  <c r="AM227" i="13"/>
  <c r="AN227" i="13"/>
  <c r="AO227" i="13"/>
  <c r="AP227" i="13"/>
  <c r="AQ227" i="13"/>
  <c r="AR227" i="13"/>
  <c r="AS227" i="13"/>
  <c r="AT227" i="13"/>
  <c r="AU227" i="13"/>
  <c r="P180" i="13"/>
  <c r="Q180" i="13"/>
  <c r="R180" i="13"/>
  <c r="S180" i="13"/>
  <c r="T180" i="13"/>
  <c r="U180" i="13"/>
  <c r="V180" i="13"/>
  <c r="W180" i="13"/>
  <c r="X180" i="13"/>
  <c r="Y180" i="13"/>
  <c r="Z180" i="13"/>
  <c r="AA180" i="13"/>
  <c r="AB180" i="13"/>
  <c r="AC180" i="13"/>
  <c r="AD180" i="13"/>
  <c r="AE180" i="13"/>
  <c r="AF180" i="13"/>
  <c r="AG180" i="13"/>
  <c r="AH180" i="13"/>
  <c r="AI180" i="13"/>
  <c r="AJ180" i="13"/>
  <c r="AK180" i="13"/>
  <c r="AL180" i="13"/>
  <c r="AM180" i="13"/>
  <c r="AN180" i="13"/>
  <c r="AO180" i="13"/>
  <c r="AP180" i="13"/>
  <c r="AQ180" i="13"/>
  <c r="AR180" i="13"/>
  <c r="AS180" i="13"/>
  <c r="AT180" i="13"/>
  <c r="AU180" i="13"/>
  <c r="AQ14" i="10"/>
  <c r="AT5" i="10"/>
  <c r="AS4" i="10"/>
  <c r="AQ29" i="10"/>
  <c r="L275" i="13"/>
  <c r="H274" i="13"/>
  <c r="N274" i="13"/>
  <c r="K274" i="13"/>
  <c r="AW274" i="13" s="1"/>
  <c r="K319" i="13"/>
  <c r="AW319" i="13" s="1"/>
  <c r="L320" i="13"/>
  <c r="H319" i="13"/>
  <c r="N319" i="13"/>
  <c r="AQ34" i="10"/>
  <c r="AQ25" i="10"/>
  <c r="P43" i="13"/>
  <c r="Q43" i="13"/>
  <c r="R43" i="13"/>
  <c r="S43" i="13"/>
  <c r="T43" i="13"/>
  <c r="U43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K43" i="13"/>
  <c r="AL43" i="13"/>
  <c r="AM43" i="13"/>
  <c r="AN43" i="13"/>
  <c r="AO43" i="13"/>
  <c r="AP43" i="13"/>
  <c r="AQ43" i="13"/>
  <c r="AR43" i="13"/>
  <c r="AS43" i="13"/>
  <c r="AT43" i="13"/>
  <c r="AU43" i="13"/>
  <c r="AQ24" i="10"/>
  <c r="AQ38" i="10"/>
  <c r="AQ15" i="10"/>
  <c r="AO39" i="10"/>
  <c r="AO47" i="10" s="1"/>
  <c r="P273" i="13"/>
  <c r="Q273" i="13"/>
  <c r="R273" i="13"/>
  <c r="S273" i="13"/>
  <c r="T273" i="13"/>
  <c r="U273" i="13"/>
  <c r="V273" i="13"/>
  <c r="W273" i="13"/>
  <c r="X273" i="13"/>
  <c r="Y273" i="13"/>
  <c r="Z273" i="13"/>
  <c r="AA273" i="13"/>
  <c r="AB273" i="13"/>
  <c r="AC273" i="13"/>
  <c r="AD273" i="13"/>
  <c r="AE273" i="13"/>
  <c r="AF273" i="13"/>
  <c r="AG273" i="13"/>
  <c r="AH273" i="13"/>
  <c r="AI273" i="13"/>
  <c r="AJ273" i="13"/>
  <c r="AK273" i="13"/>
  <c r="AL273" i="13"/>
  <c r="AM273" i="13"/>
  <c r="AN273" i="13"/>
  <c r="AO273" i="13"/>
  <c r="AP273" i="13"/>
  <c r="AQ273" i="13"/>
  <c r="AR273" i="13"/>
  <c r="AS273" i="13"/>
  <c r="AT273" i="13"/>
  <c r="AU273" i="13"/>
  <c r="P318" i="13"/>
  <c r="Q318" i="13"/>
  <c r="R318" i="13"/>
  <c r="S318" i="13"/>
  <c r="T318" i="13"/>
  <c r="U318" i="13"/>
  <c r="V318" i="13"/>
  <c r="W318" i="13"/>
  <c r="X318" i="13"/>
  <c r="Y318" i="13"/>
  <c r="Z318" i="13"/>
  <c r="AA318" i="13"/>
  <c r="AB318" i="13"/>
  <c r="AC318" i="13"/>
  <c r="AD318" i="13"/>
  <c r="AE318" i="13"/>
  <c r="AF318" i="13"/>
  <c r="AG318" i="13"/>
  <c r="AH318" i="13"/>
  <c r="AI318" i="13"/>
  <c r="AJ318" i="13"/>
  <c r="AK318" i="13"/>
  <c r="AL318" i="13"/>
  <c r="AM318" i="13"/>
  <c r="AN318" i="13"/>
  <c r="AO318" i="13"/>
  <c r="AP318" i="13"/>
  <c r="AQ318" i="13"/>
  <c r="AR318" i="13"/>
  <c r="AS318" i="13"/>
  <c r="AT318" i="13"/>
  <c r="AU318" i="13"/>
  <c r="AR7" i="10" a="1"/>
  <c r="AR7" i="10" s="1"/>
  <c r="AS3" i="10"/>
  <c r="AS45" i="10" s="1"/>
  <c r="AR84" i="10"/>
  <c r="AR86" i="10" s="1"/>
  <c r="AR89" i="10"/>
  <c r="AR90" i="10"/>
  <c r="AW457" i="13"/>
  <c r="AW456" i="13"/>
  <c r="AW455" i="13"/>
  <c r="AW454" i="13"/>
  <c r="AW453" i="13"/>
  <c r="AW452" i="13"/>
  <c r="AW451" i="13"/>
  <c r="AW450" i="13"/>
  <c r="AW448" i="13"/>
  <c r="AW446" i="13"/>
  <c r="AW444" i="13"/>
  <c r="AW442" i="13"/>
  <c r="AW440" i="13"/>
  <c r="AW438" i="13"/>
  <c r="AW436" i="13"/>
  <c r="AW443" i="13"/>
  <c r="AW435" i="13"/>
  <c r="AW433" i="13"/>
  <c r="AW431" i="13"/>
  <c r="AW429" i="13"/>
  <c r="AW427" i="13"/>
  <c r="AW425" i="13"/>
  <c r="AW423" i="13"/>
  <c r="AW421" i="13"/>
  <c r="AW411" i="13"/>
  <c r="AW409" i="13"/>
  <c r="AW407" i="13"/>
  <c r="AW405" i="13"/>
  <c r="AW403" i="13"/>
  <c r="AW401" i="13"/>
  <c r="AW399" i="13"/>
  <c r="AW397" i="13"/>
  <c r="AW395" i="13"/>
  <c r="AW393" i="13"/>
  <c r="AW391" i="13"/>
  <c r="AW389" i="13"/>
  <c r="AW387" i="13"/>
  <c r="AW385" i="13"/>
  <c r="AW383" i="13"/>
  <c r="AW381" i="13"/>
  <c r="AW379" i="13"/>
  <c r="AW377" i="13"/>
  <c r="AW375" i="13"/>
  <c r="AW373" i="13"/>
  <c r="AW371" i="13"/>
  <c r="AW369" i="13"/>
  <c r="AW367" i="13"/>
  <c r="AW365" i="13"/>
  <c r="AW363" i="13"/>
  <c r="AW361" i="13"/>
  <c r="AW360" i="13"/>
  <c r="AW359" i="13"/>
  <c r="AW358" i="13"/>
  <c r="AW357" i="13"/>
  <c r="AW356" i="13"/>
  <c r="AW355" i="13"/>
  <c r="AW354" i="13"/>
  <c r="AW353" i="13"/>
  <c r="AW352" i="13"/>
  <c r="AW351" i="13"/>
  <c r="AW350" i="13"/>
  <c r="AW349" i="13"/>
  <c r="AW348" i="13"/>
  <c r="AW347" i="13"/>
  <c r="AW346" i="13"/>
  <c r="AW345" i="13"/>
  <c r="AW344" i="13"/>
  <c r="AW343" i="13"/>
  <c r="AW342" i="13"/>
  <c r="AW341" i="13"/>
  <c r="AW340" i="13"/>
  <c r="AW339" i="13"/>
  <c r="AW445" i="13"/>
  <c r="AW437" i="13"/>
  <c r="AW441" i="13"/>
  <c r="AW410" i="13"/>
  <c r="AW406" i="13"/>
  <c r="AW402" i="13"/>
  <c r="AW398" i="13"/>
  <c r="AW394" i="13"/>
  <c r="AW388" i="13"/>
  <c r="AW380" i="13"/>
  <c r="AW370" i="13"/>
  <c r="AW362" i="13"/>
  <c r="AW318" i="13"/>
  <c r="AW317" i="13"/>
  <c r="AW316" i="13"/>
  <c r="AW315" i="13"/>
  <c r="AW314" i="13"/>
  <c r="AW313" i="13"/>
  <c r="AW312" i="13"/>
  <c r="AW311" i="13"/>
  <c r="AW310" i="13"/>
  <c r="AW309" i="13"/>
  <c r="AW308" i="13"/>
  <c r="AW307" i="13"/>
  <c r="AW306" i="13"/>
  <c r="AW305" i="13"/>
  <c r="AW304" i="13"/>
  <c r="AW303" i="13"/>
  <c r="AW302" i="13"/>
  <c r="AW301" i="13"/>
  <c r="AW300" i="13"/>
  <c r="AW299" i="13"/>
  <c r="AW298" i="13"/>
  <c r="AW297" i="13"/>
  <c r="AW296" i="13"/>
  <c r="AW295" i="13"/>
  <c r="AW294" i="13"/>
  <c r="AW293" i="13"/>
  <c r="AW292" i="13"/>
  <c r="AW291" i="13"/>
  <c r="AW290" i="13"/>
  <c r="AW289" i="13"/>
  <c r="AW288" i="13"/>
  <c r="AW287" i="13"/>
  <c r="AW286" i="13"/>
  <c r="AW285" i="13"/>
  <c r="AW284" i="13"/>
  <c r="AW283" i="13"/>
  <c r="AW447" i="13"/>
  <c r="AW434" i="13"/>
  <c r="AW430" i="13"/>
  <c r="AW426" i="13"/>
  <c r="AW422" i="13"/>
  <c r="AW390" i="13"/>
  <c r="AW382" i="13"/>
  <c r="AW372" i="13"/>
  <c r="AW364" i="13"/>
  <c r="AW449" i="13"/>
  <c r="AW378" i="13"/>
  <c r="AW337" i="13"/>
  <c r="AW335" i="13"/>
  <c r="AW333" i="13"/>
  <c r="AW331" i="13"/>
  <c r="AW428" i="13"/>
  <c r="AW404" i="13"/>
  <c r="AW396" i="13"/>
  <c r="AW384" i="13"/>
  <c r="AW329" i="13"/>
  <c r="AW386" i="13"/>
  <c r="AW366" i="13"/>
  <c r="AW338" i="13"/>
  <c r="AW336" i="13"/>
  <c r="AW334" i="13"/>
  <c r="AW332" i="13"/>
  <c r="AW330" i="13"/>
  <c r="AW400" i="13"/>
  <c r="AW368" i="13"/>
  <c r="AW272" i="13"/>
  <c r="AW270" i="13"/>
  <c r="AW268" i="13"/>
  <c r="AW266" i="13"/>
  <c r="AW264" i="13"/>
  <c r="AW262" i="13"/>
  <c r="AW260" i="13"/>
  <c r="AW258" i="13"/>
  <c r="AW256" i="13"/>
  <c r="AW254" i="13"/>
  <c r="AW252" i="13"/>
  <c r="AW250" i="13"/>
  <c r="AW248" i="13"/>
  <c r="AW246" i="13"/>
  <c r="AW244" i="13"/>
  <c r="AW242" i="13"/>
  <c r="AW240" i="13"/>
  <c r="AW238" i="13"/>
  <c r="AW226" i="13"/>
  <c r="AW224" i="13"/>
  <c r="AW222" i="13"/>
  <c r="AW220" i="13"/>
  <c r="AW218" i="13"/>
  <c r="AW216" i="13"/>
  <c r="AW214" i="13"/>
  <c r="AW212" i="13"/>
  <c r="AW210" i="13"/>
  <c r="AW208" i="13"/>
  <c r="AW206" i="13"/>
  <c r="AW204" i="13"/>
  <c r="AW202" i="13"/>
  <c r="AW201" i="13"/>
  <c r="AW200" i="13"/>
  <c r="AW199" i="13"/>
  <c r="AW198" i="13"/>
  <c r="AW197" i="13"/>
  <c r="AW196" i="13"/>
  <c r="AW195" i="13"/>
  <c r="AW194" i="13"/>
  <c r="AW193" i="13"/>
  <c r="AW192" i="13"/>
  <c r="AW191" i="13"/>
  <c r="AW439" i="13"/>
  <c r="AW432" i="13"/>
  <c r="AW392" i="13"/>
  <c r="AW376" i="13"/>
  <c r="AW273" i="13"/>
  <c r="AW271" i="13"/>
  <c r="AW269" i="13"/>
  <c r="AW267" i="13"/>
  <c r="AW265" i="13"/>
  <c r="AW263" i="13"/>
  <c r="AW261" i="13"/>
  <c r="AW259" i="13"/>
  <c r="AW257" i="13"/>
  <c r="AW255" i="13"/>
  <c r="AW253" i="13"/>
  <c r="AW251" i="13"/>
  <c r="AW249" i="13"/>
  <c r="AW247" i="13"/>
  <c r="AW245" i="13"/>
  <c r="AW243" i="13"/>
  <c r="AW241" i="13"/>
  <c r="AW239" i="13"/>
  <c r="AW237" i="13"/>
  <c r="AW227" i="13"/>
  <c r="AW225" i="13"/>
  <c r="AW223" i="13"/>
  <c r="AW43" i="13"/>
  <c r="AW42" i="13"/>
  <c r="AW41" i="13"/>
  <c r="AW40" i="13"/>
  <c r="AW39" i="13"/>
  <c r="AW38" i="13"/>
  <c r="AW37" i="13"/>
  <c r="AW36" i="13"/>
  <c r="AW35" i="13"/>
  <c r="AW34" i="13"/>
  <c r="AW33" i="13"/>
  <c r="AW32" i="13"/>
  <c r="AW31" i="13"/>
  <c r="AW30" i="13"/>
  <c r="AW29" i="13"/>
  <c r="AW28" i="13"/>
  <c r="AW27" i="13"/>
  <c r="AW424" i="13"/>
  <c r="AW221" i="13"/>
  <c r="AW217" i="13"/>
  <c r="AW213" i="13"/>
  <c r="AW209" i="13"/>
  <c r="AW205" i="13"/>
  <c r="AW180" i="13"/>
  <c r="AW178" i="13"/>
  <c r="AW176" i="13"/>
  <c r="AW174" i="13"/>
  <c r="AW172" i="13"/>
  <c r="AW170" i="13"/>
  <c r="AW89" i="13"/>
  <c r="AW88" i="13"/>
  <c r="AW87" i="13"/>
  <c r="AW86" i="13"/>
  <c r="AW85" i="13"/>
  <c r="AW84" i="13"/>
  <c r="AW83" i="13"/>
  <c r="AW82" i="13"/>
  <c r="AW81" i="13"/>
  <c r="AW80" i="13"/>
  <c r="AW79" i="13"/>
  <c r="AW78" i="13"/>
  <c r="AW77" i="13"/>
  <c r="AW76" i="13"/>
  <c r="AW75" i="13"/>
  <c r="AW74" i="13"/>
  <c r="AW73" i="13"/>
  <c r="AW72" i="13"/>
  <c r="AW71" i="13"/>
  <c r="AW70" i="13"/>
  <c r="AW69" i="13"/>
  <c r="AW68" i="13"/>
  <c r="AW67" i="13"/>
  <c r="AW66" i="13"/>
  <c r="AW65" i="13"/>
  <c r="AW64" i="13"/>
  <c r="AW63" i="13"/>
  <c r="AW62" i="13"/>
  <c r="AW61" i="13"/>
  <c r="AW60" i="13"/>
  <c r="AW59" i="13"/>
  <c r="AW58" i="13"/>
  <c r="AW57" i="13"/>
  <c r="AW56" i="13"/>
  <c r="AW55" i="13"/>
  <c r="AW54" i="13"/>
  <c r="AW53" i="13"/>
  <c r="AW408" i="13"/>
  <c r="AW207" i="13"/>
  <c r="AW177" i="13"/>
  <c r="AW173" i="13"/>
  <c r="AW169" i="13"/>
  <c r="AW168" i="13"/>
  <c r="AW167" i="13"/>
  <c r="AW166" i="13"/>
  <c r="AW165" i="13"/>
  <c r="AW164" i="13"/>
  <c r="AW163" i="13"/>
  <c r="AW162" i="13"/>
  <c r="AW161" i="13"/>
  <c r="AW160" i="13"/>
  <c r="AW159" i="13"/>
  <c r="AW158" i="13"/>
  <c r="AW157" i="13"/>
  <c r="AW156" i="13"/>
  <c r="AW155" i="13"/>
  <c r="AW154" i="13"/>
  <c r="AW153" i="13"/>
  <c r="AW152" i="13"/>
  <c r="AW151" i="13"/>
  <c r="AW150" i="13"/>
  <c r="AW149" i="13"/>
  <c r="AW148" i="13"/>
  <c r="AW147" i="13"/>
  <c r="AW146" i="13"/>
  <c r="AW145" i="13"/>
  <c r="AW219" i="13"/>
  <c r="AW215" i="13"/>
  <c r="AW203" i="13"/>
  <c r="AW179" i="13"/>
  <c r="AW175" i="13"/>
  <c r="AW171" i="13"/>
  <c r="AW99" i="13"/>
  <c r="AW133" i="13"/>
  <c r="AW131" i="13"/>
  <c r="AW129" i="13"/>
  <c r="AW127" i="13"/>
  <c r="AW125" i="13"/>
  <c r="AW123" i="13"/>
  <c r="AW121" i="13"/>
  <c r="AW119" i="13"/>
  <c r="AW117" i="13"/>
  <c r="AW115" i="13"/>
  <c r="AW113" i="13"/>
  <c r="AW111" i="13"/>
  <c r="AW109" i="13"/>
  <c r="AW107" i="13"/>
  <c r="AW105" i="13"/>
  <c r="AW103" i="13"/>
  <c r="AW101" i="13"/>
  <c r="AW26" i="13"/>
  <c r="AW25" i="13"/>
  <c r="AW24" i="13"/>
  <c r="AW23" i="13"/>
  <c r="AW22" i="13"/>
  <c r="AW21" i="13"/>
  <c r="AW20" i="13"/>
  <c r="AW19" i="13"/>
  <c r="AW134" i="13"/>
  <c r="AW132" i="13"/>
  <c r="AW130" i="13"/>
  <c r="AW128" i="13"/>
  <c r="AW126" i="13"/>
  <c r="AW124" i="13"/>
  <c r="AW122" i="13"/>
  <c r="AW120" i="13"/>
  <c r="AW118" i="13"/>
  <c r="AW116" i="13"/>
  <c r="AW114" i="13"/>
  <c r="AW112" i="13"/>
  <c r="AW110" i="13"/>
  <c r="AW108" i="13"/>
  <c r="AW106" i="13"/>
  <c r="AW104" i="13"/>
  <c r="AW102" i="13"/>
  <c r="AW100" i="13"/>
  <c r="AX5" i="13"/>
  <c r="AW211" i="13"/>
  <c r="AW17" i="13"/>
  <c r="AW15" i="13"/>
  <c r="AW13" i="13"/>
  <c r="AW11" i="13"/>
  <c r="AW9" i="13"/>
  <c r="AW18" i="13"/>
  <c r="AW16" i="13"/>
  <c r="AW14" i="13"/>
  <c r="AW12" i="13"/>
  <c r="AW10" i="13"/>
  <c r="AW8" i="13"/>
  <c r="AW7" i="13"/>
  <c r="AV318" i="13"/>
  <c r="AV273" i="13"/>
  <c r="P373" i="13"/>
  <c r="Q373" i="13"/>
  <c r="R373" i="13"/>
  <c r="S373" i="13"/>
  <c r="T373" i="13"/>
  <c r="U373" i="13"/>
  <c r="V373" i="13"/>
  <c r="W373" i="13"/>
  <c r="X373" i="13"/>
  <c r="Y373" i="13"/>
  <c r="Z373" i="13"/>
  <c r="AA373" i="13"/>
  <c r="AB373" i="13"/>
  <c r="AC373" i="13"/>
  <c r="AD373" i="13"/>
  <c r="AE373" i="13"/>
  <c r="AF373" i="13"/>
  <c r="AG373" i="13"/>
  <c r="AH373" i="13"/>
  <c r="AI373" i="13"/>
  <c r="AJ373" i="13"/>
  <c r="AK373" i="13"/>
  <c r="AL373" i="13"/>
  <c r="AM373" i="13"/>
  <c r="AN373" i="13"/>
  <c r="AO373" i="13"/>
  <c r="AP373" i="13"/>
  <c r="AQ373" i="13"/>
  <c r="AR373" i="13"/>
  <c r="AS373" i="13"/>
  <c r="AT373" i="13"/>
  <c r="AU373" i="13"/>
  <c r="AQ26" i="10"/>
  <c r="AQ33" i="10"/>
  <c r="P411" i="13"/>
  <c r="Q411" i="13"/>
  <c r="R411" i="13"/>
  <c r="S411" i="13"/>
  <c r="T411" i="13"/>
  <c r="U411" i="13"/>
  <c r="V411" i="13"/>
  <c r="W411" i="13"/>
  <c r="X411" i="13"/>
  <c r="Y411" i="13"/>
  <c r="Z411" i="13"/>
  <c r="AA411" i="13"/>
  <c r="AB411" i="13"/>
  <c r="AC411" i="13"/>
  <c r="AD411" i="13"/>
  <c r="AE411" i="13"/>
  <c r="AF411" i="13"/>
  <c r="AG411" i="13"/>
  <c r="AH411" i="13"/>
  <c r="AI411" i="13"/>
  <c r="AJ411" i="13"/>
  <c r="AK411" i="13"/>
  <c r="AL411" i="13"/>
  <c r="AM411" i="13"/>
  <c r="AN411" i="13"/>
  <c r="AO411" i="13"/>
  <c r="AP411" i="13"/>
  <c r="AQ411" i="13"/>
  <c r="AR411" i="13"/>
  <c r="AS411" i="13"/>
  <c r="AT411" i="13"/>
  <c r="AU411" i="13"/>
  <c r="K44" i="13"/>
  <c r="AW44" i="13" s="1"/>
  <c r="N44" i="13"/>
  <c r="H44" i="13"/>
  <c r="L45" i="13"/>
  <c r="AQ16" i="10"/>
  <c r="AQ23" i="10"/>
  <c r="AQ30" i="10"/>
  <c r="P457" i="13"/>
  <c r="Q457" i="13"/>
  <c r="R457" i="13"/>
  <c r="S457" i="13"/>
  <c r="T457" i="13"/>
  <c r="U457" i="13"/>
  <c r="V457" i="13"/>
  <c r="W457" i="13"/>
  <c r="X457" i="13"/>
  <c r="Y457" i="13"/>
  <c r="Z457" i="13"/>
  <c r="AA457" i="13"/>
  <c r="AB457" i="13"/>
  <c r="AC457" i="13"/>
  <c r="AD457" i="13"/>
  <c r="AE457" i="13"/>
  <c r="AF457" i="13"/>
  <c r="AG457" i="13"/>
  <c r="AH457" i="13"/>
  <c r="AI457" i="13"/>
  <c r="AJ457" i="13"/>
  <c r="AK457" i="13"/>
  <c r="AL457" i="13"/>
  <c r="AM457" i="13"/>
  <c r="AN457" i="13"/>
  <c r="AO457" i="13"/>
  <c r="AP457" i="13"/>
  <c r="AQ457" i="13"/>
  <c r="AR457" i="13"/>
  <c r="AS457" i="13"/>
  <c r="AT457" i="13"/>
  <c r="AU457" i="13"/>
  <c r="AV457" i="13"/>
  <c r="P89" i="13"/>
  <c r="Q89" i="13"/>
  <c r="R89" i="13"/>
  <c r="S89" i="13"/>
  <c r="T89" i="13"/>
  <c r="U89" i="13"/>
  <c r="V89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AK89" i="13"/>
  <c r="AL89" i="13"/>
  <c r="AM89" i="13"/>
  <c r="AN89" i="13"/>
  <c r="AO89" i="13"/>
  <c r="AP89" i="13"/>
  <c r="AQ89" i="13"/>
  <c r="AR89" i="13"/>
  <c r="AS89" i="13"/>
  <c r="AT89" i="13"/>
  <c r="AU89" i="13"/>
  <c r="AQ18" i="10"/>
  <c r="N412" i="13"/>
  <c r="H412" i="13"/>
  <c r="K412" i="13"/>
  <c r="L413" i="13"/>
  <c r="AQ31" i="10"/>
  <c r="P134" i="13"/>
  <c r="Q134" i="13"/>
  <c r="R134" i="13"/>
  <c r="S134" i="13"/>
  <c r="T134" i="13"/>
  <c r="U134" i="13"/>
  <c r="V134" i="13"/>
  <c r="W134" i="13"/>
  <c r="X134" i="13"/>
  <c r="Y134" i="13"/>
  <c r="Z134" i="13"/>
  <c r="AA134" i="13"/>
  <c r="AB134" i="13"/>
  <c r="AC134" i="13"/>
  <c r="AD134" i="13"/>
  <c r="AE134" i="13"/>
  <c r="AF134" i="13"/>
  <c r="AG134" i="13"/>
  <c r="AH134" i="13"/>
  <c r="AI134" i="13"/>
  <c r="AJ134" i="13"/>
  <c r="AK134" i="13"/>
  <c r="AL134" i="13"/>
  <c r="AM134" i="13"/>
  <c r="AN134" i="13"/>
  <c r="AO134" i="13"/>
  <c r="AP134" i="13"/>
  <c r="AQ134" i="13"/>
  <c r="AR134" i="13"/>
  <c r="AS134" i="13"/>
  <c r="AT134" i="13"/>
  <c r="AU134" i="13"/>
  <c r="N228" i="13"/>
  <c r="H228" i="13"/>
  <c r="L229" i="13"/>
  <c r="K228" i="13"/>
  <c r="AW228" i="13" s="1"/>
  <c r="N181" i="13"/>
  <c r="L182" i="13"/>
  <c r="K181" i="13"/>
  <c r="H181" i="13"/>
  <c r="AQ22" i="10"/>
  <c r="AQ21" i="10"/>
  <c r="AR6" i="10" l="1"/>
  <c r="AR30" i="10" s="1"/>
  <c r="K7" i="11"/>
  <c r="K6" i="11" s="1"/>
  <c r="AS50" i="10"/>
  <c r="AT114" i="10"/>
  <c r="AT115" i="10" s="1"/>
  <c r="AT116" i="10" s="1"/>
  <c r="AR17" i="10"/>
  <c r="AR67" i="10"/>
  <c r="AR43" i="10"/>
  <c r="AT128" i="10"/>
  <c r="AR23" i="10"/>
  <c r="AS95" i="10"/>
  <c r="AR96" i="10"/>
  <c r="P412" i="13"/>
  <c r="Q412" i="13"/>
  <c r="R412" i="13"/>
  <c r="S412" i="13"/>
  <c r="T412" i="13"/>
  <c r="U412" i="13"/>
  <c r="V412" i="13"/>
  <c r="W412" i="13"/>
  <c r="X412" i="13"/>
  <c r="Y412" i="13"/>
  <c r="Z412" i="13"/>
  <c r="AA412" i="13"/>
  <c r="AB412" i="13"/>
  <c r="AC412" i="13"/>
  <c r="AD412" i="13"/>
  <c r="AE412" i="13"/>
  <c r="AF412" i="13"/>
  <c r="AG412" i="13"/>
  <c r="AH412" i="13"/>
  <c r="AI412" i="13"/>
  <c r="AJ412" i="13"/>
  <c r="AK412" i="13"/>
  <c r="AL412" i="13"/>
  <c r="AM412" i="13"/>
  <c r="AN412" i="13"/>
  <c r="AO412" i="13"/>
  <c r="AP412" i="13"/>
  <c r="AQ412" i="13"/>
  <c r="AR412" i="13"/>
  <c r="AS412" i="13"/>
  <c r="AT412" i="13"/>
  <c r="AU412" i="13"/>
  <c r="AV412" i="13"/>
  <c r="K45" i="13"/>
  <c r="AX45" i="13" s="1"/>
  <c r="N45" i="13"/>
  <c r="H45" i="13"/>
  <c r="L46" i="13"/>
  <c r="AS7" i="10" a="1"/>
  <c r="AS7" i="10" s="1"/>
  <c r="AS6" i="10" s="1"/>
  <c r="AT3" i="10"/>
  <c r="AS84" i="10"/>
  <c r="AS86" i="10" s="1"/>
  <c r="AS90" i="10"/>
  <c r="AS89" i="10"/>
  <c r="AT4" i="10"/>
  <c r="AU5" i="10"/>
  <c r="K182" i="13"/>
  <c r="AX182" i="13" s="1"/>
  <c r="L183" i="13"/>
  <c r="H182" i="13"/>
  <c r="N182" i="13"/>
  <c r="AX458" i="13"/>
  <c r="AX457" i="13"/>
  <c r="AX456" i="13"/>
  <c r="AX455" i="13"/>
  <c r="AX454" i="13"/>
  <c r="AX453" i="13"/>
  <c r="AX452" i="13"/>
  <c r="AX451" i="13"/>
  <c r="AX374" i="13"/>
  <c r="AX373" i="13"/>
  <c r="AX372" i="13"/>
  <c r="AX371" i="13"/>
  <c r="AX370" i="13"/>
  <c r="AX369" i="13"/>
  <c r="AX368" i="13"/>
  <c r="AX367" i="13"/>
  <c r="AX366" i="13"/>
  <c r="AX365" i="13"/>
  <c r="AX364" i="13"/>
  <c r="AX363" i="13"/>
  <c r="AX362" i="13"/>
  <c r="AX361" i="13"/>
  <c r="AX445" i="13"/>
  <c r="AX444" i="13"/>
  <c r="AX437" i="13"/>
  <c r="AX436" i="13"/>
  <c r="AX447" i="13"/>
  <c r="AX446" i="13"/>
  <c r="AX439" i="13"/>
  <c r="AX438" i="13"/>
  <c r="AX434" i="13"/>
  <c r="AX432" i="13"/>
  <c r="AX430" i="13"/>
  <c r="AX428" i="13"/>
  <c r="AX426" i="13"/>
  <c r="AX424" i="13"/>
  <c r="AX422" i="13"/>
  <c r="AX412" i="13"/>
  <c r="AX410" i="13"/>
  <c r="AX408" i="13"/>
  <c r="AX406" i="13"/>
  <c r="AX404" i="13"/>
  <c r="AX402" i="13"/>
  <c r="AX400" i="13"/>
  <c r="AX398" i="13"/>
  <c r="AX396" i="13"/>
  <c r="AX394" i="13"/>
  <c r="AX443" i="13"/>
  <c r="AX442" i="13"/>
  <c r="AX435" i="13"/>
  <c r="AX431" i="13"/>
  <c r="AX427" i="13"/>
  <c r="AX423" i="13"/>
  <c r="AX390" i="13"/>
  <c r="AX389" i="13"/>
  <c r="AX382" i="13"/>
  <c r="AX381" i="13"/>
  <c r="AX360" i="13"/>
  <c r="AX358" i="13"/>
  <c r="AX356" i="13"/>
  <c r="AX354" i="13"/>
  <c r="AX352" i="13"/>
  <c r="AX350" i="13"/>
  <c r="AX348" i="13"/>
  <c r="AX346" i="13"/>
  <c r="AX344" i="13"/>
  <c r="AX342" i="13"/>
  <c r="AX340" i="13"/>
  <c r="AX338" i="13"/>
  <c r="AX337" i="13"/>
  <c r="AX336" i="13"/>
  <c r="AX335" i="13"/>
  <c r="AX334" i="13"/>
  <c r="AX333" i="13"/>
  <c r="AX332" i="13"/>
  <c r="AX331" i="13"/>
  <c r="AX330" i="13"/>
  <c r="AX329" i="13"/>
  <c r="AX449" i="13"/>
  <c r="AX448" i="13"/>
  <c r="AX409" i="13"/>
  <c r="AX405" i="13"/>
  <c r="AX401" i="13"/>
  <c r="AX397" i="13"/>
  <c r="AX393" i="13"/>
  <c r="AX392" i="13"/>
  <c r="AX391" i="13"/>
  <c r="AX384" i="13"/>
  <c r="AX383" i="13"/>
  <c r="AX376" i="13"/>
  <c r="AX450" i="13"/>
  <c r="AX433" i="13"/>
  <c r="AX425" i="13"/>
  <c r="AX411" i="13"/>
  <c r="AX403" i="13"/>
  <c r="AX395" i="13"/>
  <c r="AX380" i="13"/>
  <c r="AX379" i="13"/>
  <c r="AX353" i="13"/>
  <c r="AX345" i="13"/>
  <c r="AX421" i="13"/>
  <c r="AX386" i="13"/>
  <c r="AX385" i="13"/>
  <c r="AX355" i="13"/>
  <c r="AX347" i="13"/>
  <c r="AX339" i="13"/>
  <c r="AX429" i="13"/>
  <c r="AX407" i="13"/>
  <c r="AX399" i="13"/>
  <c r="AX388" i="13"/>
  <c r="AX387" i="13"/>
  <c r="AX357" i="13"/>
  <c r="AX349" i="13"/>
  <c r="AX341" i="13"/>
  <c r="AX318" i="13"/>
  <c r="AX440" i="13"/>
  <c r="AX343" i="13"/>
  <c r="AX314" i="13"/>
  <c r="AX312" i="13"/>
  <c r="AX310" i="13"/>
  <c r="AX308" i="13"/>
  <c r="AX306" i="13"/>
  <c r="AX304" i="13"/>
  <c r="AX302" i="13"/>
  <c r="AX300" i="13"/>
  <c r="AX298" i="13"/>
  <c r="AX296" i="13"/>
  <c r="AX294" i="13"/>
  <c r="AX292" i="13"/>
  <c r="AX290" i="13"/>
  <c r="AX288" i="13"/>
  <c r="AX286" i="13"/>
  <c r="AX284" i="13"/>
  <c r="AX378" i="13"/>
  <c r="AX377" i="13"/>
  <c r="AX351" i="13"/>
  <c r="AX316" i="13"/>
  <c r="AX273" i="13"/>
  <c r="AX271" i="13"/>
  <c r="AX269" i="13"/>
  <c r="AX267" i="13"/>
  <c r="AX265" i="13"/>
  <c r="AX263" i="13"/>
  <c r="AX261" i="13"/>
  <c r="AX259" i="13"/>
  <c r="AX257" i="13"/>
  <c r="AX255" i="13"/>
  <c r="AX253" i="13"/>
  <c r="AX251" i="13"/>
  <c r="AX249" i="13"/>
  <c r="AX247" i="13"/>
  <c r="AX245" i="13"/>
  <c r="AX243" i="13"/>
  <c r="AX241" i="13"/>
  <c r="AX239" i="13"/>
  <c r="AX237" i="13"/>
  <c r="AX227" i="13"/>
  <c r="AX225" i="13"/>
  <c r="AX223" i="13"/>
  <c r="AX221" i="13"/>
  <c r="AX219" i="13"/>
  <c r="AX217" i="13"/>
  <c r="AX215" i="13"/>
  <c r="AX213" i="13"/>
  <c r="AX211" i="13"/>
  <c r="AX209" i="13"/>
  <c r="AX207" i="13"/>
  <c r="AX205" i="13"/>
  <c r="AX441" i="13"/>
  <c r="AX359" i="13"/>
  <c r="AX317" i="13"/>
  <c r="AX315" i="13"/>
  <c r="AX313" i="13"/>
  <c r="AX311" i="13"/>
  <c r="AX309" i="13"/>
  <c r="AX307" i="13"/>
  <c r="AX305" i="13"/>
  <c r="AX303" i="13"/>
  <c r="AX301" i="13"/>
  <c r="AX299" i="13"/>
  <c r="AX297" i="13"/>
  <c r="AX295" i="13"/>
  <c r="AX293" i="13"/>
  <c r="AX291" i="13"/>
  <c r="AX289" i="13"/>
  <c r="AX287" i="13"/>
  <c r="AX285" i="13"/>
  <c r="AX283" i="13"/>
  <c r="AX375" i="13"/>
  <c r="AX319" i="13"/>
  <c r="AX268" i="13"/>
  <c r="AX260" i="13"/>
  <c r="AX252" i="13"/>
  <c r="AX244" i="13"/>
  <c r="AX224" i="13"/>
  <c r="AX218" i="13"/>
  <c r="AX214" i="13"/>
  <c r="AX210" i="13"/>
  <c r="AX206" i="13"/>
  <c r="AX180" i="13"/>
  <c r="AX178" i="13"/>
  <c r="AX176" i="13"/>
  <c r="AX174" i="13"/>
  <c r="AX172" i="13"/>
  <c r="AX170" i="13"/>
  <c r="AX90" i="13"/>
  <c r="AX89" i="13"/>
  <c r="AX88" i="13"/>
  <c r="AX87" i="13"/>
  <c r="AX86" i="13"/>
  <c r="AX85" i="13"/>
  <c r="AX84" i="13"/>
  <c r="AX83" i="13"/>
  <c r="AX82" i="13"/>
  <c r="AX81" i="13"/>
  <c r="AX80" i="13"/>
  <c r="AX79" i="13"/>
  <c r="AX78" i="13"/>
  <c r="AX77" i="13"/>
  <c r="AX76" i="13"/>
  <c r="AX75" i="13"/>
  <c r="AX74" i="13"/>
  <c r="AX73" i="13"/>
  <c r="AX72" i="13"/>
  <c r="AX71" i="13"/>
  <c r="AX70" i="13"/>
  <c r="AX69" i="13"/>
  <c r="AX68" i="13"/>
  <c r="AX67" i="13"/>
  <c r="AX66" i="13"/>
  <c r="AX65" i="13"/>
  <c r="AX64" i="13"/>
  <c r="AX63" i="13"/>
  <c r="AX62" i="13"/>
  <c r="AX61" i="13"/>
  <c r="AX60" i="13"/>
  <c r="AX59" i="13"/>
  <c r="AX58" i="13"/>
  <c r="AX57" i="13"/>
  <c r="AX56" i="13"/>
  <c r="AX55" i="13"/>
  <c r="AX54" i="13"/>
  <c r="AX53" i="13"/>
  <c r="AX274" i="13"/>
  <c r="AX266" i="13"/>
  <c r="AX258" i="13"/>
  <c r="AX250" i="13"/>
  <c r="AX242" i="13"/>
  <c r="AX222" i="13"/>
  <c r="AX202" i="13"/>
  <c r="AX200" i="13"/>
  <c r="AX198" i="13"/>
  <c r="AX196" i="13"/>
  <c r="AX194" i="13"/>
  <c r="AX192" i="13"/>
  <c r="AX135" i="13"/>
  <c r="AX134" i="13"/>
  <c r="AX133" i="13"/>
  <c r="AX132" i="13"/>
  <c r="AX131" i="13"/>
  <c r="AX130" i="13"/>
  <c r="AX129" i="13"/>
  <c r="AX128" i="13"/>
  <c r="AX127" i="13"/>
  <c r="AX126" i="13"/>
  <c r="AX125" i="13"/>
  <c r="AX124" i="13"/>
  <c r="AX123" i="13"/>
  <c r="AX122" i="13"/>
  <c r="AX121" i="13"/>
  <c r="AX120" i="13"/>
  <c r="AX119" i="13"/>
  <c r="AX118" i="13"/>
  <c r="AX117" i="13"/>
  <c r="AX116" i="13"/>
  <c r="AX115" i="13"/>
  <c r="AX114" i="13"/>
  <c r="AX113" i="13"/>
  <c r="AX112" i="13"/>
  <c r="AX111" i="13"/>
  <c r="AX110" i="13"/>
  <c r="AX109" i="13"/>
  <c r="AX108" i="13"/>
  <c r="AX107" i="13"/>
  <c r="AX106" i="13"/>
  <c r="AX105" i="13"/>
  <c r="AX104" i="13"/>
  <c r="AX103" i="13"/>
  <c r="AX102" i="13"/>
  <c r="AX101" i="13"/>
  <c r="AX100" i="13"/>
  <c r="AX99" i="13"/>
  <c r="AX272" i="13"/>
  <c r="AX264" i="13"/>
  <c r="AX256" i="13"/>
  <c r="AX248" i="13"/>
  <c r="AX240" i="13"/>
  <c r="AX228" i="13"/>
  <c r="AX220" i="13"/>
  <c r="AX216" i="13"/>
  <c r="AX212" i="13"/>
  <c r="AX208" i="13"/>
  <c r="AX203" i="13"/>
  <c r="AX254" i="13"/>
  <c r="AX195" i="13"/>
  <c r="AX27" i="13"/>
  <c r="AX26" i="13"/>
  <c r="AX25" i="13"/>
  <c r="AX24" i="13"/>
  <c r="AX23" i="13"/>
  <c r="AX22" i="13"/>
  <c r="AX21" i="13"/>
  <c r="AX20" i="13"/>
  <c r="AX19" i="13"/>
  <c r="AX246" i="13"/>
  <c r="AX226" i="13"/>
  <c r="AX201" i="13"/>
  <c r="AX193" i="13"/>
  <c r="AX191" i="13"/>
  <c r="AX179" i="13"/>
  <c r="AX175" i="13"/>
  <c r="AX171" i="13"/>
  <c r="AX270" i="13"/>
  <c r="AX238" i="13"/>
  <c r="AX204" i="13"/>
  <c r="AX199" i="13"/>
  <c r="AX181" i="13"/>
  <c r="AX166" i="13"/>
  <c r="AX162" i="13"/>
  <c r="AX158" i="13"/>
  <c r="AX154" i="13"/>
  <c r="AX150" i="13"/>
  <c r="AX146" i="13"/>
  <c r="AX145" i="13"/>
  <c r="AX177" i="13"/>
  <c r="AX167" i="13"/>
  <c r="AX163" i="13"/>
  <c r="AX159" i="13"/>
  <c r="AX155" i="13"/>
  <c r="AX151" i="13"/>
  <c r="AX147" i="13"/>
  <c r="AX43" i="13"/>
  <c r="AX41" i="13"/>
  <c r="AX39" i="13"/>
  <c r="AX37" i="13"/>
  <c r="AX35" i="13"/>
  <c r="AX33" i="13"/>
  <c r="AX31" i="13"/>
  <c r="AX29" i="13"/>
  <c r="AY5" i="13"/>
  <c r="AX262" i="13"/>
  <c r="AX197" i="13"/>
  <c r="AX173" i="13"/>
  <c r="AX168" i="13"/>
  <c r="AX164" i="13"/>
  <c r="AX160" i="13"/>
  <c r="AX156" i="13"/>
  <c r="AX152" i="13"/>
  <c r="AX148" i="13"/>
  <c r="AX18" i="13"/>
  <c r="AX17" i="13"/>
  <c r="AX16" i="13"/>
  <c r="AX15" i="13"/>
  <c r="AX14" i="13"/>
  <c r="AX13" i="13"/>
  <c r="AX12" i="13"/>
  <c r="AX11" i="13"/>
  <c r="AX10" i="13"/>
  <c r="AX9" i="13"/>
  <c r="AX8" i="13"/>
  <c r="AX7" i="13"/>
  <c r="AX169" i="13"/>
  <c r="AX165" i="13"/>
  <c r="AX161" i="13"/>
  <c r="AX157" i="13"/>
  <c r="AX153" i="13"/>
  <c r="AX149" i="13"/>
  <c r="AX44" i="13"/>
  <c r="AX36" i="13"/>
  <c r="AX28" i="13"/>
  <c r="AX38" i="13"/>
  <c r="AX30" i="13"/>
  <c r="AX40" i="13"/>
  <c r="AX32" i="13"/>
  <c r="AX42" i="13"/>
  <c r="AX34" i="13"/>
  <c r="AW412" i="13"/>
  <c r="AR24" i="10"/>
  <c r="AR13" i="10"/>
  <c r="AR20" i="10"/>
  <c r="K320" i="13"/>
  <c r="H320" i="13"/>
  <c r="L321" i="13"/>
  <c r="N320" i="13"/>
  <c r="AR27" i="10"/>
  <c r="AR32" i="10"/>
  <c r="AR16" i="10"/>
  <c r="P135" i="13"/>
  <c r="Q135" i="13"/>
  <c r="R135" i="13"/>
  <c r="S135" i="13"/>
  <c r="T135" i="13"/>
  <c r="U135" i="13"/>
  <c r="V135" i="13"/>
  <c r="W135" i="13"/>
  <c r="X135" i="13"/>
  <c r="Y135" i="13"/>
  <c r="Z135" i="13"/>
  <c r="AA135" i="13"/>
  <c r="AB135" i="13"/>
  <c r="AC135" i="13"/>
  <c r="AD135" i="13"/>
  <c r="AE135" i="13"/>
  <c r="AF135" i="13"/>
  <c r="AG135" i="13"/>
  <c r="AH135" i="13"/>
  <c r="AI135" i="13"/>
  <c r="AJ135" i="13"/>
  <c r="AK135" i="13"/>
  <c r="AL135" i="13"/>
  <c r="AM135" i="13"/>
  <c r="AN135" i="13"/>
  <c r="AO135" i="13"/>
  <c r="AP135" i="13"/>
  <c r="AQ135" i="13"/>
  <c r="AR135" i="13"/>
  <c r="AS135" i="13"/>
  <c r="AT135" i="13"/>
  <c r="AU135" i="13"/>
  <c r="AV135" i="13"/>
  <c r="P90" i="13"/>
  <c r="Q90" i="13"/>
  <c r="R90" i="13"/>
  <c r="S90" i="13"/>
  <c r="T90" i="13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AK90" i="13"/>
  <c r="AL90" i="13"/>
  <c r="AM90" i="13"/>
  <c r="AN90" i="13"/>
  <c r="AO90" i="13"/>
  <c r="AP90" i="13"/>
  <c r="AQ90" i="13"/>
  <c r="AR90" i="13"/>
  <c r="AS90" i="13"/>
  <c r="AT90" i="13"/>
  <c r="AU90" i="13"/>
  <c r="AV90" i="13"/>
  <c r="P458" i="13"/>
  <c r="Q458" i="13"/>
  <c r="R458" i="13"/>
  <c r="S458" i="13"/>
  <c r="T458" i="13"/>
  <c r="U458" i="13"/>
  <c r="V458" i="13"/>
  <c r="W458" i="13"/>
  <c r="X458" i="13"/>
  <c r="Y458" i="13"/>
  <c r="Z458" i="13"/>
  <c r="AA458" i="13"/>
  <c r="AB458" i="13"/>
  <c r="AC458" i="13"/>
  <c r="AD458" i="13"/>
  <c r="AE458" i="13"/>
  <c r="AF458" i="13"/>
  <c r="AG458" i="13"/>
  <c r="AH458" i="13"/>
  <c r="AI458" i="13"/>
  <c r="AJ458" i="13"/>
  <c r="AK458" i="13"/>
  <c r="AL458" i="13"/>
  <c r="AM458" i="13"/>
  <c r="AN458" i="13"/>
  <c r="AO458" i="13"/>
  <c r="AP458" i="13"/>
  <c r="AQ458" i="13"/>
  <c r="AR458" i="13"/>
  <c r="AS458" i="13"/>
  <c r="AT458" i="13"/>
  <c r="AU458" i="13"/>
  <c r="AV458" i="13"/>
  <c r="P228" i="13"/>
  <c r="Q228" i="13"/>
  <c r="R228" i="13"/>
  <c r="S228" i="13"/>
  <c r="T228" i="13"/>
  <c r="U228" i="13"/>
  <c r="V228" i="13"/>
  <c r="W228" i="13"/>
  <c r="X228" i="13"/>
  <c r="Y228" i="13"/>
  <c r="Z228" i="13"/>
  <c r="AA228" i="13"/>
  <c r="AB228" i="13"/>
  <c r="AC228" i="13"/>
  <c r="AD228" i="13"/>
  <c r="AE228" i="13"/>
  <c r="AF228" i="13"/>
  <c r="AG228" i="13"/>
  <c r="AH228" i="13"/>
  <c r="AI228" i="13"/>
  <c r="AJ228" i="13"/>
  <c r="AK228" i="13"/>
  <c r="AL228" i="13"/>
  <c r="AM228" i="13"/>
  <c r="AN228" i="13"/>
  <c r="AO228" i="13"/>
  <c r="AP228" i="13"/>
  <c r="AQ228" i="13"/>
  <c r="AR228" i="13"/>
  <c r="AS228" i="13"/>
  <c r="AT228" i="13"/>
  <c r="AU228" i="13"/>
  <c r="AV228" i="13"/>
  <c r="AR91" i="10"/>
  <c r="AO49" i="10"/>
  <c r="AR37" i="10"/>
  <c r="AR34" i="10"/>
  <c r="AR12" i="10"/>
  <c r="P319" i="13"/>
  <c r="Q319" i="13"/>
  <c r="R319" i="13"/>
  <c r="S319" i="13"/>
  <c r="T319" i="13"/>
  <c r="U319" i="13"/>
  <c r="V319" i="13"/>
  <c r="W319" i="13"/>
  <c r="X319" i="13"/>
  <c r="Y319" i="13"/>
  <c r="Z319" i="13"/>
  <c r="AA319" i="13"/>
  <c r="AB319" i="13"/>
  <c r="AC319" i="13"/>
  <c r="AD319" i="13"/>
  <c r="AE319" i="13"/>
  <c r="AF319" i="13"/>
  <c r="AG319" i="13"/>
  <c r="AH319" i="13"/>
  <c r="AI319" i="13"/>
  <c r="AJ319" i="13"/>
  <c r="AK319" i="13"/>
  <c r="AL319" i="13"/>
  <c r="AM319" i="13"/>
  <c r="AN319" i="13"/>
  <c r="AO319" i="13"/>
  <c r="AP319" i="13"/>
  <c r="AQ319" i="13"/>
  <c r="AR319" i="13"/>
  <c r="AS319" i="13"/>
  <c r="AT319" i="13"/>
  <c r="AU319" i="13"/>
  <c r="AV319" i="13"/>
  <c r="K275" i="13"/>
  <c r="L276" i="13"/>
  <c r="H275" i="13"/>
  <c r="N275" i="13"/>
  <c r="AR19" i="10"/>
  <c r="N136" i="13"/>
  <c r="H136" i="13"/>
  <c r="L137" i="13"/>
  <c r="K136" i="13"/>
  <c r="AX136" i="13" s="1"/>
  <c r="AQ39" i="10"/>
  <c r="AQ47" i="10" s="1"/>
  <c r="L92" i="13"/>
  <c r="K91" i="13"/>
  <c r="N91" i="13"/>
  <c r="H91" i="13"/>
  <c r="N459" i="13"/>
  <c r="H459" i="13"/>
  <c r="L460" i="13"/>
  <c r="K459" i="13"/>
  <c r="P181" i="13"/>
  <c r="Q181" i="13"/>
  <c r="R181" i="13"/>
  <c r="S181" i="13"/>
  <c r="T181" i="13"/>
  <c r="U181" i="13"/>
  <c r="V181" i="13"/>
  <c r="W181" i="13"/>
  <c r="X181" i="13"/>
  <c r="Y181" i="13"/>
  <c r="Z181" i="13"/>
  <c r="AA181" i="13"/>
  <c r="AB181" i="13"/>
  <c r="AC181" i="13"/>
  <c r="AD181" i="13"/>
  <c r="AE181" i="13"/>
  <c r="AF181" i="13"/>
  <c r="AG181" i="13"/>
  <c r="AH181" i="13"/>
  <c r="AI181" i="13"/>
  <c r="AJ181" i="13"/>
  <c r="AK181" i="13"/>
  <c r="AL181" i="13"/>
  <c r="AM181" i="13"/>
  <c r="AN181" i="13"/>
  <c r="AO181" i="13"/>
  <c r="AP181" i="13"/>
  <c r="AQ181" i="13"/>
  <c r="AR181" i="13"/>
  <c r="AS181" i="13"/>
  <c r="AT181" i="13"/>
  <c r="AU181" i="13"/>
  <c r="AV181" i="13"/>
  <c r="N229" i="13"/>
  <c r="H229" i="13"/>
  <c r="K229" i="13"/>
  <c r="L230" i="13"/>
  <c r="N413" i="13"/>
  <c r="H413" i="13"/>
  <c r="L414" i="13"/>
  <c r="K413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AK44" i="13"/>
  <c r="AL44" i="13"/>
  <c r="AM44" i="13"/>
  <c r="AN44" i="13"/>
  <c r="AO44" i="13"/>
  <c r="AP44" i="13"/>
  <c r="AQ44" i="13"/>
  <c r="AR44" i="13"/>
  <c r="AS44" i="13"/>
  <c r="AT44" i="13"/>
  <c r="AU44" i="13"/>
  <c r="AV44" i="13"/>
  <c r="AW181" i="13"/>
  <c r="AR29" i="10"/>
  <c r="P274" i="13"/>
  <c r="Q274" i="13"/>
  <c r="R274" i="13"/>
  <c r="S274" i="13"/>
  <c r="T274" i="13"/>
  <c r="U274" i="13"/>
  <c r="V274" i="13"/>
  <c r="W274" i="13"/>
  <c r="X274" i="13"/>
  <c r="Y274" i="13"/>
  <c r="Z274" i="13"/>
  <c r="AA274" i="13"/>
  <c r="AB274" i="13"/>
  <c r="AC274" i="13"/>
  <c r="AD274" i="13"/>
  <c r="AE274" i="13"/>
  <c r="AF274" i="13"/>
  <c r="AG274" i="13"/>
  <c r="AH274" i="13"/>
  <c r="AI274" i="13"/>
  <c r="AJ274" i="13"/>
  <c r="AK274" i="13"/>
  <c r="AL274" i="13"/>
  <c r="AM274" i="13"/>
  <c r="AN274" i="13"/>
  <c r="AO274" i="13"/>
  <c r="AP274" i="13"/>
  <c r="AQ274" i="13"/>
  <c r="AR274" i="13"/>
  <c r="AS274" i="13"/>
  <c r="AT274" i="13"/>
  <c r="AU274" i="13"/>
  <c r="AV274" i="13"/>
  <c r="AR18" i="10"/>
  <c r="AP39" i="10"/>
  <c r="AP47" i="10" s="1"/>
  <c r="P374" i="13"/>
  <c r="Q374" i="13"/>
  <c r="R374" i="13"/>
  <c r="S374" i="13"/>
  <c r="T374" i="13"/>
  <c r="U374" i="13"/>
  <c r="V374" i="13"/>
  <c r="W374" i="13"/>
  <c r="X374" i="13"/>
  <c r="Y374" i="13"/>
  <c r="Z374" i="13"/>
  <c r="AA374" i="13"/>
  <c r="AB374" i="13"/>
  <c r="AC374" i="13"/>
  <c r="AD374" i="13"/>
  <c r="AE374" i="13"/>
  <c r="AF374" i="13"/>
  <c r="AG374" i="13"/>
  <c r="AH374" i="13"/>
  <c r="AI374" i="13"/>
  <c r="AJ374" i="13"/>
  <c r="AK374" i="13"/>
  <c r="AL374" i="13"/>
  <c r="AM374" i="13"/>
  <c r="AN374" i="13"/>
  <c r="AO374" i="13"/>
  <c r="AP374" i="13"/>
  <c r="AQ374" i="13"/>
  <c r="AR374" i="13"/>
  <c r="AS374" i="13"/>
  <c r="AT374" i="13"/>
  <c r="AU374" i="13"/>
  <c r="AV374" i="13"/>
  <c r="AR69" i="10" l="1"/>
  <c r="AR21" i="10"/>
  <c r="AR64" i="10"/>
  <c r="AR28" i="10"/>
  <c r="AR35" i="10"/>
  <c r="AR15" i="10"/>
  <c r="AR38" i="10"/>
  <c r="AR25" i="10"/>
  <c r="AR36" i="10"/>
  <c r="AR11" i="10"/>
  <c r="AR14" i="10"/>
  <c r="AR26" i="10"/>
  <c r="AR22" i="10"/>
  <c r="AR10" i="10"/>
  <c r="AR31" i="10"/>
  <c r="AR33" i="10"/>
  <c r="AU114" i="10"/>
  <c r="AU115" i="10" s="1"/>
  <c r="AU116" i="10" s="1"/>
  <c r="AT45" i="10"/>
  <c r="AS28" i="10"/>
  <c r="AS15" i="10"/>
  <c r="AS16" i="10"/>
  <c r="AS37" i="10"/>
  <c r="AS32" i="10"/>
  <c r="AS33" i="10"/>
  <c r="AS38" i="10"/>
  <c r="AS29" i="10"/>
  <c r="AS14" i="10"/>
  <c r="AS25" i="10"/>
  <c r="AS20" i="10"/>
  <c r="AS31" i="10"/>
  <c r="AS18" i="10"/>
  <c r="AS21" i="10"/>
  <c r="AS24" i="10"/>
  <c r="AS34" i="10"/>
  <c r="AS17" i="10"/>
  <c r="AS23" i="10"/>
  <c r="AS26" i="10"/>
  <c r="AS13" i="10"/>
  <c r="AS12" i="10"/>
  <c r="AS10" i="10"/>
  <c r="AS43" i="10"/>
  <c r="AS67" i="10"/>
  <c r="AS11" i="10"/>
  <c r="AS69" i="10"/>
  <c r="AS64" i="10"/>
  <c r="AU128" i="10"/>
  <c r="AR99" i="10"/>
  <c r="AS35" i="10"/>
  <c r="AS30" i="10"/>
  <c r="AS27" i="10"/>
  <c r="AT95" i="10"/>
  <c r="AS19" i="10"/>
  <c r="AS36" i="10"/>
  <c r="AS22" i="10"/>
  <c r="AS91" i="10"/>
  <c r="P91" i="13"/>
  <c r="Q91" i="13"/>
  <c r="R91" i="13"/>
  <c r="S91" i="13"/>
  <c r="T91" i="13"/>
  <c r="U91" i="13"/>
  <c r="V91" i="13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AK91" i="13"/>
  <c r="AL91" i="13"/>
  <c r="AM91" i="13"/>
  <c r="AN91" i="13"/>
  <c r="AO91" i="13"/>
  <c r="AP91" i="13"/>
  <c r="AQ91" i="13"/>
  <c r="AR91" i="13"/>
  <c r="AS91" i="13"/>
  <c r="AT91" i="13"/>
  <c r="AU91" i="13"/>
  <c r="AV91" i="13"/>
  <c r="AW91" i="13"/>
  <c r="N137" i="13"/>
  <c r="H137" i="13"/>
  <c r="L138" i="13"/>
  <c r="K137" i="13"/>
  <c r="P275" i="13"/>
  <c r="Q275" i="13"/>
  <c r="R275" i="13"/>
  <c r="S275" i="13"/>
  <c r="T275" i="13"/>
  <c r="U275" i="13"/>
  <c r="V275" i="13"/>
  <c r="W275" i="13"/>
  <c r="X275" i="13"/>
  <c r="Y275" i="13"/>
  <c r="Z275" i="13"/>
  <c r="AA275" i="13"/>
  <c r="AB275" i="13"/>
  <c r="AC275" i="13"/>
  <c r="AD275" i="13"/>
  <c r="AE275" i="13"/>
  <c r="AF275" i="13"/>
  <c r="AG275" i="13"/>
  <c r="AH275" i="13"/>
  <c r="AI275" i="13"/>
  <c r="AJ275" i="13"/>
  <c r="AK275" i="13"/>
  <c r="AL275" i="13"/>
  <c r="AM275" i="13"/>
  <c r="AN275" i="13"/>
  <c r="AO275" i="13"/>
  <c r="AP275" i="13"/>
  <c r="AQ275" i="13"/>
  <c r="AR275" i="13"/>
  <c r="AS275" i="13"/>
  <c r="AT275" i="13"/>
  <c r="AU275" i="13"/>
  <c r="AV275" i="13"/>
  <c r="AW275" i="13"/>
  <c r="K321" i="13"/>
  <c r="L322" i="13"/>
  <c r="H321" i="13"/>
  <c r="N321" i="13"/>
  <c r="AY459" i="13"/>
  <c r="AY458" i="13"/>
  <c r="AY457" i="13"/>
  <c r="AY456" i="13"/>
  <c r="AY455" i="13"/>
  <c r="AY454" i="13"/>
  <c r="AY453" i="13"/>
  <c r="AY452" i="13"/>
  <c r="AY451" i="13"/>
  <c r="AY450" i="13"/>
  <c r="AY449" i="13"/>
  <c r="AY448" i="13"/>
  <c r="AY447" i="13"/>
  <c r="AY446" i="13"/>
  <c r="AY445" i="13"/>
  <c r="AY444" i="13"/>
  <c r="AY443" i="13"/>
  <c r="AY442" i="13"/>
  <c r="AY441" i="13"/>
  <c r="AY440" i="13"/>
  <c r="AY439" i="13"/>
  <c r="AY438" i="13"/>
  <c r="AY437" i="13"/>
  <c r="AY436" i="13"/>
  <c r="AY413" i="13"/>
  <c r="AY412" i="13"/>
  <c r="AY411" i="13"/>
  <c r="AY410" i="13"/>
  <c r="AY409" i="13"/>
  <c r="AY408" i="13"/>
  <c r="AY407" i="13"/>
  <c r="AY406" i="13"/>
  <c r="AY405" i="13"/>
  <c r="AY404" i="13"/>
  <c r="AY403" i="13"/>
  <c r="AY402" i="13"/>
  <c r="AY401" i="13"/>
  <c r="AY400" i="13"/>
  <c r="AY399" i="13"/>
  <c r="AY398" i="13"/>
  <c r="AY397" i="13"/>
  <c r="AY396" i="13"/>
  <c r="AY395" i="13"/>
  <c r="AY394" i="13"/>
  <c r="AY393" i="13"/>
  <c r="AY392" i="13"/>
  <c r="AY391" i="13"/>
  <c r="AY390" i="13"/>
  <c r="AY389" i="13"/>
  <c r="AY388" i="13"/>
  <c r="AY387" i="13"/>
  <c r="AY386" i="13"/>
  <c r="AY385" i="13"/>
  <c r="AY384" i="13"/>
  <c r="AY383" i="13"/>
  <c r="AY382" i="13"/>
  <c r="AY381" i="13"/>
  <c r="AY380" i="13"/>
  <c r="AY379" i="13"/>
  <c r="AY378" i="13"/>
  <c r="AY377" i="13"/>
  <c r="AY376" i="13"/>
  <c r="AY375" i="13"/>
  <c r="AY434" i="13"/>
  <c r="AY432" i="13"/>
  <c r="AY430" i="13"/>
  <c r="AY428" i="13"/>
  <c r="AY426" i="13"/>
  <c r="AY424" i="13"/>
  <c r="AY422" i="13"/>
  <c r="AY372" i="13"/>
  <c r="AY371" i="13"/>
  <c r="AY364" i="13"/>
  <c r="AY363" i="13"/>
  <c r="AY229" i="13"/>
  <c r="AY228" i="13"/>
  <c r="AY227" i="13"/>
  <c r="AY226" i="13"/>
  <c r="AY225" i="13"/>
  <c r="AY224" i="13"/>
  <c r="AY223" i="13"/>
  <c r="AY222" i="13"/>
  <c r="AY221" i="13"/>
  <c r="AY220" i="13"/>
  <c r="AY219" i="13"/>
  <c r="AY218" i="13"/>
  <c r="AY217" i="13"/>
  <c r="AY216" i="13"/>
  <c r="AY215" i="13"/>
  <c r="AY214" i="13"/>
  <c r="AY213" i="13"/>
  <c r="AY212" i="13"/>
  <c r="AY211" i="13"/>
  <c r="AY210" i="13"/>
  <c r="AY209" i="13"/>
  <c r="AY208" i="13"/>
  <c r="AY207" i="13"/>
  <c r="AY206" i="13"/>
  <c r="AY205" i="13"/>
  <c r="AY204" i="13"/>
  <c r="AY203" i="13"/>
  <c r="AY433" i="13"/>
  <c r="AY429" i="13"/>
  <c r="AY425" i="13"/>
  <c r="AY374" i="13"/>
  <c r="AY373" i="13"/>
  <c r="AY366" i="13"/>
  <c r="AY365" i="13"/>
  <c r="AY421" i="13"/>
  <c r="AY355" i="13"/>
  <c r="AY354" i="13"/>
  <c r="AY347" i="13"/>
  <c r="AY346" i="13"/>
  <c r="AY339" i="13"/>
  <c r="AY329" i="13"/>
  <c r="AY431" i="13"/>
  <c r="AY423" i="13"/>
  <c r="AY357" i="13"/>
  <c r="AY356" i="13"/>
  <c r="AY349" i="13"/>
  <c r="AY348" i="13"/>
  <c r="AY341" i="13"/>
  <c r="AY340" i="13"/>
  <c r="AY338" i="13"/>
  <c r="AY336" i="13"/>
  <c r="AY334" i="13"/>
  <c r="AY332" i="13"/>
  <c r="AY330" i="13"/>
  <c r="AY320" i="13"/>
  <c r="AY318" i="13"/>
  <c r="AY316" i="13"/>
  <c r="AY368" i="13"/>
  <c r="AY367" i="13"/>
  <c r="AY359" i="13"/>
  <c r="AY358" i="13"/>
  <c r="AY351" i="13"/>
  <c r="AY350" i="13"/>
  <c r="AY343" i="13"/>
  <c r="AY342" i="13"/>
  <c r="AY370" i="13"/>
  <c r="AY369" i="13"/>
  <c r="AY361" i="13"/>
  <c r="AY345" i="13"/>
  <c r="AY344" i="13"/>
  <c r="AY321" i="13"/>
  <c r="AY275" i="13"/>
  <c r="AY273" i="13"/>
  <c r="AY271" i="13"/>
  <c r="AY269" i="13"/>
  <c r="AY267" i="13"/>
  <c r="AY265" i="13"/>
  <c r="AY263" i="13"/>
  <c r="AY261" i="13"/>
  <c r="AY259" i="13"/>
  <c r="AY257" i="13"/>
  <c r="AY255" i="13"/>
  <c r="AY253" i="13"/>
  <c r="AY251" i="13"/>
  <c r="AY249" i="13"/>
  <c r="AY247" i="13"/>
  <c r="AY245" i="13"/>
  <c r="AY243" i="13"/>
  <c r="AY241" i="13"/>
  <c r="AY239" i="13"/>
  <c r="AY237" i="13"/>
  <c r="AY353" i="13"/>
  <c r="AY352" i="13"/>
  <c r="AY337" i="13"/>
  <c r="AY331" i="13"/>
  <c r="AY317" i="13"/>
  <c r="AY315" i="13"/>
  <c r="AY313" i="13"/>
  <c r="AY311" i="13"/>
  <c r="AY309" i="13"/>
  <c r="AY307" i="13"/>
  <c r="AY305" i="13"/>
  <c r="AY303" i="13"/>
  <c r="AY301" i="13"/>
  <c r="AY299" i="13"/>
  <c r="AY297" i="13"/>
  <c r="AY295" i="13"/>
  <c r="AY293" i="13"/>
  <c r="AY291" i="13"/>
  <c r="AY289" i="13"/>
  <c r="AY287" i="13"/>
  <c r="AY285" i="13"/>
  <c r="AY283" i="13"/>
  <c r="AY435" i="13"/>
  <c r="AY362" i="13"/>
  <c r="AY360" i="13"/>
  <c r="AY333" i="13"/>
  <c r="AY319" i="13"/>
  <c r="AY274" i="13"/>
  <c r="AY272" i="13"/>
  <c r="AY270" i="13"/>
  <c r="AY268" i="13"/>
  <c r="AY266" i="13"/>
  <c r="AY264" i="13"/>
  <c r="AY262" i="13"/>
  <c r="AY260" i="13"/>
  <c r="AY258" i="13"/>
  <c r="AY256" i="13"/>
  <c r="AY254" i="13"/>
  <c r="AY252" i="13"/>
  <c r="AY250" i="13"/>
  <c r="AY248" i="13"/>
  <c r="AY246" i="13"/>
  <c r="AY244" i="13"/>
  <c r="AY242" i="13"/>
  <c r="AY240" i="13"/>
  <c r="AY238" i="13"/>
  <c r="AY312" i="13"/>
  <c r="AY304" i="13"/>
  <c r="AY296" i="13"/>
  <c r="AY288" i="13"/>
  <c r="AY202" i="13"/>
  <c r="AY200" i="13"/>
  <c r="AY198" i="13"/>
  <c r="AY196" i="13"/>
  <c r="AY194" i="13"/>
  <c r="AY192" i="13"/>
  <c r="AY137" i="13"/>
  <c r="AY136" i="13"/>
  <c r="AY135" i="13"/>
  <c r="AY134" i="13"/>
  <c r="AY133" i="13"/>
  <c r="AY132" i="13"/>
  <c r="AY131" i="13"/>
  <c r="AY130" i="13"/>
  <c r="AY129" i="13"/>
  <c r="AY128" i="13"/>
  <c r="AY127" i="13"/>
  <c r="AY126" i="13"/>
  <c r="AY125" i="13"/>
  <c r="AY124" i="13"/>
  <c r="AY123" i="13"/>
  <c r="AY122" i="13"/>
  <c r="AY121" i="13"/>
  <c r="AY120" i="13"/>
  <c r="AY119" i="13"/>
  <c r="AY118" i="13"/>
  <c r="AY117" i="13"/>
  <c r="AY116" i="13"/>
  <c r="AY115" i="13"/>
  <c r="AY114" i="13"/>
  <c r="AY113" i="13"/>
  <c r="AY112" i="13"/>
  <c r="AY111" i="13"/>
  <c r="AY110" i="13"/>
  <c r="AY109" i="13"/>
  <c r="AY108" i="13"/>
  <c r="AY107" i="13"/>
  <c r="AY106" i="13"/>
  <c r="AY105" i="13"/>
  <c r="AY104" i="13"/>
  <c r="AY103" i="13"/>
  <c r="AY102" i="13"/>
  <c r="AY101" i="13"/>
  <c r="AY100" i="13"/>
  <c r="AY99" i="13"/>
  <c r="AY310" i="13"/>
  <c r="AY302" i="13"/>
  <c r="AY294" i="13"/>
  <c r="AY286" i="13"/>
  <c r="AY181" i="13"/>
  <c r="AY179" i="13"/>
  <c r="AY177" i="13"/>
  <c r="AY175" i="13"/>
  <c r="AY173" i="13"/>
  <c r="AY171" i="13"/>
  <c r="AY169" i="13"/>
  <c r="AY168" i="13"/>
  <c r="AY167" i="13"/>
  <c r="AY166" i="13"/>
  <c r="AY165" i="13"/>
  <c r="AY164" i="13"/>
  <c r="AY163" i="13"/>
  <c r="AY162" i="13"/>
  <c r="AY161" i="13"/>
  <c r="AY160" i="13"/>
  <c r="AY159" i="13"/>
  <c r="AY158" i="13"/>
  <c r="AY157" i="13"/>
  <c r="AY156" i="13"/>
  <c r="AY155" i="13"/>
  <c r="AY154" i="13"/>
  <c r="AY153" i="13"/>
  <c r="AY152" i="13"/>
  <c r="AY151" i="13"/>
  <c r="AY150" i="13"/>
  <c r="AY149" i="13"/>
  <c r="AY148" i="13"/>
  <c r="AY147" i="13"/>
  <c r="AY146" i="13"/>
  <c r="AY145" i="13"/>
  <c r="AY335" i="13"/>
  <c r="AY308" i="13"/>
  <c r="AY300" i="13"/>
  <c r="AY292" i="13"/>
  <c r="AY284" i="13"/>
  <c r="AY201" i="13"/>
  <c r="AY199" i="13"/>
  <c r="AY197" i="13"/>
  <c r="AY195" i="13"/>
  <c r="AY193" i="13"/>
  <c r="AY427" i="13"/>
  <c r="AY306" i="13"/>
  <c r="AY191" i="13"/>
  <c r="AY180" i="13"/>
  <c r="AY176" i="13"/>
  <c r="AY172" i="13"/>
  <c r="AY298" i="13"/>
  <c r="AY290" i="13"/>
  <c r="AY182" i="13"/>
  <c r="AY178" i="13"/>
  <c r="AY174" i="13"/>
  <c r="AY170" i="13"/>
  <c r="AY91" i="13"/>
  <c r="AY90" i="13"/>
  <c r="AY89" i="13"/>
  <c r="AY88" i="13"/>
  <c r="AY87" i="13"/>
  <c r="AY86" i="13"/>
  <c r="AY85" i="13"/>
  <c r="AY84" i="13"/>
  <c r="AY83" i="13"/>
  <c r="AY82" i="13"/>
  <c r="AY81" i="13"/>
  <c r="AY80" i="13"/>
  <c r="AY79" i="13"/>
  <c r="AY78" i="13"/>
  <c r="AY77" i="13"/>
  <c r="AY76" i="13"/>
  <c r="AY75" i="13"/>
  <c r="AY74" i="13"/>
  <c r="AY73" i="13"/>
  <c r="AY72" i="13"/>
  <c r="AY71" i="13"/>
  <c r="AY70" i="13"/>
  <c r="AY69" i="13"/>
  <c r="AY68" i="13"/>
  <c r="AY67" i="13"/>
  <c r="AY66" i="13"/>
  <c r="AY65" i="13"/>
  <c r="AY64" i="13"/>
  <c r="AY63" i="13"/>
  <c r="AY62" i="13"/>
  <c r="AY61" i="13"/>
  <c r="AY60" i="13"/>
  <c r="AY59" i="13"/>
  <c r="AY58" i="13"/>
  <c r="AY57" i="13"/>
  <c r="AY56" i="13"/>
  <c r="AY55" i="13"/>
  <c r="AY54" i="13"/>
  <c r="AY45" i="13"/>
  <c r="AY44" i="13"/>
  <c r="AY43" i="13"/>
  <c r="AY42" i="13"/>
  <c r="AY41" i="13"/>
  <c r="AY40" i="13"/>
  <c r="AY39" i="13"/>
  <c r="AY38" i="13"/>
  <c r="AY37" i="13"/>
  <c r="AY36" i="13"/>
  <c r="AY35" i="13"/>
  <c r="AY34" i="13"/>
  <c r="AY33" i="13"/>
  <c r="AY32" i="13"/>
  <c r="AY31" i="13"/>
  <c r="AY30" i="13"/>
  <c r="AY29" i="13"/>
  <c r="AY28" i="13"/>
  <c r="AY314" i="13"/>
  <c r="AY53" i="13"/>
  <c r="AZ5" i="13"/>
  <c r="AY27" i="13"/>
  <c r="AY18" i="13"/>
  <c r="AY17" i="13"/>
  <c r="AY16" i="13"/>
  <c r="AY15" i="13"/>
  <c r="AY14" i="13"/>
  <c r="AY13" i="13"/>
  <c r="AY12" i="13"/>
  <c r="AY11" i="13"/>
  <c r="AY10" i="13"/>
  <c r="AY9" i="13"/>
  <c r="AY8" i="13"/>
  <c r="AY7" i="13"/>
  <c r="AY24" i="13"/>
  <c r="AY20" i="13"/>
  <c r="AY25" i="13"/>
  <c r="AY21" i="13"/>
  <c r="AY26" i="13"/>
  <c r="AY22" i="13"/>
  <c r="AY23" i="13"/>
  <c r="AY19" i="13"/>
  <c r="N183" i="13"/>
  <c r="H183" i="13"/>
  <c r="L184" i="13"/>
  <c r="K183" i="13"/>
  <c r="AY183" i="13" s="1"/>
  <c r="AV5" i="10"/>
  <c r="AU4" i="10"/>
  <c r="AS96" i="10"/>
  <c r="P45" i="13"/>
  <c r="Q45" i="13"/>
  <c r="R45" i="13"/>
  <c r="S45" i="13"/>
  <c r="T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AK45" i="13"/>
  <c r="AL45" i="13"/>
  <c r="AM45" i="13"/>
  <c r="AN45" i="13"/>
  <c r="AO45" i="13"/>
  <c r="AP45" i="13"/>
  <c r="AQ45" i="13"/>
  <c r="AR45" i="13"/>
  <c r="AS45" i="13"/>
  <c r="AT45" i="13"/>
  <c r="AU45" i="13"/>
  <c r="AV45" i="13"/>
  <c r="AW45" i="13"/>
  <c r="P413" i="13"/>
  <c r="Q413" i="13"/>
  <c r="R413" i="13"/>
  <c r="S413" i="13"/>
  <c r="T413" i="13"/>
  <c r="U413" i="13"/>
  <c r="V413" i="13"/>
  <c r="W413" i="13"/>
  <c r="X413" i="13"/>
  <c r="Y413" i="13"/>
  <c r="Z413" i="13"/>
  <c r="AA413" i="13"/>
  <c r="AB413" i="13"/>
  <c r="AC413" i="13"/>
  <c r="AD413" i="13"/>
  <c r="AE413" i="13"/>
  <c r="AF413" i="13"/>
  <c r="AG413" i="13"/>
  <c r="AH413" i="13"/>
  <c r="AI413" i="13"/>
  <c r="AJ413" i="13"/>
  <c r="AK413" i="13"/>
  <c r="AL413" i="13"/>
  <c r="AM413" i="13"/>
  <c r="AN413" i="13"/>
  <c r="AO413" i="13"/>
  <c r="AP413" i="13"/>
  <c r="AQ413" i="13"/>
  <c r="AR413" i="13"/>
  <c r="AS413" i="13"/>
  <c r="AT413" i="13"/>
  <c r="AU413" i="13"/>
  <c r="AV413" i="13"/>
  <c r="AW413" i="13"/>
  <c r="N230" i="13"/>
  <c r="H230" i="13"/>
  <c r="L231" i="13"/>
  <c r="K230" i="13"/>
  <c r="AY230" i="13" s="1"/>
  <c r="N414" i="13"/>
  <c r="H414" i="13"/>
  <c r="K414" i="13"/>
  <c r="AY414" i="13" s="1"/>
  <c r="L415" i="13"/>
  <c r="P229" i="13"/>
  <c r="Q229" i="13"/>
  <c r="R229" i="13"/>
  <c r="S229" i="13"/>
  <c r="T229" i="13"/>
  <c r="U229" i="13"/>
  <c r="V229" i="13"/>
  <c r="W229" i="13"/>
  <c r="X229" i="13"/>
  <c r="Y229" i="13"/>
  <c r="Z229" i="13"/>
  <c r="AA229" i="13"/>
  <c r="AB229" i="13"/>
  <c r="AC229" i="13"/>
  <c r="AD229" i="13"/>
  <c r="AE229" i="13"/>
  <c r="AF229" i="13"/>
  <c r="AG229" i="13"/>
  <c r="AH229" i="13"/>
  <c r="AI229" i="13"/>
  <c r="AJ229" i="13"/>
  <c r="AK229" i="13"/>
  <c r="AL229" i="13"/>
  <c r="AM229" i="13"/>
  <c r="AN229" i="13"/>
  <c r="AO229" i="13"/>
  <c r="AP229" i="13"/>
  <c r="AQ229" i="13"/>
  <c r="AR229" i="13"/>
  <c r="AS229" i="13"/>
  <c r="AT229" i="13"/>
  <c r="AU229" i="13"/>
  <c r="AV229" i="13"/>
  <c r="AW229" i="13"/>
  <c r="P459" i="13"/>
  <c r="Q459" i="13"/>
  <c r="R459" i="13"/>
  <c r="S459" i="13"/>
  <c r="T459" i="13"/>
  <c r="U459" i="13"/>
  <c r="V459" i="13"/>
  <c r="W459" i="13"/>
  <c r="X459" i="13"/>
  <c r="Y459" i="13"/>
  <c r="Z459" i="13"/>
  <c r="AA459" i="13"/>
  <c r="AB459" i="13"/>
  <c r="AC459" i="13"/>
  <c r="AD459" i="13"/>
  <c r="AE459" i="13"/>
  <c r="AF459" i="13"/>
  <c r="AG459" i="13"/>
  <c r="AH459" i="13"/>
  <c r="AI459" i="13"/>
  <c r="AJ459" i="13"/>
  <c r="AK459" i="13"/>
  <c r="AL459" i="13"/>
  <c r="AM459" i="13"/>
  <c r="AN459" i="13"/>
  <c r="AO459" i="13"/>
  <c r="AP459" i="13"/>
  <c r="AQ459" i="13"/>
  <c r="AR459" i="13"/>
  <c r="AS459" i="13"/>
  <c r="AT459" i="13"/>
  <c r="AU459" i="13"/>
  <c r="AV459" i="13"/>
  <c r="AW459" i="13"/>
  <c r="L93" i="13"/>
  <c r="K92" i="13"/>
  <c r="AY92" i="13" s="1"/>
  <c r="N92" i="13"/>
  <c r="H92" i="13"/>
  <c r="AX413" i="13"/>
  <c r="P182" i="13"/>
  <c r="Q182" i="13"/>
  <c r="R182" i="13"/>
  <c r="S182" i="13"/>
  <c r="T182" i="13"/>
  <c r="U182" i="13"/>
  <c r="V182" i="13"/>
  <c r="W182" i="13"/>
  <c r="X182" i="13"/>
  <c r="Y182" i="13"/>
  <c r="Z182" i="13"/>
  <c r="AA182" i="13"/>
  <c r="AB182" i="13"/>
  <c r="AC182" i="13"/>
  <c r="AD182" i="13"/>
  <c r="AE182" i="13"/>
  <c r="AF182" i="13"/>
  <c r="AG182" i="13"/>
  <c r="AH182" i="13"/>
  <c r="AI182" i="13"/>
  <c r="AJ182" i="13"/>
  <c r="AK182" i="13"/>
  <c r="AL182" i="13"/>
  <c r="AM182" i="13"/>
  <c r="AN182" i="13"/>
  <c r="AO182" i="13"/>
  <c r="AP182" i="13"/>
  <c r="AQ182" i="13"/>
  <c r="AR182" i="13"/>
  <c r="AS182" i="13"/>
  <c r="AT182" i="13"/>
  <c r="AU182" i="13"/>
  <c r="AV182" i="13"/>
  <c r="AW182" i="13"/>
  <c r="K46" i="13"/>
  <c r="AY46" i="13" s="1"/>
  <c r="N46" i="13"/>
  <c r="H46" i="13"/>
  <c r="L47" i="13"/>
  <c r="N460" i="13"/>
  <c r="H460" i="13"/>
  <c r="L461" i="13"/>
  <c r="K460" i="13"/>
  <c r="AY460" i="13" s="1"/>
  <c r="AQ49" i="10"/>
  <c r="P320" i="13"/>
  <c r="Q320" i="13"/>
  <c r="R320" i="13"/>
  <c r="S320" i="13"/>
  <c r="T320" i="13"/>
  <c r="U320" i="13"/>
  <c r="V320" i="13"/>
  <c r="W320" i="13"/>
  <c r="X320" i="13"/>
  <c r="Y320" i="13"/>
  <c r="Z320" i="13"/>
  <c r="AA320" i="13"/>
  <c r="AB320" i="13"/>
  <c r="AC320" i="13"/>
  <c r="AD320" i="13"/>
  <c r="AE320" i="13"/>
  <c r="AF320" i="13"/>
  <c r="AG320" i="13"/>
  <c r="AH320" i="13"/>
  <c r="AI320" i="13"/>
  <c r="AJ320" i="13"/>
  <c r="AK320" i="13"/>
  <c r="AL320" i="13"/>
  <c r="AM320" i="13"/>
  <c r="AN320" i="13"/>
  <c r="AO320" i="13"/>
  <c r="AP320" i="13"/>
  <c r="AQ320" i="13"/>
  <c r="AR320" i="13"/>
  <c r="AS320" i="13"/>
  <c r="AT320" i="13"/>
  <c r="AU320" i="13"/>
  <c r="AV320" i="13"/>
  <c r="AW320" i="13"/>
  <c r="AX275" i="13"/>
  <c r="AX320" i="13"/>
  <c r="AU3" i="10"/>
  <c r="AT7" i="10" a="1"/>
  <c r="AT7" i="10" s="1"/>
  <c r="AT43" i="10" s="1"/>
  <c r="AT84" i="10"/>
  <c r="AT90" i="10"/>
  <c r="AT89" i="10"/>
  <c r="AP49" i="10"/>
  <c r="P136" i="13"/>
  <c r="Q136" i="13"/>
  <c r="R136" i="13"/>
  <c r="S136" i="13"/>
  <c r="T136" i="13"/>
  <c r="U136" i="13"/>
  <c r="V136" i="13"/>
  <c r="W136" i="13"/>
  <c r="X136" i="13"/>
  <c r="Y136" i="13"/>
  <c r="Z136" i="13"/>
  <c r="AA136" i="13"/>
  <c r="AB136" i="13"/>
  <c r="AC136" i="13"/>
  <c r="AD136" i="13"/>
  <c r="AE136" i="13"/>
  <c r="AF136" i="13"/>
  <c r="AG136" i="13"/>
  <c r="AH136" i="13"/>
  <c r="AI136" i="13"/>
  <c r="AJ136" i="13"/>
  <c r="AK136" i="13"/>
  <c r="AL136" i="13"/>
  <c r="AM136" i="13"/>
  <c r="AN136" i="13"/>
  <c r="AO136" i="13"/>
  <c r="AP136" i="13"/>
  <c r="AQ136" i="13"/>
  <c r="AR136" i="13"/>
  <c r="AS136" i="13"/>
  <c r="AT136" i="13"/>
  <c r="AU136" i="13"/>
  <c r="AV136" i="13"/>
  <c r="AW136" i="13"/>
  <c r="L277" i="13"/>
  <c r="H276" i="13"/>
  <c r="N276" i="13"/>
  <c r="K276" i="13"/>
  <c r="AY276" i="13" s="1"/>
  <c r="AX91" i="13"/>
  <c r="AX229" i="13"/>
  <c r="AX459" i="13"/>
  <c r="AR39" i="10" l="1"/>
  <c r="AR47" i="10" s="1"/>
  <c r="AT86" i="10"/>
  <c r="AT50" i="10"/>
  <c r="AV114" i="10"/>
  <c r="AV115" i="10" s="1"/>
  <c r="AV116" i="10" s="1"/>
  <c r="AU45" i="10"/>
  <c r="AU50" i="10" s="1"/>
  <c r="AS39" i="10"/>
  <c r="AV128" i="10"/>
  <c r="AS99" i="10"/>
  <c r="AU95" i="10"/>
  <c r="L94" i="13"/>
  <c r="K93" i="13"/>
  <c r="AZ93" i="13" s="1"/>
  <c r="N93" i="13"/>
  <c r="H93" i="13"/>
  <c r="P137" i="13"/>
  <c r="Q137" i="13"/>
  <c r="R137" i="13"/>
  <c r="S137" i="13"/>
  <c r="T137" i="13"/>
  <c r="U137" i="13"/>
  <c r="V137" i="13"/>
  <c r="W137" i="13"/>
  <c r="X137" i="13"/>
  <c r="Y137" i="13"/>
  <c r="Z137" i="13"/>
  <c r="AA137" i="13"/>
  <c r="AB137" i="13"/>
  <c r="AC137" i="13"/>
  <c r="AD137" i="13"/>
  <c r="AE137" i="13"/>
  <c r="AF137" i="13"/>
  <c r="AG137" i="13"/>
  <c r="AH137" i="13"/>
  <c r="AI137" i="13"/>
  <c r="AJ137" i="13"/>
  <c r="AK137" i="13"/>
  <c r="AL137" i="13"/>
  <c r="AM137" i="13"/>
  <c r="AN137" i="13"/>
  <c r="AO137" i="13"/>
  <c r="AP137" i="13"/>
  <c r="AQ137" i="13"/>
  <c r="AR137" i="13"/>
  <c r="AS137" i="13"/>
  <c r="AT137" i="13"/>
  <c r="AU137" i="13"/>
  <c r="AV137" i="13"/>
  <c r="AW137" i="13"/>
  <c r="AX137" i="13"/>
  <c r="K277" i="13"/>
  <c r="AZ277" i="13" s="1"/>
  <c r="L278" i="13"/>
  <c r="H277" i="13"/>
  <c r="N277" i="13"/>
  <c r="P276" i="13"/>
  <c r="Q276" i="13"/>
  <c r="R276" i="13"/>
  <c r="S276" i="13"/>
  <c r="T276" i="13"/>
  <c r="U276" i="13"/>
  <c r="V276" i="13"/>
  <c r="W276" i="13"/>
  <c r="X276" i="13"/>
  <c r="Y276" i="13"/>
  <c r="Z276" i="13"/>
  <c r="AA276" i="13"/>
  <c r="AB276" i="13"/>
  <c r="AC276" i="13"/>
  <c r="AD276" i="13"/>
  <c r="AE276" i="13"/>
  <c r="AF276" i="13"/>
  <c r="AG276" i="13"/>
  <c r="AH276" i="13"/>
  <c r="AI276" i="13"/>
  <c r="AJ276" i="13"/>
  <c r="AK276" i="13"/>
  <c r="AL276" i="13"/>
  <c r="AM276" i="13"/>
  <c r="AN276" i="13"/>
  <c r="AO276" i="13"/>
  <c r="AP276" i="13"/>
  <c r="AQ276" i="13"/>
  <c r="AR276" i="13"/>
  <c r="AS276" i="13"/>
  <c r="AT276" i="13"/>
  <c r="AU276" i="13"/>
  <c r="AV276" i="13"/>
  <c r="AW276" i="13"/>
  <c r="AX276" i="13"/>
  <c r="AT91" i="10"/>
  <c r="AT96" i="10"/>
  <c r="AU7" i="10" a="1"/>
  <c r="AU7" i="10" s="1"/>
  <c r="AU6" i="10" s="1"/>
  <c r="AU37" i="10" s="1"/>
  <c r="AV3" i="10"/>
  <c r="AU84" i="10"/>
  <c r="AU86" i="10" s="1"/>
  <c r="AU89" i="10"/>
  <c r="AU90" i="10"/>
  <c r="N461" i="13"/>
  <c r="H461" i="13"/>
  <c r="L462" i="13"/>
  <c r="K461" i="13"/>
  <c r="AZ461" i="13" s="1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AK46" i="13"/>
  <c r="AL46" i="13"/>
  <c r="AM46" i="13"/>
  <c r="AN46" i="13"/>
  <c r="AO46" i="13"/>
  <c r="AP46" i="13"/>
  <c r="AQ46" i="13"/>
  <c r="AR46" i="13"/>
  <c r="AS46" i="13"/>
  <c r="AT46" i="13"/>
  <c r="AU46" i="13"/>
  <c r="AV46" i="13"/>
  <c r="AW46" i="13"/>
  <c r="AX46" i="13"/>
  <c r="N415" i="13"/>
  <c r="H415" i="13"/>
  <c r="L416" i="13"/>
  <c r="K415" i="13"/>
  <c r="AZ415" i="13" s="1"/>
  <c r="P230" i="13"/>
  <c r="Q230" i="13"/>
  <c r="R230" i="13"/>
  <c r="S230" i="13"/>
  <c r="T230" i="13"/>
  <c r="U230" i="13"/>
  <c r="V230" i="13"/>
  <c r="W230" i="13"/>
  <c r="X230" i="13"/>
  <c r="Y230" i="13"/>
  <c r="Z230" i="13"/>
  <c r="AA230" i="13"/>
  <c r="AB230" i="13"/>
  <c r="AC230" i="13"/>
  <c r="AD230" i="13"/>
  <c r="AE230" i="13"/>
  <c r="AF230" i="13"/>
  <c r="AG230" i="13"/>
  <c r="AH230" i="13"/>
  <c r="AI230" i="13"/>
  <c r="AJ230" i="13"/>
  <c r="AK230" i="13"/>
  <c r="AL230" i="13"/>
  <c r="AM230" i="13"/>
  <c r="AN230" i="13"/>
  <c r="AO230" i="13"/>
  <c r="AP230" i="13"/>
  <c r="AQ230" i="13"/>
  <c r="AR230" i="13"/>
  <c r="AS230" i="13"/>
  <c r="AT230" i="13"/>
  <c r="AU230" i="13"/>
  <c r="AV230" i="13"/>
  <c r="AW230" i="13"/>
  <c r="AX230" i="13"/>
  <c r="K322" i="13"/>
  <c r="AZ322" i="13" s="1"/>
  <c r="L323" i="13"/>
  <c r="N322" i="13"/>
  <c r="H322" i="13"/>
  <c r="N138" i="13"/>
  <c r="H138" i="13"/>
  <c r="L139" i="13"/>
  <c r="K138" i="13"/>
  <c r="AZ138" i="13" s="1"/>
  <c r="AT6" i="10"/>
  <c r="P460" i="13"/>
  <c r="Q460" i="13"/>
  <c r="R460" i="13"/>
  <c r="S460" i="13"/>
  <c r="T460" i="13"/>
  <c r="U460" i="13"/>
  <c r="V460" i="13"/>
  <c r="W460" i="13"/>
  <c r="X460" i="13"/>
  <c r="Y460" i="13"/>
  <c r="Z460" i="13"/>
  <c r="AA460" i="13"/>
  <c r="AB460" i="13"/>
  <c r="AC460" i="13"/>
  <c r="AD460" i="13"/>
  <c r="AE460" i="13"/>
  <c r="AF460" i="13"/>
  <c r="AG460" i="13"/>
  <c r="AH460" i="13"/>
  <c r="AI460" i="13"/>
  <c r="AJ460" i="13"/>
  <c r="AK460" i="13"/>
  <c r="AL460" i="13"/>
  <c r="AM460" i="13"/>
  <c r="AN460" i="13"/>
  <c r="AO460" i="13"/>
  <c r="AP460" i="13"/>
  <c r="AQ460" i="13"/>
  <c r="AR460" i="13"/>
  <c r="AS460" i="13"/>
  <c r="AT460" i="13"/>
  <c r="AU460" i="13"/>
  <c r="AV460" i="13"/>
  <c r="AW460" i="13"/>
  <c r="AX460" i="13"/>
  <c r="K47" i="13"/>
  <c r="AZ47" i="13" s="1"/>
  <c r="N47" i="13"/>
  <c r="H47" i="13"/>
  <c r="L48" i="13"/>
  <c r="P414" i="13"/>
  <c r="Q414" i="13"/>
  <c r="R414" i="13"/>
  <c r="S414" i="13"/>
  <c r="T414" i="13"/>
  <c r="U414" i="13"/>
  <c r="V414" i="13"/>
  <c r="W414" i="13"/>
  <c r="X414" i="13"/>
  <c r="Y414" i="13"/>
  <c r="Z414" i="13"/>
  <c r="AA414" i="13"/>
  <c r="AB414" i="13"/>
  <c r="AC414" i="13"/>
  <c r="AD414" i="13"/>
  <c r="AE414" i="13"/>
  <c r="AF414" i="13"/>
  <c r="AG414" i="13"/>
  <c r="AH414" i="13"/>
  <c r="AI414" i="13"/>
  <c r="AJ414" i="13"/>
  <c r="AK414" i="13"/>
  <c r="AL414" i="13"/>
  <c r="AM414" i="13"/>
  <c r="AN414" i="13"/>
  <c r="AO414" i="13"/>
  <c r="AP414" i="13"/>
  <c r="AQ414" i="13"/>
  <c r="AR414" i="13"/>
  <c r="AS414" i="13"/>
  <c r="AT414" i="13"/>
  <c r="AU414" i="13"/>
  <c r="AV414" i="13"/>
  <c r="AW414" i="13"/>
  <c r="AX414" i="13"/>
  <c r="N231" i="13"/>
  <c r="H231" i="13"/>
  <c r="K231" i="13"/>
  <c r="AZ231" i="13" s="1"/>
  <c r="L232" i="13"/>
  <c r="AW5" i="10"/>
  <c r="AV4" i="10"/>
  <c r="P183" i="13"/>
  <c r="Q183" i="13"/>
  <c r="R183" i="13"/>
  <c r="S183" i="13"/>
  <c r="T183" i="13"/>
  <c r="U183" i="13"/>
  <c r="V183" i="13"/>
  <c r="W183" i="13"/>
  <c r="X183" i="13"/>
  <c r="Y183" i="13"/>
  <c r="Z183" i="13"/>
  <c r="AA183" i="13"/>
  <c r="AB183" i="13"/>
  <c r="AC183" i="13"/>
  <c r="AD183" i="13"/>
  <c r="AE183" i="13"/>
  <c r="AF183" i="13"/>
  <c r="AG183" i="13"/>
  <c r="AH183" i="13"/>
  <c r="AI183" i="13"/>
  <c r="AJ183" i="13"/>
  <c r="AK183" i="13"/>
  <c r="AL183" i="13"/>
  <c r="AM183" i="13"/>
  <c r="AN183" i="13"/>
  <c r="AO183" i="13"/>
  <c r="AP183" i="13"/>
  <c r="AQ183" i="13"/>
  <c r="AR183" i="13"/>
  <c r="AS183" i="13"/>
  <c r="AT183" i="13"/>
  <c r="AU183" i="13"/>
  <c r="AV183" i="13"/>
  <c r="AW183" i="13"/>
  <c r="AX183" i="13"/>
  <c r="P321" i="13"/>
  <c r="Q321" i="13"/>
  <c r="R321" i="13"/>
  <c r="S321" i="13"/>
  <c r="T321" i="13"/>
  <c r="U321" i="13"/>
  <c r="V321" i="13"/>
  <c r="W321" i="13"/>
  <c r="X321" i="13"/>
  <c r="Y321" i="13"/>
  <c r="Z321" i="13"/>
  <c r="AA321" i="13"/>
  <c r="AB321" i="13"/>
  <c r="AC321" i="13"/>
  <c r="AD321" i="13"/>
  <c r="AE321" i="13"/>
  <c r="AF321" i="13"/>
  <c r="AG321" i="13"/>
  <c r="AH321" i="13"/>
  <c r="AI321" i="13"/>
  <c r="AJ321" i="13"/>
  <c r="AK321" i="13"/>
  <c r="AL321" i="13"/>
  <c r="AM321" i="13"/>
  <c r="AN321" i="13"/>
  <c r="AO321" i="13"/>
  <c r="AP321" i="13"/>
  <c r="AQ321" i="13"/>
  <c r="AR321" i="13"/>
  <c r="AS321" i="13"/>
  <c r="AT321" i="13"/>
  <c r="AU321" i="13"/>
  <c r="AV321" i="13"/>
  <c r="AW321" i="13"/>
  <c r="AX321" i="13"/>
  <c r="P92" i="13"/>
  <c r="Q92" i="13"/>
  <c r="R92" i="13"/>
  <c r="S92" i="13"/>
  <c r="T92" i="13"/>
  <c r="U92" i="13"/>
  <c r="V92" i="13"/>
  <c r="W92" i="13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AK92" i="13"/>
  <c r="AL92" i="13"/>
  <c r="AM92" i="13"/>
  <c r="AN92" i="13"/>
  <c r="AO92" i="13"/>
  <c r="AP92" i="13"/>
  <c r="AQ92" i="13"/>
  <c r="AR92" i="13"/>
  <c r="AS92" i="13"/>
  <c r="AT92" i="13"/>
  <c r="AU92" i="13"/>
  <c r="AV92" i="13"/>
  <c r="AW92" i="13"/>
  <c r="AX92" i="13"/>
  <c r="K184" i="13"/>
  <c r="AZ184" i="13" s="1"/>
  <c r="L185" i="13"/>
  <c r="H184" i="13"/>
  <c r="N184" i="13"/>
  <c r="AZ449" i="13"/>
  <c r="AZ447" i="13"/>
  <c r="AZ445" i="13"/>
  <c r="AZ443" i="13"/>
  <c r="AZ441" i="13"/>
  <c r="AZ439" i="13"/>
  <c r="AZ437" i="13"/>
  <c r="AZ435" i="13"/>
  <c r="AZ434" i="13"/>
  <c r="AZ433" i="13"/>
  <c r="AZ432" i="13"/>
  <c r="AZ431" i="13"/>
  <c r="AZ430" i="13"/>
  <c r="AZ429" i="13"/>
  <c r="AZ428" i="13"/>
  <c r="AZ427" i="13"/>
  <c r="AZ426" i="13"/>
  <c r="AZ425" i="13"/>
  <c r="AZ424" i="13"/>
  <c r="AZ423" i="13"/>
  <c r="AZ422" i="13"/>
  <c r="AZ421" i="13"/>
  <c r="AZ458" i="13"/>
  <c r="AZ454" i="13"/>
  <c r="AZ446" i="13"/>
  <c r="AZ438" i="13"/>
  <c r="AZ414" i="13"/>
  <c r="AZ412" i="13"/>
  <c r="AZ410" i="13"/>
  <c r="AZ408" i="13"/>
  <c r="AZ406" i="13"/>
  <c r="AZ404" i="13"/>
  <c r="AZ402" i="13"/>
  <c r="AZ400" i="13"/>
  <c r="AZ398" i="13"/>
  <c r="AZ396" i="13"/>
  <c r="AZ394" i="13"/>
  <c r="AZ392" i="13"/>
  <c r="AZ390" i="13"/>
  <c r="AZ388" i="13"/>
  <c r="AZ386" i="13"/>
  <c r="AZ384" i="13"/>
  <c r="AZ382" i="13"/>
  <c r="AZ380" i="13"/>
  <c r="AZ378" i="13"/>
  <c r="AZ376" i="13"/>
  <c r="AZ374" i="13"/>
  <c r="AZ372" i="13"/>
  <c r="AZ370" i="13"/>
  <c r="AZ368" i="13"/>
  <c r="AZ366" i="13"/>
  <c r="AZ364" i="13"/>
  <c r="AZ362" i="13"/>
  <c r="AZ457" i="13"/>
  <c r="AZ453" i="13"/>
  <c r="AZ448" i="13"/>
  <c r="AZ440" i="13"/>
  <c r="AZ455" i="13"/>
  <c r="AZ444" i="13"/>
  <c r="AZ413" i="13"/>
  <c r="AZ409" i="13"/>
  <c r="AZ405" i="13"/>
  <c r="AZ401" i="13"/>
  <c r="AZ397" i="13"/>
  <c r="AZ393" i="13"/>
  <c r="AZ391" i="13"/>
  <c r="AZ383" i="13"/>
  <c r="AZ373" i="13"/>
  <c r="AZ365" i="13"/>
  <c r="AZ359" i="13"/>
  <c r="AZ357" i="13"/>
  <c r="AZ355" i="13"/>
  <c r="AZ353" i="13"/>
  <c r="AZ351" i="13"/>
  <c r="AZ349" i="13"/>
  <c r="AZ347" i="13"/>
  <c r="AZ345" i="13"/>
  <c r="AZ343" i="13"/>
  <c r="AZ341" i="13"/>
  <c r="AZ339" i="13"/>
  <c r="AZ276" i="13"/>
  <c r="AZ275" i="13"/>
  <c r="AZ274" i="13"/>
  <c r="AZ273" i="13"/>
  <c r="AZ272" i="13"/>
  <c r="AZ271" i="13"/>
  <c r="AZ270" i="13"/>
  <c r="AZ269" i="13"/>
  <c r="AZ268" i="13"/>
  <c r="AZ267" i="13"/>
  <c r="AZ266" i="13"/>
  <c r="AZ265" i="13"/>
  <c r="AZ264" i="13"/>
  <c r="AZ263" i="13"/>
  <c r="AZ262" i="13"/>
  <c r="AZ261" i="13"/>
  <c r="AZ260" i="13"/>
  <c r="AZ259" i="13"/>
  <c r="AZ258" i="13"/>
  <c r="AZ257" i="13"/>
  <c r="AZ256" i="13"/>
  <c r="AZ255" i="13"/>
  <c r="AZ254" i="13"/>
  <c r="AZ253" i="13"/>
  <c r="AZ252" i="13"/>
  <c r="AZ251" i="13"/>
  <c r="AZ250" i="13"/>
  <c r="AZ249" i="13"/>
  <c r="AZ248" i="13"/>
  <c r="AZ247" i="13"/>
  <c r="AZ246" i="13"/>
  <c r="AZ245" i="13"/>
  <c r="AZ244" i="13"/>
  <c r="AZ243" i="13"/>
  <c r="AZ242" i="13"/>
  <c r="AZ241" i="13"/>
  <c r="AZ240" i="13"/>
  <c r="AZ239" i="13"/>
  <c r="AZ238" i="13"/>
  <c r="AZ237" i="13"/>
  <c r="AZ456" i="13"/>
  <c r="AZ450" i="13"/>
  <c r="AZ385" i="13"/>
  <c r="AZ377" i="13"/>
  <c r="AZ375" i="13"/>
  <c r="AZ367" i="13"/>
  <c r="AZ459" i="13"/>
  <c r="AZ381" i="13"/>
  <c r="AZ356" i="13"/>
  <c r="AZ348" i="13"/>
  <c r="AZ340" i="13"/>
  <c r="AZ338" i="13"/>
  <c r="AZ336" i="13"/>
  <c r="AZ334" i="13"/>
  <c r="AZ332" i="13"/>
  <c r="AZ330" i="13"/>
  <c r="AZ452" i="13"/>
  <c r="AZ407" i="13"/>
  <c r="AZ399" i="13"/>
  <c r="AZ387" i="13"/>
  <c r="AZ358" i="13"/>
  <c r="AZ350" i="13"/>
  <c r="AZ342" i="13"/>
  <c r="AZ451" i="13"/>
  <c r="AZ436" i="13"/>
  <c r="AZ389" i="13"/>
  <c r="AZ369" i="13"/>
  <c r="AZ361" i="13"/>
  <c r="AZ360" i="13"/>
  <c r="AZ352" i="13"/>
  <c r="AZ344" i="13"/>
  <c r="AZ337" i="13"/>
  <c r="AZ335" i="13"/>
  <c r="AZ333" i="13"/>
  <c r="AZ331" i="13"/>
  <c r="AZ321" i="13"/>
  <c r="AZ319" i="13"/>
  <c r="AZ442" i="13"/>
  <c r="AZ403" i="13"/>
  <c r="AZ371" i="13"/>
  <c r="AZ363" i="13"/>
  <c r="AZ346" i="13"/>
  <c r="AZ317" i="13"/>
  <c r="AZ316" i="13"/>
  <c r="AZ315" i="13"/>
  <c r="AZ313" i="13"/>
  <c r="AZ311" i="13"/>
  <c r="AZ309" i="13"/>
  <c r="AZ307" i="13"/>
  <c r="AZ305" i="13"/>
  <c r="AZ303" i="13"/>
  <c r="AZ301" i="13"/>
  <c r="AZ299" i="13"/>
  <c r="AZ297" i="13"/>
  <c r="AZ295" i="13"/>
  <c r="AZ293" i="13"/>
  <c r="AZ291" i="13"/>
  <c r="AZ289" i="13"/>
  <c r="AZ287" i="13"/>
  <c r="AZ285" i="13"/>
  <c r="AZ283" i="13"/>
  <c r="AZ229" i="13"/>
  <c r="AZ227" i="13"/>
  <c r="AZ225" i="13"/>
  <c r="AZ223" i="13"/>
  <c r="AZ221" i="13"/>
  <c r="AZ219" i="13"/>
  <c r="AZ217" i="13"/>
  <c r="AZ215" i="13"/>
  <c r="AZ213" i="13"/>
  <c r="AZ211" i="13"/>
  <c r="AZ209" i="13"/>
  <c r="AZ207" i="13"/>
  <c r="AZ205" i="13"/>
  <c r="AZ203" i="13"/>
  <c r="AZ183" i="13"/>
  <c r="AZ182" i="13"/>
  <c r="AZ181" i="13"/>
  <c r="AZ180" i="13"/>
  <c r="AZ179" i="13"/>
  <c r="AZ178" i="13"/>
  <c r="AZ177" i="13"/>
  <c r="AZ176" i="13"/>
  <c r="AZ175" i="13"/>
  <c r="AZ174" i="13"/>
  <c r="AZ173" i="13"/>
  <c r="AZ172" i="13"/>
  <c r="AZ171" i="13"/>
  <c r="AZ170" i="13"/>
  <c r="AZ169" i="13"/>
  <c r="AZ395" i="13"/>
  <c r="AZ379" i="13"/>
  <c r="AZ354" i="13"/>
  <c r="AZ320" i="13"/>
  <c r="AZ329" i="13"/>
  <c r="AZ314" i="13"/>
  <c r="AZ312" i="13"/>
  <c r="AZ310" i="13"/>
  <c r="AZ308" i="13"/>
  <c r="AZ306" i="13"/>
  <c r="AZ304" i="13"/>
  <c r="AZ302" i="13"/>
  <c r="AZ300" i="13"/>
  <c r="AZ298" i="13"/>
  <c r="AZ296" i="13"/>
  <c r="AZ294" i="13"/>
  <c r="AZ292" i="13"/>
  <c r="AZ290" i="13"/>
  <c r="AZ288" i="13"/>
  <c r="AZ286" i="13"/>
  <c r="AZ284" i="13"/>
  <c r="AZ230" i="13"/>
  <c r="AZ228" i="13"/>
  <c r="AZ226" i="13"/>
  <c r="AZ224" i="13"/>
  <c r="AZ222" i="13"/>
  <c r="AZ411" i="13"/>
  <c r="AZ168" i="13"/>
  <c r="AZ167" i="13"/>
  <c r="AZ166" i="13"/>
  <c r="AZ165" i="13"/>
  <c r="AZ164" i="13"/>
  <c r="AZ163" i="13"/>
  <c r="AZ162" i="13"/>
  <c r="AZ161" i="13"/>
  <c r="AZ160" i="13"/>
  <c r="AZ159" i="13"/>
  <c r="AZ158" i="13"/>
  <c r="AZ157" i="13"/>
  <c r="AZ156" i="13"/>
  <c r="AZ155" i="13"/>
  <c r="AZ154" i="13"/>
  <c r="AZ153" i="13"/>
  <c r="AZ152" i="13"/>
  <c r="AZ151" i="13"/>
  <c r="AZ150" i="13"/>
  <c r="AZ149" i="13"/>
  <c r="AZ148" i="13"/>
  <c r="AZ147" i="13"/>
  <c r="AZ146" i="13"/>
  <c r="AZ145" i="13"/>
  <c r="AZ318" i="13"/>
  <c r="AZ220" i="13"/>
  <c r="AZ216" i="13"/>
  <c r="AZ212" i="13"/>
  <c r="AZ208" i="13"/>
  <c r="AZ201" i="13"/>
  <c r="AZ199" i="13"/>
  <c r="AZ197" i="13"/>
  <c r="AZ195" i="13"/>
  <c r="AZ193" i="13"/>
  <c r="AZ191" i="13"/>
  <c r="AZ46" i="13"/>
  <c r="AZ45" i="13"/>
  <c r="AZ44" i="13"/>
  <c r="AZ43" i="13"/>
  <c r="AZ42" i="13"/>
  <c r="AZ41" i="13"/>
  <c r="AZ40" i="13"/>
  <c r="AZ39" i="13"/>
  <c r="AZ38" i="13"/>
  <c r="AZ37" i="13"/>
  <c r="AZ36" i="13"/>
  <c r="AZ35" i="13"/>
  <c r="AZ34" i="13"/>
  <c r="AZ33" i="13"/>
  <c r="AZ32" i="13"/>
  <c r="AZ31" i="13"/>
  <c r="AZ30" i="13"/>
  <c r="AZ29" i="13"/>
  <c r="AZ28" i="13"/>
  <c r="AZ204" i="13"/>
  <c r="AZ460" i="13"/>
  <c r="AZ210" i="13"/>
  <c r="AZ198" i="13"/>
  <c r="AZ137" i="13"/>
  <c r="AZ136" i="13"/>
  <c r="AZ135" i="13"/>
  <c r="AZ134" i="13"/>
  <c r="AZ133" i="13"/>
  <c r="AZ132" i="13"/>
  <c r="AZ131" i="13"/>
  <c r="AZ130" i="13"/>
  <c r="AZ129" i="13"/>
  <c r="AZ128" i="13"/>
  <c r="AZ127" i="13"/>
  <c r="AZ126" i="13"/>
  <c r="AZ125" i="13"/>
  <c r="AZ124" i="13"/>
  <c r="AZ123" i="13"/>
  <c r="AZ122" i="13"/>
  <c r="AZ121" i="13"/>
  <c r="AZ120" i="13"/>
  <c r="AZ119" i="13"/>
  <c r="AZ118" i="13"/>
  <c r="AZ117" i="13"/>
  <c r="AZ116" i="13"/>
  <c r="AZ115" i="13"/>
  <c r="AZ114" i="13"/>
  <c r="AZ113" i="13"/>
  <c r="AZ112" i="13"/>
  <c r="AZ111" i="13"/>
  <c r="AZ110" i="13"/>
  <c r="AZ109" i="13"/>
  <c r="AZ108" i="13"/>
  <c r="AZ107" i="13"/>
  <c r="AZ106" i="13"/>
  <c r="AZ105" i="13"/>
  <c r="AZ104" i="13"/>
  <c r="AZ103" i="13"/>
  <c r="AZ102" i="13"/>
  <c r="AZ101" i="13"/>
  <c r="AZ100" i="13"/>
  <c r="AZ206" i="13"/>
  <c r="AZ196" i="13"/>
  <c r="AZ218" i="13"/>
  <c r="AZ202" i="13"/>
  <c r="AZ194" i="13"/>
  <c r="AZ192" i="13"/>
  <c r="AZ53" i="13"/>
  <c r="AZ27" i="13"/>
  <c r="AZ26" i="13"/>
  <c r="AZ25" i="13"/>
  <c r="AZ24" i="13"/>
  <c r="AZ23" i="13"/>
  <c r="AZ22" i="13"/>
  <c r="AZ21" i="13"/>
  <c r="AZ20" i="13"/>
  <c r="AZ19" i="13"/>
  <c r="AZ99" i="13"/>
  <c r="AZ92" i="13"/>
  <c r="AZ90" i="13"/>
  <c r="AZ88" i="13"/>
  <c r="AZ86" i="13"/>
  <c r="AZ84" i="13"/>
  <c r="AZ82" i="13"/>
  <c r="AZ80" i="13"/>
  <c r="AZ78" i="13"/>
  <c r="AZ76" i="13"/>
  <c r="AZ74" i="13"/>
  <c r="AZ72" i="13"/>
  <c r="AZ70" i="13"/>
  <c r="AZ68" i="13"/>
  <c r="AZ66" i="13"/>
  <c r="AZ64" i="13"/>
  <c r="AZ62" i="13"/>
  <c r="AZ60" i="13"/>
  <c r="AZ58" i="13"/>
  <c r="AZ56" i="13"/>
  <c r="AZ54" i="13"/>
  <c r="AZ18" i="13"/>
  <c r="AZ17" i="13"/>
  <c r="AZ16" i="13"/>
  <c r="AZ15" i="13"/>
  <c r="AZ14" i="13"/>
  <c r="AZ13" i="13"/>
  <c r="AZ12" i="13"/>
  <c r="AZ11" i="13"/>
  <c r="AZ10" i="13"/>
  <c r="AZ9" i="13"/>
  <c r="AZ8" i="13"/>
  <c r="AZ7" i="13"/>
  <c r="AZ200" i="13"/>
  <c r="AZ91" i="13"/>
  <c r="AZ89" i="13"/>
  <c r="AZ87" i="13"/>
  <c r="AZ85" i="13"/>
  <c r="AZ83" i="13"/>
  <c r="AZ81" i="13"/>
  <c r="AZ79" i="13"/>
  <c r="AZ77" i="13"/>
  <c r="AZ75" i="13"/>
  <c r="AZ73" i="13"/>
  <c r="AZ71" i="13"/>
  <c r="AZ69" i="13"/>
  <c r="AZ67" i="13"/>
  <c r="AZ65" i="13"/>
  <c r="AZ63" i="13"/>
  <c r="AZ61" i="13"/>
  <c r="AZ59" i="13"/>
  <c r="AZ57" i="13"/>
  <c r="AZ55" i="13"/>
  <c r="AZ214" i="13"/>
  <c r="BA5" i="13"/>
  <c r="AR49" i="10" l="1"/>
  <c r="AS47" i="10"/>
  <c r="AW114" i="10"/>
  <c r="AW115" i="10" s="1"/>
  <c r="AW116" i="10" s="1"/>
  <c r="AV45" i="10"/>
  <c r="AV50" i="10" s="1"/>
  <c r="AU96" i="10"/>
  <c r="AS49" i="10"/>
  <c r="AU26" i="10"/>
  <c r="AU18" i="10"/>
  <c r="AU35" i="10"/>
  <c r="AU32" i="10"/>
  <c r="AU21" i="10"/>
  <c r="AU16" i="10"/>
  <c r="AU34" i="10"/>
  <c r="AU31" i="10"/>
  <c r="AU24" i="10"/>
  <c r="AT69" i="10"/>
  <c r="AT67" i="10"/>
  <c r="AT10" i="10"/>
  <c r="AT11" i="10"/>
  <c r="AT64" i="10"/>
  <c r="AU64" i="10"/>
  <c r="AU10" i="10"/>
  <c r="AU69" i="10"/>
  <c r="AU43" i="10"/>
  <c r="AU67" i="10"/>
  <c r="AU11" i="10"/>
  <c r="AW128" i="10"/>
  <c r="AU33" i="10"/>
  <c r="AU19" i="10"/>
  <c r="AV95" i="10"/>
  <c r="AU38" i="10"/>
  <c r="AU23" i="10"/>
  <c r="AU29" i="10"/>
  <c r="AU14" i="10"/>
  <c r="AU30" i="10"/>
  <c r="AU27" i="10"/>
  <c r="AU22" i="10"/>
  <c r="AU15" i="10"/>
  <c r="AT99" i="10"/>
  <c r="P184" i="13"/>
  <c r="Q184" i="13"/>
  <c r="R184" i="13"/>
  <c r="S184" i="13"/>
  <c r="T184" i="13"/>
  <c r="U184" i="13"/>
  <c r="V184" i="13"/>
  <c r="W184" i="13"/>
  <c r="X184" i="13"/>
  <c r="Y184" i="13"/>
  <c r="Z184" i="13"/>
  <c r="AA184" i="13"/>
  <c r="AB184" i="13"/>
  <c r="AC184" i="13"/>
  <c r="AD184" i="13"/>
  <c r="AE184" i="13"/>
  <c r="AF184" i="13"/>
  <c r="AG184" i="13"/>
  <c r="AH184" i="13"/>
  <c r="AI184" i="13"/>
  <c r="AJ184" i="13"/>
  <c r="AK184" i="13"/>
  <c r="AL184" i="13"/>
  <c r="AM184" i="13"/>
  <c r="AN184" i="13"/>
  <c r="AO184" i="13"/>
  <c r="AP184" i="13"/>
  <c r="AQ184" i="13"/>
  <c r="AR184" i="13"/>
  <c r="AS184" i="13"/>
  <c r="AT184" i="13"/>
  <c r="AU184" i="13"/>
  <c r="AV184" i="13"/>
  <c r="AW184" i="13"/>
  <c r="AX184" i="13"/>
  <c r="AY184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K47" i="13"/>
  <c r="AL47" i="13"/>
  <c r="AM47" i="13"/>
  <c r="AN47" i="13"/>
  <c r="AO47" i="13"/>
  <c r="AP47" i="13"/>
  <c r="AQ47" i="13"/>
  <c r="AR47" i="13"/>
  <c r="AS47" i="13"/>
  <c r="AT47" i="13"/>
  <c r="AU47" i="13"/>
  <c r="AV47" i="13"/>
  <c r="AW47" i="13"/>
  <c r="AX47" i="13"/>
  <c r="AY47" i="13"/>
  <c r="P138" i="13"/>
  <c r="Q138" i="13"/>
  <c r="R138" i="13"/>
  <c r="S138" i="13"/>
  <c r="T138" i="13"/>
  <c r="U138" i="13"/>
  <c r="V138" i="13"/>
  <c r="W138" i="13"/>
  <c r="X138" i="13"/>
  <c r="Y138" i="13"/>
  <c r="Z138" i="13"/>
  <c r="AA138" i="13"/>
  <c r="AB138" i="13"/>
  <c r="AC138" i="13"/>
  <c r="AD138" i="13"/>
  <c r="AE138" i="13"/>
  <c r="AF138" i="13"/>
  <c r="AG138" i="13"/>
  <c r="AH138" i="13"/>
  <c r="AI138" i="13"/>
  <c r="AJ138" i="13"/>
  <c r="AK138" i="13"/>
  <c r="AL138" i="13"/>
  <c r="AM138" i="13"/>
  <c r="AN138" i="13"/>
  <c r="AO138" i="13"/>
  <c r="AP138" i="13"/>
  <c r="AQ138" i="13"/>
  <c r="AR138" i="13"/>
  <c r="AS138" i="13"/>
  <c r="AT138" i="13"/>
  <c r="AU138" i="13"/>
  <c r="AV138" i="13"/>
  <c r="AW138" i="13"/>
  <c r="AX138" i="13"/>
  <c r="AY138" i="13"/>
  <c r="N462" i="13"/>
  <c r="H462" i="13"/>
  <c r="L463" i="13"/>
  <c r="K462" i="13"/>
  <c r="AU91" i="10"/>
  <c r="P277" i="13"/>
  <c r="Q277" i="13"/>
  <c r="R277" i="13"/>
  <c r="S277" i="13"/>
  <c r="T277" i="13"/>
  <c r="U277" i="13"/>
  <c r="V277" i="13"/>
  <c r="W277" i="13"/>
  <c r="X277" i="13"/>
  <c r="Y277" i="13"/>
  <c r="Z277" i="13"/>
  <c r="AA277" i="13"/>
  <c r="AB277" i="13"/>
  <c r="AC277" i="13"/>
  <c r="AD277" i="13"/>
  <c r="AE277" i="13"/>
  <c r="AF277" i="13"/>
  <c r="AG277" i="13"/>
  <c r="AH277" i="13"/>
  <c r="AI277" i="13"/>
  <c r="AJ277" i="13"/>
  <c r="AK277" i="13"/>
  <c r="AL277" i="13"/>
  <c r="AM277" i="13"/>
  <c r="AN277" i="13"/>
  <c r="AO277" i="13"/>
  <c r="AP277" i="13"/>
  <c r="AQ277" i="13"/>
  <c r="AR277" i="13"/>
  <c r="AS277" i="13"/>
  <c r="AT277" i="13"/>
  <c r="AU277" i="13"/>
  <c r="AV277" i="13"/>
  <c r="AW277" i="13"/>
  <c r="AX277" i="13"/>
  <c r="AY277" i="13"/>
  <c r="AU20" i="10"/>
  <c r="AU25" i="10"/>
  <c r="P93" i="13"/>
  <c r="Q93" i="13"/>
  <c r="R93" i="13"/>
  <c r="S93" i="13"/>
  <c r="T93" i="13"/>
  <c r="U93" i="13"/>
  <c r="V93" i="13"/>
  <c r="W93" i="13"/>
  <c r="X93" i="13"/>
  <c r="Y93" i="13"/>
  <c r="Z93" i="13"/>
  <c r="AA93" i="13"/>
  <c r="AB93" i="13"/>
  <c r="AC93" i="13"/>
  <c r="AD93" i="13"/>
  <c r="AE93" i="13"/>
  <c r="AF93" i="13"/>
  <c r="AG93" i="13"/>
  <c r="AH93" i="13"/>
  <c r="AI93" i="13"/>
  <c r="AJ93" i="13"/>
  <c r="AK93" i="13"/>
  <c r="AL93" i="13"/>
  <c r="AM93" i="13"/>
  <c r="AN93" i="13"/>
  <c r="AO93" i="13"/>
  <c r="AP93" i="13"/>
  <c r="AQ93" i="13"/>
  <c r="AR93" i="13"/>
  <c r="AS93" i="13"/>
  <c r="AT93" i="13"/>
  <c r="AU93" i="13"/>
  <c r="AV93" i="13"/>
  <c r="AW93" i="13"/>
  <c r="AX93" i="13"/>
  <c r="AY93" i="13"/>
  <c r="BA462" i="13"/>
  <c r="BA461" i="13"/>
  <c r="BA457" i="13"/>
  <c r="BA453" i="13"/>
  <c r="BA448" i="13"/>
  <c r="BA447" i="13"/>
  <c r="BA440" i="13"/>
  <c r="BA439" i="13"/>
  <c r="BA360" i="13"/>
  <c r="BA359" i="13"/>
  <c r="BA358" i="13"/>
  <c r="BA357" i="13"/>
  <c r="BA356" i="13"/>
  <c r="BA355" i="13"/>
  <c r="BA354" i="13"/>
  <c r="BA353" i="13"/>
  <c r="BA352" i="13"/>
  <c r="BA351" i="13"/>
  <c r="BA350" i="13"/>
  <c r="BA349" i="13"/>
  <c r="BA348" i="13"/>
  <c r="BA347" i="13"/>
  <c r="BA346" i="13"/>
  <c r="BA345" i="13"/>
  <c r="BA344" i="13"/>
  <c r="BA343" i="13"/>
  <c r="BA342" i="13"/>
  <c r="BA341" i="13"/>
  <c r="BA340" i="13"/>
  <c r="BA339" i="13"/>
  <c r="BA460" i="13"/>
  <c r="BA456" i="13"/>
  <c r="BA452" i="13"/>
  <c r="BA450" i="13"/>
  <c r="BA449" i="13"/>
  <c r="BA442" i="13"/>
  <c r="BA441" i="13"/>
  <c r="BA435" i="13"/>
  <c r="BA433" i="13"/>
  <c r="BA431" i="13"/>
  <c r="BA429" i="13"/>
  <c r="BA427" i="13"/>
  <c r="BA425" i="13"/>
  <c r="BA423" i="13"/>
  <c r="BA421" i="13"/>
  <c r="BA415" i="13"/>
  <c r="BA413" i="13"/>
  <c r="BA411" i="13"/>
  <c r="BA409" i="13"/>
  <c r="BA407" i="13"/>
  <c r="BA405" i="13"/>
  <c r="BA403" i="13"/>
  <c r="BA401" i="13"/>
  <c r="BA399" i="13"/>
  <c r="BA397" i="13"/>
  <c r="BA395" i="13"/>
  <c r="BA393" i="13"/>
  <c r="BA458" i="13"/>
  <c r="BA446" i="13"/>
  <c r="BA445" i="13"/>
  <c r="BA434" i="13"/>
  <c r="BA430" i="13"/>
  <c r="BA426" i="13"/>
  <c r="BA422" i="13"/>
  <c r="BA392" i="13"/>
  <c r="BA385" i="13"/>
  <c r="BA384" i="13"/>
  <c r="BA377" i="13"/>
  <c r="BA376" i="13"/>
  <c r="BA375" i="13"/>
  <c r="BA374" i="13"/>
  <c r="BA367" i="13"/>
  <c r="BA366" i="13"/>
  <c r="BA322" i="13"/>
  <c r="BA321" i="13"/>
  <c r="BA320" i="13"/>
  <c r="BA319" i="13"/>
  <c r="BA318" i="13"/>
  <c r="BA317" i="13"/>
  <c r="BA316" i="13"/>
  <c r="BA315" i="13"/>
  <c r="BA314" i="13"/>
  <c r="BA313" i="13"/>
  <c r="BA312" i="13"/>
  <c r="BA311" i="13"/>
  <c r="BA310" i="13"/>
  <c r="BA309" i="13"/>
  <c r="BA308" i="13"/>
  <c r="BA307" i="13"/>
  <c r="BA306" i="13"/>
  <c r="BA305" i="13"/>
  <c r="BA304" i="13"/>
  <c r="BA303" i="13"/>
  <c r="BA302" i="13"/>
  <c r="BA301" i="13"/>
  <c r="BA300" i="13"/>
  <c r="BA299" i="13"/>
  <c r="BA298" i="13"/>
  <c r="BA297" i="13"/>
  <c r="BA296" i="13"/>
  <c r="BA295" i="13"/>
  <c r="BA294" i="13"/>
  <c r="BA293" i="13"/>
  <c r="BA292" i="13"/>
  <c r="BA291" i="13"/>
  <c r="BA290" i="13"/>
  <c r="BA289" i="13"/>
  <c r="BA288" i="13"/>
  <c r="BA287" i="13"/>
  <c r="BA286" i="13"/>
  <c r="BA285" i="13"/>
  <c r="BA284" i="13"/>
  <c r="BA283" i="13"/>
  <c r="BA459" i="13"/>
  <c r="BA451" i="13"/>
  <c r="BA436" i="13"/>
  <c r="BA412" i="13"/>
  <c r="BA408" i="13"/>
  <c r="BA404" i="13"/>
  <c r="BA400" i="13"/>
  <c r="BA396" i="13"/>
  <c r="BA387" i="13"/>
  <c r="BA386" i="13"/>
  <c r="BA379" i="13"/>
  <c r="BA378" i="13"/>
  <c r="BA369" i="13"/>
  <c r="BA368" i="13"/>
  <c r="BA428" i="13"/>
  <c r="BA414" i="13"/>
  <c r="BA406" i="13"/>
  <c r="BA398" i="13"/>
  <c r="BA383" i="13"/>
  <c r="BA382" i="13"/>
  <c r="BA455" i="13"/>
  <c r="BA389" i="13"/>
  <c r="BA388" i="13"/>
  <c r="BA365" i="13"/>
  <c r="BA364" i="13"/>
  <c r="BA361" i="13"/>
  <c r="BA337" i="13"/>
  <c r="BA335" i="13"/>
  <c r="BA333" i="13"/>
  <c r="BA331" i="13"/>
  <c r="BA454" i="13"/>
  <c r="BA438" i="13"/>
  <c r="BA437" i="13"/>
  <c r="BA432" i="13"/>
  <c r="BA424" i="13"/>
  <c r="BA410" i="13"/>
  <c r="BA402" i="13"/>
  <c r="BA394" i="13"/>
  <c r="BA391" i="13"/>
  <c r="BA390" i="13"/>
  <c r="BA371" i="13"/>
  <c r="BA370" i="13"/>
  <c r="BA363" i="13"/>
  <c r="BA362" i="13"/>
  <c r="BA329" i="13"/>
  <c r="BA444" i="13"/>
  <c r="BA373" i="13"/>
  <c r="BA372" i="13"/>
  <c r="BA336" i="13"/>
  <c r="BA330" i="13"/>
  <c r="BA202" i="13"/>
  <c r="BA201" i="13"/>
  <c r="BA200" i="13"/>
  <c r="BA199" i="13"/>
  <c r="BA198" i="13"/>
  <c r="BA197" i="13"/>
  <c r="BA196" i="13"/>
  <c r="BA195" i="13"/>
  <c r="BA194" i="13"/>
  <c r="BA193" i="13"/>
  <c r="BA192" i="13"/>
  <c r="BA191" i="13"/>
  <c r="BA381" i="13"/>
  <c r="BA380" i="13"/>
  <c r="BA332" i="13"/>
  <c r="BA276" i="13"/>
  <c r="BA274" i="13"/>
  <c r="BA272" i="13"/>
  <c r="BA270" i="13"/>
  <c r="BA268" i="13"/>
  <c r="BA266" i="13"/>
  <c r="BA264" i="13"/>
  <c r="BA262" i="13"/>
  <c r="BA260" i="13"/>
  <c r="BA258" i="13"/>
  <c r="BA256" i="13"/>
  <c r="BA254" i="13"/>
  <c r="BA252" i="13"/>
  <c r="BA250" i="13"/>
  <c r="BA248" i="13"/>
  <c r="BA246" i="13"/>
  <c r="BA244" i="13"/>
  <c r="BA242" i="13"/>
  <c r="BA240" i="13"/>
  <c r="BA238" i="13"/>
  <c r="BA230" i="13"/>
  <c r="BA228" i="13"/>
  <c r="BA226" i="13"/>
  <c r="BA224" i="13"/>
  <c r="BA222" i="13"/>
  <c r="BA220" i="13"/>
  <c r="BA218" i="13"/>
  <c r="BA216" i="13"/>
  <c r="BA214" i="13"/>
  <c r="BA212" i="13"/>
  <c r="BA210" i="13"/>
  <c r="BA208" i="13"/>
  <c r="BA206" i="13"/>
  <c r="BA443" i="13"/>
  <c r="BA338" i="13"/>
  <c r="BA334" i="13"/>
  <c r="BA271" i="13"/>
  <c r="BA263" i="13"/>
  <c r="BA255" i="13"/>
  <c r="BA247" i="13"/>
  <c r="BA239" i="13"/>
  <c r="BA227" i="13"/>
  <c r="BA221" i="13"/>
  <c r="BA217" i="13"/>
  <c r="BA213" i="13"/>
  <c r="BA209" i="13"/>
  <c r="BA205" i="13"/>
  <c r="BA183" i="13"/>
  <c r="BA181" i="13"/>
  <c r="BA179" i="13"/>
  <c r="BA177" i="13"/>
  <c r="BA175" i="13"/>
  <c r="BA173" i="13"/>
  <c r="BA171" i="13"/>
  <c r="BA169" i="13"/>
  <c r="BA47" i="13"/>
  <c r="BA46" i="13"/>
  <c r="BA45" i="13"/>
  <c r="BA44" i="13"/>
  <c r="BA43" i="13"/>
  <c r="BA42" i="13"/>
  <c r="BA41" i="13"/>
  <c r="BA40" i="13"/>
  <c r="BA39" i="13"/>
  <c r="BA38" i="13"/>
  <c r="BA37" i="13"/>
  <c r="BA36" i="13"/>
  <c r="BA35" i="13"/>
  <c r="BA34" i="13"/>
  <c r="BA33" i="13"/>
  <c r="BA32" i="13"/>
  <c r="BA31" i="13"/>
  <c r="BA30" i="13"/>
  <c r="BA29" i="13"/>
  <c r="BA28" i="13"/>
  <c r="BA27" i="13"/>
  <c r="BA277" i="13"/>
  <c r="BA269" i="13"/>
  <c r="BA261" i="13"/>
  <c r="BA253" i="13"/>
  <c r="BA245" i="13"/>
  <c r="BA225" i="13"/>
  <c r="BA204" i="13"/>
  <c r="BA203" i="13"/>
  <c r="BA93" i="13"/>
  <c r="BA92" i="13"/>
  <c r="BA91" i="13"/>
  <c r="BA90" i="13"/>
  <c r="BA89" i="13"/>
  <c r="BA88" i="13"/>
  <c r="BA87" i="13"/>
  <c r="BA86" i="13"/>
  <c r="BA85" i="13"/>
  <c r="BA84" i="13"/>
  <c r="BA83" i="13"/>
  <c r="BA82" i="13"/>
  <c r="BA81" i="13"/>
  <c r="BA80" i="13"/>
  <c r="BA79" i="13"/>
  <c r="BA78" i="13"/>
  <c r="BA77" i="13"/>
  <c r="BA76" i="13"/>
  <c r="BA75" i="13"/>
  <c r="BA74" i="13"/>
  <c r="BA73" i="13"/>
  <c r="BA72" i="13"/>
  <c r="BA71" i="13"/>
  <c r="BA70" i="13"/>
  <c r="BA69" i="13"/>
  <c r="BA68" i="13"/>
  <c r="BA67" i="13"/>
  <c r="BA66" i="13"/>
  <c r="BA65" i="13"/>
  <c r="BA64" i="13"/>
  <c r="BA63" i="13"/>
  <c r="BA62" i="13"/>
  <c r="BA61" i="13"/>
  <c r="BA60" i="13"/>
  <c r="BA59" i="13"/>
  <c r="BA58" i="13"/>
  <c r="BA57" i="13"/>
  <c r="BA56" i="13"/>
  <c r="BA55" i="13"/>
  <c r="BA54" i="13"/>
  <c r="BA53" i="13"/>
  <c r="BA275" i="13"/>
  <c r="BA267" i="13"/>
  <c r="BA259" i="13"/>
  <c r="BA251" i="13"/>
  <c r="BA243" i="13"/>
  <c r="BA237" i="13"/>
  <c r="BA231" i="13"/>
  <c r="BA223" i="13"/>
  <c r="BA219" i="13"/>
  <c r="BA215" i="13"/>
  <c r="BA211" i="13"/>
  <c r="BA207" i="13"/>
  <c r="BA257" i="13"/>
  <c r="BA99" i="13"/>
  <c r="BA249" i="13"/>
  <c r="BA229" i="13"/>
  <c r="BA182" i="13"/>
  <c r="BA178" i="13"/>
  <c r="BA174" i="13"/>
  <c r="BA170" i="13"/>
  <c r="BA273" i="13"/>
  <c r="BA241" i="13"/>
  <c r="BA168" i="13"/>
  <c r="BA167" i="13"/>
  <c r="BA166" i="13"/>
  <c r="BA165" i="13"/>
  <c r="BA164" i="13"/>
  <c r="BA163" i="13"/>
  <c r="BA162" i="13"/>
  <c r="BA161" i="13"/>
  <c r="BA160" i="13"/>
  <c r="BA159" i="13"/>
  <c r="BA158" i="13"/>
  <c r="BA157" i="13"/>
  <c r="BA156" i="13"/>
  <c r="BA155" i="13"/>
  <c r="BA154" i="13"/>
  <c r="BA153" i="13"/>
  <c r="BA152" i="13"/>
  <c r="BA151" i="13"/>
  <c r="BA150" i="13"/>
  <c r="BA149" i="13"/>
  <c r="BA148" i="13"/>
  <c r="BA147" i="13"/>
  <c r="BA146" i="13"/>
  <c r="BA145" i="13"/>
  <c r="BA265" i="13"/>
  <c r="BA184" i="13"/>
  <c r="BA180" i="13"/>
  <c r="BA136" i="13"/>
  <c r="BA134" i="13"/>
  <c r="BA132" i="13"/>
  <c r="BA130" i="13"/>
  <c r="BA128" i="13"/>
  <c r="BA126" i="13"/>
  <c r="BA124" i="13"/>
  <c r="BA122" i="13"/>
  <c r="BA120" i="13"/>
  <c r="BA118" i="13"/>
  <c r="BA116" i="13"/>
  <c r="BA114" i="13"/>
  <c r="BA112" i="13"/>
  <c r="BA110" i="13"/>
  <c r="BA108" i="13"/>
  <c r="BA106" i="13"/>
  <c r="BA104" i="13"/>
  <c r="BA102" i="13"/>
  <c r="BA100" i="13"/>
  <c r="BA176" i="13"/>
  <c r="BA26" i="13"/>
  <c r="BA25" i="13"/>
  <c r="BA24" i="13"/>
  <c r="BA23" i="13"/>
  <c r="BA22" i="13"/>
  <c r="BA21" i="13"/>
  <c r="BA20" i="13"/>
  <c r="BA19" i="13"/>
  <c r="BB5" i="13"/>
  <c r="BA172" i="13"/>
  <c r="BA138" i="13"/>
  <c r="BA137" i="13"/>
  <c r="BA135" i="13"/>
  <c r="BA133" i="13"/>
  <c r="BA131" i="13"/>
  <c r="BA129" i="13"/>
  <c r="BA127" i="13"/>
  <c r="BA125" i="13"/>
  <c r="BA123" i="13"/>
  <c r="BA121" i="13"/>
  <c r="BA119" i="13"/>
  <c r="BA117" i="13"/>
  <c r="BA115" i="13"/>
  <c r="BA113" i="13"/>
  <c r="BA111" i="13"/>
  <c r="BA109" i="13"/>
  <c r="BA107" i="13"/>
  <c r="BA105" i="13"/>
  <c r="BA103" i="13"/>
  <c r="BA101" i="13"/>
  <c r="BA18" i="13"/>
  <c r="BA16" i="13"/>
  <c r="BA14" i="13"/>
  <c r="BA12" i="13"/>
  <c r="BA10" i="13"/>
  <c r="BA8" i="13"/>
  <c r="BA7" i="13"/>
  <c r="BA17" i="13"/>
  <c r="BA15" i="13"/>
  <c r="BA13" i="13"/>
  <c r="BA11" i="13"/>
  <c r="BA9" i="13"/>
  <c r="AX5" i="10"/>
  <c r="N232" i="13"/>
  <c r="H232" i="13"/>
  <c r="L233" i="13"/>
  <c r="K232" i="13"/>
  <c r="BA232" i="13" s="1"/>
  <c r="K48" i="13"/>
  <c r="N48" i="13"/>
  <c r="H48" i="13"/>
  <c r="L49" i="13"/>
  <c r="N139" i="13"/>
  <c r="H139" i="13"/>
  <c r="L140" i="13"/>
  <c r="K139" i="13"/>
  <c r="AU12" i="10"/>
  <c r="AU13" i="10"/>
  <c r="L95" i="13"/>
  <c r="K94" i="13"/>
  <c r="BA94" i="13" s="1"/>
  <c r="N94" i="13"/>
  <c r="H94" i="13"/>
  <c r="P231" i="13"/>
  <c r="Q231" i="13"/>
  <c r="R231" i="13"/>
  <c r="S231" i="13"/>
  <c r="T231" i="13"/>
  <c r="U231" i="13"/>
  <c r="V231" i="13"/>
  <c r="W231" i="13"/>
  <c r="X231" i="13"/>
  <c r="Y231" i="13"/>
  <c r="Z231" i="13"/>
  <c r="AA231" i="13"/>
  <c r="AB231" i="13"/>
  <c r="AC231" i="13"/>
  <c r="AD231" i="13"/>
  <c r="AE231" i="13"/>
  <c r="AF231" i="13"/>
  <c r="AG231" i="13"/>
  <c r="AH231" i="13"/>
  <c r="AI231" i="13"/>
  <c r="AJ231" i="13"/>
  <c r="AK231" i="13"/>
  <c r="AL231" i="13"/>
  <c r="AM231" i="13"/>
  <c r="AN231" i="13"/>
  <c r="AO231" i="13"/>
  <c r="AP231" i="13"/>
  <c r="AQ231" i="13"/>
  <c r="AR231" i="13"/>
  <c r="AS231" i="13"/>
  <c r="AT231" i="13"/>
  <c r="AU231" i="13"/>
  <c r="AV231" i="13"/>
  <c r="AW231" i="13"/>
  <c r="AX231" i="13"/>
  <c r="AY231" i="13"/>
  <c r="AT29" i="10"/>
  <c r="AT19" i="10"/>
  <c r="AT38" i="10"/>
  <c r="AT30" i="10"/>
  <c r="AT22" i="10"/>
  <c r="AT14" i="10"/>
  <c r="AT27" i="10"/>
  <c r="AT25" i="10"/>
  <c r="AT17" i="10"/>
  <c r="AT36" i="10"/>
  <c r="AT28" i="10"/>
  <c r="AT20" i="10"/>
  <c r="AT12" i="10"/>
  <c r="AT37" i="10"/>
  <c r="AT26" i="10"/>
  <c r="AT18" i="10"/>
  <c r="AT35" i="10"/>
  <c r="AT13" i="10"/>
  <c r="AT33" i="10"/>
  <c r="AT21" i="10"/>
  <c r="AT32" i="10"/>
  <c r="AT24" i="10"/>
  <c r="AT16" i="10"/>
  <c r="AT31" i="10"/>
  <c r="AT23" i="10"/>
  <c r="AT34" i="10"/>
  <c r="AT15" i="10"/>
  <c r="K323" i="13"/>
  <c r="L324" i="13"/>
  <c r="H323" i="13"/>
  <c r="N323" i="13"/>
  <c r="P415" i="13"/>
  <c r="Q415" i="13"/>
  <c r="R415" i="13"/>
  <c r="S415" i="13"/>
  <c r="T415" i="13"/>
  <c r="U415" i="13"/>
  <c r="V415" i="13"/>
  <c r="W415" i="13"/>
  <c r="X415" i="13"/>
  <c r="Y415" i="13"/>
  <c r="Z415" i="13"/>
  <c r="AA415" i="13"/>
  <c r="AB415" i="13"/>
  <c r="AC415" i="13"/>
  <c r="AD415" i="13"/>
  <c r="AE415" i="13"/>
  <c r="AF415" i="13"/>
  <c r="AG415" i="13"/>
  <c r="AH415" i="13"/>
  <c r="AI415" i="13"/>
  <c r="AJ415" i="13"/>
  <c r="AK415" i="13"/>
  <c r="AL415" i="13"/>
  <c r="AM415" i="13"/>
  <c r="AN415" i="13"/>
  <c r="AO415" i="13"/>
  <c r="AP415" i="13"/>
  <c r="AQ415" i="13"/>
  <c r="AR415" i="13"/>
  <c r="AS415" i="13"/>
  <c r="AT415" i="13"/>
  <c r="AU415" i="13"/>
  <c r="AV415" i="13"/>
  <c r="AW415" i="13"/>
  <c r="AX415" i="13"/>
  <c r="AY415" i="13"/>
  <c r="AV7" i="10" a="1"/>
  <c r="AV7" i="10" s="1"/>
  <c r="AV43" i="10" s="1"/>
  <c r="AW3" i="10"/>
  <c r="AW45" i="10" s="1"/>
  <c r="AW50" i="10" s="1"/>
  <c r="AV89" i="10"/>
  <c r="AV84" i="10"/>
  <c r="AV86" i="10" s="1"/>
  <c r="AV90" i="10"/>
  <c r="AU36" i="10"/>
  <c r="N185" i="13"/>
  <c r="L186" i="13"/>
  <c r="K185" i="13"/>
  <c r="H185" i="13"/>
  <c r="P322" i="13"/>
  <c r="Q322" i="13"/>
  <c r="R322" i="13"/>
  <c r="S322" i="13"/>
  <c r="T322" i="13"/>
  <c r="U322" i="13"/>
  <c r="V322" i="13"/>
  <c r="W322" i="13"/>
  <c r="X322" i="13"/>
  <c r="Y322" i="13"/>
  <c r="Z322" i="13"/>
  <c r="AA322" i="13"/>
  <c r="AB322" i="13"/>
  <c r="AC322" i="13"/>
  <c r="AD322" i="13"/>
  <c r="AE322" i="13"/>
  <c r="AF322" i="13"/>
  <c r="AG322" i="13"/>
  <c r="AH322" i="13"/>
  <c r="AI322" i="13"/>
  <c r="AJ322" i="13"/>
  <c r="AK322" i="13"/>
  <c r="AL322" i="13"/>
  <c r="AM322" i="13"/>
  <c r="AN322" i="13"/>
  <c r="AO322" i="13"/>
  <c r="AP322" i="13"/>
  <c r="AQ322" i="13"/>
  <c r="AR322" i="13"/>
  <c r="AS322" i="13"/>
  <c r="AT322" i="13"/>
  <c r="AU322" i="13"/>
  <c r="AV322" i="13"/>
  <c r="AW322" i="13"/>
  <c r="AX322" i="13"/>
  <c r="AY322" i="13"/>
  <c r="N416" i="13"/>
  <c r="H416" i="13"/>
  <c r="K416" i="13"/>
  <c r="L417" i="13"/>
  <c r="P461" i="13"/>
  <c r="Q461" i="13"/>
  <c r="R461" i="13"/>
  <c r="S461" i="13"/>
  <c r="T461" i="13"/>
  <c r="U461" i="13"/>
  <c r="V461" i="13"/>
  <c r="W461" i="13"/>
  <c r="X461" i="13"/>
  <c r="Y461" i="13"/>
  <c r="Z461" i="13"/>
  <c r="AA461" i="13"/>
  <c r="AB461" i="13"/>
  <c r="AC461" i="13"/>
  <c r="AD461" i="13"/>
  <c r="AE461" i="13"/>
  <c r="AF461" i="13"/>
  <c r="AG461" i="13"/>
  <c r="AH461" i="13"/>
  <c r="AI461" i="13"/>
  <c r="AJ461" i="13"/>
  <c r="AK461" i="13"/>
  <c r="AL461" i="13"/>
  <c r="AM461" i="13"/>
  <c r="AN461" i="13"/>
  <c r="AO461" i="13"/>
  <c r="AP461" i="13"/>
  <c r="AQ461" i="13"/>
  <c r="AR461" i="13"/>
  <c r="AS461" i="13"/>
  <c r="AT461" i="13"/>
  <c r="AU461" i="13"/>
  <c r="AV461" i="13"/>
  <c r="AW461" i="13"/>
  <c r="AX461" i="13"/>
  <c r="AY461" i="13"/>
  <c r="L279" i="13"/>
  <c r="H278" i="13"/>
  <c r="N278" i="13"/>
  <c r="K278" i="13"/>
  <c r="AU28" i="10"/>
  <c r="AU17" i="10"/>
  <c r="AU99" i="10" l="1"/>
  <c r="AX114" i="10"/>
  <c r="AX115" i="10" s="1"/>
  <c r="AX116" i="10" s="1"/>
  <c r="AX128" i="10"/>
  <c r="AV96" i="10"/>
  <c r="AW95" i="10"/>
  <c r="AU39" i="10"/>
  <c r="AU47" i="10" s="1"/>
  <c r="P416" i="13"/>
  <c r="Q416" i="13"/>
  <c r="R416" i="13"/>
  <c r="S416" i="13"/>
  <c r="T416" i="13"/>
  <c r="U416" i="13"/>
  <c r="V416" i="13"/>
  <c r="W416" i="13"/>
  <c r="X416" i="13"/>
  <c r="Y416" i="13"/>
  <c r="Z416" i="13"/>
  <c r="AA416" i="13"/>
  <c r="AB416" i="13"/>
  <c r="AC416" i="13"/>
  <c r="AD416" i="13"/>
  <c r="AE416" i="13"/>
  <c r="AF416" i="13"/>
  <c r="AG416" i="13"/>
  <c r="AH416" i="13"/>
  <c r="AI416" i="13"/>
  <c r="AJ416" i="13"/>
  <c r="AK416" i="13"/>
  <c r="AL416" i="13"/>
  <c r="AM416" i="13"/>
  <c r="AN416" i="13"/>
  <c r="AO416" i="13"/>
  <c r="AP416" i="13"/>
  <c r="AQ416" i="13"/>
  <c r="AR416" i="13"/>
  <c r="AS416" i="13"/>
  <c r="AT416" i="13"/>
  <c r="AU416" i="13"/>
  <c r="AV416" i="13"/>
  <c r="AW416" i="13"/>
  <c r="AX416" i="13"/>
  <c r="AY416" i="13"/>
  <c r="AZ416" i="13"/>
  <c r="P185" i="13"/>
  <c r="Q185" i="13"/>
  <c r="R185" i="13"/>
  <c r="S185" i="13"/>
  <c r="T185" i="13"/>
  <c r="U185" i="13"/>
  <c r="V185" i="13"/>
  <c r="W185" i="13"/>
  <c r="X185" i="13"/>
  <c r="Y185" i="13"/>
  <c r="Z185" i="13"/>
  <c r="AA185" i="13"/>
  <c r="AB185" i="13"/>
  <c r="AC185" i="13"/>
  <c r="AD185" i="13"/>
  <c r="AE185" i="13"/>
  <c r="AF185" i="13"/>
  <c r="AG185" i="13"/>
  <c r="AH185" i="13"/>
  <c r="AI185" i="13"/>
  <c r="AJ185" i="13"/>
  <c r="AK185" i="13"/>
  <c r="AL185" i="13"/>
  <c r="AM185" i="13"/>
  <c r="AN185" i="13"/>
  <c r="AO185" i="13"/>
  <c r="AP185" i="13"/>
  <c r="AQ185" i="13"/>
  <c r="AR185" i="13"/>
  <c r="AS185" i="13"/>
  <c r="AT185" i="13"/>
  <c r="AU185" i="13"/>
  <c r="AV185" i="13"/>
  <c r="AW185" i="13"/>
  <c r="AX185" i="13"/>
  <c r="AY185" i="13"/>
  <c r="AZ185" i="13"/>
  <c r="AV91" i="10"/>
  <c r="AT39" i="10"/>
  <c r="P139" i="13"/>
  <c r="Q139" i="13"/>
  <c r="R139" i="13"/>
  <c r="S139" i="13"/>
  <c r="T139" i="13"/>
  <c r="U139" i="13"/>
  <c r="V139" i="13"/>
  <c r="W139" i="13"/>
  <c r="X139" i="13"/>
  <c r="Y139" i="13"/>
  <c r="Z139" i="13"/>
  <c r="AA139" i="13"/>
  <c r="AB139" i="13"/>
  <c r="AC139" i="13"/>
  <c r="AD139" i="13"/>
  <c r="AE139" i="13"/>
  <c r="AF139" i="13"/>
  <c r="AG139" i="13"/>
  <c r="AH139" i="13"/>
  <c r="AI139" i="13"/>
  <c r="AJ139" i="13"/>
  <c r="AK139" i="13"/>
  <c r="AL139" i="13"/>
  <c r="AM139" i="13"/>
  <c r="AN139" i="13"/>
  <c r="AO139" i="13"/>
  <c r="AP139" i="13"/>
  <c r="AQ139" i="13"/>
  <c r="AR139" i="13"/>
  <c r="AS139" i="13"/>
  <c r="AT139" i="13"/>
  <c r="AU139" i="13"/>
  <c r="AV139" i="13"/>
  <c r="AW139" i="13"/>
  <c r="AX139" i="13"/>
  <c r="AY139" i="13"/>
  <c r="AZ139" i="13"/>
  <c r="P48" i="13"/>
  <c r="Q48" i="13"/>
  <c r="R48" i="13"/>
  <c r="S48" i="13"/>
  <c r="T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AK48" i="13"/>
  <c r="AL48" i="13"/>
  <c r="AM48" i="13"/>
  <c r="AN48" i="13"/>
  <c r="AO48" i="13"/>
  <c r="AP48" i="13"/>
  <c r="AQ48" i="13"/>
  <c r="AR48" i="13"/>
  <c r="AS48" i="13"/>
  <c r="AT48" i="13"/>
  <c r="AU48" i="13"/>
  <c r="AV48" i="13"/>
  <c r="AW48" i="13"/>
  <c r="AX48" i="13"/>
  <c r="AY48" i="13"/>
  <c r="AZ48" i="13"/>
  <c r="BA185" i="13"/>
  <c r="P462" i="13"/>
  <c r="Q462" i="13"/>
  <c r="R462" i="13"/>
  <c r="S462" i="13"/>
  <c r="T462" i="13"/>
  <c r="U462" i="13"/>
  <c r="V462" i="13"/>
  <c r="W462" i="13"/>
  <c r="X462" i="13"/>
  <c r="Y462" i="13"/>
  <c r="Z462" i="13"/>
  <c r="AA462" i="13"/>
  <c r="AB462" i="13"/>
  <c r="AC462" i="13"/>
  <c r="AD462" i="13"/>
  <c r="AE462" i="13"/>
  <c r="AF462" i="13"/>
  <c r="AG462" i="13"/>
  <c r="AH462" i="13"/>
  <c r="AI462" i="13"/>
  <c r="AJ462" i="13"/>
  <c r="AK462" i="13"/>
  <c r="AL462" i="13"/>
  <c r="AM462" i="13"/>
  <c r="AN462" i="13"/>
  <c r="AO462" i="13"/>
  <c r="AP462" i="13"/>
  <c r="AQ462" i="13"/>
  <c r="AR462" i="13"/>
  <c r="AS462" i="13"/>
  <c r="AT462" i="13"/>
  <c r="AU462" i="13"/>
  <c r="AV462" i="13"/>
  <c r="AW462" i="13"/>
  <c r="AX462" i="13"/>
  <c r="AY462" i="13"/>
  <c r="AZ462" i="13"/>
  <c r="K279" i="13"/>
  <c r="BB279" i="13" s="1"/>
  <c r="L280" i="13"/>
  <c r="H279" i="13"/>
  <c r="N279" i="13"/>
  <c r="K186" i="13"/>
  <c r="BB186" i="13" s="1"/>
  <c r="L187" i="13"/>
  <c r="H186" i="13"/>
  <c r="N186" i="13"/>
  <c r="AW7" i="10" a="1"/>
  <c r="AW7" i="10" s="1"/>
  <c r="AW6" i="10" s="1"/>
  <c r="AW31" i="10" s="1"/>
  <c r="AX3" i="10"/>
  <c r="AW84" i="10"/>
  <c r="AW86" i="10" s="1"/>
  <c r="AW89" i="10"/>
  <c r="AW90" i="10"/>
  <c r="K324" i="13"/>
  <c r="L325" i="13"/>
  <c r="H324" i="13"/>
  <c r="N324" i="13"/>
  <c r="N140" i="13"/>
  <c r="H140" i="13"/>
  <c r="L141" i="13"/>
  <c r="K140" i="13"/>
  <c r="BB140" i="13" s="1"/>
  <c r="K49" i="13"/>
  <c r="BB49" i="13" s="1"/>
  <c r="N49" i="13"/>
  <c r="H49" i="13"/>
  <c r="L50" i="13"/>
  <c r="P232" i="13"/>
  <c r="Q232" i="13"/>
  <c r="R232" i="13"/>
  <c r="S232" i="13"/>
  <c r="T232" i="13"/>
  <c r="U232" i="13"/>
  <c r="V232" i="13"/>
  <c r="W232" i="13"/>
  <c r="X232" i="13"/>
  <c r="Y232" i="13"/>
  <c r="Z232" i="13"/>
  <c r="AA232" i="13"/>
  <c r="AB232" i="13"/>
  <c r="AC232" i="13"/>
  <c r="AD232" i="13"/>
  <c r="AE232" i="13"/>
  <c r="AF232" i="13"/>
  <c r="AG232" i="13"/>
  <c r="AH232" i="13"/>
  <c r="AI232" i="13"/>
  <c r="AJ232" i="13"/>
  <c r="AK232" i="13"/>
  <c r="AL232" i="13"/>
  <c r="AM232" i="13"/>
  <c r="AN232" i="13"/>
  <c r="AO232" i="13"/>
  <c r="AP232" i="13"/>
  <c r="AQ232" i="13"/>
  <c r="AR232" i="13"/>
  <c r="AS232" i="13"/>
  <c r="AT232" i="13"/>
  <c r="AU232" i="13"/>
  <c r="AV232" i="13"/>
  <c r="AW232" i="13"/>
  <c r="AX232" i="13"/>
  <c r="AY232" i="13"/>
  <c r="AZ232" i="13"/>
  <c r="AY5" i="10"/>
  <c r="AX4" i="10"/>
  <c r="BB462" i="13"/>
  <c r="BB461" i="13"/>
  <c r="BB460" i="13"/>
  <c r="BB459" i="13"/>
  <c r="BB458" i="13"/>
  <c r="BB457" i="13"/>
  <c r="BB456" i="13"/>
  <c r="BB455" i="13"/>
  <c r="BB454" i="13"/>
  <c r="BB453" i="13"/>
  <c r="BB452" i="13"/>
  <c r="BB451" i="13"/>
  <c r="BB450" i="13"/>
  <c r="BB448" i="13"/>
  <c r="BB446" i="13"/>
  <c r="BB444" i="13"/>
  <c r="BB442" i="13"/>
  <c r="BB440" i="13"/>
  <c r="BB438" i="13"/>
  <c r="BB436" i="13"/>
  <c r="BB374" i="13"/>
  <c r="BB373" i="13"/>
  <c r="BB372" i="13"/>
  <c r="BB371" i="13"/>
  <c r="BB370" i="13"/>
  <c r="BB369" i="13"/>
  <c r="BB368" i="13"/>
  <c r="BB367" i="13"/>
  <c r="BB366" i="13"/>
  <c r="BB365" i="13"/>
  <c r="BB364" i="13"/>
  <c r="BB363" i="13"/>
  <c r="BB362" i="13"/>
  <c r="BB361" i="13"/>
  <c r="BB449" i="13"/>
  <c r="BB441" i="13"/>
  <c r="BB435" i="13"/>
  <c r="BB433" i="13"/>
  <c r="BB431" i="13"/>
  <c r="BB429" i="13"/>
  <c r="BB427" i="13"/>
  <c r="BB425" i="13"/>
  <c r="BB423" i="13"/>
  <c r="BB421" i="13"/>
  <c r="BB415" i="13"/>
  <c r="BB413" i="13"/>
  <c r="BB411" i="13"/>
  <c r="BB409" i="13"/>
  <c r="BB407" i="13"/>
  <c r="BB405" i="13"/>
  <c r="BB403" i="13"/>
  <c r="BB401" i="13"/>
  <c r="BB399" i="13"/>
  <c r="BB397" i="13"/>
  <c r="BB395" i="13"/>
  <c r="BB393" i="13"/>
  <c r="BB391" i="13"/>
  <c r="BB389" i="13"/>
  <c r="BB387" i="13"/>
  <c r="BB385" i="13"/>
  <c r="BB383" i="13"/>
  <c r="BB381" i="13"/>
  <c r="BB379" i="13"/>
  <c r="BB377" i="13"/>
  <c r="BB375" i="13"/>
  <c r="BB443" i="13"/>
  <c r="BB447" i="13"/>
  <c r="BB416" i="13"/>
  <c r="BB412" i="13"/>
  <c r="BB408" i="13"/>
  <c r="BB404" i="13"/>
  <c r="BB400" i="13"/>
  <c r="BB396" i="13"/>
  <c r="BB386" i="13"/>
  <c r="BB378" i="13"/>
  <c r="BB338" i="13"/>
  <c r="BB337" i="13"/>
  <c r="BB336" i="13"/>
  <c r="BB335" i="13"/>
  <c r="BB334" i="13"/>
  <c r="BB333" i="13"/>
  <c r="BB332" i="13"/>
  <c r="BB331" i="13"/>
  <c r="BB330" i="13"/>
  <c r="BB329" i="13"/>
  <c r="BB437" i="13"/>
  <c r="BB432" i="13"/>
  <c r="BB428" i="13"/>
  <c r="BB424" i="13"/>
  <c r="BB388" i="13"/>
  <c r="BB380" i="13"/>
  <c r="BB422" i="13"/>
  <c r="BB384" i="13"/>
  <c r="BB358" i="13"/>
  <c r="BB357" i="13"/>
  <c r="BB350" i="13"/>
  <c r="BB349" i="13"/>
  <c r="BB342" i="13"/>
  <c r="BB341" i="13"/>
  <c r="BB434" i="13"/>
  <c r="BB426" i="13"/>
  <c r="BB410" i="13"/>
  <c r="BB402" i="13"/>
  <c r="BB394" i="13"/>
  <c r="BB390" i="13"/>
  <c r="BB360" i="13"/>
  <c r="BB359" i="13"/>
  <c r="BB352" i="13"/>
  <c r="BB351" i="13"/>
  <c r="BB344" i="13"/>
  <c r="BB343" i="13"/>
  <c r="BB323" i="13"/>
  <c r="BB321" i="13"/>
  <c r="BB319" i="13"/>
  <c r="BB317" i="13"/>
  <c r="BB439" i="13"/>
  <c r="BB392" i="13"/>
  <c r="BB376" i="13"/>
  <c r="BB354" i="13"/>
  <c r="BB353" i="13"/>
  <c r="BB346" i="13"/>
  <c r="BB345" i="13"/>
  <c r="BB406" i="13"/>
  <c r="BB348" i="13"/>
  <c r="BB347" i="13"/>
  <c r="BB320" i="13"/>
  <c r="BB278" i="13"/>
  <c r="BB276" i="13"/>
  <c r="BB274" i="13"/>
  <c r="BB272" i="13"/>
  <c r="BB270" i="13"/>
  <c r="BB268" i="13"/>
  <c r="BB266" i="13"/>
  <c r="BB264" i="13"/>
  <c r="BB262" i="13"/>
  <c r="BB260" i="13"/>
  <c r="BB258" i="13"/>
  <c r="BB256" i="13"/>
  <c r="BB254" i="13"/>
  <c r="BB252" i="13"/>
  <c r="BB250" i="13"/>
  <c r="BB248" i="13"/>
  <c r="BB246" i="13"/>
  <c r="BB244" i="13"/>
  <c r="BB242" i="13"/>
  <c r="BB240" i="13"/>
  <c r="BB238" i="13"/>
  <c r="BB232" i="13"/>
  <c r="BB230" i="13"/>
  <c r="BB228" i="13"/>
  <c r="BB226" i="13"/>
  <c r="BB224" i="13"/>
  <c r="BB222" i="13"/>
  <c r="BB220" i="13"/>
  <c r="BB218" i="13"/>
  <c r="BB216" i="13"/>
  <c r="BB214" i="13"/>
  <c r="BB212" i="13"/>
  <c r="BB210" i="13"/>
  <c r="BB208" i="13"/>
  <c r="BB206" i="13"/>
  <c r="BB204" i="13"/>
  <c r="BB398" i="13"/>
  <c r="BB382" i="13"/>
  <c r="BB356" i="13"/>
  <c r="BB355" i="13"/>
  <c r="BB314" i="13"/>
  <c r="BB312" i="13"/>
  <c r="BB310" i="13"/>
  <c r="BB308" i="13"/>
  <c r="BB306" i="13"/>
  <c r="BB304" i="13"/>
  <c r="BB302" i="13"/>
  <c r="BB300" i="13"/>
  <c r="BB298" i="13"/>
  <c r="BB296" i="13"/>
  <c r="BB294" i="13"/>
  <c r="BB292" i="13"/>
  <c r="BB290" i="13"/>
  <c r="BB288" i="13"/>
  <c r="BB286" i="13"/>
  <c r="BB284" i="13"/>
  <c r="BB445" i="13"/>
  <c r="BB322" i="13"/>
  <c r="BB318" i="13"/>
  <c r="BB277" i="13"/>
  <c r="BB275" i="13"/>
  <c r="BB273" i="13"/>
  <c r="BB271" i="13"/>
  <c r="BB269" i="13"/>
  <c r="BB267" i="13"/>
  <c r="BB265" i="13"/>
  <c r="BB263" i="13"/>
  <c r="BB261" i="13"/>
  <c r="BB259" i="13"/>
  <c r="BB257" i="13"/>
  <c r="BB255" i="13"/>
  <c r="BB253" i="13"/>
  <c r="BB251" i="13"/>
  <c r="BB249" i="13"/>
  <c r="BB247" i="13"/>
  <c r="BB245" i="13"/>
  <c r="BB243" i="13"/>
  <c r="BB241" i="13"/>
  <c r="BB239" i="13"/>
  <c r="BB237" i="13"/>
  <c r="BB231" i="13"/>
  <c r="BB229" i="13"/>
  <c r="BB227" i="13"/>
  <c r="BB225" i="13"/>
  <c r="BB223" i="13"/>
  <c r="BB316" i="13"/>
  <c r="BB315" i="13"/>
  <c r="BB307" i="13"/>
  <c r="BB299" i="13"/>
  <c r="BB291" i="13"/>
  <c r="BB283" i="13"/>
  <c r="BB203" i="13"/>
  <c r="BB201" i="13"/>
  <c r="BB199" i="13"/>
  <c r="BB197" i="13"/>
  <c r="BB195" i="13"/>
  <c r="BB193" i="13"/>
  <c r="BB191" i="13"/>
  <c r="BB94" i="13"/>
  <c r="BB93" i="13"/>
  <c r="BB92" i="13"/>
  <c r="BB91" i="13"/>
  <c r="BB90" i="13"/>
  <c r="BB89" i="13"/>
  <c r="BB88" i="13"/>
  <c r="BB87" i="13"/>
  <c r="BB86" i="13"/>
  <c r="BB85" i="13"/>
  <c r="BB84" i="13"/>
  <c r="BB83" i="13"/>
  <c r="BB82" i="13"/>
  <c r="BB81" i="13"/>
  <c r="BB80" i="13"/>
  <c r="BB79" i="13"/>
  <c r="BB78" i="13"/>
  <c r="BB77" i="13"/>
  <c r="BB76" i="13"/>
  <c r="BB75" i="13"/>
  <c r="BB74" i="13"/>
  <c r="BB73" i="13"/>
  <c r="BB72" i="13"/>
  <c r="BB71" i="13"/>
  <c r="BB70" i="13"/>
  <c r="BB69" i="13"/>
  <c r="BB68" i="13"/>
  <c r="BB67" i="13"/>
  <c r="BB66" i="13"/>
  <c r="BB65" i="13"/>
  <c r="BB64" i="13"/>
  <c r="BB63" i="13"/>
  <c r="BB62" i="13"/>
  <c r="BB61" i="13"/>
  <c r="BB60" i="13"/>
  <c r="BB59" i="13"/>
  <c r="BB58" i="13"/>
  <c r="BB57" i="13"/>
  <c r="BB56" i="13"/>
  <c r="BB55" i="13"/>
  <c r="BB54" i="13"/>
  <c r="BB53" i="13"/>
  <c r="BB430" i="13"/>
  <c r="BB340" i="13"/>
  <c r="BB313" i="13"/>
  <c r="BB305" i="13"/>
  <c r="BB297" i="13"/>
  <c r="BB289" i="13"/>
  <c r="BB219" i="13"/>
  <c r="BB215" i="13"/>
  <c r="BB211" i="13"/>
  <c r="BB207" i="13"/>
  <c r="BB184" i="13"/>
  <c r="BB182" i="13"/>
  <c r="BB180" i="13"/>
  <c r="BB178" i="13"/>
  <c r="BB176" i="13"/>
  <c r="BB174" i="13"/>
  <c r="BB172" i="13"/>
  <c r="BB170" i="13"/>
  <c r="BB139" i="13"/>
  <c r="BB138" i="13"/>
  <c r="BB137" i="13"/>
  <c r="BB136" i="13"/>
  <c r="BB135" i="13"/>
  <c r="BB134" i="13"/>
  <c r="BB133" i="13"/>
  <c r="BB132" i="13"/>
  <c r="BB131" i="13"/>
  <c r="BB130" i="13"/>
  <c r="BB129" i="13"/>
  <c r="BB128" i="13"/>
  <c r="BB127" i="13"/>
  <c r="BB126" i="13"/>
  <c r="BB125" i="13"/>
  <c r="BB124" i="13"/>
  <c r="BB123" i="13"/>
  <c r="BB122" i="13"/>
  <c r="BB121" i="13"/>
  <c r="BB120" i="13"/>
  <c r="BB119" i="13"/>
  <c r="BB118" i="13"/>
  <c r="BB117" i="13"/>
  <c r="BB116" i="13"/>
  <c r="BB115" i="13"/>
  <c r="BB114" i="13"/>
  <c r="BB113" i="13"/>
  <c r="BB112" i="13"/>
  <c r="BB111" i="13"/>
  <c r="BB110" i="13"/>
  <c r="BB109" i="13"/>
  <c r="BB108" i="13"/>
  <c r="BB107" i="13"/>
  <c r="BB106" i="13"/>
  <c r="BB105" i="13"/>
  <c r="BB104" i="13"/>
  <c r="BB103" i="13"/>
  <c r="BB102" i="13"/>
  <c r="BB101" i="13"/>
  <c r="BB100" i="13"/>
  <c r="BB99" i="13"/>
  <c r="BB414" i="13"/>
  <c r="BB311" i="13"/>
  <c r="BB303" i="13"/>
  <c r="BB295" i="13"/>
  <c r="BB287" i="13"/>
  <c r="BB202" i="13"/>
  <c r="BB200" i="13"/>
  <c r="BB198" i="13"/>
  <c r="BB196" i="13"/>
  <c r="BB194" i="13"/>
  <c r="BB309" i="13"/>
  <c r="BB213" i="13"/>
  <c r="BB183" i="13"/>
  <c r="BB179" i="13"/>
  <c r="BB175" i="13"/>
  <c r="BB171" i="13"/>
  <c r="BB26" i="13"/>
  <c r="BB25" i="13"/>
  <c r="BB24" i="13"/>
  <c r="BB23" i="13"/>
  <c r="BB22" i="13"/>
  <c r="BB21" i="13"/>
  <c r="BB20" i="13"/>
  <c r="BB19" i="13"/>
  <c r="BB301" i="13"/>
  <c r="BB209" i="13"/>
  <c r="BB192" i="13"/>
  <c r="BB168" i="13"/>
  <c r="BB167" i="13"/>
  <c r="BB166" i="13"/>
  <c r="BB165" i="13"/>
  <c r="BB164" i="13"/>
  <c r="BB163" i="13"/>
  <c r="BB162" i="13"/>
  <c r="BB161" i="13"/>
  <c r="BB160" i="13"/>
  <c r="BB159" i="13"/>
  <c r="BB158" i="13"/>
  <c r="BB157" i="13"/>
  <c r="BB156" i="13"/>
  <c r="BB155" i="13"/>
  <c r="BB154" i="13"/>
  <c r="BB153" i="13"/>
  <c r="BB152" i="13"/>
  <c r="BB151" i="13"/>
  <c r="BB150" i="13"/>
  <c r="BB149" i="13"/>
  <c r="BB148" i="13"/>
  <c r="BB147" i="13"/>
  <c r="BB146" i="13"/>
  <c r="BB145" i="13"/>
  <c r="BB293" i="13"/>
  <c r="BB221" i="13"/>
  <c r="BB205" i="13"/>
  <c r="BB185" i="13"/>
  <c r="BB181" i="13"/>
  <c r="BB177" i="13"/>
  <c r="BB173" i="13"/>
  <c r="BB169" i="13"/>
  <c r="BB339" i="13"/>
  <c r="BB324" i="13"/>
  <c r="BB47" i="13"/>
  <c r="BB45" i="13"/>
  <c r="BB43" i="13"/>
  <c r="BB41" i="13"/>
  <c r="BB39" i="13"/>
  <c r="BB37" i="13"/>
  <c r="BB35" i="13"/>
  <c r="BB33" i="13"/>
  <c r="BB31" i="13"/>
  <c r="BB29" i="13"/>
  <c r="BB27" i="13"/>
  <c r="BC5" i="13"/>
  <c r="BB48" i="13"/>
  <c r="BB46" i="13"/>
  <c r="BB44" i="13"/>
  <c r="BB42" i="13"/>
  <c r="BB40" i="13"/>
  <c r="BB38" i="13"/>
  <c r="BB36" i="13"/>
  <c r="BB34" i="13"/>
  <c r="BB32" i="13"/>
  <c r="BB30" i="13"/>
  <c r="BB28" i="13"/>
  <c r="BB18" i="13"/>
  <c r="BB17" i="13"/>
  <c r="BB16" i="13"/>
  <c r="BB15" i="13"/>
  <c r="BB14" i="13"/>
  <c r="BB13" i="13"/>
  <c r="BB12" i="13"/>
  <c r="BB11" i="13"/>
  <c r="BB10" i="13"/>
  <c r="BB9" i="13"/>
  <c r="BB8" i="13"/>
  <c r="BB7" i="13"/>
  <c r="BB285" i="13"/>
  <c r="BB217" i="13"/>
  <c r="BA416" i="13"/>
  <c r="N463" i="13"/>
  <c r="H463" i="13"/>
  <c r="L464" i="13"/>
  <c r="K463" i="13"/>
  <c r="BB463" i="13" s="1"/>
  <c r="P278" i="13"/>
  <c r="Q278" i="13"/>
  <c r="R278" i="13"/>
  <c r="S278" i="13"/>
  <c r="T278" i="13"/>
  <c r="U278" i="13"/>
  <c r="V278" i="13"/>
  <c r="W278" i="13"/>
  <c r="X278" i="13"/>
  <c r="Y278" i="13"/>
  <c r="Z278" i="13"/>
  <c r="AA278" i="13"/>
  <c r="AB278" i="13"/>
  <c r="AC278" i="13"/>
  <c r="AD278" i="13"/>
  <c r="AE278" i="13"/>
  <c r="AF278" i="13"/>
  <c r="AG278" i="13"/>
  <c r="AH278" i="13"/>
  <c r="AI278" i="13"/>
  <c r="AJ278" i="13"/>
  <c r="AK278" i="13"/>
  <c r="AL278" i="13"/>
  <c r="AM278" i="13"/>
  <c r="AN278" i="13"/>
  <c r="AO278" i="13"/>
  <c r="AP278" i="13"/>
  <c r="AQ278" i="13"/>
  <c r="AR278" i="13"/>
  <c r="AS278" i="13"/>
  <c r="AT278" i="13"/>
  <c r="AU278" i="13"/>
  <c r="AV278" i="13"/>
  <c r="AW278" i="13"/>
  <c r="AX278" i="13"/>
  <c r="AY278" i="13"/>
  <c r="AZ278" i="13"/>
  <c r="AV6" i="10"/>
  <c r="P323" i="13"/>
  <c r="Q323" i="13"/>
  <c r="R323" i="13"/>
  <c r="S323" i="13"/>
  <c r="T323" i="13"/>
  <c r="U323" i="13"/>
  <c r="V323" i="13"/>
  <c r="W323" i="13"/>
  <c r="X323" i="13"/>
  <c r="Y323" i="13"/>
  <c r="Z323" i="13"/>
  <c r="AA323" i="13"/>
  <c r="AB323" i="13"/>
  <c r="AC323" i="13"/>
  <c r="AD323" i="13"/>
  <c r="AE323" i="13"/>
  <c r="AF323" i="13"/>
  <c r="AG323" i="13"/>
  <c r="AH323" i="13"/>
  <c r="AI323" i="13"/>
  <c r="AJ323" i="13"/>
  <c r="AK323" i="13"/>
  <c r="AL323" i="13"/>
  <c r="AM323" i="13"/>
  <c r="AN323" i="13"/>
  <c r="AO323" i="13"/>
  <c r="AP323" i="13"/>
  <c r="AQ323" i="13"/>
  <c r="AR323" i="13"/>
  <c r="AS323" i="13"/>
  <c r="AT323" i="13"/>
  <c r="AU323" i="13"/>
  <c r="AV323" i="13"/>
  <c r="AW323" i="13"/>
  <c r="AX323" i="13"/>
  <c r="AY323" i="13"/>
  <c r="AZ323" i="13"/>
  <c r="P94" i="13"/>
  <c r="Q94" i="13"/>
  <c r="R94" i="13"/>
  <c r="S94" i="13"/>
  <c r="T94" i="13"/>
  <c r="U94" i="13"/>
  <c r="V94" i="13"/>
  <c r="W94" i="13"/>
  <c r="X94" i="13"/>
  <c r="Y94" i="13"/>
  <c r="Z94" i="13"/>
  <c r="AA94" i="13"/>
  <c r="AB94" i="13"/>
  <c r="AC94" i="13"/>
  <c r="AD94" i="13"/>
  <c r="AE94" i="13"/>
  <c r="AF94" i="13"/>
  <c r="AG94" i="13"/>
  <c r="AH94" i="13"/>
  <c r="AI94" i="13"/>
  <c r="AJ94" i="13"/>
  <c r="AK94" i="13"/>
  <c r="AL94" i="13"/>
  <c r="AM94" i="13"/>
  <c r="AN94" i="13"/>
  <c r="AO94" i="13"/>
  <c r="AP94" i="13"/>
  <c r="AQ94" i="13"/>
  <c r="AR94" i="13"/>
  <c r="AS94" i="13"/>
  <c r="AT94" i="13"/>
  <c r="AU94" i="13"/>
  <c r="AV94" i="13"/>
  <c r="AW94" i="13"/>
  <c r="AX94" i="13"/>
  <c r="AY94" i="13"/>
  <c r="AZ94" i="13"/>
  <c r="N233" i="13"/>
  <c r="H233" i="13"/>
  <c r="K233" i="13"/>
  <c r="BB233" i="13" s="1"/>
  <c r="L234" i="13"/>
  <c r="BA139" i="13"/>
  <c r="BA323" i="13"/>
  <c r="N417" i="13"/>
  <c r="H417" i="13"/>
  <c r="L418" i="13"/>
  <c r="K417" i="13"/>
  <c r="BB417" i="13" s="1"/>
  <c r="L96" i="13"/>
  <c r="K95" i="13"/>
  <c r="N95" i="13"/>
  <c r="H95" i="13"/>
  <c r="BA48" i="13"/>
  <c r="BA278" i="13"/>
  <c r="AT47" i="10" l="1"/>
  <c r="AY114" i="10"/>
  <c r="AY115" i="10" s="1"/>
  <c r="AY116" i="10" s="1"/>
  <c r="AX45" i="10"/>
  <c r="AW14" i="10"/>
  <c r="AW16" i="10"/>
  <c r="AV99" i="10"/>
  <c r="AW21" i="10"/>
  <c r="AW34" i="10"/>
  <c r="AW19" i="10"/>
  <c r="AW29" i="10"/>
  <c r="AW24" i="10"/>
  <c r="AW13" i="10"/>
  <c r="AW18" i="10"/>
  <c r="AW35" i="10"/>
  <c r="AW12" i="10"/>
  <c r="AW37" i="10"/>
  <c r="AW26" i="10"/>
  <c r="AW27" i="10"/>
  <c r="AW32" i="10"/>
  <c r="AW10" i="10"/>
  <c r="AW69" i="10"/>
  <c r="AW11" i="10"/>
  <c r="AW67" i="10"/>
  <c r="AW64" i="10"/>
  <c r="AV64" i="10"/>
  <c r="AV11" i="10"/>
  <c r="AV69" i="10"/>
  <c r="AV67" i="10"/>
  <c r="AV10" i="10"/>
  <c r="AW43" i="10"/>
  <c r="AY128" i="10"/>
  <c r="AW17" i="10"/>
  <c r="AW33" i="10"/>
  <c r="AW22" i="10"/>
  <c r="AW25" i="10"/>
  <c r="AW30" i="10"/>
  <c r="AU49" i="10"/>
  <c r="AX95" i="10"/>
  <c r="AW96" i="10"/>
  <c r="N418" i="13"/>
  <c r="H418" i="13"/>
  <c r="K418" i="13"/>
  <c r="BC418" i="13" s="1"/>
  <c r="L419" i="13"/>
  <c r="N234" i="13"/>
  <c r="H234" i="13"/>
  <c r="L235" i="13"/>
  <c r="K234" i="13"/>
  <c r="BC234" i="13" s="1"/>
  <c r="AV30" i="10"/>
  <c r="AV35" i="10"/>
  <c r="AV27" i="10"/>
  <c r="AV19" i="10"/>
  <c r="AV22" i="10"/>
  <c r="AV14" i="10"/>
  <c r="AV38" i="10"/>
  <c r="AV28" i="10"/>
  <c r="AV33" i="10"/>
  <c r="AV25" i="10"/>
  <c r="AV17" i="10"/>
  <c r="AV20" i="10"/>
  <c r="AV34" i="10"/>
  <c r="AV12" i="10"/>
  <c r="AV36" i="10"/>
  <c r="AV31" i="10"/>
  <c r="AV23" i="10"/>
  <c r="AV15" i="10"/>
  <c r="AV18" i="10"/>
  <c r="AV26" i="10"/>
  <c r="AV32" i="10"/>
  <c r="AV37" i="10"/>
  <c r="AV29" i="10"/>
  <c r="AV21" i="10"/>
  <c r="AV13" i="10"/>
  <c r="AV16" i="10"/>
  <c r="AV24" i="10"/>
  <c r="N464" i="13"/>
  <c r="H464" i="13"/>
  <c r="L465" i="13"/>
  <c r="K464" i="13"/>
  <c r="BC463" i="13"/>
  <c r="BC462" i="13"/>
  <c r="BC461" i="13"/>
  <c r="BC460" i="13"/>
  <c r="BC459" i="13"/>
  <c r="BC458" i="13"/>
  <c r="BC457" i="13"/>
  <c r="BC456" i="13"/>
  <c r="BC455" i="13"/>
  <c r="BC454" i="13"/>
  <c r="BC453" i="13"/>
  <c r="BC452" i="13"/>
  <c r="BC451" i="13"/>
  <c r="BC450" i="13"/>
  <c r="BC449" i="13"/>
  <c r="BC448" i="13"/>
  <c r="BC447" i="13"/>
  <c r="BC446" i="13"/>
  <c r="BC445" i="13"/>
  <c r="BC444" i="13"/>
  <c r="BC443" i="13"/>
  <c r="BC442" i="13"/>
  <c r="BC441" i="13"/>
  <c r="BC440" i="13"/>
  <c r="BC439" i="13"/>
  <c r="BC438" i="13"/>
  <c r="BC437" i="13"/>
  <c r="BC436" i="13"/>
  <c r="BC417" i="13"/>
  <c r="BC416" i="13"/>
  <c r="BC415" i="13"/>
  <c r="BC414" i="13"/>
  <c r="BC413" i="13"/>
  <c r="BC412" i="13"/>
  <c r="BC411" i="13"/>
  <c r="BC410" i="13"/>
  <c r="BC409" i="13"/>
  <c r="BC408" i="13"/>
  <c r="BC407" i="13"/>
  <c r="BC406" i="13"/>
  <c r="BC405" i="13"/>
  <c r="BC404" i="13"/>
  <c r="BC403" i="13"/>
  <c r="BC402" i="13"/>
  <c r="BC401" i="13"/>
  <c r="BC400" i="13"/>
  <c r="BC399" i="13"/>
  <c r="BC398" i="13"/>
  <c r="BC397" i="13"/>
  <c r="BC396" i="13"/>
  <c r="BC395" i="13"/>
  <c r="BC394" i="13"/>
  <c r="BC393" i="13"/>
  <c r="BC392" i="13"/>
  <c r="BC391" i="13"/>
  <c r="BC390" i="13"/>
  <c r="BC389" i="13"/>
  <c r="BC388" i="13"/>
  <c r="BC387" i="13"/>
  <c r="BC386" i="13"/>
  <c r="BC385" i="13"/>
  <c r="BC384" i="13"/>
  <c r="BC383" i="13"/>
  <c r="BC382" i="13"/>
  <c r="BC381" i="13"/>
  <c r="BC380" i="13"/>
  <c r="BC379" i="13"/>
  <c r="BC378" i="13"/>
  <c r="BC377" i="13"/>
  <c r="BC376" i="13"/>
  <c r="BC375" i="13"/>
  <c r="BC373" i="13"/>
  <c r="BC371" i="13"/>
  <c r="BC369" i="13"/>
  <c r="BC367" i="13"/>
  <c r="BC365" i="13"/>
  <c r="BC363" i="13"/>
  <c r="BC361" i="13"/>
  <c r="BC434" i="13"/>
  <c r="BC432" i="13"/>
  <c r="BC430" i="13"/>
  <c r="BC428" i="13"/>
  <c r="BC426" i="13"/>
  <c r="BC424" i="13"/>
  <c r="BC422" i="13"/>
  <c r="BC433" i="13"/>
  <c r="BC429" i="13"/>
  <c r="BC425" i="13"/>
  <c r="BC368" i="13"/>
  <c r="BC360" i="13"/>
  <c r="BC358" i="13"/>
  <c r="BC356" i="13"/>
  <c r="BC354" i="13"/>
  <c r="BC352" i="13"/>
  <c r="BC350" i="13"/>
  <c r="BC348" i="13"/>
  <c r="BC346" i="13"/>
  <c r="BC344" i="13"/>
  <c r="BC342" i="13"/>
  <c r="BC340" i="13"/>
  <c r="BC233" i="13"/>
  <c r="BC232" i="13"/>
  <c r="BC231" i="13"/>
  <c r="BC230" i="13"/>
  <c r="BC229" i="13"/>
  <c r="BC228" i="13"/>
  <c r="BC227" i="13"/>
  <c r="BC226" i="13"/>
  <c r="BC225" i="13"/>
  <c r="BC224" i="13"/>
  <c r="BC223" i="13"/>
  <c r="BC222" i="13"/>
  <c r="BC221" i="13"/>
  <c r="BC220" i="13"/>
  <c r="BC219" i="13"/>
  <c r="BC218" i="13"/>
  <c r="BC217" i="13"/>
  <c r="BC216" i="13"/>
  <c r="BC215" i="13"/>
  <c r="BC214" i="13"/>
  <c r="BC213" i="13"/>
  <c r="BC212" i="13"/>
  <c r="BC211" i="13"/>
  <c r="BC210" i="13"/>
  <c r="BC209" i="13"/>
  <c r="BC208" i="13"/>
  <c r="BC207" i="13"/>
  <c r="BC206" i="13"/>
  <c r="BC205" i="13"/>
  <c r="BC204" i="13"/>
  <c r="BC203" i="13"/>
  <c r="BC421" i="13"/>
  <c r="BC370" i="13"/>
  <c r="BC431" i="13"/>
  <c r="BC423" i="13"/>
  <c r="BC364" i="13"/>
  <c r="BC359" i="13"/>
  <c r="BC351" i="13"/>
  <c r="BC343" i="13"/>
  <c r="BC337" i="13"/>
  <c r="BC335" i="13"/>
  <c r="BC333" i="13"/>
  <c r="BC331" i="13"/>
  <c r="BC366" i="13"/>
  <c r="BC362" i="13"/>
  <c r="BC353" i="13"/>
  <c r="BC345" i="13"/>
  <c r="BC329" i="13"/>
  <c r="BC435" i="13"/>
  <c r="BC427" i="13"/>
  <c r="BC372" i="13"/>
  <c r="BC355" i="13"/>
  <c r="BC347" i="13"/>
  <c r="BC339" i="13"/>
  <c r="BC338" i="13"/>
  <c r="BC336" i="13"/>
  <c r="BC334" i="13"/>
  <c r="BC332" i="13"/>
  <c r="BC330" i="13"/>
  <c r="BC324" i="13"/>
  <c r="BC322" i="13"/>
  <c r="BC320" i="13"/>
  <c r="BC318" i="13"/>
  <c r="BC374" i="13"/>
  <c r="BC349" i="13"/>
  <c r="BC314" i="13"/>
  <c r="BC312" i="13"/>
  <c r="BC310" i="13"/>
  <c r="BC308" i="13"/>
  <c r="BC306" i="13"/>
  <c r="BC304" i="13"/>
  <c r="BC302" i="13"/>
  <c r="BC300" i="13"/>
  <c r="BC298" i="13"/>
  <c r="BC296" i="13"/>
  <c r="BC294" i="13"/>
  <c r="BC292" i="13"/>
  <c r="BC290" i="13"/>
  <c r="BC288" i="13"/>
  <c r="BC286" i="13"/>
  <c r="BC284" i="13"/>
  <c r="BC357" i="13"/>
  <c r="BC323" i="13"/>
  <c r="BC319" i="13"/>
  <c r="BC279" i="13"/>
  <c r="BC277" i="13"/>
  <c r="BC275" i="13"/>
  <c r="BC273" i="13"/>
  <c r="BC271" i="13"/>
  <c r="BC269" i="13"/>
  <c r="BC267" i="13"/>
  <c r="BC265" i="13"/>
  <c r="BC263" i="13"/>
  <c r="BC261" i="13"/>
  <c r="BC259" i="13"/>
  <c r="BC257" i="13"/>
  <c r="BC255" i="13"/>
  <c r="BC253" i="13"/>
  <c r="BC251" i="13"/>
  <c r="BC249" i="13"/>
  <c r="BC247" i="13"/>
  <c r="BC245" i="13"/>
  <c r="BC243" i="13"/>
  <c r="BC241" i="13"/>
  <c r="BC239" i="13"/>
  <c r="BC237" i="13"/>
  <c r="BC316" i="13"/>
  <c r="BC315" i="13"/>
  <c r="BC313" i="13"/>
  <c r="BC311" i="13"/>
  <c r="BC309" i="13"/>
  <c r="BC307" i="13"/>
  <c r="BC305" i="13"/>
  <c r="BC303" i="13"/>
  <c r="BC301" i="13"/>
  <c r="BC299" i="13"/>
  <c r="BC297" i="13"/>
  <c r="BC295" i="13"/>
  <c r="BC293" i="13"/>
  <c r="BC291" i="13"/>
  <c r="BC289" i="13"/>
  <c r="BC287" i="13"/>
  <c r="BC285" i="13"/>
  <c r="BC283" i="13"/>
  <c r="BC317" i="13"/>
  <c r="BC274" i="13"/>
  <c r="BC266" i="13"/>
  <c r="BC258" i="13"/>
  <c r="BC250" i="13"/>
  <c r="BC242" i="13"/>
  <c r="BC186" i="13"/>
  <c r="BC184" i="13"/>
  <c r="BC182" i="13"/>
  <c r="BC180" i="13"/>
  <c r="BC178" i="13"/>
  <c r="BC176" i="13"/>
  <c r="BC174" i="13"/>
  <c r="BC172" i="13"/>
  <c r="BC170" i="13"/>
  <c r="BC140" i="13"/>
  <c r="BC139" i="13"/>
  <c r="BC138" i="13"/>
  <c r="BC137" i="13"/>
  <c r="BC136" i="13"/>
  <c r="BC135" i="13"/>
  <c r="BC134" i="13"/>
  <c r="BC133" i="13"/>
  <c r="BC132" i="13"/>
  <c r="BC131" i="13"/>
  <c r="BC130" i="13"/>
  <c r="BC129" i="13"/>
  <c r="BC128" i="13"/>
  <c r="BC127" i="13"/>
  <c r="BC126" i="13"/>
  <c r="BC125" i="13"/>
  <c r="BC124" i="13"/>
  <c r="BC123" i="13"/>
  <c r="BC122" i="13"/>
  <c r="BC121" i="13"/>
  <c r="BC120" i="13"/>
  <c r="BC119" i="13"/>
  <c r="BC118" i="13"/>
  <c r="BC117" i="13"/>
  <c r="BC116" i="13"/>
  <c r="BC115" i="13"/>
  <c r="BC114" i="13"/>
  <c r="BC113" i="13"/>
  <c r="BC112" i="13"/>
  <c r="BC111" i="13"/>
  <c r="BC110" i="13"/>
  <c r="BC109" i="13"/>
  <c r="BC108" i="13"/>
  <c r="BC107" i="13"/>
  <c r="BC106" i="13"/>
  <c r="BC105" i="13"/>
  <c r="BC104" i="13"/>
  <c r="BC103" i="13"/>
  <c r="BC102" i="13"/>
  <c r="BC101" i="13"/>
  <c r="BC100" i="13"/>
  <c r="BC99" i="13"/>
  <c r="BC321" i="13"/>
  <c r="BC272" i="13"/>
  <c r="BC264" i="13"/>
  <c r="BC256" i="13"/>
  <c r="BC248" i="13"/>
  <c r="BC240" i="13"/>
  <c r="BC202" i="13"/>
  <c r="BC200" i="13"/>
  <c r="BC198" i="13"/>
  <c r="BC196" i="13"/>
  <c r="BC194" i="13"/>
  <c r="BC192" i="13"/>
  <c r="BC168" i="13"/>
  <c r="BC167" i="13"/>
  <c r="BC166" i="13"/>
  <c r="BC165" i="13"/>
  <c r="BC164" i="13"/>
  <c r="BC163" i="13"/>
  <c r="BC162" i="13"/>
  <c r="BC161" i="13"/>
  <c r="BC160" i="13"/>
  <c r="BC159" i="13"/>
  <c r="BC158" i="13"/>
  <c r="BC157" i="13"/>
  <c r="BC156" i="13"/>
  <c r="BC155" i="13"/>
  <c r="BC154" i="13"/>
  <c r="BC153" i="13"/>
  <c r="BC152" i="13"/>
  <c r="BC151" i="13"/>
  <c r="BC150" i="13"/>
  <c r="BC149" i="13"/>
  <c r="BC148" i="13"/>
  <c r="BC147" i="13"/>
  <c r="BC146" i="13"/>
  <c r="BC145" i="13"/>
  <c r="BC278" i="13"/>
  <c r="BC270" i="13"/>
  <c r="BC262" i="13"/>
  <c r="BC254" i="13"/>
  <c r="BC246" i="13"/>
  <c r="BC238" i="13"/>
  <c r="BC260" i="13"/>
  <c r="BC201" i="13"/>
  <c r="BC193" i="13"/>
  <c r="BC95" i="13"/>
  <c r="BC94" i="13"/>
  <c r="BC93" i="13"/>
  <c r="BC92" i="13"/>
  <c r="BC91" i="13"/>
  <c r="BC90" i="13"/>
  <c r="BC89" i="13"/>
  <c r="BC88" i="13"/>
  <c r="BC87" i="13"/>
  <c r="BC86" i="13"/>
  <c r="BC85" i="13"/>
  <c r="BC84" i="13"/>
  <c r="BC83" i="13"/>
  <c r="BC82" i="13"/>
  <c r="BC81" i="13"/>
  <c r="BC80" i="13"/>
  <c r="BC79" i="13"/>
  <c r="BC78" i="13"/>
  <c r="BC77" i="13"/>
  <c r="BC76" i="13"/>
  <c r="BC75" i="13"/>
  <c r="BC74" i="13"/>
  <c r="BC73" i="13"/>
  <c r="BC72" i="13"/>
  <c r="BC71" i="13"/>
  <c r="BC70" i="13"/>
  <c r="BC69" i="13"/>
  <c r="BC68" i="13"/>
  <c r="BC67" i="13"/>
  <c r="BC66" i="13"/>
  <c r="BC65" i="13"/>
  <c r="BC64" i="13"/>
  <c r="BC63" i="13"/>
  <c r="BC62" i="13"/>
  <c r="BC61" i="13"/>
  <c r="BC60" i="13"/>
  <c r="BC59" i="13"/>
  <c r="BC58" i="13"/>
  <c r="BC57" i="13"/>
  <c r="BC56" i="13"/>
  <c r="BC55" i="13"/>
  <c r="BC54" i="13"/>
  <c r="BC49" i="13"/>
  <c r="BC48" i="13"/>
  <c r="BC47" i="13"/>
  <c r="BC46" i="13"/>
  <c r="BC45" i="13"/>
  <c r="BC44" i="13"/>
  <c r="BC43" i="13"/>
  <c r="BC42" i="13"/>
  <c r="BC41" i="13"/>
  <c r="BC40" i="13"/>
  <c r="BC39" i="13"/>
  <c r="BC38" i="13"/>
  <c r="BC37" i="13"/>
  <c r="BC36" i="13"/>
  <c r="BC35" i="13"/>
  <c r="BC34" i="13"/>
  <c r="BC33" i="13"/>
  <c r="BC32" i="13"/>
  <c r="BC31" i="13"/>
  <c r="BC30" i="13"/>
  <c r="BC29" i="13"/>
  <c r="BC28" i="13"/>
  <c r="BC27" i="13"/>
  <c r="BC252" i="13"/>
  <c r="BC199" i="13"/>
  <c r="BC185" i="13"/>
  <c r="BC181" i="13"/>
  <c r="BC177" i="13"/>
  <c r="BC173" i="13"/>
  <c r="BC169" i="13"/>
  <c r="BC341" i="13"/>
  <c r="BC276" i="13"/>
  <c r="BC244" i="13"/>
  <c r="BC197" i="13"/>
  <c r="BC171" i="13"/>
  <c r="BD5" i="13"/>
  <c r="BC191" i="13"/>
  <c r="BC183" i="13"/>
  <c r="BC26" i="13"/>
  <c r="BC25" i="13"/>
  <c r="BC24" i="13"/>
  <c r="BC23" i="13"/>
  <c r="BC22" i="13"/>
  <c r="BC21" i="13"/>
  <c r="BC20" i="13"/>
  <c r="BC19" i="13"/>
  <c r="BC18" i="13"/>
  <c r="BC17" i="13"/>
  <c r="BC16" i="13"/>
  <c r="BC15" i="13"/>
  <c r="BC14" i="13"/>
  <c r="BC13" i="13"/>
  <c r="BC12" i="13"/>
  <c r="BC11" i="13"/>
  <c r="BC10" i="13"/>
  <c r="BC9" i="13"/>
  <c r="BC8" i="13"/>
  <c r="BC7" i="13"/>
  <c r="BC268" i="13"/>
  <c r="BC179" i="13"/>
  <c r="BC195" i="13"/>
  <c r="BC175" i="13"/>
  <c r="BC53" i="13"/>
  <c r="AZ5" i="10"/>
  <c r="AY4" i="10"/>
  <c r="K50" i="13"/>
  <c r="BC50" i="13" s="1"/>
  <c r="N50" i="13"/>
  <c r="H50" i="13"/>
  <c r="L51" i="13"/>
  <c r="P140" i="13"/>
  <c r="Q140" i="13"/>
  <c r="R140" i="13"/>
  <c r="S140" i="13"/>
  <c r="T140" i="13"/>
  <c r="U140" i="13"/>
  <c r="V140" i="13"/>
  <c r="W140" i="13"/>
  <c r="X140" i="13"/>
  <c r="Y140" i="13"/>
  <c r="Z140" i="13"/>
  <c r="AA140" i="13"/>
  <c r="AB140" i="13"/>
  <c r="AC140" i="13"/>
  <c r="AD140" i="13"/>
  <c r="AE140" i="13"/>
  <c r="AF140" i="13"/>
  <c r="AG140" i="13"/>
  <c r="AH140" i="13"/>
  <c r="AI140" i="13"/>
  <c r="AJ140" i="13"/>
  <c r="AK140" i="13"/>
  <c r="AL140" i="13"/>
  <c r="AM140" i="13"/>
  <c r="AN140" i="13"/>
  <c r="AO140" i="13"/>
  <c r="AP140" i="13"/>
  <c r="AQ140" i="13"/>
  <c r="AR140" i="13"/>
  <c r="AS140" i="13"/>
  <c r="AT140" i="13"/>
  <c r="AU140" i="13"/>
  <c r="AV140" i="13"/>
  <c r="AW140" i="13"/>
  <c r="AX140" i="13"/>
  <c r="AY140" i="13"/>
  <c r="AZ140" i="13"/>
  <c r="BA140" i="13"/>
  <c r="P324" i="13"/>
  <c r="Q324" i="13"/>
  <c r="R324" i="13"/>
  <c r="S324" i="13"/>
  <c r="T324" i="13"/>
  <c r="U324" i="13"/>
  <c r="V324" i="13"/>
  <c r="W324" i="13"/>
  <c r="X324" i="13"/>
  <c r="Y324" i="13"/>
  <c r="Z324" i="13"/>
  <c r="AA324" i="13"/>
  <c r="AB324" i="13"/>
  <c r="AC324" i="13"/>
  <c r="AD324" i="13"/>
  <c r="AE324" i="13"/>
  <c r="AF324" i="13"/>
  <c r="AG324" i="13"/>
  <c r="AH324" i="13"/>
  <c r="AI324" i="13"/>
  <c r="AJ324" i="13"/>
  <c r="AK324" i="13"/>
  <c r="AL324" i="13"/>
  <c r="AM324" i="13"/>
  <c r="AN324" i="13"/>
  <c r="AO324" i="13"/>
  <c r="AP324" i="13"/>
  <c r="AQ324" i="13"/>
  <c r="AR324" i="13"/>
  <c r="AS324" i="13"/>
  <c r="AT324" i="13"/>
  <c r="AU324" i="13"/>
  <c r="AV324" i="13"/>
  <c r="AW324" i="13"/>
  <c r="AX324" i="13"/>
  <c r="AY324" i="13"/>
  <c r="AZ324" i="13"/>
  <c r="BA324" i="13"/>
  <c r="AX7" i="10" a="1"/>
  <c r="AX7" i="10" s="1"/>
  <c r="AX43" i="10" s="1"/>
  <c r="AY3" i="10"/>
  <c r="AX84" i="10"/>
  <c r="AX86" i="10" s="1"/>
  <c r="AX90" i="10"/>
  <c r="AX89" i="10"/>
  <c r="N187" i="13"/>
  <c r="H187" i="13"/>
  <c r="L188" i="13"/>
  <c r="K187" i="13"/>
  <c r="BC187" i="13" s="1"/>
  <c r="L281" i="13"/>
  <c r="H280" i="13"/>
  <c r="N280" i="13"/>
  <c r="K280" i="13"/>
  <c r="BC280" i="13" s="1"/>
  <c r="AW15" i="10"/>
  <c r="AW36" i="10"/>
  <c r="P95" i="13"/>
  <c r="Q95" i="13"/>
  <c r="R95" i="13"/>
  <c r="S95" i="13"/>
  <c r="T95" i="13"/>
  <c r="U95" i="13"/>
  <c r="V95" i="13"/>
  <c r="W95" i="13"/>
  <c r="X95" i="13"/>
  <c r="Y95" i="13"/>
  <c r="Z95" i="13"/>
  <c r="AA95" i="13"/>
  <c r="AB95" i="13"/>
  <c r="AC95" i="13"/>
  <c r="AD95" i="13"/>
  <c r="AE95" i="13"/>
  <c r="AF95" i="13"/>
  <c r="AG95" i="13"/>
  <c r="AH95" i="13"/>
  <c r="AI95" i="13"/>
  <c r="AJ95" i="13"/>
  <c r="AK95" i="13"/>
  <c r="AL95" i="13"/>
  <c r="AM95" i="13"/>
  <c r="AN95" i="13"/>
  <c r="AO95" i="13"/>
  <c r="AP95" i="13"/>
  <c r="AQ95" i="13"/>
  <c r="AR95" i="13"/>
  <c r="AS95" i="13"/>
  <c r="AT95" i="13"/>
  <c r="AU95" i="13"/>
  <c r="AV95" i="13"/>
  <c r="AW95" i="13"/>
  <c r="AX95" i="13"/>
  <c r="AY95" i="13"/>
  <c r="AZ95" i="13"/>
  <c r="BA95" i="13"/>
  <c r="P233" i="13"/>
  <c r="Q233" i="13"/>
  <c r="R233" i="13"/>
  <c r="S233" i="13"/>
  <c r="T233" i="13"/>
  <c r="U233" i="13"/>
  <c r="V233" i="13"/>
  <c r="W233" i="13"/>
  <c r="X233" i="13"/>
  <c r="Y233" i="13"/>
  <c r="Z233" i="13"/>
  <c r="AA233" i="13"/>
  <c r="AB233" i="13"/>
  <c r="AC233" i="13"/>
  <c r="AD233" i="13"/>
  <c r="AE233" i="13"/>
  <c r="AF233" i="13"/>
  <c r="AG233" i="13"/>
  <c r="AH233" i="13"/>
  <c r="AI233" i="13"/>
  <c r="AJ233" i="13"/>
  <c r="AK233" i="13"/>
  <c r="AL233" i="13"/>
  <c r="AM233" i="13"/>
  <c r="AN233" i="13"/>
  <c r="AO233" i="13"/>
  <c r="AP233" i="13"/>
  <c r="AQ233" i="13"/>
  <c r="AR233" i="13"/>
  <c r="AS233" i="13"/>
  <c r="AT233" i="13"/>
  <c r="AU233" i="13"/>
  <c r="AV233" i="13"/>
  <c r="AW233" i="13"/>
  <c r="AX233" i="13"/>
  <c r="AY233" i="13"/>
  <c r="AZ233" i="13"/>
  <c r="BA233" i="13"/>
  <c r="N141" i="13"/>
  <c r="H141" i="13"/>
  <c r="L142" i="13"/>
  <c r="K141" i="13"/>
  <c r="BC141" i="13" s="1"/>
  <c r="AW91" i="10"/>
  <c r="P186" i="13"/>
  <c r="Q186" i="13"/>
  <c r="R186" i="13"/>
  <c r="S186" i="13"/>
  <c r="T186" i="13"/>
  <c r="U186" i="13"/>
  <c r="V186" i="13"/>
  <c r="W186" i="13"/>
  <c r="X186" i="13"/>
  <c r="Y186" i="13"/>
  <c r="Z186" i="13"/>
  <c r="AA186" i="13"/>
  <c r="AB186" i="13"/>
  <c r="AC186" i="13"/>
  <c r="AD186" i="13"/>
  <c r="AE186" i="13"/>
  <c r="AF186" i="13"/>
  <c r="AG186" i="13"/>
  <c r="AH186" i="13"/>
  <c r="AI186" i="13"/>
  <c r="AJ186" i="13"/>
  <c r="AK186" i="13"/>
  <c r="AL186" i="13"/>
  <c r="AM186" i="13"/>
  <c r="AN186" i="13"/>
  <c r="AO186" i="13"/>
  <c r="AP186" i="13"/>
  <c r="AQ186" i="13"/>
  <c r="AR186" i="13"/>
  <c r="AS186" i="13"/>
  <c r="AT186" i="13"/>
  <c r="AU186" i="13"/>
  <c r="AV186" i="13"/>
  <c r="AW186" i="13"/>
  <c r="AX186" i="13"/>
  <c r="AY186" i="13"/>
  <c r="AZ186" i="13"/>
  <c r="BA186" i="13"/>
  <c r="P279" i="13"/>
  <c r="Q279" i="13"/>
  <c r="R279" i="13"/>
  <c r="S279" i="13"/>
  <c r="T279" i="13"/>
  <c r="U279" i="13"/>
  <c r="V279" i="13"/>
  <c r="W279" i="13"/>
  <c r="X279" i="13"/>
  <c r="Y279" i="13"/>
  <c r="Z279" i="13"/>
  <c r="AA279" i="13"/>
  <c r="AB279" i="13"/>
  <c r="AC279" i="13"/>
  <c r="AD279" i="13"/>
  <c r="AE279" i="13"/>
  <c r="AF279" i="13"/>
  <c r="AG279" i="13"/>
  <c r="AH279" i="13"/>
  <c r="AI279" i="13"/>
  <c r="AJ279" i="13"/>
  <c r="AK279" i="13"/>
  <c r="AL279" i="13"/>
  <c r="AM279" i="13"/>
  <c r="AN279" i="13"/>
  <c r="AO279" i="13"/>
  <c r="AP279" i="13"/>
  <c r="AQ279" i="13"/>
  <c r="AR279" i="13"/>
  <c r="AS279" i="13"/>
  <c r="AT279" i="13"/>
  <c r="AU279" i="13"/>
  <c r="AV279" i="13"/>
  <c r="AW279" i="13"/>
  <c r="AX279" i="13"/>
  <c r="AY279" i="13"/>
  <c r="AZ279" i="13"/>
  <c r="BA279" i="13"/>
  <c r="AW20" i="10"/>
  <c r="L97" i="13"/>
  <c r="K96" i="13"/>
  <c r="N96" i="13"/>
  <c r="H96" i="13"/>
  <c r="BB95" i="13"/>
  <c r="AW38" i="10"/>
  <c r="AT49" i="10"/>
  <c r="P417" i="13"/>
  <c r="Q417" i="13"/>
  <c r="R417" i="13"/>
  <c r="S417" i="13"/>
  <c r="T417" i="13"/>
  <c r="U417" i="13"/>
  <c r="V417" i="13"/>
  <c r="W417" i="13"/>
  <c r="X417" i="13"/>
  <c r="Y417" i="13"/>
  <c r="Z417" i="13"/>
  <c r="AA417" i="13"/>
  <c r="AB417" i="13"/>
  <c r="AC417" i="13"/>
  <c r="AD417" i="13"/>
  <c r="AE417" i="13"/>
  <c r="AF417" i="13"/>
  <c r="AG417" i="13"/>
  <c r="AH417" i="13"/>
  <c r="AI417" i="13"/>
  <c r="AJ417" i="13"/>
  <c r="AK417" i="13"/>
  <c r="AL417" i="13"/>
  <c r="AM417" i="13"/>
  <c r="AN417" i="13"/>
  <c r="AO417" i="13"/>
  <c r="AP417" i="13"/>
  <c r="AQ417" i="13"/>
  <c r="AR417" i="13"/>
  <c r="AS417" i="13"/>
  <c r="AT417" i="13"/>
  <c r="AU417" i="13"/>
  <c r="AV417" i="13"/>
  <c r="AW417" i="13"/>
  <c r="AX417" i="13"/>
  <c r="AY417" i="13"/>
  <c r="AZ417" i="13"/>
  <c r="BA417" i="13"/>
  <c r="P463" i="13"/>
  <c r="Q463" i="13"/>
  <c r="R463" i="13"/>
  <c r="S463" i="13"/>
  <c r="T463" i="13"/>
  <c r="U463" i="13"/>
  <c r="V463" i="13"/>
  <c r="W463" i="13"/>
  <c r="X463" i="13"/>
  <c r="Y463" i="13"/>
  <c r="Z463" i="13"/>
  <c r="AA463" i="13"/>
  <c r="AB463" i="13"/>
  <c r="AC463" i="13"/>
  <c r="AD463" i="13"/>
  <c r="AE463" i="13"/>
  <c r="AF463" i="13"/>
  <c r="AG463" i="13"/>
  <c r="AH463" i="13"/>
  <c r="AI463" i="13"/>
  <c r="AJ463" i="13"/>
  <c r="AK463" i="13"/>
  <c r="AL463" i="13"/>
  <c r="AM463" i="13"/>
  <c r="AN463" i="13"/>
  <c r="AO463" i="13"/>
  <c r="AP463" i="13"/>
  <c r="AQ463" i="13"/>
  <c r="AR463" i="13"/>
  <c r="AS463" i="13"/>
  <c r="AT463" i="13"/>
  <c r="AU463" i="13"/>
  <c r="AV463" i="13"/>
  <c r="AW463" i="13"/>
  <c r="AX463" i="13"/>
  <c r="AY463" i="13"/>
  <c r="AZ463" i="13"/>
  <c r="BA463" i="13"/>
  <c r="P49" i="13"/>
  <c r="Q49" i="13"/>
  <c r="R49" i="13"/>
  <c r="S49" i="13"/>
  <c r="T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AK49" i="13"/>
  <c r="AL49" i="13"/>
  <c r="AM49" i="13"/>
  <c r="AN49" i="13"/>
  <c r="AO49" i="13"/>
  <c r="AP49" i="13"/>
  <c r="AQ49" i="13"/>
  <c r="AR49" i="13"/>
  <c r="AS49" i="13"/>
  <c r="AT49" i="13"/>
  <c r="AU49" i="13"/>
  <c r="AV49" i="13"/>
  <c r="AW49" i="13"/>
  <c r="AX49" i="13"/>
  <c r="AY49" i="13"/>
  <c r="AZ49" i="13"/>
  <c r="BA49" i="13"/>
  <c r="K325" i="13"/>
  <c r="L326" i="13"/>
  <c r="H325" i="13"/>
  <c r="N325" i="13"/>
  <c r="AW23" i="10"/>
  <c r="AW28" i="10"/>
  <c r="AX50" i="10" l="1"/>
  <c r="AZ114" i="10"/>
  <c r="AZ115" i="10" s="1"/>
  <c r="AZ116" i="10" s="1"/>
  <c r="AY45" i="10"/>
  <c r="AY50" i="10" s="1"/>
  <c r="AW99" i="10"/>
  <c r="AZ128" i="10"/>
  <c r="AY95" i="10"/>
  <c r="AX96" i="10"/>
  <c r="AX6" i="10"/>
  <c r="AW39" i="10"/>
  <c r="AW47" i="10" s="1"/>
  <c r="K326" i="13"/>
  <c r="BD326" i="13" s="1"/>
  <c r="N326" i="13"/>
  <c r="H326" i="13"/>
  <c r="L327" i="13"/>
  <c r="P325" i="13"/>
  <c r="Q325" i="13"/>
  <c r="R325" i="13"/>
  <c r="S325" i="13"/>
  <c r="T325" i="13"/>
  <c r="U325" i="13"/>
  <c r="V325" i="13"/>
  <c r="W325" i="13"/>
  <c r="X325" i="13"/>
  <c r="Y325" i="13"/>
  <c r="Z325" i="13"/>
  <c r="AA325" i="13"/>
  <c r="AB325" i="13"/>
  <c r="AC325" i="13"/>
  <c r="AD325" i="13"/>
  <c r="AE325" i="13"/>
  <c r="AF325" i="13"/>
  <c r="AG325" i="13"/>
  <c r="AH325" i="13"/>
  <c r="AI325" i="13"/>
  <c r="AJ325" i="13"/>
  <c r="AK325" i="13"/>
  <c r="AL325" i="13"/>
  <c r="AM325" i="13"/>
  <c r="AN325" i="13"/>
  <c r="AO325" i="13"/>
  <c r="AP325" i="13"/>
  <c r="AQ325" i="13"/>
  <c r="AR325" i="13"/>
  <c r="AS325" i="13"/>
  <c r="AT325" i="13"/>
  <c r="AU325" i="13"/>
  <c r="AV325" i="13"/>
  <c r="AW325" i="13"/>
  <c r="AX325" i="13"/>
  <c r="AY325" i="13"/>
  <c r="AZ325" i="13"/>
  <c r="BA325" i="13"/>
  <c r="BB325" i="13"/>
  <c r="P96" i="13"/>
  <c r="Q96" i="13"/>
  <c r="R96" i="13"/>
  <c r="S96" i="13"/>
  <c r="T96" i="13"/>
  <c r="U96" i="13"/>
  <c r="V96" i="13"/>
  <c r="W96" i="13"/>
  <c r="X96" i="13"/>
  <c r="Y96" i="13"/>
  <c r="Z96" i="13"/>
  <c r="AA96" i="13"/>
  <c r="AB96" i="13"/>
  <c r="AC96" i="13"/>
  <c r="AD96" i="13"/>
  <c r="AE96" i="13"/>
  <c r="AF96" i="13"/>
  <c r="AG96" i="13"/>
  <c r="AH96" i="13"/>
  <c r="AI96" i="13"/>
  <c r="AJ96" i="13"/>
  <c r="AK96" i="13"/>
  <c r="AL96" i="13"/>
  <c r="AM96" i="13"/>
  <c r="AN96" i="13"/>
  <c r="AO96" i="13"/>
  <c r="AP96" i="13"/>
  <c r="AQ96" i="13"/>
  <c r="AR96" i="13"/>
  <c r="AS96" i="13"/>
  <c r="AT96" i="13"/>
  <c r="AU96" i="13"/>
  <c r="AV96" i="13"/>
  <c r="AW96" i="13"/>
  <c r="AX96" i="13"/>
  <c r="AY96" i="13"/>
  <c r="AZ96" i="13"/>
  <c r="BA96" i="13"/>
  <c r="BB96" i="13"/>
  <c r="N142" i="13"/>
  <c r="H142" i="13"/>
  <c r="L143" i="13"/>
  <c r="K142" i="13"/>
  <c r="BD142" i="13" s="1"/>
  <c r="K281" i="13"/>
  <c r="BD281" i="13" s="1"/>
  <c r="L282" i="13"/>
  <c r="H281" i="13"/>
  <c r="N281" i="13"/>
  <c r="AY7" i="10" a="1"/>
  <c r="AY7" i="10" s="1"/>
  <c r="AY43" i="10" s="1"/>
  <c r="AZ3" i="10"/>
  <c r="AY84" i="10"/>
  <c r="AY90" i="10"/>
  <c r="AY89" i="10"/>
  <c r="P464" i="13"/>
  <c r="Q464" i="13"/>
  <c r="R464" i="13"/>
  <c r="S464" i="13"/>
  <c r="T464" i="13"/>
  <c r="U464" i="13"/>
  <c r="V464" i="13"/>
  <c r="W464" i="13"/>
  <c r="X464" i="13"/>
  <c r="Y464" i="13"/>
  <c r="Z464" i="13"/>
  <c r="AA464" i="13"/>
  <c r="AB464" i="13"/>
  <c r="AC464" i="13"/>
  <c r="AD464" i="13"/>
  <c r="AE464" i="13"/>
  <c r="AF464" i="13"/>
  <c r="AG464" i="13"/>
  <c r="AH464" i="13"/>
  <c r="AI464" i="13"/>
  <c r="AJ464" i="13"/>
  <c r="AK464" i="13"/>
  <c r="AL464" i="13"/>
  <c r="AM464" i="13"/>
  <c r="AN464" i="13"/>
  <c r="AO464" i="13"/>
  <c r="AP464" i="13"/>
  <c r="AQ464" i="13"/>
  <c r="AR464" i="13"/>
  <c r="AS464" i="13"/>
  <c r="AT464" i="13"/>
  <c r="AU464" i="13"/>
  <c r="AV464" i="13"/>
  <c r="AW464" i="13"/>
  <c r="AX464" i="13"/>
  <c r="AY464" i="13"/>
  <c r="AZ464" i="13"/>
  <c r="BA464" i="13"/>
  <c r="BB464" i="13"/>
  <c r="L98" i="13"/>
  <c r="K97" i="13"/>
  <c r="BD97" i="13" s="1"/>
  <c r="N97" i="13"/>
  <c r="H97" i="13"/>
  <c r="P280" i="13"/>
  <c r="Q280" i="13"/>
  <c r="R280" i="13"/>
  <c r="S280" i="13"/>
  <c r="T280" i="13"/>
  <c r="U280" i="13"/>
  <c r="V280" i="13"/>
  <c r="W280" i="13"/>
  <c r="X280" i="13"/>
  <c r="Y280" i="13"/>
  <c r="Z280" i="13"/>
  <c r="AA280" i="13"/>
  <c r="AB280" i="13"/>
  <c r="AC280" i="13"/>
  <c r="AD280" i="13"/>
  <c r="AE280" i="13"/>
  <c r="AF280" i="13"/>
  <c r="AG280" i="13"/>
  <c r="AH280" i="13"/>
  <c r="AI280" i="13"/>
  <c r="AJ280" i="13"/>
  <c r="AK280" i="13"/>
  <c r="AL280" i="13"/>
  <c r="AM280" i="13"/>
  <c r="AN280" i="13"/>
  <c r="AO280" i="13"/>
  <c r="AP280" i="13"/>
  <c r="AQ280" i="13"/>
  <c r="AR280" i="13"/>
  <c r="AS280" i="13"/>
  <c r="AT280" i="13"/>
  <c r="AU280" i="13"/>
  <c r="AV280" i="13"/>
  <c r="AW280" i="13"/>
  <c r="AX280" i="13"/>
  <c r="AY280" i="13"/>
  <c r="AZ280" i="13"/>
  <c r="BA280" i="13"/>
  <c r="BB280" i="13"/>
  <c r="P187" i="13"/>
  <c r="Q187" i="13"/>
  <c r="R187" i="13"/>
  <c r="S187" i="13"/>
  <c r="T187" i="13"/>
  <c r="U187" i="13"/>
  <c r="V187" i="13"/>
  <c r="W187" i="13"/>
  <c r="X187" i="13"/>
  <c r="Y187" i="13"/>
  <c r="Z187" i="13"/>
  <c r="AA187" i="13"/>
  <c r="AB187" i="13"/>
  <c r="AC187" i="13"/>
  <c r="AD187" i="13"/>
  <c r="AE187" i="13"/>
  <c r="AF187" i="13"/>
  <c r="AG187" i="13"/>
  <c r="AH187" i="13"/>
  <c r="AI187" i="13"/>
  <c r="AJ187" i="13"/>
  <c r="AK187" i="13"/>
  <c r="AL187" i="13"/>
  <c r="AM187" i="13"/>
  <c r="AN187" i="13"/>
  <c r="AO187" i="13"/>
  <c r="AP187" i="13"/>
  <c r="AQ187" i="13"/>
  <c r="AR187" i="13"/>
  <c r="AS187" i="13"/>
  <c r="AT187" i="13"/>
  <c r="AU187" i="13"/>
  <c r="AV187" i="13"/>
  <c r="AW187" i="13"/>
  <c r="AX187" i="13"/>
  <c r="AY187" i="13"/>
  <c r="AZ187" i="13"/>
  <c r="BA187" i="13"/>
  <c r="BB187" i="13"/>
  <c r="AX91" i="10"/>
  <c r="BC96" i="13"/>
  <c r="BC464" i="13"/>
  <c r="N465" i="13"/>
  <c r="H465" i="13"/>
  <c r="L466" i="13"/>
  <c r="K465" i="13"/>
  <c r="BD465" i="13" s="1"/>
  <c r="K188" i="13"/>
  <c r="BD188" i="13" s="1"/>
  <c r="L189" i="13"/>
  <c r="H188" i="13"/>
  <c r="N188" i="13"/>
  <c r="P50" i="13"/>
  <c r="Q50" i="13"/>
  <c r="R50" i="13"/>
  <c r="S50" i="13"/>
  <c r="T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AK50" i="13"/>
  <c r="AL50" i="13"/>
  <c r="AM50" i="13"/>
  <c r="AN50" i="13"/>
  <c r="AO50" i="13"/>
  <c r="AP50" i="13"/>
  <c r="AQ50" i="13"/>
  <c r="AR50" i="13"/>
  <c r="AS50" i="13"/>
  <c r="AT50" i="13"/>
  <c r="AU50" i="13"/>
  <c r="AV50" i="13"/>
  <c r="AW50" i="13"/>
  <c r="AX50" i="13"/>
  <c r="AY50" i="13"/>
  <c r="AZ50" i="13"/>
  <c r="BA50" i="13"/>
  <c r="BB50" i="13"/>
  <c r="BD463" i="13"/>
  <c r="BD461" i="13"/>
  <c r="BD435" i="13"/>
  <c r="BD434" i="13"/>
  <c r="BD433" i="13"/>
  <c r="BD432" i="13"/>
  <c r="BD431" i="13"/>
  <c r="BD430" i="13"/>
  <c r="BD429" i="13"/>
  <c r="BD428" i="13"/>
  <c r="BD427" i="13"/>
  <c r="BD426" i="13"/>
  <c r="BD425" i="13"/>
  <c r="BD424" i="13"/>
  <c r="BD423" i="13"/>
  <c r="BD422" i="13"/>
  <c r="BD421" i="13"/>
  <c r="BD464" i="13"/>
  <c r="BD460" i="13"/>
  <c r="BD456" i="13"/>
  <c r="BD452" i="13"/>
  <c r="BD450" i="13"/>
  <c r="BD443" i="13"/>
  <c r="BD442" i="13"/>
  <c r="BD462" i="13"/>
  <c r="BD459" i="13"/>
  <c r="BD455" i="13"/>
  <c r="BD451" i="13"/>
  <c r="BD445" i="13"/>
  <c r="BD444" i="13"/>
  <c r="BD437" i="13"/>
  <c r="BD436" i="13"/>
  <c r="BD418" i="13"/>
  <c r="BD416" i="13"/>
  <c r="BD414" i="13"/>
  <c r="BD412" i="13"/>
  <c r="BD410" i="13"/>
  <c r="BD408" i="13"/>
  <c r="BD406" i="13"/>
  <c r="BD404" i="13"/>
  <c r="BD402" i="13"/>
  <c r="BD400" i="13"/>
  <c r="BD398" i="13"/>
  <c r="BD396" i="13"/>
  <c r="BD394" i="13"/>
  <c r="BD453" i="13"/>
  <c r="BD449" i="13"/>
  <c r="BD448" i="13"/>
  <c r="BD388" i="13"/>
  <c r="BD387" i="13"/>
  <c r="BD380" i="13"/>
  <c r="BD379" i="13"/>
  <c r="BD370" i="13"/>
  <c r="BD369" i="13"/>
  <c r="BD362" i="13"/>
  <c r="BD361" i="13"/>
  <c r="BD280" i="13"/>
  <c r="BD279" i="13"/>
  <c r="BD278" i="13"/>
  <c r="BD277" i="13"/>
  <c r="BD276" i="13"/>
  <c r="BD275" i="13"/>
  <c r="BD274" i="13"/>
  <c r="BD273" i="13"/>
  <c r="BD272" i="13"/>
  <c r="BD271" i="13"/>
  <c r="BD270" i="13"/>
  <c r="BD269" i="13"/>
  <c r="BD268" i="13"/>
  <c r="BD267" i="13"/>
  <c r="BD266" i="13"/>
  <c r="BD265" i="13"/>
  <c r="BD264" i="13"/>
  <c r="BD263" i="13"/>
  <c r="BD262" i="13"/>
  <c r="BD261" i="13"/>
  <c r="BD260" i="13"/>
  <c r="BD259" i="13"/>
  <c r="BD258" i="13"/>
  <c r="BD257" i="13"/>
  <c r="BD256" i="13"/>
  <c r="BD255" i="13"/>
  <c r="BD254" i="13"/>
  <c r="BD253" i="13"/>
  <c r="BD252" i="13"/>
  <c r="BD251" i="13"/>
  <c r="BD250" i="13"/>
  <c r="BD249" i="13"/>
  <c r="BD248" i="13"/>
  <c r="BD247" i="13"/>
  <c r="BD246" i="13"/>
  <c r="BD245" i="13"/>
  <c r="BD244" i="13"/>
  <c r="BD243" i="13"/>
  <c r="BD242" i="13"/>
  <c r="BD241" i="13"/>
  <c r="BD240" i="13"/>
  <c r="BD239" i="13"/>
  <c r="BD238" i="13"/>
  <c r="BD237" i="13"/>
  <c r="BD454" i="13"/>
  <c r="BD439" i="13"/>
  <c r="BD438" i="13"/>
  <c r="BD415" i="13"/>
  <c r="BD411" i="13"/>
  <c r="BD407" i="13"/>
  <c r="BD403" i="13"/>
  <c r="BD399" i="13"/>
  <c r="BD395" i="13"/>
  <c r="BD390" i="13"/>
  <c r="BD389" i="13"/>
  <c r="BD382" i="13"/>
  <c r="BD381" i="13"/>
  <c r="BD372" i="13"/>
  <c r="BD371" i="13"/>
  <c r="BD364" i="13"/>
  <c r="BD417" i="13"/>
  <c r="BD409" i="13"/>
  <c r="BD401" i="13"/>
  <c r="BD393" i="13"/>
  <c r="BD386" i="13"/>
  <c r="BD385" i="13"/>
  <c r="BD366" i="13"/>
  <c r="BD365" i="13"/>
  <c r="BD360" i="13"/>
  <c r="BD353" i="13"/>
  <c r="BD352" i="13"/>
  <c r="BD345" i="13"/>
  <c r="BD344" i="13"/>
  <c r="BD329" i="13"/>
  <c r="BD458" i="13"/>
  <c r="BD392" i="13"/>
  <c r="BD391" i="13"/>
  <c r="BD376" i="13"/>
  <c r="BD368" i="13"/>
  <c r="BD367" i="13"/>
  <c r="BD363" i="13"/>
  <c r="BD355" i="13"/>
  <c r="BD354" i="13"/>
  <c r="BD347" i="13"/>
  <c r="BD346" i="13"/>
  <c r="BD339" i="13"/>
  <c r="BD338" i="13"/>
  <c r="BD336" i="13"/>
  <c r="BD334" i="13"/>
  <c r="BD332" i="13"/>
  <c r="BD330" i="13"/>
  <c r="BD324" i="13"/>
  <c r="BD322" i="13"/>
  <c r="BD320" i="13"/>
  <c r="BD318" i="13"/>
  <c r="BD316" i="13"/>
  <c r="BD457" i="13"/>
  <c r="BD441" i="13"/>
  <c r="BD440" i="13"/>
  <c r="BD413" i="13"/>
  <c r="BD405" i="13"/>
  <c r="BD397" i="13"/>
  <c r="BD378" i="13"/>
  <c r="BD377" i="13"/>
  <c r="BD375" i="13"/>
  <c r="BD374" i="13"/>
  <c r="BD373" i="13"/>
  <c r="BD357" i="13"/>
  <c r="BD356" i="13"/>
  <c r="BD349" i="13"/>
  <c r="BD348" i="13"/>
  <c r="BD341" i="13"/>
  <c r="BD340" i="13"/>
  <c r="BD446" i="13"/>
  <c r="BD351" i="13"/>
  <c r="BD350" i="13"/>
  <c r="BD337" i="13"/>
  <c r="BD331" i="13"/>
  <c r="BD325" i="13"/>
  <c r="BD323" i="13"/>
  <c r="BD319" i="13"/>
  <c r="BD187" i="13"/>
  <c r="BD186" i="13"/>
  <c r="BD185" i="13"/>
  <c r="BD184" i="13"/>
  <c r="BD183" i="13"/>
  <c r="BD182" i="13"/>
  <c r="BD181" i="13"/>
  <c r="BD180" i="13"/>
  <c r="BD179" i="13"/>
  <c r="BD178" i="13"/>
  <c r="BD177" i="13"/>
  <c r="BD176" i="13"/>
  <c r="BD175" i="13"/>
  <c r="BD174" i="13"/>
  <c r="BD173" i="13"/>
  <c r="BD172" i="13"/>
  <c r="BD171" i="13"/>
  <c r="BD170" i="13"/>
  <c r="BD169" i="13"/>
  <c r="BD384" i="13"/>
  <c r="BD383" i="13"/>
  <c r="BD359" i="13"/>
  <c r="BD358" i="13"/>
  <c r="BD333" i="13"/>
  <c r="BD315" i="13"/>
  <c r="BD313" i="13"/>
  <c r="BD311" i="13"/>
  <c r="BD309" i="13"/>
  <c r="BD307" i="13"/>
  <c r="BD305" i="13"/>
  <c r="BD303" i="13"/>
  <c r="BD301" i="13"/>
  <c r="BD299" i="13"/>
  <c r="BD297" i="13"/>
  <c r="BD295" i="13"/>
  <c r="BD293" i="13"/>
  <c r="BD291" i="13"/>
  <c r="BD289" i="13"/>
  <c r="BD287" i="13"/>
  <c r="BD285" i="13"/>
  <c r="BD283" i="13"/>
  <c r="BD233" i="13"/>
  <c r="BD231" i="13"/>
  <c r="BD229" i="13"/>
  <c r="BD227" i="13"/>
  <c r="BD225" i="13"/>
  <c r="BD223" i="13"/>
  <c r="BD221" i="13"/>
  <c r="BD219" i="13"/>
  <c r="BD217" i="13"/>
  <c r="BD215" i="13"/>
  <c r="BD213" i="13"/>
  <c r="BD211" i="13"/>
  <c r="BD209" i="13"/>
  <c r="BD207" i="13"/>
  <c r="BD205" i="13"/>
  <c r="BD447" i="13"/>
  <c r="BD335" i="13"/>
  <c r="BD321" i="13"/>
  <c r="BD317" i="13"/>
  <c r="BD310" i="13"/>
  <c r="BD302" i="13"/>
  <c r="BD294" i="13"/>
  <c r="BD286" i="13"/>
  <c r="BD230" i="13"/>
  <c r="BD222" i="13"/>
  <c r="BD220" i="13"/>
  <c r="BD216" i="13"/>
  <c r="BD212" i="13"/>
  <c r="BD208" i="13"/>
  <c r="BD204" i="13"/>
  <c r="BD202" i="13"/>
  <c r="BD200" i="13"/>
  <c r="BD198" i="13"/>
  <c r="BD196" i="13"/>
  <c r="BD194" i="13"/>
  <c r="BD192" i="13"/>
  <c r="BD168" i="13"/>
  <c r="BD167" i="13"/>
  <c r="BD166" i="13"/>
  <c r="BD165" i="13"/>
  <c r="BD164" i="13"/>
  <c r="BD163" i="13"/>
  <c r="BD162" i="13"/>
  <c r="BD161" i="13"/>
  <c r="BD160" i="13"/>
  <c r="BD159" i="13"/>
  <c r="BD158" i="13"/>
  <c r="BD157" i="13"/>
  <c r="BD156" i="13"/>
  <c r="BD155" i="13"/>
  <c r="BD154" i="13"/>
  <c r="BD153" i="13"/>
  <c r="BD152" i="13"/>
  <c r="BD151" i="13"/>
  <c r="BD150" i="13"/>
  <c r="BD149" i="13"/>
  <c r="BD148" i="13"/>
  <c r="BD147" i="13"/>
  <c r="BD146" i="13"/>
  <c r="BD145" i="13"/>
  <c r="BD342" i="13"/>
  <c r="BD308" i="13"/>
  <c r="BD300" i="13"/>
  <c r="BD292" i="13"/>
  <c r="BD284" i="13"/>
  <c r="BD228" i="13"/>
  <c r="BD50" i="13"/>
  <c r="BD49" i="13"/>
  <c r="BD48" i="13"/>
  <c r="BD47" i="13"/>
  <c r="BD46" i="13"/>
  <c r="BD45" i="13"/>
  <c r="BD44" i="13"/>
  <c r="BD43" i="13"/>
  <c r="BD42" i="13"/>
  <c r="BD41" i="13"/>
  <c r="BD40" i="13"/>
  <c r="BD39" i="13"/>
  <c r="BD38" i="13"/>
  <c r="BD37" i="13"/>
  <c r="BD36" i="13"/>
  <c r="BD35" i="13"/>
  <c r="BD34" i="13"/>
  <c r="BD33" i="13"/>
  <c r="BD32" i="13"/>
  <c r="BD31" i="13"/>
  <c r="BD30" i="13"/>
  <c r="BD29" i="13"/>
  <c r="BD28" i="13"/>
  <c r="BD27" i="13"/>
  <c r="BD314" i="13"/>
  <c r="BD306" i="13"/>
  <c r="BD298" i="13"/>
  <c r="BD290" i="13"/>
  <c r="BD234" i="13"/>
  <c r="BD226" i="13"/>
  <c r="BD218" i="13"/>
  <c r="BD214" i="13"/>
  <c r="BD210" i="13"/>
  <c r="BD206" i="13"/>
  <c r="BD201" i="13"/>
  <c r="BD199" i="13"/>
  <c r="BD197" i="13"/>
  <c r="BD195" i="13"/>
  <c r="BD193" i="13"/>
  <c r="BD312" i="13"/>
  <c r="BD53" i="13"/>
  <c r="BD343" i="13"/>
  <c r="BD304" i="13"/>
  <c r="BD232" i="13"/>
  <c r="BD203" i="13"/>
  <c r="BD296" i="13"/>
  <c r="BD224" i="13"/>
  <c r="BD191" i="13"/>
  <c r="BD141" i="13"/>
  <c r="BD140" i="13"/>
  <c r="BD139" i="13"/>
  <c r="BD138" i="13"/>
  <c r="BD137" i="13"/>
  <c r="BD136" i="13"/>
  <c r="BD135" i="13"/>
  <c r="BD134" i="13"/>
  <c r="BD133" i="13"/>
  <c r="BD132" i="13"/>
  <c r="BD131" i="13"/>
  <c r="BD130" i="13"/>
  <c r="BD129" i="13"/>
  <c r="BD128" i="13"/>
  <c r="BD127" i="13"/>
  <c r="BD126" i="13"/>
  <c r="BD125" i="13"/>
  <c r="BD124" i="13"/>
  <c r="BD123" i="13"/>
  <c r="BD122" i="13"/>
  <c r="BD121" i="13"/>
  <c r="BD120" i="13"/>
  <c r="BD119" i="13"/>
  <c r="BD118" i="13"/>
  <c r="BD117" i="13"/>
  <c r="BD116" i="13"/>
  <c r="BD115" i="13"/>
  <c r="BD114" i="13"/>
  <c r="BD113" i="13"/>
  <c r="BD112" i="13"/>
  <c r="BD111" i="13"/>
  <c r="BD110" i="13"/>
  <c r="BD109" i="13"/>
  <c r="BD108" i="13"/>
  <c r="BD107" i="13"/>
  <c r="BD106" i="13"/>
  <c r="BD105" i="13"/>
  <c r="BD104" i="13"/>
  <c r="BD103" i="13"/>
  <c r="BD102" i="13"/>
  <c r="BD101" i="13"/>
  <c r="BD100" i="13"/>
  <c r="BD26" i="13"/>
  <c r="BD25" i="13"/>
  <c r="BD24" i="13"/>
  <c r="BD23" i="13"/>
  <c r="BD22" i="13"/>
  <c r="BD21" i="13"/>
  <c r="BD20" i="13"/>
  <c r="BD19" i="13"/>
  <c r="BD18" i="13"/>
  <c r="BD17" i="13"/>
  <c r="BD16" i="13"/>
  <c r="BD15" i="13"/>
  <c r="BD14" i="13"/>
  <c r="BD13" i="13"/>
  <c r="BD12" i="13"/>
  <c r="BD11" i="13"/>
  <c r="BD10" i="13"/>
  <c r="BD9" i="13"/>
  <c r="BD8" i="13"/>
  <c r="BD7" i="13"/>
  <c r="BD288" i="13"/>
  <c r="BD95" i="13"/>
  <c r="BD93" i="13"/>
  <c r="BD91" i="13"/>
  <c r="BD89" i="13"/>
  <c r="BD87" i="13"/>
  <c r="BD85" i="13"/>
  <c r="BD83" i="13"/>
  <c r="BD81" i="13"/>
  <c r="BD79" i="13"/>
  <c r="BD77" i="13"/>
  <c r="BD75" i="13"/>
  <c r="BD73" i="13"/>
  <c r="BD71" i="13"/>
  <c r="BD69" i="13"/>
  <c r="BD67" i="13"/>
  <c r="BD65" i="13"/>
  <c r="BD63" i="13"/>
  <c r="BD61" i="13"/>
  <c r="BD59" i="13"/>
  <c r="BD57" i="13"/>
  <c r="BD55" i="13"/>
  <c r="BD99" i="13"/>
  <c r="BD96" i="13"/>
  <c r="BD94" i="13"/>
  <c r="BD92" i="13"/>
  <c r="BD90" i="13"/>
  <c r="BD88" i="13"/>
  <c r="BD86" i="13"/>
  <c r="BD84" i="13"/>
  <c r="BD82" i="13"/>
  <c r="BD80" i="13"/>
  <c r="BD78" i="13"/>
  <c r="BD76" i="13"/>
  <c r="BD74" i="13"/>
  <c r="BD70" i="13"/>
  <c r="BD62" i="13"/>
  <c r="BD54" i="13"/>
  <c r="BD72" i="13"/>
  <c r="BD64" i="13"/>
  <c r="BD56" i="13"/>
  <c r="BD66" i="13"/>
  <c r="BD58" i="13"/>
  <c r="BD68" i="13"/>
  <c r="BD60" i="13"/>
  <c r="BE5" i="13"/>
  <c r="BC325" i="13"/>
  <c r="AV39" i="10"/>
  <c r="P234" i="13"/>
  <c r="Q234" i="13"/>
  <c r="R234" i="13"/>
  <c r="S234" i="13"/>
  <c r="T234" i="13"/>
  <c r="U234" i="13"/>
  <c r="V234" i="13"/>
  <c r="W234" i="13"/>
  <c r="X234" i="13"/>
  <c r="Y234" i="13"/>
  <c r="Z234" i="13"/>
  <c r="AA234" i="13"/>
  <c r="AB234" i="13"/>
  <c r="AC234" i="13"/>
  <c r="AD234" i="13"/>
  <c r="AE234" i="13"/>
  <c r="AF234" i="13"/>
  <c r="AG234" i="13"/>
  <c r="AH234" i="13"/>
  <c r="AI234" i="13"/>
  <c r="AJ234" i="13"/>
  <c r="AK234" i="13"/>
  <c r="AL234" i="13"/>
  <c r="AM234" i="13"/>
  <c r="AN234" i="13"/>
  <c r="AO234" i="13"/>
  <c r="AP234" i="13"/>
  <c r="AQ234" i="13"/>
  <c r="AR234" i="13"/>
  <c r="AS234" i="13"/>
  <c r="AT234" i="13"/>
  <c r="AU234" i="13"/>
  <c r="AV234" i="13"/>
  <c r="AW234" i="13"/>
  <c r="AX234" i="13"/>
  <c r="AY234" i="13"/>
  <c r="AZ234" i="13"/>
  <c r="BA234" i="13"/>
  <c r="BB234" i="13"/>
  <c r="N419" i="13"/>
  <c r="H419" i="13"/>
  <c r="L420" i="13"/>
  <c r="K419" i="13"/>
  <c r="P141" i="13"/>
  <c r="Q141" i="13"/>
  <c r="R141" i="13"/>
  <c r="S141" i="13"/>
  <c r="T141" i="13"/>
  <c r="U141" i="13"/>
  <c r="V141" i="13"/>
  <c r="W141" i="13"/>
  <c r="X141" i="13"/>
  <c r="Y141" i="13"/>
  <c r="Z141" i="13"/>
  <c r="AA141" i="13"/>
  <c r="AB141" i="13"/>
  <c r="AC141" i="13"/>
  <c r="AD141" i="13"/>
  <c r="AE141" i="13"/>
  <c r="AF141" i="13"/>
  <c r="AG141" i="13"/>
  <c r="AH141" i="13"/>
  <c r="AI141" i="13"/>
  <c r="AJ141" i="13"/>
  <c r="AK141" i="13"/>
  <c r="AL141" i="13"/>
  <c r="AM141" i="13"/>
  <c r="AN141" i="13"/>
  <c r="AO141" i="13"/>
  <c r="AP141" i="13"/>
  <c r="AQ141" i="13"/>
  <c r="AR141" i="13"/>
  <c r="AS141" i="13"/>
  <c r="AT141" i="13"/>
  <c r="AU141" i="13"/>
  <c r="AV141" i="13"/>
  <c r="AW141" i="13"/>
  <c r="AX141" i="13"/>
  <c r="AY141" i="13"/>
  <c r="AZ141" i="13"/>
  <c r="BA141" i="13"/>
  <c r="BB141" i="13"/>
  <c r="K51" i="13"/>
  <c r="BD51" i="13" s="1"/>
  <c r="N51" i="13"/>
  <c r="H51" i="13"/>
  <c r="L52" i="13"/>
  <c r="BA5" i="10"/>
  <c r="AZ4" i="10"/>
  <c r="N235" i="13"/>
  <c r="H235" i="13"/>
  <c r="K235" i="13"/>
  <c r="L236" i="13"/>
  <c r="P418" i="13"/>
  <c r="Q418" i="13"/>
  <c r="R418" i="13"/>
  <c r="S418" i="13"/>
  <c r="T418" i="13"/>
  <c r="U418" i="13"/>
  <c r="V418" i="13"/>
  <c r="W418" i="13"/>
  <c r="X418" i="13"/>
  <c r="Y418" i="13"/>
  <c r="Z418" i="13"/>
  <c r="AA418" i="13"/>
  <c r="AB418" i="13"/>
  <c r="AC418" i="13"/>
  <c r="AD418" i="13"/>
  <c r="AE418" i="13"/>
  <c r="AF418" i="13"/>
  <c r="AG418" i="13"/>
  <c r="AH418" i="13"/>
  <c r="AI418" i="13"/>
  <c r="AJ418" i="13"/>
  <c r="AK418" i="13"/>
  <c r="AL418" i="13"/>
  <c r="AM418" i="13"/>
  <c r="AN418" i="13"/>
  <c r="AO418" i="13"/>
  <c r="AP418" i="13"/>
  <c r="AQ418" i="13"/>
  <c r="AR418" i="13"/>
  <c r="AS418" i="13"/>
  <c r="AT418" i="13"/>
  <c r="AU418" i="13"/>
  <c r="AV418" i="13"/>
  <c r="AW418" i="13"/>
  <c r="AX418" i="13"/>
  <c r="AY418" i="13"/>
  <c r="AZ418" i="13"/>
  <c r="BA418" i="13"/>
  <c r="BB418" i="13"/>
  <c r="AY86" i="10" l="1"/>
  <c r="AV47" i="10"/>
  <c r="BA114" i="10"/>
  <c r="BA115" i="10" s="1"/>
  <c r="BA116" i="10" s="1"/>
  <c r="AZ45" i="10"/>
  <c r="AZ50" i="10" s="1"/>
  <c r="AX99" i="10"/>
  <c r="AX11" i="10"/>
  <c r="AX69" i="10"/>
  <c r="AX64" i="10"/>
  <c r="AX67" i="10"/>
  <c r="AX10" i="10"/>
  <c r="BA128" i="10"/>
  <c r="AZ95" i="10"/>
  <c r="AW49" i="10"/>
  <c r="AX38" i="10"/>
  <c r="AX30" i="10"/>
  <c r="AX22" i="10"/>
  <c r="AX14" i="10"/>
  <c r="AX37" i="10"/>
  <c r="AX19" i="10"/>
  <c r="AX33" i="10"/>
  <c r="AX15" i="10"/>
  <c r="AX36" i="10"/>
  <c r="AX28" i="10"/>
  <c r="AX20" i="10"/>
  <c r="AX12" i="10"/>
  <c r="AX29" i="10"/>
  <c r="AX25" i="10"/>
  <c r="AX32" i="10"/>
  <c r="AX24" i="10"/>
  <c r="AX21" i="10"/>
  <c r="AX17" i="10"/>
  <c r="AX31" i="10"/>
  <c r="AX34" i="10"/>
  <c r="AX26" i="10"/>
  <c r="AX18" i="10"/>
  <c r="AX27" i="10"/>
  <c r="AX23" i="10"/>
  <c r="AX13" i="10"/>
  <c r="AX16" i="10"/>
  <c r="AX35" i="10"/>
  <c r="AY6" i="10"/>
  <c r="P235" i="13"/>
  <c r="Q235" i="13"/>
  <c r="R235" i="13"/>
  <c r="S235" i="13"/>
  <c r="T235" i="13"/>
  <c r="U235" i="13"/>
  <c r="V235" i="13"/>
  <c r="W235" i="13"/>
  <c r="X235" i="13"/>
  <c r="Y235" i="13"/>
  <c r="Z235" i="13"/>
  <c r="AA235" i="13"/>
  <c r="AB235" i="13"/>
  <c r="AC235" i="13"/>
  <c r="AD235" i="13"/>
  <c r="AE235" i="13"/>
  <c r="AF235" i="13"/>
  <c r="AG235" i="13"/>
  <c r="AH235" i="13"/>
  <c r="AI235" i="13"/>
  <c r="AJ235" i="13"/>
  <c r="AK235" i="13"/>
  <c r="AL235" i="13"/>
  <c r="AM235" i="13"/>
  <c r="AN235" i="13"/>
  <c r="AO235" i="13"/>
  <c r="AP235" i="13"/>
  <c r="AQ235" i="13"/>
  <c r="AR235" i="13"/>
  <c r="AS235" i="13"/>
  <c r="AT235" i="13"/>
  <c r="AU235" i="13"/>
  <c r="AV235" i="13"/>
  <c r="AW235" i="13"/>
  <c r="AX235" i="13"/>
  <c r="AY235" i="13"/>
  <c r="AZ235" i="13"/>
  <c r="BA235" i="13"/>
  <c r="BB235" i="13"/>
  <c r="BC235" i="13"/>
  <c r="BA4" i="10"/>
  <c r="BB5" i="10"/>
  <c r="P419" i="13"/>
  <c r="Q419" i="13"/>
  <c r="R419" i="13"/>
  <c r="S419" i="13"/>
  <c r="T419" i="13"/>
  <c r="U419" i="13"/>
  <c r="V419" i="13"/>
  <c r="W419" i="13"/>
  <c r="X419" i="13"/>
  <c r="Y419" i="13"/>
  <c r="Z419" i="13"/>
  <c r="AA419" i="13"/>
  <c r="AB419" i="13"/>
  <c r="AC419" i="13"/>
  <c r="AD419" i="13"/>
  <c r="AE419" i="13"/>
  <c r="AF419" i="13"/>
  <c r="AG419" i="13"/>
  <c r="AH419" i="13"/>
  <c r="AI419" i="13"/>
  <c r="AJ419" i="13"/>
  <c r="AK419" i="13"/>
  <c r="AL419" i="13"/>
  <c r="AM419" i="13"/>
  <c r="AN419" i="13"/>
  <c r="AO419" i="13"/>
  <c r="AP419" i="13"/>
  <c r="AQ419" i="13"/>
  <c r="AR419" i="13"/>
  <c r="AS419" i="13"/>
  <c r="AT419" i="13"/>
  <c r="AU419" i="13"/>
  <c r="AV419" i="13"/>
  <c r="AW419" i="13"/>
  <c r="AX419" i="13"/>
  <c r="AY419" i="13"/>
  <c r="AZ419" i="13"/>
  <c r="BA419" i="13"/>
  <c r="BB419" i="13"/>
  <c r="BC419" i="13"/>
  <c r="N466" i="13"/>
  <c r="H466" i="13"/>
  <c r="K466" i="13"/>
  <c r="K98" i="13"/>
  <c r="BE98" i="13" s="1"/>
  <c r="N98" i="13"/>
  <c r="H98" i="13"/>
  <c r="P281" i="13"/>
  <c r="Q281" i="13"/>
  <c r="R281" i="13"/>
  <c r="S281" i="13"/>
  <c r="T281" i="13"/>
  <c r="U281" i="13"/>
  <c r="V281" i="13"/>
  <c r="W281" i="13"/>
  <c r="X281" i="13"/>
  <c r="Y281" i="13"/>
  <c r="Z281" i="13"/>
  <c r="AA281" i="13"/>
  <c r="AB281" i="13"/>
  <c r="AC281" i="13"/>
  <c r="AD281" i="13"/>
  <c r="AE281" i="13"/>
  <c r="AF281" i="13"/>
  <c r="AG281" i="13"/>
  <c r="AH281" i="13"/>
  <c r="AI281" i="13"/>
  <c r="AJ281" i="13"/>
  <c r="AK281" i="13"/>
  <c r="AL281" i="13"/>
  <c r="AM281" i="13"/>
  <c r="AN281" i="13"/>
  <c r="AO281" i="13"/>
  <c r="AP281" i="13"/>
  <c r="AQ281" i="13"/>
  <c r="AR281" i="13"/>
  <c r="AS281" i="13"/>
  <c r="AT281" i="13"/>
  <c r="AU281" i="13"/>
  <c r="AV281" i="13"/>
  <c r="AW281" i="13"/>
  <c r="AX281" i="13"/>
  <c r="AY281" i="13"/>
  <c r="AZ281" i="13"/>
  <c r="BA281" i="13"/>
  <c r="BB281" i="13"/>
  <c r="BC281" i="13"/>
  <c r="P326" i="13"/>
  <c r="Q326" i="13"/>
  <c r="R326" i="13"/>
  <c r="S326" i="13"/>
  <c r="T326" i="13"/>
  <c r="U326" i="13"/>
  <c r="V326" i="13"/>
  <c r="W326" i="13"/>
  <c r="X326" i="13"/>
  <c r="Y326" i="13"/>
  <c r="Z326" i="13"/>
  <c r="AA326" i="13"/>
  <c r="AB326" i="13"/>
  <c r="AC326" i="13"/>
  <c r="AD326" i="13"/>
  <c r="AE326" i="13"/>
  <c r="AF326" i="13"/>
  <c r="AG326" i="13"/>
  <c r="AH326" i="13"/>
  <c r="AI326" i="13"/>
  <c r="AJ326" i="13"/>
  <c r="AK326" i="13"/>
  <c r="AL326" i="13"/>
  <c r="AM326" i="13"/>
  <c r="AN326" i="13"/>
  <c r="AO326" i="13"/>
  <c r="AP326" i="13"/>
  <c r="AQ326" i="13"/>
  <c r="AR326" i="13"/>
  <c r="AS326" i="13"/>
  <c r="AT326" i="13"/>
  <c r="AU326" i="13"/>
  <c r="AV326" i="13"/>
  <c r="AW326" i="13"/>
  <c r="AX326" i="13"/>
  <c r="AY326" i="13"/>
  <c r="AZ326" i="13"/>
  <c r="BA326" i="13"/>
  <c r="BB326" i="13"/>
  <c r="BC326" i="13"/>
  <c r="N420" i="13"/>
  <c r="H420" i="13"/>
  <c r="K420" i="13"/>
  <c r="BD235" i="13"/>
  <c r="N189" i="13"/>
  <c r="L190" i="13"/>
  <c r="K189" i="13"/>
  <c r="H189" i="13"/>
  <c r="AY91" i="10"/>
  <c r="P142" i="13"/>
  <c r="Q142" i="13"/>
  <c r="R142" i="13"/>
  <c r="S142" i="13"/>
  <c r="T142" i="13"/>
  <c r="U142" i="13"/>
  <c r="V142" i="13"/>
  <c r="W142" i="13"/>
  <c r="X142" i="13"/>
  <c r="Y142" i="13"/>
  <c r="Z142" i="13"/>
  <c r="AA142" i="13"/>
  <c r="AB142" i="13"/>
  <c r="AC142" i="13"/>
  <c r="AD142" i="13"/>
  <c r="AE142" i="13"/>
  <c r="AF142" i="13"/>
  <c r="AG142" i="13"/>
  <c r="AH142" i="13"/>
  <c r="AI142" i="13"/>
  <c r="AJ142" i="13"/>
  <c r="AK142" i="13"/>
  <c r="AL142" i="13"/>
  <c r="AM142" i="13"/>
  <c r="AN142" i="13"/>
  <c r="AO142" i="13"/>
  <c r="AP142" i="13"/>
  <c r="AQ142" i="13"/>
  <c r="AR142" i="13"/>
  <c r="AS142" i="13"/>
  <c r="AT142" i="13"/>
  <c r="AU142" i="13"/>
  <c r="AV142" i="13"/>
  <c r="AW142" i="13"/>
  <c r="AX142" i="13"/>
  <c r="AY142" i="13"/>
  <c r="AZ142" i="13"/>
  <c r="BA142" i="13"/>
  <c r="BB142" i="13"/>
  <c r="BC142" i="13"/>
  <c r="K327" i="13"/>
  <c r="BE327" i="13" s="1"/>
  <c r="L328" i="13"/>
  <c r="H327" i="13"/>
  <c r="N327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K51" i="13"/>
  <c r="AL51" i="13"/>
  <c r="AM51" i="13"/>
  <c r="AN51" i="13"/>
  <c r="AO51" i="13"/>
  <c r="AP51" i="13"/>
  <c r="AQ51" i="13"/>
  <c r="AR51" i="13"/>
  <c r="AS51" i="13"/>
  <c r="AT51" i="13"/>
  <c r="AU51" i="13"/>
  <c r="AV51" i="13"/>
  <c r="AW51" i="13"/>
  <c r="AX51" i="13"/>
  <c r="AY51" i="13"/>
  <c r="AZ51" i="13"/>
  <c r="BA51" i="13"/>
  <c r="BB51" i="13"/>
  <c r="BC51" i="13"/>
  <c r="BE465" i="13"/>
  <c r="BE464" i="13"/>
  <c r="BE463" i="13"/>
  <c r="BE462" i="13"/>
  <c r="BE461" i="13"/>
  <c r="BE460" i="13"/>
  <c r="BE459" i="13"/>
  <c r="BE458" i="13"/>
  <c r="BE457" i="13"/>
  <c r="BE456" i="13"/>
  <c r="BE455" i="13"/>
  <c r="BE454" i="13"/>
  <c r="BE453" i="13"/>
  <c r="BE452" i="13"/>
  <c r="BE451" i="13"/>
  <c r="BE449" i="13"/>
  <c r="BE447" i="13"/>
  <c r="BE445" i="13"/>
  <c r="BE443" i="13"/>
  <c r="BE441" i="13"/>
  <c r="BE439" i="13"/>
  <c r="BE437" i="13"/>
  <c r="BE444" i="13"/>
  <c r="BE436" i="13"/>
  <c r="BE434" i="13"/>
  <c r="BE432" i="13"/>
  <c r="BE430" i="13"/>
  <c r="BE428" i="13"/>
  <c r="BE426" i="13"/>
  <c r="BE424" i="13"/>
  <c r="BE422" i="13"/>
  <c r="BE418" i="13"/>
  <c r="BE416" i="13"/>
  <c r="BE414" i="13"/>
  <c r="BE412" i="13"/>
  <c r="BE410" i="13"/>
  <c r="BE408" i="13"/>
  <c r="BE406" i="13"/>
  <c r="BE404" i="13"/>
  <c r="BE402" i="13"/>
  <c r="BE400" i="13"/>
  <c r="BE398" i="13"/>
  <c r="BE396" i="13"/>
  <c r="BE394" i="13"/>
  <c r="BE392" i="13"/>
  <c r="BE390" i="13"/>
  <c r="BE388" i="13"/>
  <c r="BE386" i="13"/>
  <c r="BE384" i="13"/>
  <c r="BE382" i="13"/>
  <c r="BE380" i="13"/>
  <c r="BE378" i="13"/>
  <c r="BE376" i="13"/>
  <c r="BE374" i="13"/>
  <c r="BE372" i="13"/>
  <c r="BE370" i="13"/>
  <c r="BE368" i="13"/>
  <c r="BE366" i="13"/>
  <c r="BE364" i="13"/>
  <c r="BE362" i="13"/>
  <c r="BE360" i="13"/>
  <c r="BE359" i="13"/>
  <c r="BE358" i="13"/>
  <c r="BE357" i="13"/>
  <c r="BE356" i="13"/>
  <c r="BE355" i="13"/>
  <c r="BE354" i="13"/>
  <c r="BE353" i="13"/>
  <c r="BE352" i="13"/>
  <c r="BE351" i="13"/>
  <c r="BE350" i="13"/>
  <c r="BE349" i="13"/>
  <c r="BE348" i="13"/>
  <c r="BE347" i="13"/>
  <c r="BE346" i="13"/>
  <c r="BE345" i="13"/>
  <c r="BE344" i="13"/>
  <c r="BE343" i="13"/>
  <c r="BE342" i="13"/>
  <c r="BE341" i="13"/>
  <c r="BE340" i="13"/>
  <c r="BE339" i="13"/>
  <c r="BE446" i="13"/>
  <c r="BE438" i="13"/>
  <c r="BE450" i="13"/>
  <c r="BE421" i="13"/>
  <c r="BE419" i="13"/>
  <c r="BE415" i="13"/>
  <c r="BE411" i="13"/>
  <c r="BE407" i="13"/>
  <c r="BE403" i="13"/>
  <c r="BE399" i="13"/>
  <c r="BE395" i="13"/>
  <c r="BE389" i="13"/>
  <c r="BE381" i="13"/>
  <c r="BE371" i="13"/>
  <c r="BE363" i="13"/>
  <c r="BE326" i="13"/>
  <c r="BE325" i="13"/>
  <c r="BE324" i="13"/>
  <c r="BE323" i="13"/>
  <c r="BE322" i="13"/>
  <c r="BE321" i="13"/>
  <c r="BE320" i="13"/>
  <c r="BE319" i="13"/>
  <c r="BE318" i="13"/>
  <c r="BE317" i="13"/>
  <c r="BE316" i="13"/>
  <c r="BE315" i="13"/>
  <c r="BE314" i="13"/>
  <c r="BE313" i="13"/>
  <c r="BE312" i="13"/>
  <c r="BE311" i="13"/>
  <c r="BE310" i="13"/>
  <c r="BE309" i="13"/>
  <c r="BE308" i="13"/>
  <c r="BE307" i="13"/>
  <c r="BE306" i="13"/>
  <c r="BE305" i="13"/>
  <c r="BE304" i="13"/>
  <c r="BE303" i="13"/>
  <c r="BE302" i="13"/>
  <c r="BE301" i="13"/>
  <c r="BE300" i="13"/>
  <c r="BE299" i="13"/>
  <c r="BE298" i="13"/>
  <c r="BE297" i="13"/>
  <c r="BE296" i="13"/>
  <c r="BE295" i="13"/>
  <c r="BE294" i="13"/>
  <c r="BE293" i="13"/>
  <c r="BE292" i="13"/>
  <c r="BE291" i="13"/>
  <c r="BE290" i="13"/>
  <c r="BE289" i="13"/>
  <c r="BE288" i="13"/>
  <c r="BE287" i="13"/>
  <c r="BE286" i="13"/>
  <c r="BE285" i="13"/>
  <c r="BE284" i="13"/>
  <c r="BE283" i="13"/>
  <c r="BE440" i="13"/>
  <c r="BE435" i="13"/>
  <c r="BE431" i="13"/>
  <c r="BE427" i="13"/>
  <c r="BE423" i="13"/>
  <c r="BE391" i="13"/>
  <c r="BE383" i="13"/>
  <c r="BE373" i="13"/>
  <c r="BE365" i="13"/>
  <c r="BE387" i="13"/>
  <c r="BE367" i="13"/>
  <c r="BE361" i="13"/>
  <c r="BE338" i="13"/>
  <c r="BE336" i="13"/>
  <c r="BE334" i="13"/>
  <c r="BE332" i="13"/>
  <c r="BE330" i="13"/>
  <c r="BE429" i="13"/>
  <c r="BE413" i="13"/>
  <c r="BE405" i="13"/>
  <c r="BE397" i="13"/>
  <c r="BE377" i="13"/>
  <c r="BE375" i="13"/>
  <c r="BE369" i="13"/>
  <c r="BE442" i="13"/>
  <c r="BE379" i="13"/>
  <c r="BE337" i="13"/>
  <c r="BE335" i="13"/>
  <c r="BE333" i="13"/>
  <c r="BE331" i="13"/>
  <c r="BE448" i="13"/>
  <c r="BE425" i="13"/>
  <c r="BE409" i="13"/>
  <c r="BE281" i="13"/>
  <c r="BE279" i="13"/>
  <c r="BE277" i="13"/>
  <c r="BE275" i="13"/>
  <c r="BE273" i="13"/>
  <c r="BE271" i="13"/>
  <c r="BE269" i="13"/>
  <c r="BE267" i="13"/>
  <c r="BE265" i="13"/>
  <c r="BE263" i="13"/>
  <c r="BE261" i="13"/>
  <c r="BE259" i="13"/>
  <c r="BE257" i="13"/>
  <c r="BE255" i="13"/>
  <c r="BE253" i="13"/>
  <c r="BE251" i="13"/>
  <c r="BE249" i="13"/>
  <c r="BE247" i="13"/>
  <c r="BE245" i="13"/>
  <c r="BE243" i="13"/>
  <c r="BE241" i="13"/>
  <c r="BE239" i="13"/>
  <c r="BE237" i="13"/>
  <c r="BE235" i="13"/>
  <c r="BE233" i="13"/>
  <c r="BE231" i="13"/>
  <c r="BE229" i="13"/>
  <c r="BE227" i="13"/>
  <c r="BE225" i="13"/>
  <c r="BE223" i="13"/>
  <c r="BE221" i="13"/>
  <c r="BE219" i="13"/>
  <c r="BE217" i="13"/>
  <c r="BE215" i="13"/>
  <c r="BE213" i="13"/>
  <c r="BE211" i="13"/>
  <c r="BE209" i="13"/>
  <c r="BE207" i="13"/>
  <c r="BE205" i="13"/>
  <c r="BE203" i="13"/>
  <c r="BE202" i="13"/>
  <c r="BE201" i="13"/>
  <c r="BE200" i="13"/>
  <c r="BE199" i="13"/>
  <c r="BE198" i="13"/>
  <c r="BE197" i="13"/>
  <c r="BE196" i="13"/>
  <c r="BE195" i="13"/>
  <c r="BE194" i="13"/>
  <c r="BE193" i="13"/>
  <c r="BE192" i="13"/>
  <c r="BE191" i="13"/>
  <c r="BE401" i="13"/>
  <c r="BE385" i="13"/>
  <c r="BE329" i="13"/>
  <c r="BE393" i="13"/>
  <c r="BE280" i="13"/>
  <c r="BE278" i="13"/>
  <c r="BE276" i="13"/>
  <c r="BE274" i="13"/>
  <c r="BE272" i="13"/>
  <c r="BE270" i="13"/>
  <c r="BE268" i="13"/>
  <c r="BE266" i="13"/>
  <c r="BE264" i="13"/>
  <c r="BE262" i="13"/>
  <c r="BE260" i="13"/>
  <c r="BE258" i="13"/>
  <c r="BE256" i="13"/>
  <c r="BE254" i="13"/>
  <c r="BE252" i="13"/>
  <c r="BE250" i="13"/>
  <c r="BE248" i="13"/>
  <c r="BE246" i="13"/>
  <c r="BE244" i="13"/>
  <c r="BE242" i="13"/>
  <c r="BE240" i="13"/>
  <c r="BE238" i="13"/>
  <c r="BE234" i="13"/>
  <c r="BE232" i="13"/>
  <c r="BE230" i="13"/>
  <c r="BE228" i="13"/>
  <c r="BE226" i="13"/>
  <c r="BE224" i="13"/>
  <c r="BE222" i="13"/>
  <c r="BE417" i="13"/>
  <c r="BE51" i="13"/>
  <c r="BE50" i="13"/>
  <c r="BE49" i="13"/>
  <c r="BE48" i="13"/>
  <c r="BE47" i="13"/>
  <c r="BE46" i="13"/>
  <c r="BE45" i="13"/>
  <c r="BE44" i="13"/>
  <c r="BE43" i="13"/>
  <c r="BE42" i="13"/>
  <c r="BE41" i="13"/>
  <c r="BE40" i="13"/>
  <c r="BE39" i="13"/>
  <c r="BE38" i="13"/>
  <c r="BE37" i="13"/>
  <c r="BE36" i="13"/>
  <c r="BE35" i="13"/>
  <c r="BE34" i="13"/>
  <c r="BE33" i="13"/>
  <c r="BE32" i="13"/>
  <c r="BE31" i="13"/>
  <c r="BE30" i="13"/>
  <c r="BE29" i="13"/>
  <c r="BE28" i="13"/>
  <c r="BE27" i="13"/>
  <c r="BE218" i="13"/>
  <c r="BE214" i="13"/>
  <c r="BE210" i="13"/>
  <c r="BE206" i="13"/>
  <c r="BE187" i="13"/>
  <c r="BE185" i="13"/>
  <c r="BE183" i="13"/>
  <c r="BE181" i="13"/>
  <c r="BE179" i="13"/>
  <c r="BE177" i="13"/>
  <c r="BE175" i="13"/>
  <c r="BE173" i="13"/>
  <c r="BE171" i="13"/>
  <c r="BE169" i="13"/>
  <c r="BE97" i="13"/>
  <c r="BE96" i="13"/>
  <c r="BE95" i="13"/>
  <c r="BE94" i="13"/>
  <c r="BE93" i="13"/>
  <c r="BE92" i="13"/>
  <c r="BE91" i="13"/>
  <c r="BE90" i="13"/>
  <c r="BE89" i="13"/>
  <c r="BE88" i="13"/>
  <c r="BE87" i="13"/>
  <c r="BE86" i="13"/>
  <c r="BE85" i="13"/>
  <c r="BE84" i="13"/>
  <c r="BE83" i="13"/>
  <c r="BE82" i="13"/>
  <c r="BE81" i="13"/>
  <c r="BE80" i="13"/>
  <c r="BE79" i="13"/>
  <c r="BE78" i="13"/>
  <c r="BE77" i="13"/>
  <c r="BE76" i="13"/>
  <c r="BE75" i="13"/>
  <c r="BE74" i="13"/>
  <c r="BE73" i="13"/>
  <c r="BE72" i="13"/>
  <c r="BE71" i="13"/>
  <c r="BE70" i="13"/>
  <c r="BE69" i="13"/>
  <c r="BE68" i="13"/>
  <c r="BE67" i="13"/>
  <c r="BE66" i="13"/>
  <c r="BE65" i="13"/>
  <c r="BE64" i="13"/>
  <c r="BE63" i="13"/>
  <c r="BE62" i="13"/>
  <c r="BE61" i="13"/>
  <c r="BE60" i="13"/>
  <c r="BE59" i="13"/>
  <c r="BE58" i="13"/>
  <c r="BE57" i="13"/>
  <c r="BE56" i="13"/>
  <c r="BE55" i="13"/>
  <c r="BE54" i="13"/>
  <c r="BE53" i="13"/>
  <c r="BE216" i="13"/>
  <c r="BE186" i="13"/>
  <c r="BE182" i="13"/>
  <c r="BE178" i="13"/>
  <c r="BE174" i="13"/>
  <c r="BE170" i="13"/>
  <c r="BE168" i="13"/>
  <c r="BE167" i="13"/>
  <c r="BE166" i="13"/>
  <c r="BE165" i="13"/>
  <c r="BE164" i="13"/>
  <c r="BE163" i="13"/>
  <c r="BE162" i="13"/>
  <c r="BE161" i="13"/>
  <c r="BE160" i="13"/>
  <c r="BE159" i="13"/>
  <c r="BE158" i="13"/>
  <c r="BE157" i="13"/>
  <c r="BE156" i="13"/>
  <c r="BE155" i="13"/>
  <c r="BE154" i="13"/>
  <c r="BE153" i="13"/>
  <c r="BE152" i="13"/>
  <c r="BE151" i="13"/>
  <c r="BE150" i="13"/>
  <c r="BE149" i="13"/>
  <c r="BE148" i="13"/>
  <c r="BE147" i="13"/>
  <c r="BE146" i="13"/>
  <c r="BE145" i="13"/>
  <c r="BE212" i="13"/>
  <c r="BE204" i="13"/>
  <c r="BE142" i="13"/>
  <c r="BE141" i="13"/>
  <c r="BE140" i="13"/>
  <c r="BE139" i="13"/>
  <c r="BE138" i="13"/>
  <c r="BE208" i="13"/>
  <c r="BE188" i="13"/>
  <c r="BE184" i="13"/>
  <c r="BE180" i="13"/>
  <c r="BE176" i="13"/>
  <c r="BE172" i="13"/>
  <c r="BE99" i="13"/>
  <c r="BE433" i="13"/>
  <c r="BE136" i="13"/>
  <c r="BE134" i="13"/>
  <c r="BE132" i="13"/>
  <c r="BE130" i="13"/>
  <c r="BE128" i="13"/>
  <c r="BE126" i="13"/>
  <c r="BE124" i="13"/>
  <c r="BE122" i="13"/>
  <c r="BE120" i="13"/>
  <c r="BE118" i="13"/>
  <c r="BE116" i="13"/>
  <c r="BE114" i="13"/>
  <c r="BE112" i="13"/>
  <c r="BE110" i="13"/>
  <c r="BE108" i="13"/>
  <c r="BE106" i="13"/>
  <c r="BE104" i="13"/>
  <c r="BE102" i="13"/>
  <c r="BE100" i="13"/>
  <c r="BE26" i="13"/>
  <c r="BE25" i="13"/>
  <c r="BE24" i="13"/>
  <c r="BE23" i="13"/>
  <c r="BE22" i="13"/>
  <c r="BE21" i="13"/>
  <c r="BE20" i="13"/>
  <c r="BE19" i="13"/>
  <c r="BE137" i="13"/>
  <c r="BE135" i="13"/>
  <c r="BE133" i="13"/>
  <c r="BE131" i="13"/>
  <c r="BE129" i="13"/>
  <c r="BE127" i="13"/>
  <c r="BE125" i="13"/>
  <c r="BE123" i="13"/>
  <c r="BE121" i="13"/>
  <c r="BE119" i="13"/>
  <c r="BE117" i="13"/>
  <c r="BE115" i="13"/>
  <c r="BE113" i="13"/>
  <c r="BE111" i="13"/>
  <c r="BE109" i="13"/>
  <c r="BE107" i="13"/>
  <c r="BE105" i="13"/>
  <c r="BE103" i="13"/>
  <c r="BE101" i="13"/>
  <c r="BF5" i="13"/>
  <c r="BE220" i="13"/>
  <c r="BE18" i="13"/>
  <c r="BE16" i="13"/>
  <c r="BE14" i="13"/>
  <c r="BE12" i="13"/>
  <c r="BE10" i="13"/>
  <c r="BE8" i="13"/>
  <c r="BE7" i="13"/>
  <c r="BE17" i="13"/>
  <c r="BE15" i="13"/>
  <c r="BE13" i="13"/>
  <c r="BE11" i="13"/>
  <c r="BE9" i="13"/>
  <c r="P188" i="13"/>
  <c r="Q188" i="13"/>
  <c r="R188" i="13"/>
  <c r="S188" i="13"/>
  <c r="T188" i="13"/>
  <c r="U188" i="13"/>
  <c r="V188" i="13"/>
  <c r="W188" i="13"/>
  <c r="X188" i="13"/>
  <c r="Y188" i="13"/>
  <c r="Z188" i="13"/>
  <c r="AA188" i="13"/>
  <c r="AB188" i="13"/>
  <c r="AC188" i="13"/>
  <c r="AD188" i="13"/>
  <c r="AE188" i="13"/>
  <c r="AF188" i="13"/>
  <c r="AG188" i="13"/>
  <c r="AH188" i="13"/>
  <c r="AI188" i="13"/>
  <c r="AJ188" i="13"/>
  <c r="AK188" i="13"/>
  <c r="AL188" i="13"/>
  <c r="AM188" i="13"/>
  <c r="AN188" i="13"/>
  <c r="AO188" i="13"/>
  <c r="AP188" i="13"/>
  <c r="AQ188" i="13"/>
  <c r="AR188" i="13"/>
  <c r="AS188" i="13"/>
  <c r="AT188" i="13"/>
  <c r="AU188" i="13"/>
  <c r="AV188" i="13"/>
  <c r="AW188" i="13"/>
  <c r="AX188" i="13"/>
  <c r="AY188" i="13"/>
  <c r="AZ188" i="13"/>
  <c r="BA188" i="13"/>
  <c r="BB188" i="13"/>
  <c r="BC188" i="13"/>
  <c r="N143" i="13"/>
  <c r="H143" i="13"/>
  <c r="L144" i="13"/>
  <c r="K143" i="13"/>
  <c r="N236" i="13"/>
  <c r="H236" i="13"/>
  <c r="K236" i="13"/>
  <c r="BE236" i="13" s="1"/>
  <c r="K52" i="13"/>
  <c r="BE52" i="13" s="1"/>
  <c r="N52" i="13"/>
  <c r="H52" i="13"/>
  <c r="AV49" i="10"/>
  <c r="BD419" i="13"/>
  <c r="P465" i="13"/>
  <c r="Q465" i="13"/>
  <c r="R465" i="13"/>
  <c r="S465" i="13"/>
  <c r="T465" i="13"/>
  <c r="U465" i="13"/>
  <c r="V465" i="13"/>
  <c r="W465" i="13"/>
  <c r="X465" i="13"/>
  <c r="Y465" i="13"/>
  <c r="Z465" i="13"/>
  <c r="AA465" i="13"/>
  <c r="AB465" i="13"/>
  <c r="AC465" i="13"/>
  <c r="AD465" i="13"/>
  <c r="AE465" i="13"/>
  <c r="AF465" i="13"/>
  <c r="AG465" i="13"/>
  <c r="AH465" i="13"/>
  <c r="AI465" i="13"/>
  <c r="AJ465" i="13"/>
  <c r="AK465" i="13"/>
  <c r="AL465" i="13"/>
  <c r="AM465" i="13"/>
  <c r="AN465" i="13"/>
  <c r="AO465" i="13"/>
  <c r="AP465" i="13"/>
  <c r="AQ465" i="13"/>
  <c r="AR465" i="13"/>
  <c r="AS465" i="13"/>
  <c r="AT465" i="13"/>
  <c r="AU465" i="13"/>
  <c r="AV465" i="13"/>
  <c r="AW465" i="13"/>
  <c r="AX465" i="13"/>
  <c r="AY465" i="13"/>
  <c r="AZ465" i="13"/>
  <c r="BA465" i="13"/>
  <c r="BB465" i="13"/>
  <c r="BC465" i="13"/>
  <c r="P97" i="13"/>
  <c r="Q97" i="13"/>
  <c r="R97" i="13"/>
  <c r="S97" i="13"/>
  <c r="T97" i="13"/>
  <c r="U97" i="13"/>
  <c r="V97" i="13"/>
  <c r="W97" i="13"/>
  <c r="X97" i="13"/>
  <c r="Y97" i="13"/>
  <c r="Z97" i="13"/>
  <c r="AA97" i="13"/>
  <c r="AB97" i="13"/>
  <c r="AC97" i="13"/>
  <c r="AD97" i="13"/>
  <c r="AE97" i="13"/>
  <c r="AF97" i="13"/>
  <c r="AG97" i="13"/>
  <c r="AH97" i="13"/>
  <c r="AI97" i="13"/>
  <c r="AJ97" i="13"/>
  <c r="AK97" i="13"/>
  <c r="AL97" i="13"/>
  <c r="AM97" i="13"/>
  <c r="AN97" i="13"/>
  <c r="AO97" i="13"/>
  <c r="AP97" i="13"/>
  <c r="AQ97" i="13"/>
  <c r="AR97" i="13"/>
  <c r="AS97" i="13"/>
  <c r="AT97" i="13"/>
  <c r="AU97" i="13"/>
  <c r="AV97" i="13"/>
  <c r="AW97" i="13"/>
  <c r="AX97" i="13"/>
  <c r="AY97" i="13"/>
  <c r="AZ97" i="13"/>
  <c r="BA97" i="13"/>
  <c r="BB97" i="13"/>
  <c r="BC97" i="13"/>
  <c r="AY96" i="10"/>
  <c r="AZ7" i="10" a="1"/>
  <c r="AZ7" i="10" s="1"/>
  <c r="AZ43" i="10" s="1"/>
  <c r="BA3" i="10"/>
  <c r="BA45" i="10" s="1"/>
  <c r="BA50" i="10" s="1"/>
  <c r="AZ89" i="10"/>
  <c r="AZ84" i="10"/>
  <c r="AZ86" i="10" s="1"/>
  <c r="AZ90" i="10"/>
  <c r="H282" i="13"/>
  <c r="N282" i="13"/>
  <c r="K282" i="13"/>
  <c r="BE282" i="13" s="1"/>
  <c r="BB114" i="10" l="1"/>
  <c r="BB115" i="10" s="1"/>
  <c r="BB116" i="10" s="1"/>
  <c r="AY69" i="10"/>
  <c r="AY67" i="10"/>
  <c r="AY11" i="10"/>
  <c r="AY64" i="10"/>
  <c r="AY10" i="10"/>
  <c r="BB128" i="10"/>
  <c r="BE466" i="13"/>
  <c r="BA95" i="10"/>
  <c r="BE189" i="13"/>
  <c r="BE420" i="13"/>
  <c r="AY34" i="10"/>
  <c r="AY26" i="10"/>
  <c r="AY18" i="10"/>
  <c r="AY31" i="10"/>
  <c r="AY19" i="10"/>
  <c r="AY37" i="10"/>
  <c r="AY21" i="10"/>
  <c r="AY36" i="10"/>
  <c r="AY12" i="10"/>
  <c r="AY32" i="10"/>
  <c r="AY24" i="10"/>
  <c r="AY16" i="10"/>
  <c r="AY29" i="10"/>
  <c r="AY15" i="10"/>
  <c r="AY35" i="10"/>
  <c r="AY17" i="10"/>
  <c r="AY20" i="10"/>
  <c r="AY25" i="10"/>
  <c r="AY38" i="10"/>
  <c r="AY30" i="10"/>
  <c r="AY22" i="10"/>
  <c r="AY14" i="10"/>
  <c r="AY27" i="10"/>
  <c r="AY13" i="10"/>
  <c r="AY33" i="10"/>
  <c r="AY28" i="10"/>
  <c r="AY23" i="10"/>
  <c r="AZ6" i="10"/>
  <c r="AX39" i="10"/>
  <c r="AY99" i="10"/>
  <c r="BC5" i="10"/>
  <c r="BB4" i="10"/>
  <c r="P98" i="13"/>
  <c r="Q98" i="13"/>
  <c r="R98" i="13"/>
  <c r="S98" i="13"/>
  <c r="T98" i="13"/>
  <c r="U98" i="13"/>
  <c r="V98" i="13"/>
  <c r="W98" i="13"/>
  <c r="X98" i="13"/>
  <c r="Y98" i="13"/>
  <c r="Z98" i="13"/>
  <c r="AA98" i="13"/>
  <c r="AB98" i="13"/>
  <c r="AC98" i="13"/>
  <c r="AD98" i="13"/>
  <c r="AE98" i="13"/>
  <c r="AF98" i="13"/>
  <c r="AG98" i="13"/>
  <c r="AH98" i="13"/>
  <c r="AI98" i="13"/>
  <c r="AJ98" i="13"/>
  <c r="AK98" i="13"/>
  <c r="AL98" i="13"/>
  <c r="AM98" i="13"/>
  <c r="AN98" i="13"/>
  <c r="AO98" i="13"/>
  <c r="AP98" i="13"/>
  <c r="AQ98" i="13"/>
  <c r="AR98" i="13"/>
  <c r="AS98" i="13"/>
  <c r="AT98" i="13"/>
  <c r="AU98" i="13"/>
  <c r="AV98" i="13"/>
  <c r="AW98" i="13"/>
  <c r="AX98" i="13"/>
  <c r="AY98" i="13"/>
  <c r="AZ98" i="13"/>
  <c r="BA98" i="13"/>
  <c r="BB98" i="13"/>
  <c r="BC98" i="13"/>
  <c r="BD98" i="13"/>
  <c r="AZ91" i="10"/>
  <c r="N144" i="13"/>
  <c r="H144" i="13"/>
  <c r="G95" i="13" s="1"/>
  <c r="K144" i="13"/>
  <c r="BF144" i="13" s="1"/>
  <c r="AZ96" i="10"/>
  <c r="BA7" i="10" a="1"/>
  <c r="BA7" i="10" s="1"/>
  <c r="BA43" i="10" s="1"/>
  <c r="BB3" i="10"/>
  <c r="BB45" i="10" s="1"/>
  <c r="BB50" i="10" s="1"/>
  <c r="BA84" i="10"/>
  <c r="BA86" i="10" s="1"/>
  <c r="BA89" i="10"/>
  <c r="BA90" i="10"/>
  <c r="P52" i="13"/>
  <c r="Q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AK52" i="13"/>
  <c r="AL52" i="13"/>
  <c r="AM52" i="13"/>
  <c r="AN52" i="13"/>
  <c r="AO52" i="13"/>
  <c r="AP52" i="13"/>
  <c r="AQ52" i="13"/>
  <c r="AR52" i="13"/>
  <c r="AS52" i="13"/>
  <c r="AT52" i="13"/>
  <c r="AU52" i="13"/>
  <c r="AV52" i="13"/>
  <c r="AW52" i="13"/>
  <c r="AX52" i="13"/>
  <c r="AY52" i="13"/>
  <c r="AZ52" i="13"/>
  <c r="BA52" i="13"/>
  <c r="BB52" i="13"/>
  <c r="BC52" i="13"/>
  <c r="BD52" i="13"/>
  <c r="G46" i="13"/>
  <c r="K328" i="13"/>
  <c r="N328" i="13"/>
  <c r="H328" i="13"/>
  <c r="G139" i="13"/>
  <c r="P189" i="13"/>
  <c r="Q189" i="13"/>
  <c r="R189" i="13"/>
  <c r="S189" i="13"/>
  <c r="T189" i="13"/>
  <c r="U189" i="13"/>
  <c r="V189" i="13"/>
  <c r="W189" i="13"/>
  <c r="X189" i="13"/>
  <c r="Y189" i="13"/>
  <c r="Z189" i="13"/>
  <c r="AA189" i="13"/>
  <c r="AB189" i="13"/>
  <c r="AC189" i="13"/>
  <c r="AD189" i="13"/>
  <c r="AE189" i="13"/>
  <c r="AF189" i="13"/>
  <c r="AG189" i="13"/>
  <c r="AH189" i="13"/>
  <c r="AI189" i="13"/>
  <c r="AJ189" i="13"/>
  <c r="AK189" i="13"/>
  <c r="AL189" i="13"/>
  <c r="AM189" i="13"/>
  <c r="AN189" i="13"/>
  <c r="AO189" i="13"/>
  <c r="AP189" i="13"/>
  <c r="AQ189" i="13"/>
  <c r="AR189" i="13"/>
  <c r="AS189" i="13"/>
  <c r="AT189" i="13"/>
  <c r="AU189" i="13"/>
  <c r="AV189" i="13"/>
  <c r="AW189" i="13"/>
  <c r="AX189" i="13"/>
  <c r="AY189" i="13"/>
  <c r="AZ189" i="13"/>
  <c r="BA189" i="13"/>
  <c r="BB189" i="13"/>
  <c r="BC189" i="13"/>
  <c r="BD189" i="13"/>
  <c r="P420" i="13"/>
  <c r="Q420" i="13"/>
  <c r="R420" i="13"/>
  <c r="S420" i="13"/>
  <c r="T420" i="13"/>
  <c r="U420" i="13"/>
  <c r="V420" i="13"/>
  <c r="W420" i="13"/>
  <c r="X420" i="13"/>
  <c r="Y420" i="13"/>
  <c r="Z420" i="13"/>
  <c r="AA420" i="13"/>
  <c r="AB420" i="13"/>
  <c r="AC420" i="13"/>
  <c r="AD420" i="13"/>
  <c r="AE420" i="13"/>
  <c r="AF420" i="13"/>
  <c r="AG420" i="13"/>
  <c r="AH420" i="13"/>
  <c r="AI420" i="13"/>
  <c r="AJ420" i="13"/>
  <c r="AK420" i="13"/>
  <c r="AL420" i="13"/>
  <c r="AM420" i="13"/>
  <c r="AN420" i="13"/>
  <c r="AO420" i="13"/>
  <c r="AP420" i="13"/>
  <c r="AQ420" i="13"/>
  <c r="AR420" i="13"/>
  <c r="AS420" i="13"/>
  <c r="AT420" i="13"/>
  <c r="AU420" i="13"/>
  <c r="AV420" i="13"/>
  <c r="AW420" i="13"/>
  <c r="AX420" i="13"/>
  <c r="AY420" i="13"/>
  <c r="AZ420" i="13"/>
  <c r="BA420" i="13"/>
  <c r="BB420" i="13"/>
  <c r="BC420" i="13"/>
  <c r="BD420" i="13"/>
  <c r="G98" i="13"/>
  <c r="P466" i="13"/>
  <c r="Q466" i="13"/>
  <c r="R466" i="13"/>
  <c r="S466" i="13"/>
  <c r="T466" i="13"/>
  <c r="U466" i="13"/>
  <c r="V466" i="13"/>
  <c r="W466" i="13"/>
  <c r="X466" i="13"/>
  <c r="Y466" i="13"/>
  <c r="Z466" i="13"/>
  <c r="AA466" i="13"/>
  <c r="AB466" i="13"/>
  <c r="AC466" i="13"/>
  <c r="AD466" i="13"/>
  <c r="AE466" i="13"/>
  <c r="AF466" i="13"/>
  <c r="AG466" i="13"/>
  <c r="AH466" i="13"/>
  <c r="AI466" i="13"/>
  <c r="AJ466" i="13"/>
  <c r="AK466" i="13"/>
  <c r="AL466" i="13"/>
  <c r="AM466" i="13"/>
  <c r="AN466" i="13"/>
  <c r="AO466" i="13"/>
  <c r="AP466" i="13"/>
  <c r="AQ466" i="13"/>
  <c r="AR466" i="13"/>
  <c r="AS466" i="13"/>
  <c r="AT466" i="13"/>
  <c r="AU466" i="13"/>
  <c r="AV466" i="13"/>
  <c r="AW466" i="13"/>
  <c r="AX466" i="13"/>
  <c r="AY466" i="13"/>
  <c r="AZ466" i="13"/>
  <c r="BA466" i="13"/>
  <c r="BB466" i="13"/>
  <c r="BC466" i="13"/>
  <c r="BD466" i="13"/>
  <c r="G229" i="13"/>
  <c r="G136" i="13"/>
  <c r="P282" i="13"/>
  <c r="Q282" i="13"/>
  <c r="R282" i="13"/>
  <c r="S282" i="13"/>
  <c r="T282" i="13"/>
  <c r="U282" i="13"/>
  <c r="V282" i="13"/>
  <c r="W282" i="13"/>
  <c r="X282" i="13"/>
  <c r="Y282" i="13"/>
  <c r="Z282" i="13"/>
  <c r="AA282" i="13"/>
  <c r="AB282" i="13"/>
  <c r="AC282" i="13"/>
  <c r="AD282" i="13"/>
  <c r="AE282" i="13"/>
  <c r="AF282" i="13"/>
  <c r="AG282" i="13"/>
  <c r="AH282" i="13"/>
  <c r="AI282" i="13"/>
  <c r="AJ282" i="13"/>
  <c r="AK282" i="13"/>
  <c r="AL282" i="13"/>
  <c r="AM282" i="13"/>
  <c r="AN282" i="13"/>
  <c r="AO282" i="13"/>
  <c r="AP282" i="13"/>
  <c r="AQ282" i="13"/>
  <c r="AR282" i="13"/>
  <c r="AS282" i="13"/>
  <c r="AT282" i="13"/>
  <c r="AU282" i="13"/>
  <c r="AV282" i="13"/>
  <c r="AW282" i="13"/>
  <c r="AX282" i="13"/>
  <c r="AY282" i="13"/>
  <c r="AZ282" i="13"/>
  <c r="BA282" i="13"/>
  <c r="BB282" i="13"/>
  <c r="BC282" i="13"/>
  <c r="BD282" i="13"/>
  <c r="P236" i="13"/>
  <c r="Q236" i="13"/>
  <c r="R236" i="13"/>
  <c r="S236" i="13"/>
  <c r="T236" i="13"/>
  <c r="U236" i="13"/>
  <c r="V236" i="13"/>
  <c r="W236" i="13"/>
  <c r="X236" i="13"/>
  <c r="Y236" i="13"/>
  <c r="Z236" i="13"/>
  <c r="AA236" i="13"/>
  <c r="AB236" i="13"/>
  <c r="AC236" i="13"/>
  <c r="AD236" i="13"/>
  <c r="AE236" i="13"/>
  <c r="AF236" i="13"/>
  <c r="AG236" i="13"/>
  <c r="AH236" i="13"/>
  <c r="AI236" i="13"/>
  <c r="AJ236" i="13"/>
  <c r="AK236" i="13"/>
  <c r="AL236" i="13"/>
  <c r="AM236" i="13"/>
  <c r="AN236" i="13"/>
  <c r="AO236" i="13"/>
  <c r="AP236" i="13"/>
  <c r="AQ236" i="13"/>
  <c r="AR236" i="13"/>
  <c r="AS236" i="13"/>
  <c r="AT236" i="13"/>
  <c r="AU236" i="13"/>
  <c r="AV236" i="13"/>
  <c r="AW236" i="13"/>
  <c r="AX236" i="13"/>
  <c r="AY236" i="13"/>
  <c r="AZ236" i="13"/>
  <c r="BA236" i="13"/>
  <c r="BB236" i="13"/>
  <c r="BC236" i="13"/>
  <c r="BD236" i="13"/>
  <c r="P143" i="13"/>
  <c r="Q143" i="13"/>
  <c r="R143" i="13"/>
  <c r="S143" i="13"/>
  <c r="T143" i="13"/>
  <c r="U143" i="13"/>
  <c r="V143" i="13"/>
  <c r="W143" i="13"/>
  <c r="X143" i="13"/>
  <c r="Y143" i="13"/>
  <c r="Z143" i="13"/>
  <c r="AA143" i="13"/>
  <c r="AB143" i="13"/>
  <c r="AC143" i="13"/>
  <c r="AD143" i="13"/>
  <c r="AE143" i="13"/>
  <c r="AF143" i="13"/>
  <c r="AG143" i="13"/>
  <c r="AH143" i="13"/>
  <c r="AI143" i="13"/>
  <c r="AJ143" i="13"/>
  <c r="AK143" i="13"/>
  <c r="AL143" i="13"/>
  <c r="AM143" i="13"/>
  <c r="AN143" i="13"/>
  <c r="AO143" i="13"/>
  <c r="AP143" i="13"/>
  <c r="AQ143" i="13"/>
  <c r="AR143" i="13"/>
  <c r="AS143" i="13"/>
  <c r="AT143" i="13"/>
  <c r="AU143" i="13"/>
  <c r="AV143" i="13"/>
  <c r="AW143" i="13"/>
  <c r="AX143" i="13"/>
  <c r="AY143" i="13"/>
  <c r="AZ143" i="13"/>
  <c r="BA143" i="13"/>
  <c r="BB143" i="13"/>
  <c r="BC143" i="13"/>
  <c r="BD143" i="13"/>
  <c r="BF466" i="13"/>
  <c r="BF465" i="13"/>
  <c r="BF464" i="13"/>
  <c r="BF463" i="13"/>
  <c r="BF462" i="13"/>
  <c r="BF461" i="13"/>
  <c r="BF460" i="13"/>
  <c r="BF459" i="13"/>
  <c r="BF458" i="13"/>
  <c r="BF457" i="13"/>
  <c r="BF456" i="13"/>
  <c r="BF455" i="13"/>
  <c r="BF454" i="13"/>
  <c r="BF453" i="13"/>
  <c r="BF452" i="13"/>
  <c r="BF451" i="13"/>
  <c r="BF374" i="13"/>
  <c r="BF373" i="13"/>
  <c r="BF372" i="13"/>
  <c r="BF371" i="13"/>
  <c r="BF370" i="13"/>
  <c r="BF369" i="13"/>
  <c r="BF368" i="13"/>
  <c r="BF367" i="13"/>
  <c r="BF366" i="13"/>
  <c r="BF365" i="13"/>
  <c r="BF364" i="13"/>
  <c r="BF363" i="13"/>
  <c r="BF362" i="13"/>
  <c r="BF361" i="13"/>
  <c r="BF360" i="13"/>
  <c r="BF446" i="13"/>
  <c r="BF445" i="13"/>
  <c r="BF438" i="13"/>
  <c r="BF437" i="13"/>
  <c r="BF448" i="13"/>
  <c r="BF447" i="13"/>
  <c r="BF440" i="13"/>
  <c r="BF439" i="13"/>
  <c r="BF435" i="13"/>
  <c r="BF433" i="13"/>
  <c r="BF431" i="13"/>
  <c r="BF429" i="13"/>
  <c r="BF427" i="13"/>
  <c r="BF425" i="13"/>
  <c r="BF423" i="13"/>
  <c r="BF421" i="13"/>
  <c r="BF419" i="13"/>
  <c r="BF417" i="13"/>
  <c r="BF415" i="13"/>
  <c r="BF413" i="13"/>
  <c r="BF411" i="13"/>
  <c r="BF409" i="13"/>
  <c r="BF407" i="13"/>
  <c r="BF405" i="13"/>
  <c r="BF403" i="13"/>
  <c r="BF401" i="13"/>
  <c r="BF399" i="13"/>
  <c r="BF397" i="13"/>
  <c r="BF395" i="13"/>
  <c r="BF393" i="13"/>
  <c r="BF436" i="13"/>
  <c r="BF432" i="13"/>
  <c r="BF428" i="13"/>
  <c r="BF424" i="13"/>
  <c r="BF391" i="13"/>
  <c r="BF390" i="13"/>
  <c r="BF383" i="13"/>
  <c r="BF382" i="13"/>
  <c r="BF359" i="13"/>
  <c r="BF357" i="13"/>
  <c r="BF355" i="13"/>
  <c r="BF353" i="13"/>
  <c r="BF351" i="13"/>
  <c r="BF349" i="13"/>
  <c r="BF347" i="13"/>
  <c r="BF345" i="13"/>
  <c r="BF343" i="13"/>
  <c r="BF341" i="13"/>
  <c r="BF339" i="13"/>
  <c r="BF338" i="13"/>
  <c r="BF337" i="13"/>
  <c r="BF336" i="13"/>
  <c r="BF335" i="13"/>
  <c r="BF334" i="13"/>
  <c r="BF333" i="13"/>
  <c r="BF332" i="13"/>
  <c r="BF331" i="13"/>
  <c r="BF330" i="13"/>
  <c r="BF329" i="13"/>
  <c r="BF442" i="13"/>
  <c r="BF441" i="13"/>
  <c r="BF418" i="13"/>
  <c r="BF414" i="13"/>
  <c r="BF410" i="13"/>
  <c r="BF406" i="13"/>
  <c r="BF402" i="13"/>
  <c r="BF398" i="13"/>
  <c r="BF394" i="13"/>
  <c r="BF392" i="13"/>
  <c r="BF385" i="13"/>
  <c r="BF384" i="13"/>
  <c r="BF377" i="13"/>
  <c r="BF376" i="13"/>
  <c r="BF375" i="13"/>
  <c r="BF434" i="13"/>
  <c r="BF426" i="13"/>
  <c r="BF420" i="13"/>
  <c r="BF412" i="13"/>
  <c r="BF404" i="13"/>
  <c r="BF396" i="13"/>
  <c r="BF389" i="13"/>
  <c r="BF388" i="13"/>
  <c r="BF354" i="13"/>
  <c r="BF346" i="13"/>
  <c r="BF328" i="13"/>
  <c r="BF326" i="13"/>
  <c r="BF324" i="13"/>
  <c r="BF379" i="13"/>
  <c r="BF378" i="13"/>
  <c r="BF356" i="13"/>
  <c r="BF348" i="13"/>
  <c r="BF340" i="13"/>
  <c r="AY77" i="10" s="1" a="1"/>
  <c r="AY77" i="10" s="1"/>
  <c r="BF444" i="13"/>
  <c r="BF443" i="13"/>
  <c r="BF430" i="13"/>
  <c r="BF416" i="13"/>
  <c r="BF408" i="13"/>
  <c r="BF400" i="13"/>
  <c r="BF381" i="13"/>
  <c r="BF380" i="13"/>
  <c r="BF358" i="13"/>
  <c r="BF350" i="13"/>
  <c r="BF342" i="13"/>
  <c r="BF327" i="13"/>
  <c r="BF325" i="13"/>
  <c r="BF323" i="13"/>
  <c r="BF321" i="13"/>
  <c r="BF319" i="13"/>
  <c r="BF450" i="13"/>
  <c r="BF352" i="13"/>
  <c r="BF315" i="13"/>
  <c r="BF313" i="13"/>
  <c r="BF311" i="13"/>
  <c r="BF309" i="13"/>
  <c r="BF307" i="13"/>
  <c r="BF305" i="13"/>
  <c r="BF303" i="13"/>
  <c r="BF301" i="13"/>
  <c r="BF299" i="13"/>
  <c r="BF297" i="13"/>
  <c r="BF295" i="13"/>
  <c r="BF293" i="13"/>
  <c r="BF291" i="13"/>
  <c r="BF289" i="13"/>
  <c r="BF287" i="13"/>
  <c r="BF285" i="13"/>
  <c r="BF283" i="13"/>
  <c r="BF422" i="13"/>
  <c r="BF387" i="13"/>
  <c r="BF386" i="13"/>
  <c r="BF322" i="13"/>
  <c r="BF318" i="13"/>
  <c r="BF317" i="13"/>
  <c r="BF316" i="13"/>
  <c r="BF282" i="13"/>
  <c r="BF280" i="13"/>
  <c r="BF278" i="13"/>
  <c r="BF276" i="13"/>
  <c r="BF274" i="13"/>
  <c r="BF272" i="13"/>
  <c r="BF270" i="13"/>
  <c r="BF268" i="13"/>
  <c r="BF266" i="13"/>
  <c r="BF264" i="13"/>
  <c r="BF262" i="13"/>
  <c r="BF260" i="13"/>
  <c r="BF258" i="13"/>
  <c r="BF256" i="13"/>
  <c r="BF254" i="13"/>
  <c r="BF252" i="13"/>
  <c r="BF250" i="13"/>
  <c r="BF248" i="13"/>
  <c r="BF246" i="13"/>
  <c r="BF244" i="13"/>
  <c r="BF242" i="13"/>
  <c r="BF240" i="13"/>
  <c r="BF238" i="13"/>
  <c r="BF236" i="13"/>
  <c r="BF234" i="13"/>
  <c r="BF232" i="13"/>
  <c r="BF230" i="13"/>
  <c r="BF228" i="13"/>
  <c r="BF226" i="13"/>
  <c r="BF224" i="13"/>
  <c r="BF222" i="13"/>
  <c r="BF220" i="13"/>
  <c r="BF218" i="13"/>
  <c r="BF216" i="13"/>
  <c r="BF214" i="13"/>
  <c r="BF212" i="13"/>
  <c r="BF210" i="13"/>
  <c r="BF208" i="13"/>
  <c r="BF206" i="13"/>
  <c r="BF449" i="13"/>
  <c r="BF314" i="13"/>
  <c r="BF312" i="13"/>
  <c r="BF310" i="13"/>
  <c r="BF308" i="13"/>
  <c r="BF306" i="13"/>
  <c r="BF304" i="13"/>
  <c r="BF302" i="13"/>
  <c r="BF300" i="13"/>
  <c r="BF298" i="13"/>
  <c r="BF296" i="13"/>
  <c r="BF294" i="13"/>
  <c r="BF292" i="13"/>
  <c r="BF290" i="13"/>
  <c r="BF288" i="13"/>
  <c r="BF286" i="13"/>
  <c r="BF284" i="13"/>
  <c r="BF277" i="13"/>
  <c r="BF269" i="13"/>
  <c r="BF261" i="13"/>
  <c r="BF253" i="13"/>
  <c r="BF245" i="13"/>
  <c r="BF233" i="13"/>
  <c r="BF225" i="13"/>
  <c r="BF219" i="13"/>
  <c r="BF215" i="13"/>
  <c r="BF211" i="13"/>
  <c r="BF207" i="13"/>
  <c r="BF189" i="13"/>
  <c r="BF187" i="13"/>
  <c r="BF185" i="13"/>
  <c r="BF183" i="13"/>
  <c r="BF181" i="13"/>
  <c r="BF179" i="13"/>
  <c r="BF177" i="13"/>
  <c r="BF175" i="13"/>
  <c r="BF173" i="13"/>
  <c r="BF171" i="13"/>
  <c r="BF169" i="13"/>
  <c r="BF98" i="13"/>
  <c r="BF97" i="13"/>
  <c r="BF96" i="13"/>
  <c r="BF95" i="13"/>
  <c r="BF94" i="13"/>
  <c r="BF93" i="13"/>
  <c r="BF92" i="13"/>
  <c r="BF91" i="13"/>
  <c r="BF90" i="13"/>
  <c r="BF89" i="13"/>
  <c r="BF88" i="13"/>
  <c r="BF87" i="13"/>
  <c r="BF86" i="13"/>
  <c r="BF85" i="13"/>
  <c r="BF84" i="13"/>
  <c r="BF83" i="13"/>
  <c r="BF82" i="13"/>
  <c r="BF81" i="13"/>
  <c r="BF80" i="13"/>
  <c r="BF79" i="13"/>
  <c r="BF78" i="13"/>
  <c r="BF77" i="13"/>
  <c r="BF76" i="13"/>
  <c r="BF75" i="13"/>
  <c r="BF74" i="13"/>
  <c r="BF73" i="13"/>
  <c r="BF72" i="13"/>
  <c r="BF71" i="13"/>
  <c r="BF70" i="13"/>
  <c r="BF69" i="13"/>
  <c r="BF68" i="13"/>
  <c r="BF67" i="13"/>
  <c r="BF66" i="13"/>
  <c r="BF65" i="13"/>
  <c r="BF64" i="13"/>
  <c r="BF63" i="13"/>
  <c r="BF62" i="13"/>
  <c r="BF61" i="13"/>
  <c r="BF60" i="13"/>
  <c r="BF59" i="13"/>
  <c r="BF58" i="13"/>
  <c r="BF57" i="13"/>
  <c r="BF56" i="13"/>
  <c r="BF55" i="13"/>
  <c r="BF54" i="13"/>
  <c r="BF53" i="13"/>
  <c r="BF344" i="13"/>
  <c r="BF275" i="13"/>
  <c r="BF267" i="13"/>
  <c r="BF259" i="13"/>
  <c r="BF251" i="13"/>
  <c r="BF243" i="13"/>
  <c r="BF237" i="13"/>
  <c r="BF231" i="13"/>
  <c r="BF223" i="13"/>
  <c r="BF201" i="13"/>
  <c r="BF199" i="13"/>
  <c r="BF197" i="13"/>
  <c r="BF195" i="13"/>
  <c r="BF193" i="13"/>
  <c r="BF191" i="13"/>
  <c r="BF143" i="13"/>
  <c r="BF142" i="13"/>
  <c r="BF141" i="13"/>
  <c r="BF140" i="13"/>
  <c r="BF139" i="13"/>
  <c r="BF138" i="13"/>
  <c r="BF137" i="13"/>
  <c r="BF136" i="13"/>
  <c r="BF135" i="13"/>
  <c r="BF134" i="13"/>
  <c r="BF133" i="13"/>
  <c r="BF132" i="13"/>
  <c r="BF131" i="13"/>
  <c r="BF130" i="13"/>
  <c r="BF129" i="13"/>
  <c r="BF128" i="13"/>
  <c r="BF127" i="13"/>
  <c r="BF126" i="13"/>
  <c r="BF125" i="13"/>
  <c r="BF124" i="13"/>
  <c r="BF123" i="13"/>
  <c r="BF122" i="13"/>
  <c r="BF121" i="13"/>
  <c r="BF120" i="13"/>
  <c r="BF119" i="13"/>
  <c r="BF118" i="13"/>
  <c r="BF117" i="13"/>
  <c r="BF116" i="13"/>
  <c r="BF115" i="13"/>
  <c r="BF114" i="13"/>
  <c r="BF113" i="13"/>
  <c r="BF112" i="13"/>
  <c r="BF111" i="13"/>
  <c r="BF110" i="13"/>
  <c r="BF109" i="13"/>
  <c r="BF108" i="13"/>
  <c r="BF107" i="13"/>
  <c r="BF106" i="13"/>
  <c r="BF105" i="13"/>
  <c r="BF104" i="13"/>
  <c r="BF103" i="13"/>
  <c r="BF102" i="13"/>
  <c r="BF101" i="13"/>
  <c r="BF100" i="13"/>
  <c r="BF99" i="13"/>
  <c r="BF320" i="13"/>
  <c r="BF281" i="13"/>
  <c r="BF273" i="13"/>
  <c r="BF265" i="13"/>
  <c r="BF257" i="13"/>
  <c r="BF249" i="13"/>
  <c r="BF241" i="13"/>
  <c r="BF229" i="13"/>
  <c r="BF221" i="13"/>
  <c r="BF217" i="13"/>
  <c r="BF213" i="13"/>
  <c r="BF209" i="13"/>
  <c r="BF205" i="13"/>
  <c r="BF204" i="13"/>
  <c r="BF203" i="13"/>
  <c r="BF263" i="13"/>
  <c r="BF196" i="13"/>
  <c r="BF192" i="13"/>
  <c r="BF26" i="13"/>
  <c r="AY75" i="10" s="1" a="1"/>
  <c r="AY75" i="10" s="1"/>
  <c r="BF25" i="13"/>
  <c r="BF24" i="13"/>
  <c r="BF23" i="13"/>
  <c r="BF22" i="13"/>
  <c r="BF21" i="13"/>
  <c r="BF20" i="13"/>
  <c r="BF19" i="13"/>
  <c r="BF255" i="13"/>
  <c r="BF235" i="13"/>
  <c r="BF202" i="13"/>
  <c r="BF194" i="13"/>
  <c r="BF188" i="13"/>
  <c r="BF184" i="13"/>
  <c r="BF180" i="13"/>
  <c r="BF176" i="13"/>
  <c r="BF172" i="13"/>
  <c r="BF279" i="13"/>
  <c r="BF247" i="13"/>
  <c r="BF227" i="13"/>
  <c r="BF200" i="13"/>
  <c r="BF271" i="13"/>
  <c r="BF174" i="13"/>
  <c r="BF167" i="13"/>
  <c r="BF163" i="13"/>
  <c r="BF159" i="13"/>
  <c r="BF155" i="13"/>
  <c r="BF151" i="13"/>
  <c r="BF147" i="13"/>
  <c r="BF239" i="13"/>
  <c r="BF186" i="13"/>
  <c r="BF170" i="13"/>
  <c r="BF168" i="13"/>
  <c r="BF164" i="13"/>
  <c r="BF160" i="13"/>
  <c r="BF156" i="13"/>
  <c r="BF152" i="13"/>
  <c r="BF148" i="13"/>
  <c r="BF52" i="13"/>
  <c r="BF50" i="13"/>
  <c r="BF48" i="13"/>
  <c r="BF46" i="13"/>
  <c r="BF44" i="13"/>
  <c r="BF42" i="13"/>
  <c r="BF40" i="13"/>
  <c r="BF38" i="13"/>
  <c r="BF36" i="13"/>
  <c r="BF34" i="13"/>
  <c r="BF32" i="13"/>
  <c r="BF30" i="13"/>
  <c r="BF28" i="13"/>
  <c r="BG5" i="13"/>
  <c r="BF182" i="13"/>
  <c r="BF165" i="13"/>
  <c r="BF161" i="13"/>
  <c r="BF157" i="13"/>
  <c r="BF153" i="13"/>
  <c r="BF149" i="13"/>
  <c r="BF18" i="13"/>
  <c r="BF17" i="13"/>
  <c r="BF16" i="13"/>
  <c r="BF15" i="13"/>
  <c r="BF14" i="13"/>
  <c r="BF13" i="13"/>
  <c r="BF12" i="13"/>
  <c r="BF11" i="13"/>
  <c r="BF10" i="13"/>
  <c r="BF9" i="13"/>
  <c r="BF8" i="13"/>
  <c r="BF7" i="13"/>
  <c r="BF198" i="13"/>
  <c r="BF178" i="13"/>
  <c r="BF166" i="13"/>
  <c r="BF162" i="13"/>
  <c r="BF158" i="13"/>
  <c r="BF154" i="13"/>
  <c r="BF150" i="13"/>
  <c r="BF146" i="13"/>
  <c r="BF145" i="13"/>
  <c r="BF45" i="13"/>
  <c r="BF37" i="13"/>
  <c r="BF29" i="13"/>
  <c r="BF47" i="13"/>
  <c r="BF39" i="13"/>
  <c r="BF31" i="13"/>
  <c r="BF49" i="13"/>
  <c r="BF41" i="13"/>
  <c r="BF33" i="13"/>
  <c r="BF51" i="13"/>
  <c r="BF43" i="13"/>
  <c r="BF35" i="13"/>
  <c r="BF27" i="13"/>
  <c r="BE143" i="13"/>
  <c r="P327" i="13"/>
  <c r="Q327" i="13"/>
  <c r="R327" i="13"/>
  <c r="S327" i="13"/>
  <c r="T327" i="13"/>
  <c r="U327" i="13"/>
  <c r="V327" i="13"/>
  <c r="W327" i="13"/>
  <c r="X327" i="13"/>
  <c r="Y327" i="13"/>
  <c r="Z327" i="13"/>
  <c r="AA327" i="13"/>
  <c r="AB327" i="13"/>
  <c r="AC327" i="13"/>
  <c r="AD327" i="13"/>
  <c r="AE327" i="13"/>
  <c r="AF327" i="13"/>
  <c r="AG327" i="13"/>
  <c r="AH327" i="13"/>
  <c r="AI327" i="13"/>
  <c r="AJ327" i="13"/>
  <c r="AK327" i="13"/>
  <c r="AL327" i="13"/>
  <c r="AM327" i="13"/>
  <c r="AN327" i="13"/>
  <c r="AO327" i="13"/>
  <c r="AP327" i="13"/>
  <c r="AQ327" i="13"/>
  <c r="AR327" i="13"/>
  <c r="AS327" i="13"/>
  <c r="AT327" i="13"/>
  <c r="AU327" i="13"/>
  <c r="AV327" i="13"/>
  <c r="AW327" i="13"/>
  <c r="AX327" i="13"/>
  <c r="AY327" i="13"/>
  <c r="AZ327" i="13"/>
  <c r="BA327" i="13"/>
  <c r="BB327" i="13"/>
  <c r="BC327" i="13"/>
  <c r="BD327" i="13"/>
  <c r="K190" i="13"/>
  <c r="BF190" i="13" s="1"/>
  <c r="H190" i="13"/>
  <c r="G190" i="13" s="1"/>
  <c r="N190" i="13"/>
  <c r="G462" i="13"/>
  <c r="G466" i="13"/>
  <c r="W76" i="10" a="1"/>
  <c r="W76" i="10" s="1"/>
  <c r="AL78" i="10" a="1"/>
  <c r="AL78" i="10" s="1"/>
  <c r="G330" i="13"/>
  <c r="G99" i="13"/>
  <c r="G191" i="13"/>
  <c r="Y78" i="10" a="1"/>
  <c r="Y78" i="10" s="1"/>
  <c r="X76" i="10" a="1"/>
  <c r="X76" i="10" s="1"/>
  <c r="G283" i="13"/>
  <c r="G54" i="13"/>
  <c r="S76" i="10" a="1"/>
  <c r="S76" i="10" s="1"/>
  <c r="AB76" i="10" a="1"/>
  <c r="AB76" i="10" s="1"/>
  <c r="G334" i="13"/>
  <c r="G336" i="13"/>
  <c r="G339" i="13"/>
  <c r="L76" i="10" a="1"/>
  <c r="L76" i="10" s="1"/>
  <c r="AR76" i="10" a="1"/>
  <c r="AR76" i="10" s="1"/>
  <c r="AF76" i="10" a="1"/>
  <c r="AF76" i="10" s="1"/>
  <c r="G8" i="13"/>
  <c r="G332" i="13"/>
  <c r="AN76" i="10" a="1"/>
  <c r="AN76" i="10" s="1"/>
  <c r="I76" i="10" a="1"/>
  <c r="I76" i="10" s="1"/>
  <c r="G193" i="13"/>
  <c r="G192" i="13"/>
  <c r="Q78" i="10" a="1"/>
  <c r="Q78" i="10" s="1"/>
  <c r="AA76" i="10" a="1"/>
  <c r="AA76" i="10" s="1"/>
  <c r="AO76" i="10" a="1"/>
  <c r="AO76" i="10" s="1"/>
  <c r="Y76" i="10" a="1"/>
  <c r="Y76" i="10" s="1"/>
  <c r="AY78" i="10" a="1"/>
  <c r="AY78" i="10" s="1"/>
  <c r="G375" i="13"/>
  <c r="G380" i="13"/>
  <c r="G333" i="13"/>
  <c r="G56" i="13"/>
  <c r="G58" i="13"/>
  <c r="S78" i="10" a="1"/>
  <c r="S78" i="10" s="1"/>
  <c r="AE78" i="10" a="1"/>
  <c r="AE78" i="10" s="1"/>
  <c r="G238" i="13"/>
  <c r="M76" i="10" a="1"/>
  <c r="M76" i="10" s="1"/>
  <c r="AS76" i="10" a="1"/>
  <c r="AS76" i="10" s="1"/>
  <c r="AP76" i="10" a="1"/>
  <c r="AP76" i="10" s="1"/>
  <c r="U76" i="10" a="1"/>
  <c r="U76" i="10" s="1"/>
  <c r="G421" i="13"/>
  <c r="J76" i="10" a="1"/>
  <c r="J76" i="10" s="1"/>
  <c r="Z76" i="10" a="1"/>
  <c r="Z76" i="10" s="1"/>
  <c r="G340" i="13"/>
  <c r="AG76" i="10" a="1"/>
  <c r="AG76" i="10" s="1"/>
  <c r="P76" i="10" a="1"/>
  <c r="P76" i="10" s="1"/>
  <c r="G337" i="13"/>
  <c r="G335" i="13"/>
  <c r="M78" i="10" a="1"/>
  <c r="M78" i="10" s="1"/>
  <c r="G194" i="13"/>
  <c r="R76" i="10" a="1"/>
  <c r="R76" i="10" s="1"/>
  <c r="G424" i="13"/>
  <c r="G240" i="13"/>
  <c r="G55" i="13"/>
  <c r="AR78" i="10" a="1"/>
  <c r="AR78" i="10" s="1"/>
  <c r="AP78" i="10" a="1"/>
  <c r="AP78" i="10" s="1"/>
  <c r="G146" i="13"/>
  <c r="G422" i="13"/>
  <c r="V76" i="10" a="1"/>
  <c r="V76" i="10" s="1"/>
  <c r="AA78" i="10" a="1"/>
  <c r="AA78" i="10" s="1"/>
  <c r="AQ76" i="10" a="1"/>
  <c r="AQ76" i="10" s="1"/>
  <c r="AL76" i="10" a="1"/>
  <c r="AL76" i="10" s="1"/>
  <c r="K78" i="10" a="1"/>
  <c r="K78" i="10" s="1"/>
  <c r="G239" i="13"/>
  <c r="N76" i="10" a="1"/>
  <c r="N76" i="10" s="1"/>
  <c r="G329" i="13"/>
  <c r="AE76" i="10" a="1"/>
  <c r="AE76" i="10" s="1"/>
  <c r="AC76" i="10" a="1"/>
  <c r="AC76" i="10" s="1"/>
  <c r="AD76" i="10" a="1"/>
  <c r="AD76" i="10" s="1"/>
  <c r="AX76" i="10" a="1"/>
  <c r="AX76" i="10" s="1"/>
  <c r="AU78" i="10" a="1"/>
  <c r="AU78" i="10" s="1"/>
  <c r="AJ76" i="10" a="1"/>
  <c r="AJ76" i="10" s="1"/>
  <c r="AH76" i="10" a="1"/>
  <c r="AH76" i="10" s="1"/>
  <c r="O76" i="10" a="1"/>
  <c r="O76" i="10" s="1"/>
  <c r="AV76" i="10" a="1"/>
  <c r="AV76" i="10" s="1"/>
  <c r="T76" i="10" a="1"/>
  <c r="T76" i="10" s="1"/>
  <c r="AI78" i="10" a="1"/>
  <c r="AI78" i="10" s="1"/>
  <c r="AN78" i="10" a="1"/>
  <c r="AN78" i="10" s="1"/>
  <c r="O78" i="10" a="1"/>
  <c r="O78" i="10" s="1"/>
  <c r="I78" i="10" a="1"/>
  <c r="I78" i="10" s="1"/>
  <c r="G284" i="13"/>
  <c r="G101" i="13"/>
  <c r="G423" i="13"/>
  <c r="G377" i="13"/>
  <c r="W78" i="10" a="1"/>
  <c r="W78" i="10" s="1"/>
  <c r="AW78" i="10" a="1"/>
  <c r="AW78" i="10" s="1"/>
  <c r="G378" i="13"/>
  <c r="G376" i="13"/>
  <c r="AK76" i="10" a="1"/>
  <c r="AK76" i="10" s="1"/>
  <c r="G100" i="13"/>
  <c r="Q76" i="10" a="1"/>
  <c r="Q76" i="10" s="1"/>
  <c r="G331" i="13"/>
  <c r="G147" i="13"/>
  <c r="AI76" i="10" a="1"/>
  <c r="AI76" i="10" s="1"/>
  <c r="AW76" i="10" a="1"/>
  <c r="AW76" i="10" s="1"/>
  <c r="AY76" i="10" a="1"/>
  <c r="AY76" i="10" s="1"/>
  <c r="AM76" i="10" a="1"/>
  <c r="AM76" i="10" s="1"/>
  <c r="AU76" i="10" a="1"/>
  <c r="AU76" i="10" s="1"/>
  <c r="G237" i="13"/>
  <c r="U78" i="10" a="1"/>
  <c r="U78" i="10" s="1"/>
  <c r="G149" i="13"/>
  <c r="G285" i="13"/>
  <c r="Z77" i="10" a="1"/>
  <c r="Z77" i="10" s="1"/>
  <c r="AL77" i="10" a="1"/>
  <c r="AL77" i="10" s="1"/>
  <c r="AB75" i="10" a="1"/>
  <c r="AB75" i="10" s="1"/>
  <c r="AB95" i="10" s="1"/>
  <c r="AJ77" i="10" a="1"/>
  <c r="AJ77" i="10" s="1"/>
  <c r="AT78" i="10" a="1"/>
  <c r="AT78" i="10" s="1"/>
  <c r="AX77" i="10" a="1"/>
  <c r="AX77" i="10" s="1"/>
  <c r="S77" i="10" a="1"/>
  <c r="S77" i="10" s="1"/>
  <c r="AI77" i="10" a="1"/>
  <c r="AI77" i="10" s="1"/>
  <c r="AO77" i="10" a="1"/>
  <c r="AO77" i="10" s="1"/>
  <c r="V78" i="10" a="1"/>
  <c r="V78" i="10" s="1"/>
  <c r="AG77" i="10" a="1"/>
  <c r="AG77" i="10" s="1"/>
  <c r="AR77" i="10" a="1"/>
  <c r="AR77" i="10" s="1"/>
  <c r="S75" i="10" a="1"/>
  <c r="S75" i="10" s="1"/>
  <c r="S95" i="10" s="1"/>
  <c r="AO75" i="10" a="1"/>
  <c r="AO75" i="10" s="1"/>
  <c r="AO95" i="10" s="1"/>
  <c r="AO96" i="10" s="1"/>
  <c r="AO99" i="10" s="1"/>
  <c r="P78" i="10" a="1"/>
  <c r="P78" i="10" s="1"/>
  <c r="AL75" i="10" a="1"/>
  <c r="AL75" i="10" s="1"/>
  <c r="AL95" i="10" s="1"/>
  <c r="AL96" i="10" s="1"/>
  <c r="AL99" i="10" s="1"/>
  <c r="V75" i="10" a="1"/>
  <c r="V75" i="10" s="1"/>
  <c r="V95" i="10" s="1"/>
  <c r="G53" i="13"/>
  <c r="AQ75" i="10" a="1"/>
  <c r="AQ75" i="10" s="1"/>
  <c r="AA75" i="10" a="1"/>
  <c r="AA75" i="10" s="1"/>
  <c r="AA95" i="10" s="1"/>
  <c r="T75" i="10" a="1"/>
  <c r="T75" i="10" s="1"/>
  <c r="T95" i="10" s="1"/>
  <c r="AH78" i="10" a="1"/>
  <c r="AH78" i="10" s="1"/>
  <c r="AI75" i="10" a="1"/>
  <c r="AI75" i="10" s="1"/>
  <c r="AI95" i="10" s="1"/>
  <c r="AI96" i="10" s="1"/>
  <c r="AI99" i="10" s="1"/>
  <c r="P77" i="10" a="1"/>
  <c r="P77" i="10" s="1"/>
  <c r="AC75" i="10" a="1"/>
  <c r="AC75" i="10" s="1"/>
  <c r="AC95" i="10" s="1"/>
  <c r="G196" i="13"/>
  <c r="G342" i="13"/>
  <c r="X77" i="10" a="1"/>
  <c r="X77" i="10" s="1"/>
  <c r="AH77" i="10" a="1"/>
  <c r="AH77" i="10" s="1"/>
  <c r="Z75" i="10" a="1"/>
  <c r="Z75" i="10" s="1"/>
  <c r="Z95" i="10" s="1"/>
  <c r="Y75" i="10" a="1"/>
  <c r="Y75" i="10" s="1"/>
  <c r="Y95" i="10" s="1"/>
  <c r="AJ75" i="10" a="1"/>
  <c r="AJ75" i="10" s="1"/>
  <c r="AJ95" i="10" s="1"/>
  <c r="AJ96" i="10" s="1"/>
  <c r="AJ99" i="10" s="1"/>
  <c r="AP77" i="10" a="1"/>
  <c r="AP77" i="10" s="1"/>
  <c r="G195" i="13"/>
  <c r="N77" i="10" a="1"/>
  <c r="N77" i="10" s="1"/>
  <c r="G242" i="13"/>
  <c r="G102" i="13"/>
  <c r="J78" i="10" a="1"/>
  <c r="J78" i="10" s="1"/>
  <c r="AT75" i="10" a="1"/>
  <c r="AT75" i="10" s="1"/>
  <c r="AN77" i="10" a="1"/>
  <c r="AN77" i="10" s="1"/>
  <c r="T78" i="10" a="1"/>
  <c r="T78" i="10" s="1"/>
  <c r="G61" i="13"/>
  <c r="G241" i="13"/>
  <c r="AX75" i="10" a="1"/>
  <c r="AX75" i="10" s="1"/>
  <c r="G341" i="13"/>
  <c r="W77" i="10" a="1"/>
  <c r="W77" i="10" s="1"/>
  <c r="AK75" i="10" a="1"/>
  <c r="AK75" i="10" s="1"/>
  <c r="AK95" i="10" s="1"/>
  <c r="AK96" i="10" s="1"/>
  <c r="AK99" i="10" s="1"/>
  <c r="G148" i="13"/>
  <c r="G103" i="13"/>
  <c r="AP75" i="10" a="1"/>
  <c r="AP75" i="10" s="1"/>
  <c r="AC77" i="10" a="1"/>
  <c r="AC77" i="10" s="1"/>
  <c r="R78" i="10" a="1"/>
  <c r="R78" i="10" s="1"/>
  <c r="AD75" i="10" a="1"/>
  <c r="AD75" i="10" s="1"/>
  <c r="AD95" i="10" s="1"/>
  <c r="Q77" i="10" a="1"/>
  <c r="Q77" i="10" s="1"/>
  <c r="AD78" i="10" a="1"/>
  <c r="AD78" i="10" s="1"/>
  <c r="AU75" i="10" a="1"/>
  <c r="AU75" i="10" s="1"/>
  <c r="AA77" i="10" a="1"/>
  <c r="AA77" i="10" s="1"/>
  <c r="AF78" i="10" a="1"/>
  <c r="AF78" i="10" s="1"/>
  <c r="AB78" i="10" a="1"/>
  <c r="AB78" i="10" s="1"/>
  <c r="U77" i="10" a="1"/>
  <c r="U77" i="10" s="1"/>
  <c r="AU77" i="10" a="1"/>
  <c r="AU77" i="10" s="1"/>
  <c r="AV78" i="10" a="1"/>
  <c r="AV78" i="10" s="1"/>
  <c r="AW77" i="10" a="1"/>
  <c r="AW77" i="10" s="1"/>
  <c r="X78" i="10" a="1"/>
  <c r="X78" i="10" s="1"/>
  <c r="G425" i="13"/>
  <c r="V77" i="10" a="1"/>
  <c r="V77" i="10" s="1"/>
  <c r="AG75" i="10" a="1"/>
  <c r="AG75" i="10" s="1"/>
  <c r="AQ78" i="10" a="1"/>
  <c r="AQ78" i="10" s="1"/>
  <c r="AK77" i="10" a="1"/>
  <c r="AK77" i="10" s="1"/>
  <c r="G287" i="13"/>
  <c r="AO78" i="10" a="1"/>
  <c r="AO78" i="10" s="1"/>
  <c r="G57" i="13"/>
  <c r="R75" i="10" a="1"/>
  <c r="R75" i="10" s="1"/>
  <c r="R95" i="10" s="1"/>
  <c r="J77" i="10" a="1"/>
  <c r="J77" i="10" s="1"/>
  <c r="T77" i="10" a="1"/>
  <c r="T77" i="10" s="1"/>
  <c r="Z78" i="10" a="1"/>
  <c r="Z78" i="10" s="1"/>
  <c r="AV75" i="10" a="1"/>
  <c r="AV75" i="10" s="1"/>
  <c r="K77" i="10" a="1"/>
  <c r="K77" i="10" s="1"/>
  <c r="AM78" i="10" a="1"/>
  <c r="AM78" i="10" s="1"/>
  <c r="G7" i="13"/>
  <c r="M77" i="10" a="1"/>
  <c r="M77" i="10" s="1"/>
  <c r="AQ77" i="10" a="1"/>
  <c r="AQ77" i="10" s="1"/>
  <c r="G9" i="13"/>
  <c r="X75" i="10" a="1"/>
  <c r="X75" i="10" s="1"/>
  <c r="X95" i="10" s="1"/>
  <c r="AD77" i="10" a="1"/>
  <c r="AD77" i="10" s="1"/>
  <c r="AM75" i="10" a="1"/>
  <c r="AM75" i="10" s="1"/>
  <c r="AM95" i="10" s="1"/>
  <c r="AM96" i="10" s="1"/>
  <c r="AM99" i="10" s="1"/>
  <c r="U75" i="10" a="1"/>
  <c r="U75" i="10" s="1"/>
  <c r="I77" i="10" a="1"/>
  <c r="I77" i="10" s="1"/>
  <c r="AF77" i="10" a="1"/>
  <c r="AF77" i="10" s="1"/>
  <c r="L78" i="10" a="1"/>
  <c r="L78" i="10" s="1"/>
  <c r="AN75" i="10" a="1"/>
  <c r="AN75" i="10" s="1"/>
  <c r="AN95" i="10" s="1"/>
  <c r="AN96" i="10" s="1"/>
  <c r="AN99" i="10" s="1"/>
  <c r="AJ78" i="10" a="1"/>
  <c r="AJ78" i="10" s="1"/>
  <c r="AW75" i="10" a="1"/>
  <c r="AW75" i="10" s="1"/>
  <c r="AX78" i="10" a="1"/>
  <c r="AX78" i="10" s="1"/>
  <c r="AE77" i="10" a="1"/>
  <c r="AE77" i="10" s="1"/>
  <c r="G286" i="13"/>
  <c r="AV77" i="10" a="1"/>
  <c r="AV77" i="10" s="1"/>
  <c r="O77" i="10" a="1"/>
  <c r="O77" i="10" s="1"/>
  <c r="AB77" i="10" a="1"/>
  <c r="AB77" i="10" s="1"/>
  <c r="AH75" i="10" a="1"/>
  <c r="AH75" i="10" s="1"/>
  <c r="AH95" i="10" s="1"/>
  <c r="AH96" i="10" s="1"/>
  <c r="AH99" i="10" s="1"/>
  <c r="G379" i="13"/>
  <c r="L77" i="10" a="1"/>
  <c r="L77" i="10" s="1"/>
  <c r="AE75" i="10" a="1"/>
  <c r="AE75" i="10" s="1"/>
  <c r="AE95" i="10" s="1"/>
  <c r="AE96" i="10" s="1"/>
  <c r="AE99" i="10" s="1"/>
  <c r="AE100" i="10" s="1"/>
  <c r="R77" i="10" a="1"/>
  <c r="R77" i="10" s="1"/>
  <c r="G10" i="13"/>
  <c r="W75" i="10" a="1"/>
  <c r="W75" i="10" s="1"/>
  <c r="W95" i="10" s="1"/>
  <c r="N78" i="10" a="1"/>
  <c r="N78" i="10" s="1"/>
  <c r="G426" i="13"/>
  <c r="Y77" i="10" a="1"/>
  <c r="Y77" i="10" s="1"/>
  <c r="AR75" i="10" a="1"/>
  <c r="AR75" i="10" s="1"/>
  <c r="AF75" i="10" a="1"/>
  <c r="AF75" i="10" s="1"/>
  <c r="AF95" i="10" s="1"/>
  <c r="AF96" i="10" s="1"/>
  <c r="AF99" i="10" s="1"/>
  <c r="AF100" i="10" s="1"/>
  <c r="AM77" i="10" a="1"/>
  <c r="AM77" i="10" s="1"/>
  <c r="G345" i="13"/>
  <c r="G107" i="13"/>
  <c r="G106" i="13"/>
  <c r="G288" i="13"/>
  <c r="G343" i="13"/>
  <c r="G243" i="13"/>
  <c r="G427" i="13"/>
  <c r="G105" i="13"/>
  <c r="G59" i="13"/>
  <c r="G381" i="13"/>
  <c r="G289" i="13"/>
  <c r="G12" i="13"/>
  <c r="G104" i="13"/>
  <c r="G244" i="13"/>
  <c r="G197" i="13"/>
  <c r="G11" i="13"/>
  <c r="G344" i="13"/>
  <c r="G150" i="13"/>
  <c r="G198" i="13"/>
  <c r="G153" i="13"/>
  <c r="G384" i="13"/>
  <c r="G383" i="13"/>
  <c r="G429" i="13"/>
  <c r="G346" i="13"/>
  <c r="G290" i="13"/>
  <c r="G62" i="13"/>
  <c r="G291" i="13"/>
  <c r="G430" i="13"/>
  <c r="G246" i="13"/>
  <c r="G199" i="13"/>
  <c r="G200" i="13"/>
  <c r="G245" i="13"/>
  <c r="G382" i="13"/>
  <c r="G428" i="13"/>
  <c r="G13" i="13"/>
  <c r="G152" i="13"/>
  <c r="G60" i="13"/>
  <c r="G151" i="13"/>
  <c r="G385" i="13"/>
  <c r="G431" i="13"/>
  <c r="G154" i="13"/>
  <c r="G63" i="13"/>
  <c r="G15" i="13"/>
  <c r="G247" i="13"/>
  <c r="G108" i="13"/>
  <c r="G201" i="13"/>
  <c r="G14" i="13"/>
  <c r="G347" i="13"/>
  <c r="G292" i="13"/>
  <c r="G434" i="13"/>
  <c r="G110" i="13"/>
  <c r="G433" i="13"/>
  <c r="G156" i="13"/>
  <c r="G387" i="13"/>
  <c r="G294" i="13"/>
  <c r="G203" i="13"/>
  <c r="G348" i="13"/>
  <c r="G293" i="13"/>
  <c r="G17" i="13"/>
  <c r="G65" i="13"/>
  <c r="G16" i="13"/>
  <c r="G109" i="13"/>
  <c r="G386" i="13"/>
  <c r="G202" i="13"/>
  <c r="G349" i="13"/>
  <c r="G64" i="13"/>
  <c r="G155" i="13"/>
  <c r="G248" i="13"/>
  <c r="G432" i="13"/>
  <c r="G252" i="13"/>
  <c r="G160" i="13"/>
  <c r="G295" i="13"/>
  <c r="G204" i="13"/>
  <c r="G250" i="13"/>
  <c r="G249" i="13"/>
  <c r="G19" i="13"/>
  <c r="G66" i="13"/>
  <c r="G18" i="13"/>
  <c r="G350" i="13"/>
  <c r="G112" i="13"/>
  <c r="G388" i="13"/>
  <c r="G296" i="13"/>
  <c r="G435" i="13"/>
  <c r="G158" i="13"/>
  <c r="G157" i="13"/>
  <c r="G205" i="13"/>
  <c r="G251" i="13"/>
  <c r="G111" i="13"/>
  <c r="G353" i="13"/>
  <c r="G114" i="13"/>
  <c r="G206" i="13"/>
  <c r="G436" i="13"/>
  <c r="G351" i="13"/>
  <c r="G297" i="13"/>
  <c r="G389" i="13"/>
  <c r="G67" i="13"/>
  <c r="G254" i="13"/>
  <c r="G391" i="13"/>
  <c r="G390" i="13"/>
  <c r="G113" i="13"/>
  <c r="G207" i="13"/>
  <c r="G352" i="13"/>
  <c r="G68" i="13"/>
  <c r="G20" i="13"/>
  <c r="G392" i="13"/>
  <c r="G23" i="13"/>
  <c r="G253" i="13"/>
  <c r="G298" i="13"/>
  <c r="G162" i="13"/>
  <c r="G159" i="13"/>
  <c r="G22" i="13"/>
  <c r="G21" i="13"/>
  <c r="G437" i="13"/>
  <c r="G394" i="13"/>
  <c r="G439" i="13"/>
  <c r="G255" i="13"/>
  <c r="G69" i="13"/>
  <c r="G70" i="13"/>
  <c r="G208" i="13"/>
  <c r="G354" i="13"/>
  <c r="G299" i="13"/>
  <c r="G161" i="13"/>
  <c r="G355" i="13"/>
  <c r="G438" i="13"/>
  <c r="G393" i="13"/>
  <c r="G115" i="13"/>
  <c r="G440" i="13"/>
  <c r="G117" i="13"/>
  <c r="G356" i="13"/>
  <c r="G301" i="13"/>
  <c r="G71" i="13"/>
  <c r="G213" i="13"/>
  <c r="G300" i="13"/>
  <c r="G209" i="13"/>
  <c r="G25" i="13"/>
  <c r="G72" i="13"/>
  <c r="G116" i="13"/>
  <c r="G441" i="13"/>
  <c r="G76" i="13"/>
  <c r="G395" i="13"/>
  <c r="G257" i="13"/>
  <c r="G256" i="13"/>
  <c r="G357" i="13"/>
  <c r="G164" i="13"/>
  <c r="G163" i="13"/>
  <c r="G26" i="13"/>
  <c r="G24" i="13"/>
  <c r="G210" i="13"/>
  <c r="G445" i="13"/>
  <c r="G118" i="13"/>
  <c r="G73" i="13"/>
  <c r="G302" i="13"/>
  <c r="G397" i="13"/>
  <c r="G211" i="13"/>
  <c r="G216" i="13"/>
  <c r="G121" i="13"/>
  <c r="G75" i="13"/>
  <c r="G396" i="13"/>
  <c r="G358" i="13"/>
  <c r="G258" i="13"/>
  <c r="G119" i="13"/>
  <c r="G443" i="13"/>
  <c r="G212" i="13"/>
  <c r="G120" i="13"/>
  <c r="G165" i="13"/>
  <c r="G444" i="13"/>
  <c r="G305" i="13"/>
  <c r="G303" i="13"/>
  <c r="G359" i="13"/>
  <c r="G442" i="13"/>
  <c r="G74" i="13"/>
  <c r="G360" i="13"/>
  <c r="G362" i="13"/>
  <c r="G166" i="13"/>
  <c r="G215" i="13"/>
  <c r="G27" i="13"/>
  <c r="G260" i="13"/>
  <c r="G304" i="13"/>
  <c r="G259" i="13"/>
  <c r="G169" i="13"/>
  <c r="G446" i="13"/>
  <c r="G28" i="13"/>
  <c r="G400" i="13"/>
  <c r="G29" i="13"/>
  <c r="G448" i="13"/>
  <c r="G306" i="13"/>
  <c r="G78" i="13"/>
  <c r="G214" i="13"/>
  <c r="G168" i="13"/>
  <c r="G399" i="13"/>
  <c r="G77" i="13"/>
  <c r="G167" i="13"/>
  <c r="G361" i="13"/>
  <c r="G261" i="13"/>
  <c r="G398" i="13"/>
  <c r="G307" i="13"/>
  <c r="G33" i="13"/>
  <c r="G80" i="13"/>
  <c r="G262" i="13"/>
  <c r="G125" i="13"/>
  <c r="G124" i="13"/>
  <c r="G217" i="13"/>
  <c r="G122" i="13"/>
  <c r="G30" i="13"/>
  <c r="G447" i="13"/>
  <c r="G363" i="13"/>
  <c r="G170" i="13"/>
  <c r="G218" i="13"/>
  <c r="G308" i="13"/>
  <c r="G402" i="13"/>
  <c r="G79" i="13"/>
  <c r="G123" i="13"/>
  <c r="G31" i="13"/>
  <c r="G264" i="13"/>
  <c r="G364" i="13"/>
  <c r="G171" i="13"/>
  <c r="G309" i="13"/>
  <c r="G81" i="13"/>
  <c r="G219" i="13"/>
  <c r="G265" i="13"/>
  <c r="G365" i="13"/>
  <c r="G32" i="13"/>
  <c r="G126" i="13"/>
  <c r="G263" i="13"/>
  <c r="G449" i="13"/>
  <c r="G310" i="13"/>
  <c r="G172" i="13"/>
  <c r="G401" i="13"/>
  <c r="G127" i="13"/>
  <c r="G82" i="13"/>
  <c r="G173" i="13"/>
  <c r="G450" i="13"/>
  <c r="G34" i="13"/>
  <c r="G311" i="13"/>
  <c r="G403" i="13"/>
  <c r="G451" i="13"/>
  <c r="G266" i="13"/>
  <c r="G312" i="13"/>
  <c r="G405" i="13"/>
  <c r="G175" i="13"/>
  <c r="G268" i="13"/>
  <c r="G404" i="13"/>
  <c r="G220" i="13"/>
  <c r="G35" i="13"/>
  <c r="G367" i="13"/>
  <c r="G221" i="13"/>
  <c r="G83" i="13"/>
  <c r="G267" i="13"/>
  <c r="G84" i="13"/>
  <c r="G366" i="13"/>
  <c r="G174" i="13"/>
  <c r="G452" i="13"/>
  <c r="G36" i="13"/>
  <c r="G129" i="13"/>
  <c r="G222" i="13"/>
  <c r="G128" i="13"/>
  <c r="G271" i="13"/>
  <c r="G313" i="13"/>
  <c r="G406" i="13"/>
  <c r="G368" i="13"/>
  <c r="G130" i="13"/>
  <c r="G453" i="13"/>
  <c r="G314" i="13"/>
  <c r="G85" i="13"/>
  <c r="G37" i="13"/>
  <c r="G223" i="13"/>
  <c r="G455" i="13"/>
  <c r="G39" i="13"/>
  <c r="G227" i="13"/>
  <c r="G454" i="13"/>
  <c r="G38" i="13"/>
  <c r="G269" i="13"/>
  <c r="G315" i="13"/>
  <c r="G131" i="13"/>
  <c r="G407" i="13"/>
  <c r="G369" i="13"/>
  <c r="G370" i="13"/>
  <c r="G270" i="13"/>
  <c r="G176" i="13"/>
  <c r="G408" i="13"/>
  <c r="G228" i="13"/>
  <c r="G224" i="13"/>
  <c r="G86" i="13"/>
  <c r="G177" i="13"/>
  <c r="G371" i="13"/>
  <c r="G132" i="13"/>
  <c r="G87" i="13"/>
  <c r="G225" i="13"/>
  <c r="G409" i="13"/>
  <c r="G316" i="13"/>
  <c r="G178" i="13"/>
  <c r="G40" i="13"/>
  <c r="G456" i="13"/>
  <c r="G179" i="13"/>
  <c r="G410" i="13"/>
  <c r="G373" i="13"/>
  <c r="G318" i="13"/>
  <c r="G89" i="13"/>
  <c r="G273" i="13"/>
  <c r="G88" i="13"/>
  <c r="G372" i="13"/>
  <c r="G457" i="13"/>
  <c r="G272" i="13"/>
  <c r="G134" i="13"/>
  <c r="G133" i="13"/>
  <c r="G226" i="13"/>
  <c r="G411" i="13"/>
  <c r="G317" i="13"/>
  <c r="G183" i="13"/>
  <c r="G415" i="13"/>
  <c r="G413" i="13"/>
  <c r="G180" i="13"/>
  <c r="G41" i="13"/>
  <c r="G322" i="13"/>
  <c r="G460" i="13"/>
  <c r="G42" i="13"/>
  <c r="G319" i="13"/>
  <c r="G412" i="13"/>
  <c r="G321" i="13"/>
  <c r="G275" i="13"/>
  <c r="G320" i="13"/>
  <c r="G90" i="13"/>
  <c r="G274" i="13"/>
  <c r="G181" i="13"/>
  <c r="G135" i="13"/>
  <c r="G374" i="13"/>
  <c r="G458" i="13"/>
  <c r="G464" i="13"/>
  <c r="G186" i="13"/>
  <c r="G43" i="13"/>
  <c r="G184" i="13"/>
  <c r="G47" i="13"/>
  <c r="G417" i="13"/>
  <c r="G94" i="13"/>
  <c r="G231" i="13"/>
  <c r="U95" i="10" l="1"/>
  <c r="AG95" i="10"/>
  <c r="AX47" i="10"/>
  <c r="BC114" i="10"/>
  <c r="BC115" i="10" s="1"/>
  <c r="BC116" i="10" s="1"/>
  <c r="BA96" i="10"/>
  <c r="AZ69" i="10"/>
  <c r="AZ10" i="10"/>
  <c r="AZ11" i="10"/>
  <c r="AZ67" i="10"/>
  <c r="AZ64" i="10"/>
  <c r="BC128" i="10"/>
  <c r="BB95" i="10"/>
  <c r="BA6" i="10"/>
  <c r="AZ31" i="10"/>
  <c r="AZ23" i="10"/>
  <c r="AZ15" i="10"/>
  <c r="AZ36" i="10"/>
  <c r="AZ34" i="10"/>
  <c r="AZ22" i="10"/>
  <c r="AZ12" i="10"/>
  <c r="AZ33" i="10"/>
  <c r="AZ17" i="10"/>
  <c r="AZ28" i="10"/>
  <c r="AZ37" i="10"/>
  <c r="AZ29" i="10"/>
  <c r="AZ21" i="10"/>
  <c r="AZ13" i="10"/>
  <c r="AZ26" i="10"/>
  <c r="AZ32" i="10"/>
  <c r="AZ20" i="10"/>
  <c r="AZ16" i="10"/>
  <c r="AZ25" i="10"/>
  <c r="AZ38" i="10"/>
  <c r="AZ14" i="10"/>
  <c r="AZ35" i="10"/>
  <c r="AZ27" i="10"/>
  <c r="AZ19" i="10"/>
  <c r="AZ24" i="10"/>
  <c r="AZ30" i="10"/>
  <c r="AZ18" i="10"/>
  <c r="AY39" i="10"/>
  <c r="AY47" i="10" s="1"/>
  <c r="AX49" i="10"/>
  <c r="BA91" i="10"/>
  <c r="W96" i="10"/>
  <c r="W89" i="10"/>
  <c r="X89" i="10"/>
  <c r="X96" i="10"/>
  <c r="P89" i="10"/>
  <c r="AD96" i="10"/>
  <c r="AD89" i="10"/>
  <c r="V96" i="10"/>
  <c r="V89" i="10"/>
  <c r="G142" i="13"/>
  <c r="G325" i="13"/>
  <c r="G236" i="13"/>
  <c r="G138" i="13"/>
  <c r="G278" i="13"/>
  <c r="G280" i="13"/>
  <c r="G327" i="13"/>
  <c r="BC4" i="10"/>
  <c r="BD5" i="10"/>
  <c r="G140" i="13"/>
  <c r="Y96" i="10"/>
  <c r="Y89" i="10"/>
  <c r="Z89" i="10"/>
  <c r="Z96" i="10"/>
  <c r="AA89" i="10"/>
  <c r="AA96" i="10"/>
  <c r="Q89" i="10"/>
  <c r="L89" i="10"/>
  <c r="AB96" i="10"/>
  <c r="AB89" i="10"/>
  <c r="G419" i="13"/>
  <c r="G323" i="13"/>
  <c r="G279" i="13"/>
  <c r="G328" i="13"/>
  <c r="G230" i="13"/>
  <c r="G276" i="13"/>
  <c r="G137" i="13"/>
  <c r="G44" i="13"/>
  <c r="G326" i="13"/>
  <c r="G48" i="13"/>
  <c r="BC3" i="10"/>
  <c r="BB7" i="10" a="1"/>
  <c r="BB7" i="10" s="1"/>
  <c r="BB43" i="10" s="1"/>
  <c r="BB84" i="10"/>
  <c r="BB86" i="10" s="1"/>
  <c r="BB89" i="10"/>
  <c r="BB90" i="10"/>
  <c r="P144" i="13"/>
  <c r="Q144" i="13"/>
  <c r="R144" i="13"/>
  <c r="S144" i="13"/>
  <c r="T144" i="13"/>
  <c r="U144" i="13"/>
  <c r="V144" i="13"/>
  <c r="W144" i="13"/>
  <c r="X144" i="13"/>
  <c r="Y144" i="13"/>
  <c r="Z144" i="13"/>
  <c r="AA144" i="13"/>
  <c r="AB144" i="13"/>
  <c r="AC144" i="13"/>
  <c r="AD144" i="13"/>
  <c r="AE144" i="13"/>
  <c r="AF144" i="13"/>
  <c r="AG144" i="13"/>
  <c r="AH144" i="13"/>
  <c r="AI144" i="13"/>
  <c r="AJ144" i="13"/>
  <c r="AK144" i="13"/>
  <c r="AL144" i="13"/>
  <c r="AM144" i="13"/>
  <c r="AN144" i="13"/>
  <c r="AO144" i="13"/>
  <c r="AP144" i="13"/>
  <c r="AQ144" i="13"/>
  <c r="AR144" i="13"/>
  <c r="AS144" i="13"/>
  <c r="AT144" i="13"/>
  <c r="AU144" i="13"/>
  <c r="AV144" i="13"/>
  <c r="AW144" i="13"/>
  <c r="AX144" i="13"/>
  <c r="AY144" i="13"/>
  <c r="AZ144" i="13"/>
  <c r="BA144" i="13"/>
  <c r="BB144" i="13"/>
  <c r="BC144" i="13"/>
  <c r="BD144" i="13"/>
  <c r="BE144" i="13"/>
  <c r="G51" i="13"/>
  <c r="G233" i="13"/>
  <c r="G141" i="13"/>
  <c r="G189" i="13"/>
  <c r="G282" i="13"/>
  <c r="G93" i="13"/>
  <c r="G461" i="13"/>
  <c r="U89" i="10"/>
  <c r="J89" i="10"/>
  <c r="K89" i="10"/>
  <c r="AC96" i="10"/>
  <c r="AC89" i="10"/>
  <c r="T96" i="10"/>
  <c r="T89" i="10"/>
  <c r="P190" i="13"/>
  <c r="Q190" i="13"/>
  <c r="R190" i="13"/>
  <c r="S190" i="13"/>
  <c r="T190" i="13"/>
  <c r="U190" i="13"/>
  <c r="V190" i="13"/>
  <c r="W190" i="13"/>
  <c r="X190" i="13"/>
  <c r="Y190" i="13"/>
  <c r="Z190" i="13"/>
  <c r="AA190" i="13"/>
  <c r="AB190" i="13"/>
  <c r="AC190" i="13"/>
  <c r="AD190" i="13"/>
  <c r="AE190" i="13"/>
  <c r="AF190" i="13"/>
  <c r="AG190" i="13"/>
  <c r="AH190" i="13"/>
  <c r="AI190" i="13"/>
  <c r="AJ190" i="13"/>
  <c r="AK190" i="13"/>
  <c r="AL190" i="13"/>
  <c r="AM190" i="13"/>
  <c r="AN190" i="13"/>
  <c r="AO190" i="13"/>
  <c r="AP190" i="13"/>
  <c r="AQ190" i="13"/>
  <c r="AR190" i="13"/>
  <c r="AS190" i="13"/>
  <c r="AT190" i="13"/>
  <c r="AU190" i="13"/>
  <c r="AV190" i="13"/>
  <c r="AW190" i="13"/>
  <c r="AX190" i="13"/>
  <c r="AY190" i="13"/>
  <c r="AZ190" i="13"/>
  <c r="BA190" i="13"/>
  <c r="BB190" i="13"/>
  <c r="BC190" i="13"/>
  <c r="BD190" i="13"/>
  <c r="BE190" i="13"/>
  <c r="G91" i="13"/>
  <c r="G188" i="13"/>
  <c r="G144" i="13"/>
  <c r="G281" i="13"/>
  <c r="G50" i="13"/>
  <c r="G418" i="13"/>
  <c r="G92" i="13"/>
  <c r="G49" i="13"/>
  <c r="G234" i="13"/>
  <c r="G185" i="13"/>
  <c r="G52" i="13"/>
  <c r="G416" i="13"/>
  <c r="G324" i="13"/>
  <c r="G182" i="13"/>
  <c r="O89" i="10"/>
  <c r="R89" i="10"/>
  <c r="R96" i="10"/>
  <c r="M89" i="10"/>
  <c r="S89" i="10"/>
  <c r="S96" i="10"/>
  <c r="AC78" i="10" a="1"/>
  <c r="AC78" i="10" s="1"/>
  <c r="AG78" i="10" a="1"/>
  <c r="AG78" i="10" s="1"/>
  <c r="G338" i="13"/>
  <c r="K76" i="10" a="1"/>
  <c r="K76" i="10" s="1"/>
  <c r="G145" i="13"/>
  <c r="G420" i="13"/>
  <c r="G465" i="13"/>
  <c r="BG466" i="13"/>
  <c r="BG465" i="13"/>
  <c r="BG464" i="13"/>
  <c r="BG463" i="13"/>
  <c r="BG462" i="13"/>
  <c r="BG461" i="13"/>
  <c r="BG460" i="13"/>
  <c r="BG459" i="13"/>
  <c r="BG458" i="13"/>
  <c r="BG457" i="13"/>
  <c r="BG456" i="13"/>
  <c r="BG455" i="13"/>
  <c r="BG454" i="13"/>
  <c r="BG453" i="13"/>
  <c r="BG452" i="13"/>
  <c r="BG451" i="13"/>
  <c r="BG450" i="13"/>
  <c r="BG449" i="13"/>
  <c r="BG448" i="13"/>
  <c r="BG447" i="13"/>
  <c r="BG446" i="13"/>
  <c r="BG445" i="13"/>
  <c r="BG444" i="13"/>
  <c r="BG443" i="13"/>
  <c r="BG442" i="13"/>
  <c r="BG441" i="13"/>
  <c r="BG440" i="13"/>
  <c r="BG439" i="13"/>
  <c r="BG438" i="13"/>
  <c r="BG437" i="13"/>
  <c r="BG436" i="13"/>
  <c r="BG420" i="13"/>
  <c r="BG419" i="13"/>
  <c r="BG418" i="13"/>
  <c r="BG417" i="13"/>
  <c r="BG416" i="13"/>
  <c r="BG415" i="13"/>
  <c r="BG414" i="13"/>
  <c r="BG413" i="13"/>
  <c r="BG412" i="13"/>
  <c r="BG411" i="13"/>
  <c r="BG410" i="13"/>
  <c r="BG409" i="13"/>
  <c r="BG408" i="13"/>
  <c r="BG407" i="13"/>
  <c r="BG406" i="13"/>
  <c r="BG405" i="13"/>
  <c r="BG404" i="13"/>
  <c r="BG403" i="13"/>
  <c r="BG402" i="13"/>
  <c r="BG401" i="13"/>
  <c r="BG400" i="13"/>
  <c r="BG399" i="13"/>
  <c r="BG398" i="13"/>
  <c r="BG397" i="13"/>
  <c r="BG396" i="13"/>
  <c r="BG395" i="13"/>
  <c r="BG394" i="13"/>
  <c r="BG393" i="13"/>
  <c r="BG392" i="13"/>
  <c r="BG391" i="13"/>
  <c r="BG390" i="13"/>
  <c r="BG389" i="13"/>
  <c r="BG388" i="13"/>
  <c r="BG387" i="13"/>
  <c r="BG386" i="13"/>
  <c r="BG385" i="13"/>
  <c r="BG384" i="13"/>
  <c r="BG383" i="13"/>
  <c r="BG382" i="13"/>
  <c r="BG381" i="13"/>
  <c r="BG380" i="13"/>
  <c r="BG379" i="13"/>
  <c r="BG378" i="13"/>
  <c r="BG377" i="13"/>
  <c r="BG376" i="13"/>
  <c r="BG375" i="13"/>
  <c r="BG435" i="13"/>
  <c r="BG433" i="13"/>
  <c r="BG431" i="13"/>
  <c r="BG429" i="13"/>
  <c r="BG427" i="13"/>
  <c r="BG425" i="13"/>
  <c r="BG423" i="13"/>
  <c r="BG421" i="13"/>
  <c r="BG373" i="13"/>
  <c r="BG372" i="13"/>
  <c r="BG365" i="13"/>
  <c r="BG364" i="13"/>
  <c r="BG236" i="13"/>
  <c r="BG235" i="13"/>
  <c r="BG234" i="13"/>
  <c r="BG233" i="13"/>
  <c r="BG232" i="13"/>
  <c r="BG231" i="13"/>
  <c r="BG230" i="13"/>
  <c r="BG229" i="13"/>
  <c r="BG228" i="13"/>
  <c r="BG227" i="13"/>
  <c r="BG226" i="13"/>
  <c r="BG225" i="13"/>
  <c r="BG224" i="13"/>
  <c r="BG223" i="13"/>
  <c r="BG222" i="13"/>
  <c r="BG221" i="13"/>
  <c r="BG220" i="13"/>
  <c r="BG219" i="13"/>
  <c r="BG218" i="13"/>
  <c r="BG217" i="13"/>
  <c r="BG216" i="13"/>
  <c r="BG215" i="13"/>
  <c r="BG214" i="13"/>
  <c r="BG213" i="13"/>
  <c r="BG212" i="13"/>
  <c r="BG211" i="13"/>
  <c r="BG210" i="13"/>
  <c r="BG209" i="13"/>
  <c r="BG208" i="13"/>
  <c r="BG207" i="13"/>
  <c r="BG206" i="13"/>
  <c r="BG205" i="13"/>
  <c r="BG204" i="13"/>
  <c r="BG203" i="13"/>
  <c r="BG434" i="13"/>
  <c r="BG430" i="13"/>
  <c r="BG426" i="13"/>
  <c r="BG422" i="13"/>
  <c r="BG374" i="13"/>
  <c r="BG367" i="13"/>
  <c r="BG366" i="13"/>
  <c r="BG369" i="13"/>
  <c r="BG368" i="13"/>
  <c r="BG363" i="13"/>
  <c r="BG362" i="13"/>
  <c r="BG356" i="13"/>
  <c r="BG355" i="13"/>
  <c r="BG348" i="13"/>
  <c r="BG347" i="13"/>
  <c r="BG340" i="13"/>
  <c r="BG339" i="13"/>
  <c r="BG432" i="13"/>
  <c r="BG424" i="13"/>
  <c r="BG371" i="13"/>
  <c r="BG370" i="13"/>
  <c r="BG358" i="13"/>
  <c r="BG357" i="13"/>
  <c r="BG350" i="13"/>
  <c r="BG349" i="13"/>
  <c r="BG342" i="13"/>
  <c r="BG341" i="13"/>
  <c r="BG337" i="13"/>
  <c r="BG335" i="13"/>
  <c r="BG333" i="13"/>
  <c r="BG331" i="13"/>
  <c r="BG327" i="13"/>
  <c r="BG325" i="13"/>
  <c r="BG323" i="13"/>
  <c r="BG321" i="13"/>
  <c r="BG319" i="13"/>
  <c r="BG317" i="13"/>
  <c r="BG315" i="13"/>
  <c r="BG359" i="13"/>
  <c r="BG352" i="13"/>
  <c r="BG351" i="13"/>
  <c r="BG344" i="13"/>
  <c r="BG343" i="13"/>
  <c r="BG329" i="13"/>
  <c r="BG428" i="13"/>
  <c r="BG354" i="13"/>
  <c r="BG353" i="13"/>
  <c r="BG332" i="13"/>
  <c r="BG328" i="13"/>
  <c r="BG322" i="13"/>
  <c r="BG318" i="13"/>
  <c r="BG316" i="13"/>
  <c r="BG282" i="13"/>
  <c r="BG280" i="13"/>
  <c r="BG278" i="13"/>
  <c r="BG276" i="13"/>
  <c r="BG274" i="13"/>
  <c r="BG272" i="13"/>
  <c r="BG270" i="13"/>
  <c r="BG268" i="13"/>
  <c r="BG266" i="13"/>
  <c r="BG264" i="13"/>
  <c r="BG262" i="13"/>
  <c r="BG260" i="13"/>
  <c r="BG258" i="13"/>
  <c r="BG256" i="13"/>
  <c r="BG254" i="13"/>
  <c r="BG252" i="13"/>
  <c r="BG250" i="13"/>
  <c r="BG248" i="13"/>
  <c r="BG246" i="13"/>
  <c r="BG244" i="13"/>
  <c r="BG242" i="13"/>
  <c r="BG240" i="13"/>
  <c r="BG238" i="13"/>
  <c r="BG360" i="13"/>
  <c r="BG338" i="13"/>
  <c r="BG334" i="13"/>
  <c r="BG326" i="13"/>
  <c r="BG314" i="13"/>
  <c r="BG312" i="13"/>
  <c r="BG310" i="13"/>
  <c r="BG308" i="13"/>
  <c r="BG306" i="13"/>
  <c r="BG304" i="13"/>
  <c r="BG302" i="13"/>
  <c r="BG300" i="13"/>
  <c r="BG298" i="13"/>
  <c r="BG296" i="13"/>
  <c r="BG294" i="13"/>
  <c r="BG292" i="13"/>
  <c r="BG290" i="13"/>
  <c r="BG288" i="13"/>
  <c r="BG286" i="13"/>
  <c r="BG284" i="13"/>
  <c r="BG324" i="13"/>
  <c r="BG320" i="13"/>
  <c r="BG281" i="13"/>
  <c r="BG279" i="13"/>
  <c r="BG277" i="13"/>
  <c r="BG275" i="13"/>
  <c r="BG273" i="13"/>
  <c r="BG271" i="13"/>
  <c r="BG269" i="13"/>
  <c r="BG267" i="13"/>
  <c r="BG265" i="13"/>
  <c r="BG263" i="13"/>
  <c r="BG261" i="13"/>
  <c r="BG259" i="13"/>
  <c r="BG257" i="13"/>
  <c r="BG255" i="13"/>
  <c r="BG253" i="13"/>
  <c r="BG251" i="13"/>
  <c r="BG249" i="13"/>
  <c r="BG247" i="13"/>
  <c r="BG245" i="13"/>
  <c r="BG243" i="13"/>
  <c r="BG241" i="13"/>
  <c r="BG239" i="13"/>
  <c r="BG237" i="13"/>
  <c r="BG361" i="13"/>
  <c r="BG313" i="13"/>
  <c r="BG305" i="13"/>
  <c r="BG297" i="13"/>
  <c r="BG289" i="13"/>
  <c r="BG201" i="13"/>
  <c r="BG199" i="13"/>
  <c r="BG197" i="13"/>
  <c r="BG195" i="13"/>
  <c r="BG193" i="13"/>
  <c r="BG191" i="13"/>
  <c r="BG144" i="13"/>
  <c r="BG143" i="13"/>
  <c r="BG142" i="13"/>
  <c r="BG141" i="13"/>
  <c r="BG140" i="13"/>
  <c r="BG139" i="13"/>
  <c r="BG138" i="13"/>
  <c r="BG137" i="13"/>
  <c r="BG136" i="13"/>
  <c r="BG135" i="13"/>
  <c r="BG134" i="13"/>
  <c r="BG133" i="13"/>
  <c r="BG132" i="13"/>
  <c r="BG131" i="13"/>
  <c r="BG130" i="13"/>
  <c r="BG129" i="13"/>
  <c r="BG128" i="13"/>
  <c r="BG127" i="13"/>
  <c r="BG126" i="13"/>
  <c r="BG125" i="13"/>
  <c r="BG124" i="13"/>
  <c r="BG123" i="13"/>
  <c r="BG122" i="13"/>
  <c r="BG121" i="13"/>
  <c r="BG120" i="13"/>
  <c r="BG119" i="13"/>
  <c r="BG118" i="13"/>
  <c r="BG117" i="13"/>
  <c r="BG116" i="13"/>
  <c r="BG115" i="13"/>
  <c r="BG114" i="13"/>
  <c r="BG113" i="13"/>
  <c r="BG112" i="13"/>
  <c r="BG111" i="13"/>
  <c r="BG110" i="13"/>
  <c r="BG109" i="13"/>
  <c r="BG108" i="13"/>
  <c r="BG107" i="13"/>
  <c r="BG106" i="13"/>
  <c r="BG105" i="13"/>
  <c r="BG104" i="13"/>
  <c r="BG103" i="13"/>
  <c r="BG102" i="13"/>
  <c r="BG101" i="13"/>
  <c r="BG100" i="13"/>
  <c r="BG99" i="13"/>
  <c r="BG346" i="13"/>
  <c r="BG311" i="13"/>
  <c r="BG303" i="13"/>
  <c r="BG295" i="13"/>
  <c r="BG287" i="13"/>
  <c r="BG190" i="13"/>
  <c r="BG188" i="13"/>
  <c r="BG186" i="13"/>
  <c r="BG184" i="13"/>
  <c r="BG182" i="13"/>
  <c r="BG180" i="13"/>
  <c r="BG178" i="13"/>
  <c r="BG176" i="13"/>
  <c r="BG174" i="13"/>
  <c r="BG172" i="13"/>
  <c r="BG170" i="13"/>
  <c r="BG168" i="13"/>
  <c r="BG167" i="13"/>
  <c r="BG166" i="13"/>
  <c r="BG165" i="13"/>
  <c r="BG164" i="13"/>
  <c r="BG163" i="13"/>
  <c r="BG162" i="13"/>
  <c r="BG161" i="13"/>
  <c r="BG160" i="13"/>
  <c r="BG159" i="13"/>
  <c r="BG158" i="13"/>
  <c r="BG157" i="13"/>
  <c r="BG156" i="13"/>
  <c r="BG155" i="13"/>
  <c r="BG154" i="13"/>
  <c r="BG153" i="13"/>
  <c r="BG152" i="13"/>
  <c r="BG151" i="13"/>
  <c r="BG150" i="13"/>
  <c r="BG149" i="13"/>
  <c r="BG148" i="13"/>
  <c r="BG147" i="13"/>
  <c r="BG146" i="13"/>
  <c r="BG145" i="13"/>
  <c r="BG336" i="13"/>
  <c r="BG330" i="13"/>
  <c r="BG309" i="13"/>
  <c r="BG301" i="13"/>
  <c r="BG293" i="13"/>
  <c r="BG285" i="13"/>
  <c r="BG202" i="13"/>
  <c r="BG200" i="13"/>
  <c r="BG198" i="13"/>
  <c r="BG196" i="13"/>
  <c r="BG194" i="13"/>
  <c r="BG345" i="13"/>
  <c r="BG189" i="13"/>
  <c r="BG185" i="13"/>
  <c r="BG181" i="13"/>
  <c r="BG177" i="13"/>
  <c r="BG173" i="13"/>
  <c r="BG169" i="13"/>
  <c r="BG307" i="13"/>
  <c r="BG283" i="13"/>
  <c r="BG299" i="13"/>
  <c r="BG187" i="13"/>
  <c r="BG183" i="13"/>
  <c r="BG179" i="13"/>
  <c r="BG175" i="13"/>
  <c r="BG171" i="13"/>
  <c r="BG98" i="13"/>
  <c r="BG97" i="13"/>
  <c r="BG96" i="13"/>
  <c r="BG95" i="13"/>
  <c r="BG94" i="13"/>
  <c r="BG93" i="13"/>
  <c r="BG92" i="13"/>
  <c r="BG91" i="13"/>
  <c r="BG90" i="13"/>
  <c r="BG89" i="13"/>
  <c r="BG88" i="13"/>
  <c r="BG87" i="13"/>
  <c r="BG86" i="13"/>
  <c r="BG85" i="13"/>
  <c r="BG84" i="13"/>
  <c r="BG83" i="13"/>
  <c r="BG82" i="13"/>
  <c r="BG81" i="13"/>
  <c r="BG80" i="13"/>
  <c r="BG79" i="13"/>
  <c r="BG78" i="13"/>
  <c r="BG77" i="13"/>
  <c r="BG76" i="13"/>
  <c r="BG75" i="13"/>
  <c r="BG74" i="13"/>
  <c r="BG73" i="13"/>
  <c r="BG72" i="13"/>
  <c r="BG71" i="13"/>
  <c r="BG70" i="13"/>
  <c r="BG69" i="13"/>
  <c r="BG68" i="13"/>
  <c r="BG67" i="13"/>
  <c r="BG66" i="13"/>
  <c r="BG65" i="13"/>
  <c r="BG64" i="13"/>
  <c r="BG63" i="13"/>
  <c r="BG62" i="13"/>
  <c r="BG61" i="13"/>
  <c r="BG60" i="13"/>
  <c r="BG59" i="13"/>
  <c r="BG58" i="13"/>
  <c r="BG57" i="13"/>
  <c r="BG56" i="13"/>
  <c r="BG55" i="13"/>
  <c r="BG54" i="13"/>
  <c r="BG52" i="13"/>
  <c r="BG51" i="13"/>
  <c r="BG50" i="13"/>
  <c r="BG49" i="13"/>
  <c r="BG48" i="13"/>
  <c r="BG47" i="13"/>
  <c r="BG46" i="13"/>
  <c r="BG45" i="13"/>
  <c r="BG44" i="13"/>
  <c r="BG43" i="13"/>
  <c r="BG42" i="13"/>
  <c r="BG41" i="13"/>
  <c r="BG40" i="13"/>
  <c r="BG39" i="13"/>
  <c r="BG38" i="13"/>
  <c r="BG37" i="13"/>
  <c r="BG36" i="13"/>
  <c r="BG35" i="13"/>
  <c r="BG34" i="13"/>
  <c r="BG33" i="13"/>
  <c r="BG32" i="13"/>
  <c r="BG31" i="13"/>
  <c r="BG30" i="13"/>
  <c r="BG29" i="13"/>
  <c r="BG28" i="13"/>
  <c r="BG27" i="13"/>
  <c r="BG192" i="13"/>
  <c r="BH5" i="13"/>
  <c r="BG18" i="13"/>
  <c r="BG17" i="13"/>
  <c r="BG16" i="13"/>
  <c r="BG15" i="13"/>
  <c r="BG14" i="13"/>
  <c r="BG13" i="13"/>
  <c r="BG12" i="13"/>
  <c r="BG11" i="13"/>
  <c r="BG10" i="13"/>
  <c r="BG9" i="13"/>
  <c r="BG8" i="13"/>
  <c r="BG7" i="13"/>
  <c r="BG53" i="13"/>
  <c r="BG291" i="13"/>
  <c r="BG25" i="13"/>
  <c r="BG21" i="13"/>
  <c r="BG26" i="13"/>
  <c r="BG22" i="13"/>
  <c r="BG23" i="13"/>
  <c r="BG19" i="13"/>
  <c r="BG24" i="13"/>
  <c r="AZ75" i="10" s="1" a="1"/>
  <c r="AZ75" i="10" s="1"/>
  <c r="BG20" i="13"/>
  <c r="G463" i="13"/>
  <c r="G97" i="13"/>
  <c r="P328" i="13"/>
  <c r="Q328" i="13"/>
  <c r="R328" i="13"/>
  <c r="S328" i="13"/>
  <c r="T328" i="13"/>
  <c r="U328" i="13"/>
  <c r="V328" i="13"/>
  <c r="W328" i="13"/>
  <c r="X328" i="13"/>
  <c r="Y328" i="13"/>
  <c r="Z328" i="13"/>
  <c r="AA328" i="13"/>
  <c r="AB328" i="13"/>
  <c r="AC328" i="13"/>
  <c r="AD328" i="13"/>
  <c r="AE328" i="13"/>
  <c r="AF328" i="13"/>
  <c r="AG328" i="13"/>
  <c r="AH328" i="13"/>
  <c r="AI328" i="13"/>
  <c r="AJ328" i="13"/>
  <c r="AK328" i="13"/>
  <c r="AL328" i="13"/>
  <c r="AM328" i="13"/>
  <c r="AN328" i="13"/>
  <c r="AO328" i="13"/>
  <c r="AP328" i="13"/>
  <c r="AQ328" i="13"/>
  <c r="AR328" i="13"/>
  <c r="AS328" i="13"/>
  <c r="AT328" i="13"/>
  <c r="AU328" i="13"/>
  <c r="AV328" i="13"/>
  <c r="AW328" i="13"/>
  <c r="AX328" i="13"/>
  <c r="AY328" i="13"/>
  <c r="AZ328" i="13"/>
  <c r="BA328" i="13"/>
  <c r="BB328" i="13"/>
  <c r="BC328" i="13"/>
  <c r="BD328" i="13"/>
  <c r="BE328" i="13"/>
  <c r="AZ99" i="10"/>
  <c r="G96" i="13"/>
  <c r="G277" i="13"/>
  <c r="G45" i="13"/>
  <c r="G235" i="13"/>
  <c r="G232" i="13"/>
  <c r="G143" i="13"/>
  <c r="G459" i="13"/>
  <c r="G187" i="13"/>
  <c r="G414" i="13"/>
  <c r="U96" i="10" l="1"/>
  <c r="AG96" i="10"/>
  <c r="BD114" i="10"/>
  <c r="BD115" i="10" s="1"/>
  <c r="BD116" i="10" s="1"/>
  <c r="BC45" i="10"/>
  <c r="BC50" i="10" s="1"/>
  <c r="BA99" i="10"/>
  <c r="BA64" i="10"/>
  <c r="BA69" i="10"/>
  <c r="BA67" i="10"/>
  <c r="BA11" i="10"/>
  <c r="BA10" i="10"/>
  <c r="BD128" i="10"/>
  <c r="BC95" i="10"/>
  <c r="AY49" i="10"/>
  <c r="BB6" i="10"/>
  <c r="AZ39" i="10"/>
  <c r="AZ47" i="10" s="1"/>
  <c r="BA31" i="10"/>
  <c r="BA23" i="10"/>
  <c r="BA15" i="10"/>
  <c r="BA12" i="10"/>
  <c r="BA38" i="10"/>
  <c r="BA18" i="10"/>
  <c r="BA34" i="10"/>
  <c r="BA20" i="10"/>
  <c r="BA17" i="10"/>
  <c r="BA28" i="10"/>
  <c r="BA37" i="10"/>
  <c r="BA29" i="10"/>
  <c r="BA21" i="10"/>
  <c r="BA13" i="10"/>
  <c r="BA32" i="10"/>
  <c r="BA14" i="10"/>
  <c r="BA26" i="10"/>
  <c r="BA16" i="10"/>
  <c r="BA33" i="10"/>
  <c r="BA36" i="10"/>
  <c r="BA35" i="10"/>
  <c r="BA27" i="10"/>
  <c r="BA19" i="10"/>
  <c r="BA30" i="10"/>
  <c r="BA24" i="10"/>
  <c r="BA25" i="10"/>
  <c r="BA22" i="10"/>
  <c r="BH450" i="13"/>
  <c r="BH448" i="13"/>
  <c r="BH446" i="13"/>
  <c r="BH444" i="13"/>
  <c r="BH442" i="13"/>
  <c r="BH440" i="13"/>
  <c r="BH438" i="13"/>
  <c r="BH436" i="13"/>
  <c r="BH435" i="13"/>
  <c r="BH434" i="13"/>
  <c r="BH433" i="13"/>
  <c r="BH432" i="13"/>
  <c r="BH431" i="13"/>
  <c r="BH430" i="13"/>
  <c r="BH429" i="13"/>
  <c r="BH428" i="13"/>
  <c r="BH427" i="13"/>
  <c r="BH426" i="13"/>
  <c r="BH425" i="13"/>
  <c r="BH424" i="13"/>
  <c r="BH423" i="13"/>
  <c r="BH422" i="13"/>
  <c r="BH421" i="13"/>
  <c r="BH462" i="13"/>
  <c r="BH459" i="13"/>
  <c r="BH455" i="13"/>
  <c r="BH451" i="13"/>
  <c r="BH447" i="13"/>
  <c r="BH439" i="13"/>
  <c r="BH419" i="13"/>
  <c r="BH417" i="13"/>
  <c r="BH415" i="13"/>
  <c r="BH413" i="13"/>
  <c r="BH411" i="13"/>
  <c r="BH409" i="13"/>
  <c r="BH407" i="13"/>
  <c r="BH405" i="13"/>
  <c r="BH403" i="13"/>
  <c r="BH401" i="13"/>
  <c r="BH399" i="13"/>
  <c r="BH397" i="13"/>
  <c r="BH395" i="13"/>
  <c r="BH393" i="13"/>
  <c r="BH391" i="13"/>
  <c r="BH389" i="13"/>
  <c r="BH387" i="13"/>
  <c r="BH385" i="13"/>
  <c r="BH383" i="13"/>
  <c r="BH381" i="13"/>
  <c r="BH379" i="13"/>
  <c r="BH377" i="13"/>
  <c r="BH375" i="13"/>
  <c r="BH373" i="13"/>
  <c r="BH371" i="13"/>
  <c r="BH369" i="13"/>
  <c r="BH367" i="13"/>
  <c r="BH365" i="13"/>
  <c r="BH363" i="13"/>
  <c r="BH361" i="13"/>
  <c r="BH465" i="13"/>
  <c r="BH458" i="13"/>
  <c r="BH454" i="13"/>
  <c r="BH449" i="13"/>
  <c r="BH441" i="13"/>
  <c r="BH464" i="13"/>
  <c r="BH461" i="13"/>
  <c r="BH456" i="13"/>
  <c r="BH437" i="13"/>
  <c r="BH418" i="13"/>
  <c r="BH414" i="13"/>
  <c r="BH410" i="13"/>
  <c r="BH406" i="13"/>
  <c r="BH402" i="13"/>
  <c r="BH398" i="13"/>
  <c r="BH394" i="13"/>
  <c r="BH392" i="13"/>
  <c r="BH384" i="13"/>
  <c r="BH376" i="13"/>
  <c r="BH374" i="13"/>
  <c r="BH366" i="13"/>
  <c r="BH358" i="13"/>
  <c r="BH356" i="13"/>
  <c r="BH354" i="13"/>
  <c r="BH352" i="13"/>
  <c r="BH350" i="13"/>
  <c r="BH348" i="13"/>
  <c r="BH346" i="13"/>
  <c r="BH344" i="13"/>
  <c r="BH342" i="13"/>
  <c r="BH340" i="13"/>
  <c r="BA77" i="10" s="1" a="1"/>
  <c r="BA77" i="10" s="1"/>
  <c r="BH282" i="13"/>
  <c r="BH281" i="13"/>
  <c r="BH280" i="13"/>
  <c r="BH279" i="13"/>
  <c r="BH278" i="13"/>
  <c r="BH277" i="13"/>
  <c r="BH276" i="13"/>
  <c r="BH275" i="13"/>
  <c r="BH274" i="13"/>
  <c r="BH273" i="13"/>
  <c r="BH272" i="13"/>
  <c r="BH271" i="13"/>
  <c r="BH270" i="13"/>
  <c r="BH269" i="13"/>
  <c r="BH268" i="13"/>
  <c r="BH267" i="13"/>
  <c r="BH266" i="13"/>
  <c r="BH265" i="13"/>
  <c r="BH264" i="13"/>
  <c r="BH263" i="13"/>
  <c r="BH262" i="13"/>
  <c r="BH261" i="13"/>
  <c r="BH260" i="13"/>
  <c r="BH259" i="13"/>
  <c r="BH258" i="13"/>
  <c r="BH257" i="13"/>
  <c r="BH256" i="13"/>
  <c r="BH255" i="13"/>
  <c r="BH254" i="13"/>
  <c r="BH253" i="13"/>
  <c r="BH252" i="13"/>
  <c r="BH251" i="13"/>
  <c r="BH250" i="13"/>
  <c r="BH249" i="13"/>
  <c r="BH248" i="13"/>
  <c r="BH247" i="13"/>
  <c r="BH246" i="13"/>
  <c r="BH245" i="13"/>
  <c r="BH244" i="13"/>
  <c r="BH243" i="13"/>
  <c r="BH242" i="13"/>
  <c r="BH241" i="13"/>
  <c r="BH240" i="13"/>
  <c r="BH239" i="13"/>
  <c r="BH238" i="13"/>
  <c r="BH237" i="13"/>
  <c r="BH466" i="13"/>
  <c r="BH463" i="13"/>
  <c r="BH457" i="13"/>
  <c r="BH443" i="13"/>
  <c r="BH386" i="13"/>
  <c r="BH378" i="13"/>
  <c r="BH368" i="13"/>
  <c r="BH452" i="13"/>
  <c r="BH390" i="13"/>
  <c r="BH370" i="13"/>
  <c r="BH357" i="13"/>
  <c r="BH349" i="13"/>
  <c r="BH341" i="13"/>
  <c r="BH337" i="13"/>
  <c r="BH335" i="13"/>
  <c r="BH333" i="13"/>
  <c r="BH331" i="13"/>
  <c r="BH327" i="13"/>
  <c r="BH325" i="13"/>
  <c r="BH416" i="13"/>
  <c r="BH408" i="13"/>
  <c r="BH400" i="13"/>
  <c r="BH380" i="13"/>
  <c r="BH372" i="13"/>
  <c r="BH359" i="13"/>
  <c r="BH351" i="13"/>
  <c r="BH343" i="13"/>
  <c r="BH329" i="13"/>
  <c r="BH460" i="13"/>
  <c r="BH445" i="13"/>
  <c r="BH382" i="13"/>
  <c r="BH360" i="13"/>
  <c r="BH353" i="13"/>
  <c r="BH345" i="13"/>
  <c r="BH338" i="13"/>
  <c r="BH336" i="13"/>
  <c r="BH334" i="13"/>
  <c r="BH332" i="13"/>
  <c r="BH330" i="13"/>
  <c r="BH328" i="13"/>
  <c r="BH326" i="13"/>
  <c r="BH324" i="13"/>
  <c r="BH322" i="13"/>
  <c r="BH320" i="13"/>
  <c r="BH318" i="13"/>
  <c r="BH453" i="13"/>
  <c r="BH412" i="13"/>
  <c r="BH355" i="13"/>
  <c r="BH317" i="13"/>
  <c r="BH314" i="13"/>
  <c r="BH312" i="13"/>
  <c r="BH310" i="13"/>
  <c r="BH308" i="13"/>
  <c r="BH306" i="13"/>
  <c r="BH304" i="13"/>
  <c r="BH302" i="13"/>
  <c r="BH300" i="13"/>
  <c r="BH298" i="13"/>
  <c r="BH296" i="13"/>
  <c r="BH294" i="13"/>
  <c r="BH292" i="13"/>
  <c r="BH290" i="13"/>
  <c r="BH288" i="13"/>
  <c r="BH286" i="13"/>
  <c r="BH284" i="13"/>
  <c r="BH236" i="13"/>
  <c r="BH234" i="13"/>
  <c r="BH232" i="13"/>
  <c r="BH230" i="13"/>
  <c r="BH228" i="13"/>
  <c r="BH226" i="13"/>
  <c r="BH224" i="13"/>
  <c r="BH222" i="13"/>
  <c r="BH220" i="13"/>
  <c r="BH218" i="13"/>
  <c r="BH216" i="13"/>
  <c r="BH214" i="13"/>
  <c r="BH212" i="13"/>
  <c r="BH210" i="13"/>
  <c r="BH208" i="13"/>
  <c r="BH206" i="13"/>
  <c r="BH204" i="13"/>
  <c r="BH190" i="13"/>
  <c r="BH189" i="13"/>
  <c r="BH188" i="13"/>
  <c r="BH187" i="13"/>
  <c r="BH186" i="13"/>
  <c r="BH185" i="13"/>
  <c r="BH184" i="13"/>
  <c r="BH183" i="13"/>
  <c r="BH182" i="13"/>
  <c r="BH181" i="13"/>
  <c r="BH180" i="13"/>
  <c r="BH179" i="13"/>
  <c r="BH178" i="13"/>
  <c r="BH177" i="13"/>
  <c r="BH176" i="13"/>
  <c r="BH175" i="13"/>
  <c r="BH174" i="13"/>
  <c r="BH173" i="13"/>
  <c r="BH172" i="13"/>
  <c r="BH171" i="13"/>
  <c r="BH170" i="13"/>
  <c r="BH169" i="13"/>
  <c r="BH404" i="13"/>
  <c r="BH388" i="13"/>
  <c r="BH362" i="13"/>
  <c r="BH321" i="13"/>
  <c r="BH396" i="13"/>
  <c r="BH339" i="13"/>
  <c r="BH313" i="13"/>
  <c r="BH311" i="13"/>
  <c r="BH309" i="13"/>
  <c r="BH307" i="13"/>
  <c r="BH305" i="13"/>
  <c r="BH303" i="13"/>
  <c r="BH301" i="13"/>
  <c r="BH299" i="13"/>
  <c r="BH297" i="13"/>
  <c r="BH295" i="13"/>
  <c r="BH293" i="13"/>
  <c r="BH291" i="13"/>
  <c r="BH289" i="13"/>
  <c r="BH287" i="13"/>
  <c r="BH285" i="13"/>
  <c r="BH283" i="13"/>
  <c r="BH235" i="13"/>
  <c r="BH233" i="13"/>
  <c r="BH231" i="13"/>
  <c r="BH229" i="13"/>
  <c r="BH227" i="13"/>
  <c r="BH225" i="13"/>
  <c r="BH223" i="13"/>
  <c r="BH221" i="13"/>
  <c r="BH364" i="13"/>
  <c r="BH168" i="13"/>
  <c r="BH167" i="13"/>
  <c r="BH166" i="13"/>
  <c r="BH165" i="13"/>
  <c r="BH164" i="13"/>
  <c r="BH163" i="13"/>
  <c r="BH162" i="13"/>
  <c r="BH161" i="13"/>
  <c r="BH160" i="13"/>
  <c r="BH159" i="13"/>
  <c r="BH158" i="13"/>
  <c r="BH157" i="13"/>
  <c r="BH156" i="13"/>
  <c r="BH155" i="13"/>
  <c r="BH154" i="13"/>
  <c r="BH153" i="13"/>
  <c r="BH152" i="13"/>
  <c r="BH151" i="13"/>
  <c r="BH150" i="13"/>
  <c r="BH149" i="13"/>
  <c r="BH148" i="13"/>
  <c r="BH147" i="13"/>
  <c r="BH146" i="13"/>
  <c r="BH145" i="13"/>
  <c r="BH217" i="13"/>
  <c r="BH213" i="13"/>
  <c r="BH209" i="13"/>
  <c r="BH205" i="13"/>
  <c r="BH203" i="13"/>
  <c r="BH202" i="13"/>
  <c r="BH200" i="13"/>
  <c r="BH198" i="13"/>
  <c r="BH196" i="13"/>
  <c r="BH194" i="13"/>
  <c r="BH192" i="13"/>
  <c r="BH52" i="13"/>
  <c r="BH51" i="13"/>
  <c r="BH50" i="13"/>
  <c r="BH49" i="13"/>
  <c r="BH48" i="13"/>
  <c r="BH47" i="13"/>
  <c r="BH46" i="13"/>
  <c r="BH45" i="13"/>
  <c r="BH44" i="13"/>
  <c r="BH43" i="13"/>
  <c r="BH42" i="13"/>
  <c r="BH41" i="13"/>
  <c r="BH40" i="13"/>
  <c r="BH39" i="13"/>
  <c r="BH38" i="13"/>
  <c r="BH37" i="13"/>
  <c r="BH36" i="13"/>
  <c r="BH35" i="13"/>
  <c r="BH34" i="13"/>
  <c r="BH33" i="13"/>
  <c r="BH32" i="13"/>
  <c r="BH31" i="13"/>
  <c r="BH30" i="13"/>
  <c r="BH29" i="13"/>
  <c r="BH28" i="13"/>
  <c r="BH27" i="13"/>
  <c r="BH420" i="13"/>
  <c r="BH323" i="13"/>
  <c r="BH315" i="13"/>
  <c r="BH219" i="13"/>
  <c r="BH199" i="13"/>
  <c r="BH144" i="13"/>
  <c r="BH143" i="13"/>
  <c r="BH142" i="13"/>
  <c r="BH141" i="13"/>
  <c r="BH140" i="13"/>
  <c r="BH139" i="13"/>
  <c r="BH138" i="13"/>
  <c r="BH137" i="13"/>
  <c r="BH136" i="13"/>
  <c r="BH135" i="13"/>
  <c r="BH134" i="13"/>
  <c r="BH133" i="13"/>
  <c r="BH132" i="13"/>
  <c r="BH131" i="13"/>
  <c r="BH130" i="13"/>
  <c r="BH129" i="13"/>
  <c r="BH128" i="13"/>
  <c r="BH127" i="13"/>
  <c r="BH126" i="13"/>
  <c r="BH125" i="13"/>
  <c r="BH124" i="13"/>
  <c r="BH123" i="13"/>
  <c r="BH122" i="13"/>
  <c r="BH121" i="13"/>
  <c r="BH120" i="13"/>
  <c r="BH119" i="13"/>
  <c r="BH118" i="13"/>
  <c r="BH117" i="13"/>
  <c r="BH116" i="13"/>
  <c r="BH115" i="13"/>
  <c r="BH114" i="13"/>
  <c r="BH113" i="13"/>
  <c r="BH112" i="13"/>
  <c r="BH111" i="13"/>
  <c r="BH110" i="13"/>
  <c r="BH109" i="13"/>
  <c r="BH108" i="13"/>
  <c r="BH107" i="13"/>
  <c r="BH106" i="13"/>
  <c r="BH105" i="13"/>
  <c r="BH104" i="13"/>
  <c r="BH103" i="13"/>
  <c r="BH102" i="13"/>
  <c r="BH101" i="13"/>
  <c r="BH100" i="13"/>
  <c r="BH319" i="13"/>
  <c r="BH215" i="13"/>
  <c r="BH197" i="13"/>
  <c r="BH191" i="13"/>
  <c r="BH316" i="13"/>
  <c r="BH211" i="13"/>
  <c r="BH195" i="13"/>
  <c r="BH53" i="13"/>
  <c r="BH26" i="13"/>
  <c r="BH25" i="13"/>
  <c r="BH24" i="13"/>
  <c r="BH23" i="13"/>
  <c r="BH22" i="13"/>
  <c r="BH21" i="13"/>
  <c r="BH20" i="13"/>
  <c r="BH19" i="13"/>
  <c r="BH207" i="13"/>
  <c r="BH193" i="13"/>
  <c r="BH97" i="13"/>
  <c r="BH95" i="13"/>
  <c r="BH93" i="13"/>
  <c r="BH91" i="13"/>
  <c r="BH89" i="13"/>
  <c r="BH87" i="13"/>
  <c r="BH85" i="13"/>
  <c r="BH83" i="13"/>
  <c r="BH81" i="13"/>
  <c r="BH79" i="13"/>
  <c r="BH77" i="13"/>
  <c r="BH75" i="13"/>
  <c r="BH73" i="13"/>
  <c r="BH71" i="13"/>
  <c r="BH69" i="13"/>
  <c r="BH67" i="13"/>
  <c r="BH65" i="13"/>
  <c r="BH63" i="13"/>
  <c r="BH61" i="13"/>
  <c r="BH59" i="13"/>
  <c r="BH57" i="13"/>
  <c r="BH55" i="13"/>
  <c r="BH18" i="13"/>
  <c r="BH17" i="13"/>
  <c r="BH16" i="13"/>
  <c r="BH15" i="13"/>
  <c r="BH14" i="13"/>
  <c r="BH13" i="13"/>
  <c r="BH12" i="13"/>
  <c r="BH11" i="13"/>
  <c r="BH10" i="13"/>
  <c r="BH9" i="13"/>
  <c r="BH8" i="13"/>
  <c r="BH7" i="13"/>
  <c r="BH99" i="13"/>
  <c r="BH98" i="13"/>
  <c r="BH96" i="13"/>
  <c r="BH94" i="13"/>
  <c r="BH92" i="13"/>
  <c r="BH90" i="13"/>
  <c r="BH88" i="13"/>
  <c r="BH86" i="13"/>
  <c r="BH84" i="13"/>
  <c r="BH82" i="13"/>
  <c r="BH80" i="13"/>
  <c r="BH78" i="13"/>
  <c r="BH76" i="13"/>
  <c r="BH74" i="13"/>
  <c r="BH72" i="13"/>
  <c r="BH70" i="13"/>
  <c r="BH68" i="13"/>
  <c r="BH66" i="13"/>
  <c r="BH64" i="13"/>
  <c r="BH62" i="13"/>
  <c r="BH60" i="13"/>
  <c r="BH58" i="13"/>
  <c r="BH56" i="13"/>
  <c r="BH54" i="13"/>
  <c r="BH347" i="13"/>
  <c r="BH201" i="13"/>
  <c r="BI5" i="13"/>
  <c r="BA78" i="10" a="1"/>
  <c r="BA78" i="10" s="1"/>
  <c r="BA75" i="10" a="1"/>
  <c r="BA75" i="10" s="1"/>
  <c r="AZ76" i="10" a="1"/>
  <c r="AZ76" i="10" s="1"/>
  <c r="AZ78" i="10" a="1"/>
  <c r="AZ78" i="10" s="1"/>
  <c r="AZ77" i="10" a="1"/>
  <c r="AZ77" i="10" s="1"/>
  <c r="BB96" i="10"/>
  <c r="BC7" i="10" a="1"/>
  <c r="BC7" i="10" s="1"/>
  <c r="BD3" i="10"/>
  <c r="BC84" i="10"/>
  <c r="BC86" i="10" s="1"/>
  <c r="BC90" i="10"/>
  <c r="BC89" i="10"/>
  <c r="BB91" i="10"/>
  <c r="BE5" i="10"/>
  <c r="BD4" i="10"/>
  <c r="AG99" i="10" l="1"/>
  <c r="BE114" i="10"/>
  <c r="BE115" i="10" s="1"/>
  <c r="BE116" i="10" s="1"/>
  <c r="BD45" i="10"/>
  <c r="BD50" i="10" s="1"/>
  <c r="BC6" i="10"/>
  <c r="BC15" i="10" s="1"/>
  <c r="BC43" i="10"/>
  <c r="BC96" i="10"/>
  <c r="BA76" i="10" a="1"/>
  <c r="BA76" i="10" s="1"/>
  <c r="BB69" i="10"/>
  <c r="BB11" i="10"/>
  <c r="BB67" i="10"/>
  <c r="BB10" i="10"/>
  <c r="BB64" i="10"/>
  <c r="BE128" i="10"/>
  <c r="BD95" i="10"/>
  <c r="BB17" i="10"/>
  <c r="BB32" i="10"/>
  <c r="BB24" i="10"/>
  <c r="BB16" i="10"/>
  <c r="BB35" i="10"/>
  <c r="BB15" i="10"/>
  <c r="BB21" i="10"/>
  <c r="BB38" i="10"/>
  <c r="BB30" i="10"/>
  <c r="BB22" i="10"/>
  <c r="BB14" i="10"/>
  <c r="BB33" i="10"/>
  <c r="BB19" i="10"/>
  <c r="BB37" i="10"/>
  <c r="BB36" i="10"/>
  <c r="BB28" i="10"/>
  <c r="BB20" i="10"/>
  <c r="BB12" i="10"/>
  <c r="BB25" i="10"/>
  <c r="BB31" i="10"/>
  <c r="BB13" i="10"/>
  <c r="BB27" i="10"/>
  <c r="BB34" i="10"/>
  <c r="BB26" i="10"/>
  <c r="BB18" i="10"/>
  <c r="BB23" i="10"/>
  <c r="BB29" i="10"/>
  <c r="BA39" i="10"/>
  <c r="BA47" i="10" s="1"/>
  <c r="AZ49" i="10"/>
  <c r="BC91" i="10"/>
  <c r="BE4" i="10"/>
  <c r="BF5" i="10"/>
  <c r="BB99" i="10"/>
  <c r="BD7" i="10" a="1"/>
  <c r="BD7" i="10" s="1"/>
  <c r="BE3" i="10"/>
  <c r="BD89" i="10"/>
  <c r="BD90" i="10"/>
  <c r="BD84" i="10"/>
  <c r="BD86" i="10" s="1"/>
  <c r="BI466" i="13"/>
  <c r="BI465" i="13"/>
  <c r="BI464" i="13"/>
  <c r="BI463" i="13"/>
  <c r="BI462" i="13"/>
  <c r="BI461" i="13"/>
  <c r="BI458" i="13"/>
  <c r="BI454" i="13"/>
  <c r="BI449" i="13"/>
  <c r="BI448" i="13"/>
  <c r="BI441" i="13"/>
  <c r="BI440" i="13"/>
  <c r="BI359" i="13"/>
  <c r="BI358" i="13"/>
  <c r="BI357" i="13"/>
  <c r="BI356" i="13"/>
  <c r="BI355" i="13"/>
  <c r="BI354" i="13"/>
  <c r="BI353" i="13"/>
  <c r="BI352" i="13"/>
  <c r="BI351" i="13"/>
  <c r="BI350" i="13"/>
  <c r="BI349" i="13"/>
  <c r="BI348" i="13"/>
  <c r="BI347" i="13"/>
  <c r="BI346" i="13"/>
  <c r="BI345" i="13"/>
  <c r="BI344" i="13"/>
  <c r="BI343" i="13"/>
  <c r="BI342" i="13"/>
  <c r="BI341" i="13"/>
  <c r="BI340" i="13"/>
  <c r="BB78" i="10" s="1" a="1"/>
  <c r="BB78" i="10" s="1"/>
  <c r="BI339" i="13"/>
  <c r="BI457" i="13"/>
  <c r="BI453" i="13"/>
  <c r="BI450" i="13"/>
  <c r="BI443" i="13"/>
  <c r="BI442" i="13"/>
  <c r="BI434" i="13"/>
  <c r="BI432" i="13"/>
  <c r="BI430" i="13"/>
  <c r="BI428" i="13"/>
  <c r="BI426" i="13"/>
  <c r="BI424" i="13"/>
  <c r="BI422" i="13"/>
  <c r="BI420" i="13"/>
  <c r="BI418" i="13"/>
  <c r="BI416" i="13"/>
  <c r="BI414" i="13"/>
  <c r="BI412" i="13"/>
  <c r="BI410" i="13"/>
  <c r="BI408" i="13"/>
  <c r="BI406" i="13"/>
  <c r="BI404" i="13"/>
  <c r="BI402" i="13"/>
  <c r="BI400" i="13"/>
  <c r="BI398" i="13"/>
  <c r="BI396" i="13"/>
  <c r="BI394" i="13"/>
  <c r="BI459" i="13"/>
  <c r="BI451" i="13"/>
  <c r="BI439" i="13"/>
  <c r="BI438" i="13"/>
  <c r="BI435" i="13"/>
  <c r="BI431" i="13"/>
  <c r="BI427" i="13"/>
  <c r="BI423" i="13"/>
  <c r="BI386" i="13"/>
  <c r="BI385" i="13"/>
  <c r="BI378" i="13"/>
  <c r="BI377" i="13"/>
  <c r="BI375" i="13"/>
  <c r="BI368" i="13"/>
  <c r="BI367" i="13"/>
  <c r="BI360" i="13"/>
  <c r="BI328" i="13"/>
  <c r="BI327" i="13"/>
  <c r="BI326" i="13"/>
  <c r="BI325" i="13"/>
  <c r="BI324" i="13"/>
  <c r="BI323" i="13"/>
  <c r="BI322" i="13"/>
  <c r="BI321" i="13"/>
  <c r="BI320" i="13"/>
  <c r="BI319" i="13"/>
  <c r="BI318" i="13"/>
  <c r="BI317" i="13"/>
  <c r="BI316" i="13"/>
  <c r="BI315" i="13"/>
  <c r="BI314" i="13"/>
  <c r="BI313" i="13"/>
  <c r="BI312" i="13"/>
  <c r="BI311" i="13"/>
  <c r="BI310" i="13"/>
  <c r="BI309" i="13"/>
  <c r="BI308" i="13"/>
  <c r="BI307" i="13"/>
  <c r="BI306" i="13"/>
  <c r="BI305" i="13"/>
  <c r="BI304" i="13"/>
  <c r="BI303" i="13"/>
  <c r="BI302" i="13"/>
  <c r="BI301" i="13"/>
  <c r="BI300" i="13"/>
  <c r="BI299" i="13"/>
  <c r="BI298" i="13"/>
  <c r="BI297" i="13"/>
  <c r="BI296" i="13"/>
  <c r="BI295" i="13"/>
  <c r="BI294" i="13"/>
  <c r="BI293" i="13"/>
  <c r="BI292" i="13"/>
  <c r="BI291" i="13"/>
  <c r="BI290" i="13"/>
  <c r="BI289" i="13"/>
  <c r="BI288" i="13"/>
  <c r="BI287" i="13"/>
  <c r="BI286" i="13"/>
  <c r="BI285" i="13"/>
  <c r="BI284" i="13"/>
  <c r="BI283" i="13"/>
  <c r="BI460" i="13"/>
  <c r="BI452" i="13"/>
  <c r="BI445" i="13"/>
  <c r="BI444" i="13"/>
  <c r="BI417" i="13"/>
  <c r="BI413" i="13"/>
  <c r="BI409" i="13"/>
  <c r="BI405" i="13"/>
  <c r="BI401" i="13"/>
  <c r="BI397" i="13"/>
  <c r="BI393" i="13"/>
  <c r="BI388" i="13"/>
  <c r="BI387" i="13"/>
  <c r="BI380" i="13"/>
  <c r="BI379" i="13"/>
  <c r="BI370" i="13"/>
  <c r="BI369" i="13"/>
  <c r="BI455" i="13"/>
  <c r="BI429" i="13"/>
  <c r="BI415" i="13"/>
  <c r="BI407" i="13"/>
  <c r="BI399" i="13"/>
  <c r="BI392" i="13"/>
  <c r="BI391" i="13"/>
  <c r="BI376" i="13"/>
  <c r="BI372" i="13"/>
  <c r="BI371" i="13"/>
  <c r="BI329" i="13"/>
  <c r="BI437" i="13"/>
  <c r="BI436" i="13"/>
  <c r="BI382" i="13"/>
  <c r="BI381" i="13"/>
  <c r="BI374" i="13"/>
  <c r="BI373" i="13"/>
  <c r="BI338" i="13"/>
  <c r="BI336" i="13"/>
  <c r="BI334" i="13"/>
  <c r="BI332" i="13"/>
  <c r="BI330" i="13"/>
  <c r="BI447" i="13"/>
  <c r="BI446" i="13"/>
  <c r="BI433" i="13"/>
  <c r="BI425" i="13"/>
  <c r="BI419" i="13"/>
  <c r="BI411" i="13"/>
  <c r="BI403" i="13"/>
  <c r="BI395" i="13"/>
  <c r="BI384" i="13"/>
  <c r="BI383" i="13"/>
  <c r="BI364" i="13"/>
  <c r="BI362" i="13"/>
  <c r="BI361" i="13"/>
  <c r="BI456" i="13"/>
  <c r="BI333" i="13"/>
  <c r="BI202" i="13"/>
  <c r="BI201" i="13"/>
  <c r="BI200" i="13"/>
  <c r="BI199" i="13"/>
  <c r="BI198" i="13"/>
  <c r="BI197" i="13"/>
  <c r="BI196" i="13"/>
  <c r="BI195" i="13"/>
  <c r="BI194" i="13"/>
  <c r="BI193" i="13"/>
  <c r="BI192" i="13"/>
  <c r="BI191" i="13"/>
  <c r="BI390" i="13"/>
  <c r="BI389" i="13"/>
  <c r="BI335" i="13"/>
  <c r="BI281" i="13"/>
  <c r="BI279" i="13"/>
  <c r="BI277" i="13"/>
  <c r="BI275" i="13"/>
  <c r="BI273" i="13"/>
  <c r="BI271" i="13"/>
  <c r="BI269" i="13"/>
  <c r="BI267" i="13"/>
  <c r="BI265" i="13"/>
  <c r="BI263" i="13"/>
  <c r="BI261" i="13"/>
  <c r="BI259" i="13"/>
  <c r="BI257" i="13"/>
  <c r="BI255" i="13"/>
  <c r="BI253" i="13"/>
  <c r="BI251" i="13"/>
  <c r="BI249" i="13"/>
  <c r="BI247" i="13"/>
  <c r="BI245" i="13"/>
  <c r="BI243" i="13"/>
  <c r="BI241" i="13"/>
  <c r="BI239" i="13"/>
  <c r="BI237" i="13"/>
  <c r="BI235" i="13"/>
  <c r="BI233" i="13"/>
  <c r="BI231" i="13"/>
  <c r="BI229" i="13"/>
  <c r="BI227" i="13"/>
  <c r="BI225" i="13"/>
  <c r="BI223" i="13"/>
  <c r="BI221" i="13"/>
  <c r="BI219" i="13"/>
  <c r="BI217" i="13"/>
  <c r="BI215" i="13"/>
  <c r="BI213" i="13"/>
  <c r="BI211" i="13"/>
  <c r="BI209" i="13"/>
  <c r="BI207" i="13"/>
  <c r="BI205" i="13"/>
  <c r="BI421" i="13"/>
  <c r="BI280" i="13"/>
  <c r="BI272" i="13"/>
  <c r="BI264" i="13"/>
  <c r="BI256" i="13"/>
  <c r="BI248" i="13"/>
  <c r="BI240" i="13"/>
  <c r="BI236" i="13"/>
  <c r="BI228" i="13"/>
  <c r="BI218" i="13"/>
  <c r="BI214" i="13"/>
  <c r="BI210" i="13"/>
  <c r="BI206" i="13"/>
  <c r="BI203" i="13"/>
  <c r="BI190" i="13"/>
  <c r="BI188" i="13"/>
  <c r="BI186" i="13"/>
  <c r="BI184" i="13"/>
  <c r="BI182" i="13"/>
  <c r="BI180" i="13"/>
  <c r="BI178" i="13"/>
  <c r="BI176" i="13"/>
  <c r="BI174" i="13"/>
  <c r="BI172" i="13"/>
  <c r="BI170" i="13"/>
  <c r="BI52" i="13"/>
  <c r="BI51" i="13"/>
  <c r="BI50" i="13"/>
  <c r="BI49" i="13"/>
  <c r="BI48" i="13"/>
  <c r="BI47" i="13"/>
  <c r="BI46" i="13"/>
  <c r="BI45" i="13"/>
  <c r="BI44" i="13"/>
  <c r="BI43" i="13"/>
  <c r="BI42" i="13"/>
  <c r="BI41" i="13"/>
  <c r="BI40" i="13"/>
  <c r="BI39" i="13"/>
  <c r="BI38" i="13"/>
  <c r="BI37" i="13"/>
  <c r="BI36" i="13"/>
  <c r="BI35" i="13"/>
  <c r="BI34" i="13"/>
  <c r="BI33" i="13"/>
  <c r="BI32" i="13"/>
  <c r="BI31" i="13"/>
  <c r="BI30" i="13"/>
  <c r="BI29" i="13"/>
  <c r="BI28" i="13"/>
  <c r="BI27" i="13"/>
  <c r="BI363" i="13"/>
  <c r="BI278" i="13"/>
  <c r="BI270" i="13"/>
  <c r="BI262" i="13"/>
  <c r="BI254" i="13"/>
  <c r="BI246" i="13"/>
  <c r="BI238" i="13"/>
  <c r="BI234" i="13"/>
  <c r="BI226" i="13"/>
  <c r="BI204" i="13"/>
  <c r="BI98" i="13"/>
  <c r="BI97" i="13"/>
  <c r="BI96" i="13"/>
  <c r="BI95" i="13"/>
  <c r="BI94" i="13"/>
  <c r="BI93" i="13"/>
  <c r="BI92" i="13"/>
  <c r="BI91" i="13"/>
  <c r="BI90" i="13"/>
  <c r="BI89" i="13"/>
  <c r="BI88" i="13"/>
  <c r="BI87" i="13"/>
  <c r="BI86" i="13"/>
  <c r="BI85" i="13"/>
  <c r="BI84" i="13"/>
  <c r="BI83" i="13"/>
  <c r="BI82" i="13"/>
  <c r="BI81" i="13"/>
  <c r="BI80" i="13"/>
  <c r="BI79" i="13"/>
  <c r="BI78" i="13"/>
  <c r="BI77" i="13"/>
  <c r="BI76" i="13"/>
  <c r="BI75" i="13"/>
  <c r="BI74" i="13"/>
  <c r="BI73" i="13"/>
  <c r="BI72" i="13"/>
  <c r="BI71" i="13"/>
  <c r="BI70" i="13"/>
  <c r="BI69" i="13"/>
  <c r="BI68" i="13"/>
  <c r="BI67" i="13"/>
  <c r="BI66" i="13"/>
  <c r="BI65" i="13"/>
  <c r="BI64" i="13"/>
  <c r="BI63" i="13"/>
  <c r="BI62" i="13"/>
  <c r="BI61" i="13"/>
  <c r="BI60" i="13"/>
  <c r="BI59" i="13"/>
  <c r="BI58" i="13"/>
  <c r="BI57" i="13"/>
  <c r="BI56" i="13"/>
  <c r="BI55" i="13"/>
  <c r="BI54" i="13"/>
  <c r="BI53" i="13"/>
  <c r="BI366" i="13"/>
  <c r="BI337" i="13"/>
  <c r="BI331" i="13"/>
  <c r="BI276" i="13"/>
  <c r="BI268" i="13"/>
  <c r="BI260" i="13"/>
  <c r="BI252" i="13"/>
  <c r="BI244" i="13"/>
  <c r="BI232" i="13"/>
  <c r="BI224" i="13"/>
  <c r="BI220" i="13"/>
  <c r="BI216" i="13"/>
  <c r="BI212" i="13"/>
  <c r="BI208" i="13"/>
  <c r="BI266" i="13"/>
  <c r="BI99" i="13"/>
  <c r="BI258" i="13"/>
  <c r="BI187" i="13"/>
  <c r="BI183" i="13"/>
  <c r="BI179" i="13"/>
  <c r="BI175" i="13"/>
  <c r="BI171" i="13"/>
  <c r="BI282" i="13"/>
  <c r="BI250" i="13"/>
  <c r="BI230" i="13"/>
  <c r="BI168" i="13"/>
  <c r="BI167" i="13"/>
  <c r="BI166" i="13"/>
  <c r="BI165" i="13"/>
  <c r="BI164" i="13"/>
  <c r="BI163" i="13"/>
  <c r="BI162" i="13"/>
  <c r="BI161" i="13"/>
  <c r="BI160" i="13"/>
  <c r="BI159" i="13"/>
  <c r="BI158" i="13"/>
  <c r="BI157" i="13"/>
  <c r="BI156" i="13"/>
  <c r="BI155" i="13"/>
  <c r="BI154" i="13"/>
  <c r="BI153" i="13"/>
  <c r="BI152" i="13"/>
  <c r="BI151" i="13"/>
  <c r="BI150" i="13"/>
  <c r="BI149" i="13"/>
  <c r="BI148" i="13"/>
  <c r="BI147" i="13"/>
  <c r="BI146" i="13"/>
  <c r="BI145" i="13"/>
  <c r="BI177" i="13"/>
  <c r="BI144" i="13"/>
  <c r="BI140" i="13"/>
  <c r="BI365" i="13"/>
  <c r="BI222" i="13"/>
  <c r="BI189" i="13"/>
  <c r="BI173" i="13"/>
  <c r="BI141" i="13"/>
  <c r="BI137" i="13"/>
  <c r="BI135" i="13"/>
  <c r="BI133" i="13"/>
  <c r="BI131" i="13"/>
  <c r="BI129" i="13"/>
  <c r="BI127" i="13"/>
  <c r="BI125" i="13"/>
  <c r="BI123" i="13"/>
  <c r="BI121" i="13"/>
  <c r="BI119" i="13"/>
  <c r="BI117" i="13"/>
  <c r="BI115" i="13"/>
  <c r="BI113" i="13"/>
  <c r="BI111" i="13"/>
  <c r="BI109" i="13"/>
  <c r="BI107" i="13"/>
  <c r="BI105" i="13"/>
  <c r="BI103" i="13"/>
  <c r="BI101" i="13"/>
  <c r="BI274" i="13"/>
  <c r="BI185" i="13"/>
  <c r="BI169" i="13"/>
  <c r="BI142" i="13"/>
  <c r="BI138" i="13"/>
  <c r="BI26" i="13"/>
  <c r="BI25" i="13"/>
  <c r="BI24" i="13"/>
  <c r="BI23" i="13"/>
  <c r="BI22" i="13"/>
  <c r="BI21" i="13"/>
  <c r="BI20" i="13"/>
  <c r="BI19" i="13"/>
  <c r="BJ5" i="13"/>
  <c r="BI242" i="13"/>
  <c r="BI181" i="13"/>
  <c r="BI143" i="13"/>
  <c r="BI139" i="13"/>
  <c r="BI136" i="13"/>
  <c r="BI134" i="13"/>
  <c r="BI132" i="13"/>
  <c r="BI130" i="13"/>
  <c r="BI128" i="13"/>
  <c r="BI126" i="13"/>
  <c r="BI124" i="13"/>
  <c r="BI122" i="13"/>
  <c r="BI120" i="13"/>
  <c r="BI118" i="13"/>
  <c r="BI116" i="13"/>
  <c r="BI114" i="13"/>
  <c r="BI112" i="13"/>
  <c r="BI110" i="13"/>
  <c r="BI108" i="13"/>
  <c r="BI106" i="13"/>
  <c r="BI104" i="13"/>
  <c r="BI102" i="13"/>
  <c r="BI100" i="13"/>
  <c r="BI7" i="13"/>
  <c r="BI17" i="13"/>
  <c r="BI15" i="13"/>
  <c r="BI13" i="13"/>
  <c r="BI11" i="13"/>
  <c r="BI9" i="13"/>
  <c r="BI18" i="13"/>
  <c r="BI16" i="13"/>
  <c r="BI14" i="13"/>
  <c r="BI12" i="13"/>
  <c r="BI10" i="13"/>
  <c r="BI8" i="13"/>
  <c r="BC31" i="10" l="1"/>
  <c r="BB75" i="10" a="1"/>
  <c r="BB75" i="10" s="1"/>
  <c r="BC26" i="10"/>
  <c r="BC37" i="10"/>
  <c r="BC38" i="10"/>
  <c r="BC17" i="10"/>
  <c r="BC24" i="10"/>
  <c r="BD43" i="10"/>
  <c r="L7" i="11"/>
  <c r="L6" i="11" s="1"/>
  <c r="BC35" i="10"/>
  <c r="BC29" i="10"/>
  <c r="BC33" i="10"/>
  <c r="BC36" i="10"/>
  <c r="BC22" i="10"/>
  <c r="BC27" i="10"/>
  <c r="BE45" i="10"/>
  <c r="BC99" i="10"/>
  <c r="BF114" i="10"/>
  <c r="BF115" i="10" s="1"/>
  <c r="BF116" i="10" s="1"/>
  <c r="BC34" i="10"/>
  <c r="BC21" i="10"/>
  <c r="BC19" i="10"/>
  <c r="BC13" i="10"/>
  <c r="BC32" i="10"/>
  <c r="BC30" i="10"/>
  <c r="BC28" i="10"/>
  <c r="BC16" i="10"/>
  <c r="BC14" i="10"/>
  <c r="BC12" i="10"/>
  <c r="BC25" i="10"/>
  <c r="BC18" i="10"/>
  <c r="BC23" i="10"/>
  <c r="BC20" i="10"/>
  <c r="BC11" i="10"/>
  <c r="BC10" i="10"/>
  <c r="BC64" i="10"/>
  <c r="BC67" i="10"/>
  <c r="BC69" i="10"/>
  <c r="BD96" i="10"/>
  <c r="BF128" i="10"/>
  <c r="BE95" i="10"/>
  <c r="BD6" i="10"/>
  <c r="BB39" i="10"/>
  <c r="BB47" i="10" s="1"/>
  <c r="BA49" i="10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J454" i="13"/>
  <c r="BJ453" i="13"/>
  <c r="BJ452" i="13"/>
  <c r="BJ451" i="13"/>
  <c r="BJ449" i="13"/>
  <c r="BJ447" i="13"/>
  <c r="BJ445" i="13"/>
  <c r="BJ443" i="13"/>
  <c r="BJ441" i="13"/>
  <c r="BJ439" i="13"/>
  <c r="BJ437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450" i="13"/>
  <c r="BJ442" i="13"/>
  <c r="BJ434" i="13"/>
  <c r="BJ432" i="13"/>
  <c r="BJ430" i="13"/>
  <c r="BJ428" i="13"/>
  <c r="BJ426" i="13"/>
  <c r="BJ424" i="13"/>
  <c r="BJ422" i="13"/>
  <c r="BJ420" i="13"/>
  <c r="BJ418" i="13"/>
  <c r="BJ416" i="13"/>
  <c r="BJ414" i="13"/>
  <c r="BJ412" i="13"/>
  <c r="BJ410" i="13"/>
  <c r="BJ408" i="13"/>
  <c r="BJ406" i="13"/>
  <c r="BJ404" i="13"/>
  <c r="BJ402" i="13"/>
  <c r="BJ400" i="13"/>
  <c r="BJ398" i="13"/>
  <c r="BJ396" i="13"/>
  <c r="BJ394" i="13"/>
  <c r="BJ392" i="13"/>
  <c r="BJ390" i="13"/>
  <c r="BJ388" i="13"/>
  <c r="BJ386" i="13"/>
  <c r="BJ384" i="13"/>
  <c r="BJ382" i="13"/>
  <c r="BJ380" i="13"/>
  <c r="BJ378" i="13"/>
  <c r="BJ376" i="13"/>
  <c r="BJ444" i="13"/>
  <c r="BJ436" i="13"/>
  <c r="BJ440" i="13"/>
  <c r="BJ417" i="13"/>
  <c r="BJ413" i="13"/>
  <c r="BJ409" i="13"/>
  <c r="BJ405" i="13"/>
  <c r="BJ401" i="13"/>
  <c r="BJ397" i="13"/>
  <c r="BJ393" i="13"/>
  <c r="BJ387" i="13"/>
  <c r="BJ379" i="13"/>
  <c r="BJ338" i="13"/>
  <c r="BJ337" i="13"/>
  <c r="BJ336" i="13"/>
  <c r="BJ335" i="13"/>
  <c r="BJ334" i="13"/>
  <c r="BJ333" i="13"/>
  <c r="BJ332" i="13"/>
  <c r="BJ331" i="13"/>
  <c r="BJ330" i="13"/>
  <c r="BJ329" i="13"/>
  <c r="BJ446" i="13"/>
  <c r="BJ433" i="13"/>
  <c r="BJ429" i="13"/>
  <c r="BJ425" i="13"/>
  <c r="BJ389" i="13"/>
  <c r="BJ381" i="13"/>
  <c r="BJ377" i="13"/>
  <c r="BJ375" i="13"/>
  <c r="BJ359" i="13"/>
  <c r="BJ358" i="13"/>
  <c r="BJ351" i="13"/>
  <c r="BJ350" i="13"/>
  <c r="BJ343" i="13"/>
  <c r="BJ342" i="13"/>
  <c r="BJ438" i="13"/>
  <c r="BJ435" i="13"/>
  <c r="BJ427" i="13"/>
  <c r="BJ419" i="13"/>
  <c r="BJ411" i="13"/>
  <c r="BJ403" i="13"/>
  <c r="BJ395" i="13"/>
  <c r="BJ383" i="13"/>
  <c r="BJ353" i="13"/>
  <c r="BJ352" i="13"/>
  <c r="BJ345" i="13"/>
  <c r="BJ344" i="13"/>
  <c r="BJ328" i="13"/>
  <c r="BJ326" i="13"/>
  <c r="BJ324" i="13"/>
  <c r="BJ322" i="13"/>
  <c r="BJ320" i="13"/>
  <c r="BJ318" i="13"/>
  <c r="BJ316" i="13"/>
  <c r="BJ448" i="13"/>
  <c r="BJ421" i="13"/>
  <c r="BJ385" i="13"/>
  <c r="BJ355" i="13"/>
  <c r="BJ354" i="13"/>
  <c r="BJ347" i="13"/>
  <c r="BJ346" i="13"/>
  <c r="BJ339" i="13"/>
  <c r="BJ431" i="13"/>
  <c r="BJ415" i="13"/>
  <c r="BJ357" i="13"/>
  <c r="BJ356" i="13"/>
  <c r="BJ321" i="13"/>
  <c r="BJ281" i="13"/>
  <c r="BJ279" i="13"/>
  <c r="BJ277" i="13"/>
  <c r="BJ275" i="13"/>
  <c r="BJ273" i="13"/>
  <c r="BJ271" i="13"/>
  <c r="BJ269" i="13"/>
  <c r="BJ267" i="13"/>
  <c r="BJ265" i="13"/>
  <c r="BJ263" i="13"/>
  <c r="BJ261" i="13"/>
  <c r="BJ259" i="13"/>
  <c r="BJ257" i="13"/>
  <c r="BJ255" i="13"/>
  <c r="BJ253" i="13"/>
  <c r="BJ251" i="13"/>
  <c r="BJ249" i="13"/>
  <c r="BJ247" i="13"/>
  <c r="BJ245" i="13"/>
  <c r="BJ243" i="13"/>
  <c r="BJ241" i="13"/>
  <c r="BJ239" i="13"/>
  <c r="BJ237" i="13"/>
  <c r="BJ235" i="13"/>
  <c r="BJ233" i="13"/>
  <c r="BJ231" i="13"/>
  <c r="BJ229" i="13"/>
  <c r="BJ227" i="13"/>
  <c r="BJ225" i="13"/>
  <c r="BJ223" i="13"/>
  <c r="BJ221" i="13"/>
  <c r="BJ219" i="13"/>
  <c r="BJ217" i="13"/>
  <c r="BJ215" i="13"/>
  <c r="BJ213" i="13"/>
  <c r="BJ211" i="13"/>
  <c r="BJ209" i="13"/>
  <c r="BJ207" i="13"/>
  <c r="BJ205" i="13"/>
  <c r="BJ203" i="13"/>
  <c r="BJ423" i="13"/>
  <c r="BJ407" i="13"/>
  <c r="BJ391" i="13"/>
  <c r="BJ313" i="13"/>
  <c r="BJ311" i="13"/>
  <c r="BJ309" i="13"/>
  <c r="BJ307" i="13"/>
  <c r="BJ305" i="13"/>
  <c r="BJ303" i="13"/>
  <c r="BJ301" i="13"/>
  <c r="BJ299" i="13"/>
  <c r="BJ297" i="13"/>
  <c r="BJ295" i="13"/>
  <c r="BJ293" i="13"/>
  <c r="BJ291" i="13"/>
  <c r="BJ289" i="13"/>
  <c r="BJ287" i="13"/>
  <c r="BJ285" i="13"/>
  <c r="BJ283" i="13"/>
  <c r="BJ399" i="13"/>
  <c r="BJ341" i="13"/>
  <c r="BJ340" i="13"/>
  <c r="BC77" i="10" s="1" a="1"/>
  <c r="BC77" i="10" s="1"/>
  <c r="BJ327" i="13"/>
  <c r="BJ323" i="13"/>
  <c r="BJ319" i="13"/>
  <c r="BJ315" i="13"/>
  <c r="BJ282" i="13"/>
  <c r="BJ280" i="13"/>
  <c r="BJ278" i="13"/>
  <c r="BJ276" i="13"/>
  <c r="BJ274" i="13"/>
  <c r="BJ272" i="13"/>
  <c r="BJ270" i="13"/>
  <c r="BJ268" i="13"/>
  <c r="BJ266" i="13"/>
  <c r="BJ264" i="13"/>
  <c r="BJ262" i="13"/>
  <c r="BJ260" i="13"/>
  <c r="BJ258" i="13"/>
  <c r="BJ256" i="13"/>
  <c r="BJ254" i="13"/>
  <c r="BJ252" i="13"/>
  <c r="BJ250" i="13"/>
  <c r="BJ248" i="13"/>
  <c r="BJ246" i="13"/>
  <c r="BJ244" i="13"/>
  <c r="BJ242" i="13"/>
  <c r="BJ240" i="13"/>
  <c r="BJ238" i="13"/>
  <c r="BJ236" i="13"/>
  <c r="BJ234" i="13"/>
  <c r="BJ232" i="13"/>
  <c r="BJ230" i="13"/>
  <c r="BJ228" i="13"/>
  <c r="BJ226" i="13"/>
  <c r="BJ224" i="13"/>
  <c r="BJ222" i="13"/>
  <c r="BJ325" i="13"/>
  <c r="BJ308" i="13"/>
  <c r="BJ300" i="13"/>
  <c r="BJ292" i="13"/>
  <c r="BJ284" i="13"/>
  <c r="BJ204" i="13"/>
  <c r="BJ202" i="13"/>
  <c r="BJ200" i="13"/>
  <c r="BJ198" i="13"/>
  <c r="BJ196" i="13"/>
  <c r="BJ194" i="13"/>
  <c r="BJ192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348" i="13"/>
  <c r="BJ314" i="13"/>
  <c r="BJ306" i="13"/>
  <c r="BJ298" i="13"/>
  <c r="BJ290" i="13"/>
  <c r="BJ220" i="13"/>
  <c r="BJ216" i="13"/>
  <c r="BJ212" i="13"/>
  <c r="BJ208" i="13"/>
  <c r="BJ189" i="13"/>
  <c r="BJ187" i="13"/>
  <c r="BJ185" i="13"/>
  <c r="BJ183" i="13"/>
  <c r="BJ181" i="13"/>
  <c r="BJ179" i="13"/>
  <c r="BJ177" i="13"/>
  <c r="BJ175" i="13"/>
  <c r="BJ173" i="13"/>
  <c r="BJ171" i="13"/>
  <c r="BJ169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312" i="13"/>
  <c r="BJ304" i="13"/>
  <c r="BJ296" i="13"/>
  <c r="BJ288" i="13"/>
  <c r="BJ201" i="13"/>
  <c r="BJ199" i="13"/>
  <c r="BJ197" i="13"/>
  <c r="BJ195" i="13"/>
  <c r="BJ193" i="13"/>
  <c r="BJ317" i="13"/>
  <c r="BJ286" i="13"/>
  <c r="BJ206" i="13"/>
  <c r="BJ191" i="13"/>
  <c r="BJ188" i="13"/>
  <c r="BJ184" i="13"/>
  <c r="BJ180" i="13"/>
  <c r="BJ176" i="13"/>
  <c r="BJ172" i="13"/>
  <c r="BJ26" i="13"/>
  <c r="BJ25" i="13"/>
  <c r="BJ24" i="13"/>
  <c r="BJ23" i="13"/>
  <c r="BJ22" i="13"/>
  <c r="BJ21" i="13"/>
  <c r="BJ20" i="13"/>
  <c r="BJ19" i="13"/>
  <c r="BJ310" i="13"/>
  <c r="BJ218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349" i="13"/>
  <c r="BJ302" i="13"/>
  <c r="BJ214" i="13"/>
  <c r="BJ190" i="13"/>
  <c r="BJ186" i="13"/>
  <c r="BJ182" i="13"/>
  <c r="BJ178" i="13"/>
  <c r="BJ174" i="13"/>
  <c r="BJ170" i="13"/>
  <c r="BJ210" i="13"/>
  <c r="BJ52" i="13"/>
  <c r="BJ50" i="13"/>
  <c r="BJ48" i="13"/>
  <c r="BJ46" i="13"/>
  <c r="BJ44" i="13"/>
  <c r="BJ42" i="13"/>
  <c r="BJ40" i="13"/>
  <c r="BJ38" i="13"/>
  <c r="BJ36" i="13"/>
  <c r="BJ34" i="13"/>
  <c r="BJ32" i="13"/>
  <c r="BJ30" i="13"/>
  <c r="BJ28" i="13"/>
  <c r="BJ294" i="13"/>
  <c r="BK5" i="13"/>
  <c r="BJ51" i="13"/>
  <c r="BJ49" i="13"/>
  <c r="BJ47" i="13"/>
  <c r="BJ45" i="13"/>
  <c r="BJ43" i="13"/>
  <c r="BJ41" i="13"/>
  <c r="BJ39" i="13"/>
  <c r="BJ37" i="13"/>
  <c r="BJ35" i="13"/>
  <c r="BJ33" i="13"/>
  <c r="BJ31" i="13"/>
  <c r="BJ29" i="13"/>
  <c r="BJ27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C75" i="10" a="1"/>
  <c r="BC75" i="10" s="1"/>
  <c r="BC76" i="10" a="1"/>
  <c r="BC76" i="10" s="1"/>
  <c r="BE7" i="10" a="1"/>
  <c r="BE7" i="10" s="1"/>
  <c r="BE43" i="10" s="1"/>
  <c r="BF3" i="10"/>
  <c r="BE84" i="10"/>
  <c r="BE89" i="10"/>
  <c r="BE90" i="10"/>
  <c r="BB76" i="10" a="1"/>
  <c r="BB76" i="10" s="1"/>
  <c r="BG5" i="10"/>
  <c r="BF4" i="10"/>
  <c r="BB77" i="10" a="1"/>
  <c r="BB77" i="10" s="1"/>
  <c r="BD91" i="10"/>
  <c r="BE86" i="10" l="1"/>
  <c r="BD99" i="10"/>
  <c r="BE50" i="10"/>
  <c r="BF45" i="10"/>
  <c r="BF50" i="10" s="1"/>
  <c r="BG114" i="10"/>
  <c r="BG115" i="10" s="1"/>
  <c r="BG116" i="10" s="1"/>
  <c r="BC39" i="10"/>
  <c r="BC47" i="10" s="1"/>
  <c r="BD67" i="10"/>
  <c r="BD10" i="10"/>
  <c r="BD69" i="10"/>
  <c r="BD11" i="10"/>
  <c r="BD64" i="10"/>
  <c r="BC78" i="10" a="1"/>
  <c r="BC78" i="10" s="1"/>
  <c r="BE96" i="10"/>
  <c r="BB49" i="10"/>
  <c r="BG128" i="10"/>
  <c r="BF95" i="10"/>
  <c r="BD23" i="10"/>
  <c r="BD28" i="10"/>
  <c r="BD22" i="10"/>
  <c r="BD18" i="10"/>
  <c r="BD37" i="10"/>
  <c r="BD29" i="10"/>
  <c r="BD21" i="10"/>
  <c r="BD13" i="10"/>
  <c r="BD35" i="10"/>
  <c r="BD34" i="10"/>
  <c r="BD33" i="10"/>
  <c r="BD25" i="10"/>
  <c r="BD17" i="10"/>
  <c r="BD32" i="10"/>
  <c r="BD20" i="10"/>
  <c r="BD16" i="10"/>
  <c r="BD24" i="10"/>
  <c r="BD31" i="10"/>
  <c r="BD15" i="10"/>
  <c r="BD30" i="10"/>
  <c r="BD14" i="10"/>
  <c r="BD12" i="10"/>
  <c r="BD38" i="10"/>
  <c r="BD36" i="10"/>
  <c r="BD27" i="10"/>
  <c r="BD19" i="10"/>
  <c r="BD26" i="10"/>
  <c r="BE6" i="10"/>
  <c r="BH5" i="10"/>
  <c r="BG4" i="10"/>
  <c r="BG3" i="10"/>
  <c r="BF7" i="10" a="1"/>
  <c r="BF7" i="10" s="1"/>
  <c r="BF6" i="10" s="1"/>
  <c r="BF37" i="10" s="1"/>
  <c r="BF84" i="10"/>
  <c r="BF86" i="10" s="1"/>
  <c r="BF89" i="10"/>
  <c r="BF90" i="10"/>
  <c r="BE91" i="10"/>
  <c r="BK466" i="13"/>
  <c r="BK465" i="13"/>
  <c r="BK464" i="13"/>
  <c r="BK463" i="13"/>
  <c r="BK462" i="13"/>
  <c r="BK461" i="13"/>
  <c r="BK460" i="13"/>
  <c r="BK459" i="13"/>
  <c r="BK458" i="13"/>
  <c r="BK457" i="13"/>
  <c r="BK456" i="13"/>
  <c r="BK455" i="13"/>
  <c r="BK454" i="13"/>
  <c r="BK453" i="13"/>
  <c r="BK452" i="13"/>
  <c r="BK451" i="13"/>
  <c r="BK450" i="13"/>
  <c r="BK449" i="13"/>
  <c r="BK448" i="13"/>
  <c r="BK447" i="13"/>
  <c r="BK446" i="13"/>
  <c r="BK445" i="13"/>
  <c r="BK444" i="13"/>
  <c r="BK443" i="13"/>
  <c r="BK442" i="13"/>
  <c r="BK441" i="13"/>
  <c r="BK440" i="13"/>
  <c r="BK439" i="13"/>
  <c r="BK438" i="13"/>
  <c r="BK437" i="13"/>
  <c r="BK436" i="13"/>
  <c r="BK420" i="13"/>
  <c r="BK419" i="13"/>
  <c r="BK418" i="13"/>
  <c r="BK417" i="13"/>
  <c r="BK416" i="13"/>
  <c r="BK415" i="13"/>
  <c r="BK414" i="13"/>
  <c r="BK413" i="13"/>
  <c r="BK412" i="13"/>
  <c r="BK411" i="13"/>
  <c r="BK410" i="13"/>
  <c r="BK409" i="13"/>
  <c r="BK408" i="13"/>
  <c r="BK407" i="13"/>
  <c r="BK406" i="13"/>
  <c r="BK405" i="13"/>
  <c r="BK404" i="13"/>
  <c r="BK403" i="13"/>
  <c r="BK402" i="13"/>
  <c r="BK401" i="13"/>
  <c r="BK400" i="13"/>
  <c r="BK399" i="13"/>
  <c r="BK398" i="13"/>
  <c r="BK397" i="13"/>
  <c r="BK396" i="13"/>
  <c r="BK395" i="13"/>
  <c r="BK394" i="13"/>
  <c r="BK393" i="13"/>
  <c r="BK392" i="13"/>
  <c r="BK391" i="13"/>
  <c r="BK390" i="13"/>
  <c r="BK389" i="13"/>
  <c r="BK388" i="13"/>
  <c r="BK387" i="13"/>
  <c r="BK386" i="13"/>
  <c r="BK385" i="13"/>
  <c r="BK384" i="13"/>
  <c r="BK383" i="13"/>
  <c r="BK382" i="13"/>
  <c r="BK381" i="13"/>
  <c r="BK380" i="13"/>
  <c r="BK379" i="13"/>
  <c r="BK378" i="13"/>
  <c r="BK377" i="13"/>
  <c r="BK376" i="13"/>
  <c r="BK375" i="13"/>
  <c r="BK374" i="13"/>
  <c r="BK372" i="13"/>
  <c r="BK370" i="13"/>
  <c r="BK368" i="13"/>
  <c r="BK366" i="13"/>
  <c r="BK364" i="13"/>
  <c r="BK362" i="13"/>
  <c r="BK360" i="13"/>
  <c r="BK435" i="13"/>
  <c r="BK433" i="13"/>
  <c r="BK431" i="13"/>
  <c r="BK429" i="13"/>
  <c r="BK427" i="13"/>
  <c r="BK425" i="13"/>
  <c r="BK423" i="13"/>
  <c r="BK421" i="13"/>
  <c r="BK434" i="13"/>
  <c r="BK430" i="13"/>
  <c r="BK426" i="13"/>
  <c r="BK422" i="13"/>
  <c r="BK369" i="13"/>
  <c r="BK361" i="13"/>
  <c r="BK359" i="13"/>
  <c r="BK357" i="13"/>
  <c r="BK355" i="13"/>
  <c r="BK353" i="13"/>
  <c r="BK351" i="13"/>
  <c r="BK349" i="13"/>
  <c r="BK347" i="13"/>
  <c r="BK345" i="13"/>
  <c r="BK343" i="13"/>
  <c r="BK341" i="13"/>
  <c r="BK339" i="13"/>
  <c r="BK236" i="13"/>
  <c r="BK235" i="13"/>
  <c r="BK234" i="13"/>
  <c r="BK233" i="13"/>
  <c r="BK232" i="13"/>
  <c r="BK231" i="13"/>
  <c r="BK230" i="13"/>
  <c r="BK229" i="13"/>
  <c r="BK228" i="13"/>
  <c r="BK227" i="13"/>
  <c r="BK226" i="13"/>
  <c r="BK225" i="13"/>
  <c r="BK224" i="13"/>
  <c r="BK223" i="13"/>
  <c r="BK222" i="13"/>
  <c r="BK221" i="13"/>
  <c r="BK220" i="13"/>
  <c r="BK219" i="13"/>
  <c r="BK218" i="13"/>
  <c r="BK217" i="13"/>
  <c r="BK216" i="13"/>
  <c r="BK215" i="13"/>
  <c r="BK214" i="13"/>
  <c r="BK213" i="13"/>
  <c r="BK212" i="13"/>
  <c r="BK211" i="13"/>
  <c r="BK210" i="13"/>
  <c r="BK209" i="13"/>
  <c r="BK208" i="13"/>
  <c r="BK207" i="13"/>
  <c r="BK206" i="13"/>
  <c r="BK205" i="13"/>
  <c r="BK204" i="13"/>
  <c r="BK203" i="13"/>
  <c r="BK371" i="13"/>
  <c r="BK432" i="13"/>
  <c r="BK424" i="13"/>
  <c r="BK373" i="13"/>
  <c r="BK352" i="13"/>
  <c r="BK344" i="13"/>
  <c r="BK338" i="13"/>
  <c r="BK336" i="13"/>
  <c r="BK334" i="13"/>
  <c r="BK332" i="13"/>
  <c r="BK330" i="13"/>
  <c r="BK328" i="13"/>
  <c r="BK326" i="13"/>
  <c r="BK324" i="13"/>
  <c r="BK354" i="13"/>
  <c r="BK346" i="13"/>
  <c r="BK428" i="13"/>
  <c r="BK365" i="13"/>
  <c r="BK363" i="13"/>
  <c r="BK356" i="13"/>
  <c r="BK348" i="13"/>
  <c r="BK340" i="13"/>
  <c r="BK337" i="13"/>
  <c r="BK335" i="13"/>
  <c r="BK333" i="13"/>
  <c r="BK331" i="13"/>
  <c r="BK327" i="13"/>
  <c r="BK325" i="13"/>
  <c r="BK323" i="13"/>
  <c r="BK321" i="13"/>
  <c r="BK319" i="13"/>
  <c r="BK358" i="13"/>
  <c r="BK329" i="13"/>
  <c r="BK313" i="13"/>
  <c r="BK311" i="13"/>
  <c r="BK309" i="13"/>
  <c r="BK307" i="13"/>
  <c r="BK305" i="13"/>
  <c r="BK303" i="13"/>
  <c r="BK301" i="13"/>
  <c r="BK299" i="13"/>
  <c r="BK297" i="13"/>
  <c r="BK295" i="13"/>
  <c r="BK293" i="13"/>
  <c r="BK291" i="13"/>
  <c r="BK289" i="13"/>
  <c r="BK287" i="13"/>
  <c r="BK285" i="13"/>
  <c r="BK283" i="13"/>
  <c r="BK320" i="13"/>
  <c r="BK315" i="13"/>
  <c r="BK282" i="13"/>
  <c r="BK280" i="13"/>
  <c r="BK278" i="13"/>
  <c r="BK276" i="13"/>
  <c r="BK274" i="13"/>
  <c r="BK272" i="13"/>
  <c r="BK270" i="13"/>
  <c r="BK268" i="13"/>
  <c r="BK266" i="13"/>
  <c r="BK264" i="13"/>
  <c r="BK262" i="13"/>
  <c r="BK260" i="13"/>
  <c r="BK258" i="13"/>
  <c r="BK256" i="13"/>
  <c r="BK254" i="13"/>
  <c r="BK252" i="13"/>
  <c r="BK250" i="13"/>
  <c r="BK248" i="13"/>
  <c r="BK246" i="13"/>
  <c r="BK244" i="13"/>
  <c r="BK242" i="13"/>
  <c r="BK240" i="13"/>
  <c r="BK238" i="13"/>
  <c r="BK342" i="13"/>
  <c r="BK317" i="13"/>
  <c r="BK316" i="13"/>
  <c r="BK314" i="13"/>
  <c r="BK312" i="13"/>
  <c r="BK310" i="13"/>
  <c r="BK308" i="13"/>
  <c r="BK306" i="13"/>
  <c r="BK304" i="13"/>
  <c r="BK302" i="13"/>
  <c r="BK300" i="13"/>
  <c r="BK298" i="13"/>
  <c r="BK296" i="13"/>
  <c r="BK294" i="13"/>
  <c r="BK292" i="13"/>
  <c r="BK290" i="13"/>
  <c r="BK288" i="13"/>
  <c r="BK286" i="13"/>
  <c r="BK284" i="13"/>
  <c r="BK318" i="13"/>
  <c r="BK275" i="13"/>
  <c r="BK267" i="13"/>
  <c r="BK259" i="13"/>
  <c r="BK251" i="13"/>
  <c r="BK243" i="13"/>
  <c r="BK237" i="13"/>
  <c r="BK189" i="13"/>
  <c r="BK187" i="13"/>
  <c r="BK185" i="13"/>
  <c r="BK183" i="13"/>
  <c r="BK181" i="13"/>
  <c r="BK179" i="13"/>
  <c r="BK177" i="13"/>
  <c r="BK175" i="13"/>
  <c r="BK173" i="13"/>
  <c r="BK171" i="13"/>
  <c r="BK169" i="13"/>
  <c r="BK144" i="13"/>
  <c r="BK143" i="13"/>
  <c r="BK142" i="13"/>
  <c r="BK141" i="13"/>
  <c r="BK140" i="13"/>
  <c r="BK139" i="13"/>
  <c r="BK138" i="13"/>
  <c r="BK137" i="13"/>
  <c r="BK136" i="13"/>
  <c r="BK135" i="13"/>
  <c r="BK134" i="13"/>
  <c r="BK133" i="13"/>
  <c r="BK132" i="13"/>
  <c r="BK131" i="13"/>
  <c r="BK130" i="13"/>
  <c r="BK129" i="13"/>
  <c r="BK128" i="13"/>
  <c r="BK127" i="13"/>
  <c r="BK126" i="13"/>
  <c r="BK125" i="13"/>
  <c r="BK124" i="13"/>
  <c r="BK123" i="13"/>
  <c r="BK122" i="13"/>
  <c r="BK121" i="13"/>
  <c r="BK120" i="13"/>
  <c r="BK119" i="13"/>
  <c r="BK118" i="13"/>
  <c r="BK117" i="13"/>
  <c r="BK116" i="13"/>
  <c r="BK115" i="13"/>
  <c r="BK114" i="13"/>
  <c r="BK113" i="13"/>
  <c r="BK112" i="13"/>
  <c r="BK111" i="13"/>
  <c r="BK110" i="13"/>
  <c r="BK109" i="13"/>
  <c r="BK108" i="13"/>
  <c r="BK107" i="13"/>
  <c r="BK106" i="13"/>
  <c r="BK105" i="13"/>
  <c r="BK104" i="13"/>
  <c r="BK103" i="13"/>
  <c r="BK102" i="13"/>
  <c r="BK101" i="13"/>
  <c r="BK100" i="13"/>
  <c r="BK99" i="13"/>
  <c r="BK367" i="13"/>
  <c r="BK350" i="13"/>
  <c r="BK281" i="13"/>
  <c r="BK273" i="13"/>
  <c r="BK265" i="13"/>
  <c r="BK257" i="13"/>
  <c r="BK249" i="13"/>
  <c r="BK241" i="13"/>
  <c r="BK201" i="13"/>
  <c r="BK199" i="13"/>
  <c r="BK197" i="13"/>
  <c r="BK195" i="13"/>
  <c r="BK193" i="13"/>
  <c r="BK191" i="13"/>
  <c r="BK168" i="13"/>
  <c r="BK167" i="13"/>
  <c r="BK166" i="13"/>
  <c r="BK165" i="13"/>
  <c r="BK164" i="13"/>
  <c r="BK163" i="13"/>
  <c r="BK162" i="13"/>
  <c r="BK161" i="13"/>
  <c r="BK160" i="13"/>
  <c r="BK159" i="13"/>
  <c r="BK158" i="13"/>
  <c r="BK157" i="13"/>
  <c r="BK156" i="13"/>
  <c r="BK155" i="13"/>
  <c r="BK154" i="13"/>
  <c r="BK153" i="13"/>
  <c r="BK152" i="13"/>
  <c r="BK151" i="13"/>
  <c r="BK150" i="13"/>
  <c r="BK149" i="13"/>
  <c r="BK148" i="13"/>
  <c r="BK147" i="13"/>
  <c r="BK146" i="13"/>
  <c r="BK145" i="13"/>
  <c r="BK279" i="13"/>
  <c r="BK271" i="13"/>
  <c r="BK263" i="13"/>
  <c r="BK255" i="13"/>
  <c r="BK247" i="13"/>
  <c r="BK239" i="13"/>
  <c r="BK269" i="13"/>
  <c r="BK202" i="13"/>
  <c r="BK194" i="13"/>
  <c r="BK98" i="13"/>
  <c r="BK97" i="13"/>
  <c r="BK96" i="13"/>
  <c r="BK95" i="13"/>
  <c r="BK94" i="13"/>
  <c r="BK93" i="13"/>
  <c r="BK92" i="13"/>
  <c r="BK91" i="13"/>
  <c r="BK90" i="13"/>
  <c r="BK89" i="13"/>
  <c r="BK88" i="13"/>
  <c r="BK87" i="13"/>
  <c r="BK86" i="13"/>
  <c r="BK85" i="13"/>
  <c r="BK84" i="13"/>
  <c r="BK83" i="13"/>
  <c r="BK82" i="13"/>
  <c r="BK81" i="13"/>
  <c r="BK80" i="13"/>
  <c r="BK79" i="13"/>
  <c r="BK78" i="13"/>
  <c r="BK77" i="13"/>
  <c r="BK76" i="13"/>
  <c r="BK75" i="13"/>
  <c r="BK74" i="13"/>
  <c r="BK73" i="13"/>
  <c r="BK72" i="13"/>
  <c r="BK71" i="13"/>
  <c r="BK70" i="13"/>
  <c r="BK69" i="13"/>
  <c r="BK68" i="13"/>
  <c r="BK67" i="13"/>
  <c r="BK66" i="13"/>
  <c r="BK65" i="13"/>
  <c r="BK64" i="13"/>
  <c r="BK63" i="13"/>
  <c r="BK62" i="13"/>
  <c r="BK61" i="13"/>
  <c r="BK60" i="13"/>
  <c r="BK59" i="13"/>
  <c r="BK58" i="13"/>
  <c r="BK57" i="13"/>
  <c r="BK56" i="13"/>
  <c r="BK55" i="13"/>
  <c r="BK54" i="13"/>
  <c r="BK52" i="13"/>
  <c r="BK51" i="13"/>
  <c r="BK50" i="13"/>
  <c r="BK49" i="13"/>
  <c r="BK48" i="13"/>
  <c r="BK47" i="13"/>
  <c r="BK46" i="13"/>
  <c r="BK45" i="13"/>
  <c r="BK44" i="13"/>
  <c r="BK43" i="13"/>
  <c r="BK42" i="13"/>
  <c r="BK41" i="13"/>
  <c r="BK40" i="13"/>
  <c r="BK39" i="13"/>
  <c r="BK38" i="13"/>
  <c r="BK37" i="13"/>
  <c r="BK36" i="13"/>
  <c r="BK35" i="13"/>
  <c r="BK34" i="13"/>
  <c r="BK33" i="13"/>
  <c r="BK32" i="13"/>
  <c r="BK31" i="13"/>
  <c r="BK30" i="13"/>
  <c r="BK29" i="13"/>
  <c r="BK28" i="13"/>
  <c r="BK27" i="13"/>
  <c r="BK322" i="13"/>
  <c r="BK261" i="13"/>
  <c r="BK200" i="13"/>
  <c r="BK190" i="13"/>
  <c r="BK186" i="13"/>
  <c r="BK182" i="13"/>
  <c r="BK178" i="13"/>
  <c r="BK174" i="13"/>
  <c r="BK170" i="13"/>
  <c r="BK253" i="13"/>
  <c r="BK198" i="13"/>
  <c r="BK192" i="13"/>
  <c r="BK277" i="13"/>
  <c r="BK196" i="13"/>
  <c r="BK180" i="13"/>
  <c r="BL5" i="13"/>
  <c r="BK245" i="13"/>
  <c r="BK176" i="13"/>
  <c r="BK53" i="13"/>
  <c r="BK26" i="13"/>
  <c r="BK25" i="13"/>
  <c r="BK24" i="13"/>
  <c r="BK23" i="13"/>
  <c r="BK22" i="13"/>
  <c r="BK21" i="13"/>
  <c r="BK20" i="13"/>
  <c r="BK19" i="13"/>
  <c r="BK18" i="13"/>
  <c r="BK17" i="13"/>
  <c r="BK16" i="13"/>
  <c r="BK15" i="13"/>
  <c r="BK14" i="13"/>
  <c r="BK13" i="13"/>
  <c r="BK12" i="13"/>
  <c r="BK11" i="13"/>
  <c r="BK10" i="13"/>
  <c r="BK9" i="13"/>
  <c r="BK8" i="13"/>
  <c r="BK7" i="13"/>
  <c r="BK188" i="13"/>
  <c r="BK172" i="13"/>
  <c r="BK184" i="13"/>
  <c r="BD75" i="10" l="1" a="1"/>
  <c r="BD75" i="10" s="1"/>
  <c r="BF19" i="10"/>
  <c r="BF31" i="10"/>
  <c r="BF29" i="10"/>
  <c r="BF12" i="10"/>
  <c r="BE11" i="10"/>
  <c r="BE69" i="10"/>
  <c r="BE68" i="10"/>
  <c r="BE64" i="10"/>
  <c r="BE67" i="10"/>
  <c r="BE10" i="10"/>
  <c r="BG45" i="10"/>
  <c r="BF43" i="10"/>
  <c r="BF10" i="10"/>
  <c r="BF32" i="10"/>
  <c r="BF23" i="10"/>
  <c r="BF11" i="10"/>
  <c r="BF64" i="10"/>
  <c r="BF36" i="10"/>
  <c r="BF33" i="10"/>
  <c r="BF30" i="10"/>
  <c r="BF22" i="10"/>
  <c r="BF14" i="10"/>
  <c r="BF17" i="10"/>
  <c r="BF38" i="10"/>
  <c r="BF21" i="10"/>
  <c r="BF25" i="10"/>
  <c r="BF34" i="10"/>
  <c r="BF26" i="10"/>
  <c r="BF18" i="10"/>
  <c r="BF27" i="10"/>
  <c r="BF13" i="10"/>
  <c r="BF68" i="10"/>
  <c r="BF69" i="10"/>
  <c r="BF24" i="10"/>
  <c r="BF28" i="10"/>
  <c r="BF15" i="10"/>
  <c r="BF35" i="10"/>
  <c r="BF16" i="10"/>
  <c r="BF67" i="10"/>
  <c r="BF20" i="10"/>
  <c r="BH114" i="10"/>
  <c r="BH115" i="10" s="1"/>
  <c r="BH116" i="10" s="1"/>
  <c r="BE99" i="10"/>
  <c r="BC49" i="10"/>
  <c r="BH128" i="10"/>
  <c r="BD39" i="10"/>
  <c r="BD47" i="10" s="1"/>
  <c r="BE37" i="10"/>
  <c r="BE29" i="10"/>
  <c r="BE21" i="10"/>
  <c r="BE13" i="10"/>
  <c r="BE36" i="10"/>
  <c r="BE20" i="10"/>
  <c r="BE30" i="10"/>
  <c r="BE12" i="10"/>
  <c r="BE32" i="10"/>
  <c r="BE22" i="10"/>
  <c r="BE31" i="10"/>
  <c r="BE25" i="10"/>
  <c r="BE35" i="10"/>
  <c r="BE18" i="10"/>
  <c r="BE24" i="10"/>
  <c r="BE33" i="10"/>
  <c r="BE15" i="10"/>
  <c r="BE34" i="10"/>
  <c r="BE28" i="10"/>
  <c r="BE16" i="10"/>
  <c r="BE19" i="10"/>
  <c r="BE14" i="10"/>
  <c r="BE23" i="10"/>
  <c r="BE17" i="10"/>
  <c r="BE38" i="10"/>
  <c r="BE26" i="10"/>
  <c r="BE27" i="10"/>
  <c r="BG95" i="10"/>
  <c r="BL466" i="13"/>
  <c r="BL464" i="13"/>
  <c r="BL462" i="13"/>
  <c r="BL435" i="13"/>
  <c r="BL434" i="13"/>
  <c r="BL433" i="13"/>
  <c r="BL432" i="13"/>
  <c r="BL431" i="13"/>
  <c r="BL430" i="13"/>
  <c r="BL429" i="13"/>
  <c r="BL428" i="13"/>
  <c r="BL427" i="13"/>
  <c r="BL426" i="13"/>
  <c r="BL425" i="13"/>
  <c r="BL424" i="13"/>
  <c r="BL423" i="13"/>
  <c r="BL422" i="13"/>
  <c r="BL421" i="13"/>
  <c r="BL465" i="13"/>
  <c r="BL457" i="13"/>
  <c r="BL453" i="13"/>
  <c r="BL444" i="13"/>
  <c r="BL443" i="13"/>
  <c r="BL436" i="13"/>
  <c r="BL463" i="13"/>
  <c r="BL460" i="13"/>
  <c r="BL456" i="13"/>
  <c r="BL452" i="13"/>
  <c r="BL446" i="13"/>
  <c r="BL445" i="13"/>
  <c r="BL438" i="13"/>
  <c r="BL437" i="13"/>
  <c r="BL419" i="13"/>
  <c r="BL417" i="13"/>
  <c r="BL415" i="13"/>
  <c r="BL413" i="13"/>
  <c r="BL411" i="13"/>
  <c r="BL409" i="13"/>
  <c r="BL407" i="13"/>
  <c r="BL405" i="13"/>
  <c r="BL403" i="13"/>
  <c r="BL401" i="13"/>
  <c r="BL399" i="13"/>
  <c r="BL397" i="13"/>
  <c r="BL395" i="13"/>
  <c r="BL393" i="13"/>
  <c r="BL454" i="13"/>
  <c r="BL442" i="13"/>
  <c r="BL441" i="13"/>
  <c r="BL389" i="13"/>
  <c r="BL388" i="13"/>
  <c r="BL381" i="13"/>
  <c r="BL380" i="13"/>
  <c r="BL371" i="13"/>
  <c r="BL370" i="13"/>
  <c r="BL363" i="13"/>
  <c r="BL362" i="13"/>
  <c r="BL282" i="13"/>
  <c r="BL281" i="13"/>
  <c r="BL280" i="13"/>
  <c r="BL279" i="13"/>
  <c r="BL278" i="13"/>
  <c r="BL277" i="13"/>
  <c r="BL276" i="13"/>
  <c r="BL275" i="13"/>
  <c r="BL274" i="13"/>
  <c r="BL273" i="13"/>
  <c r="BL272" i="13"/>
  <c r="BL271" i="13"/>
  <c r="BL270" i="13"/>
  <c r="BL269" i="13"/>
  <c r="BL268" i="13"/>
  <c r="BL267" i="13"/>
  <c r="BL266" i="13"/>
  <c r="BL265" i="13"/>
  <c r="BL264" i="13"/>
  <c r="BL263" i="13"/>
  <c r="BL262" i="13"/>
  <c r="BL261" i="13"/>
  <c r="BL260" i="13"/>
  <c r="BL259" i="13"/>
  <c r="BL258" i="13"/>
  <c r="BL257" i="13"/>
  <c r="BL256" i="13"/>
  <c r="BL255" i="13"/>
  <c r="BL254" i="13"/>
  <c r="BL253" i="13"/>
  <c r="BL252" i="13"/>
  <c r="BL251" i="13"/>
  <c r="BL250" i="13"/>
  <c r="BL249" i="13"/>
  <c r="BL248" i="13"/>
  <c r="BL247" i="13"/>
  <c r="BL246" i="13"/>
  <c r="BL245" i="13"/>
  <c r="BL244" i="13"/>
  <c r="BL243" i="13"/>
  <c r="BL242" i="13"/>
  <c r="BL241" i="13"/>
  <c r="BL240" i="13"/>
  <c r="BL239" i="13"/>
  <c r="BL238" i="13"/>
  <c r="BL237" i="13"/>
  <c r="BL455" i="13"/>
  <c r="BL448" i="13"/>
  <c r="BL447" i="13"/>
  <c r="BL420" i="13"/>
  <c r="BL416" i="13"/>
  <c r="BL412" i="13"/>
  <c r="BL408" i="13"/>
  <c r="BL404" i="13"/>
  <c r="BL400" i="13"/>
  <c r="BL396" i="13"/>
  <c r="BL391" i="13"/>
  <c r="BL390" i="13"/>
  <c r="BL383" i="13"/>
  <c r="BL382" i="13"/>
  <c r="BL373" i="13"/>
  <c r="BL372" i="13"/>
  <c r="BL365" i="13"/>
  <c r="BL364" i="13"/>
  <c r="BL458" i="13"/>
  <c r="BL418" i="13"/>
  <c r="BL410" i="13"/>
  <c r="BL402" i="13"/>
  <c r="BL394" i="13"/>
  <c r="BL379" i="13"/>
  <c r="BL378" i="13"/>
  <c r="BL374" i="13"/>
  <c r="BL354" i="13"/>
  <c r="BL353" i="13"/>
  <c r="BL346" i="13"/>
  <c r="BL345" i="13"/>
  <c r="BL451" i="13"/>
  <c r="BL440" i="13"/>
  <c r="BL439" i="13"/>
  <c r="BL385" i="13"/>
  <c r="BL384" i="13"/>
  <c r="BL361" i="13"/>
  <c r="BL360" i="13"/>
  <c r="BL356" i="13"/>
  <c r="BL355" i="13"/>
  <c r="BL348" i="13"/>
  <c r="BL347" i="13"/>
  <c r="BL340" i="13"/>
  <c r="BE76" i="10" s="1" a="1"/>
  <c r="BE76" i="10" s="1"/>
  <c r="BL339" i="13"/>
  <c r="BL337" i="13"/>
  <c r="BL335" i="13"/>
  <c r="BL333" i="13"/>
  <c r="BL331" i="13"/>
  <c r="BL327" i="13"/>
  <c r="BL325" i="13"/>
  <c r="BL323" i="13"/>
  <c r="BL321" i="13"/>
  <c r="BL319" i="13"/>
  <c r="BL317" i="13"/>
  <c r="BL315" i="13"/>
  <c r="BL450" i="13"/>
  <c r="BL449" i="13"/>
  <c r="BL414" i="13"/>
  <c r="BL406" i="13"/>
  <c r="BL398" i="13"/>
  <c r="BL387" i="13"/>
  <c r="BL386" i="13"/>
  <c r="BL367" i="13"/>
  <c r="BL366" i="13"/>
  <c r="BL358" i="13"/>
  <c r="BL357" i="13"/>
  <c r="BL350" i="13"/>
  <c r="BL349" i="13"/>
  <c r="BL342" i="13"/>
  <c r="BL341" i="13"/>
  <c r="BL329" i="13"/>
  <c r="BL459" i="13"/>
  <c r="BL377" i="13"/>
  <c r="BL359" i="13"/>
  <c r="BL338" i="13"/>
  <c r="BL334" i="13"/>
  <c r="BL326" i="13"/>
  <c r="BL320" i="13"/>
  <c r="BL190" i="13"/>
  <c r="BL189" i="13"/>
  <c r="BL188" i="13"/>
  <c r="BL187" i="13"/>
  <c r="BL186" i="13"/>
  <c r="BL185" i="13"/>
  <c r="BL184" i="13"/>
  <c r="BL183" i="13"/>
  <c r="BL182" i="13"/>
  <c r="BL181" i="13"/>
  <c r="BL180" i="13"/>
  <c r="BL179" i="13"/>
  <c r="BL178" i="13"/>
  <c r="BL177" i="13"/>
  <c r="BL176" i="13"/>
  <c r="BL175" i="13"/>
  <c r="BL174" i="13"/>
  <c r="BL173" i="13"/>
  <c r="BL172" i="13"/>
  <c r="BL171" i="13"/>
  <c r="BL170" i="13"/>
  <c r="BL169" i="13"/>
  <c r="BL392" i="13"/>
  <c r="BL376" i="13"/>
  <c r="BL324" i="13"/>
  <c r="BL316" i="13"/>
  <c r="BL314" i="13"/>
  <c r="BL312" i="13"/>
  <c r="BL310" i="13"/>
  <c r="BL308" i="13"/>
  <c r="BL306" i="13"/>
  <c r="BL304" i="13"/>
  <c r="BL302" i="13"/>
  <c r="BL300" i="13"/>
  <c r="BL298" i="13"/>
  <c r="BL296" i="13"/>
  <c r="BL294" i="13"/>
  <c r="BL292" i="13"/>
  <c r="BL290" i="13"/>
  <c r="BL288" i="13"/>
  <c r="BL286" i="13"/>
  <c r="BL284" i="13"/>
  <c r="BL236" i="13"/>
  <c r="BL234" i="13"/>
  <c r="BL232" i="13"/>
  <c r="BL230" i="13"/>
  <c r="BL228" i="13"/>
  <c r="BL226" i="13"/>
  <c r="BL224" i="13"/>
  <c r="BL222" i="13"/>
  <c r="BL220" i="13"/>
  <c r="BL218" i="13"/>
  <c r="BL216" i="13"/>
  <c r="BL214" i="13"/>
  <c r="BL212" i="13"/>
  <c r="BL210" i="13"/>
  <c r="BL208" i="13"/>
  <c r="BL206" i="13"/>
  <c r="BL461" i="13"/>
  <c r="BL375" i="13"/>
  <c r="BL344" i="13"/>
  <c r="BL343" i="13"/>
  <c r="BL336" i="13"/>
  <c r="BL330" i="13"/>
  <c r="BL322" i="13"/>
  <c r="BL318" i="13"/>
  <c r="BL368" i="13"/>
  <c r="BL328" i="13"/>
  <c r="BL311" i="13"/>
  <c r="BL303" i="13"/>
  <c r="BL295" i="13"/>
  <c r="BL287" i="13"/>
  <c r="BL231" i="13"/>
  <c r="BL223" i="13"/>
  <c r="BL217" i="13"/>
  <c r="BL213" i="13"/>
  <c r="BL209" i="13"/>
  <c r="BL205" i="13"/>
  <c r="BL201" i="13"/>
  <c r="BL199" i="13"/>
  <c r="BL197" i="13"/>
  <c r="BL195" i="13"/>
  <c r="BL193" i="13"/>
  <c r="BL191" i="13"/>
  <c r="BL168" i="13"/>
  <c r="BL167" i="13"/>
  <c r="BL166" i="13"/>
  <c r="BL165" i="13"/>
  <c r="BL164" i="13"/>
  <c r="BL163" i="13"/>
  <c r="BL162" i="13"/>
  <c r="BL161" i="13"/>
  <c r="BL160" i="13"/>
  <c r="BL159" i="13"/>
  <c r="BL158" i="13"/>
  <c r="BL157" i="13"/>
  <c r="BL156" i="13"/>
  <c r="BL155" i="13"/>
  <c r="BL154" i="13"/>
  <c r="BL153" i="13"/>
  <c r="BL152" i="13"/>
  <c r="BL151" i="13"/>
  <c r="BL150" i="13"/>
  <c r="BL149" i="13"/>
  <c r="BL148" i="13"/>
  <c r="BL147" i="13"/>
  <c r="BL146" i="13"/>
  <c r="BL145" i="13"/>
  <c r="BL352" i="13"/>
  <c r="BL332" i="13"/>
  <c r="BL309" i="13"/>
  <c r="BL301" i="13"/>
  <c r="BL293" i="13"/>
  <c r="BL285" i="13"/>
  <c r="BL229" i="13"/>
  <c r="BL221" i="13"/>
  <c r="BL52" i="13"/>
  <c r="BL51" i="13"/>
  <c r="BL50" i="13"/>
  <c r="BL49" i="13"/>
  <c r="BL48" i="13"/>
  <c r="BL47" i="13"/>
  <c r="BL46" i="13"/>
  <c r="BL45" i="13"/>
  <c r="BL44" i="13"/>
  <c r="BL43" i="13"/>
  <c r="BL42" i="13"/>
  <c r="BL41" i="13"/>
  <c r="BL40" i="13"/>
  <c r="BL39" i="13"/>
  <c r="BL38" i="13"/>
  <c r="BL37" i="13"/>
  <c r="BL36" i="13"/>
  <c r="BL35" i="13"/>
  <c r="BL34" i="13"/>
  <c r="BL33" i="13"/>
  <c r="BL32" i="13"/>
  <c r="BL31" i="13"/>
  <c r="BL30" i="13"/>
  <c r="BL29" i="13"/>
  <c r="BL28" i="13"/>
  <c r="BL27" i="13"/>
  <c r="BL307" i="13"/>
  <c r="BL299" i="13"/>
  <c r="BL291" i="13"/>
  <c r="BL283" i="13"/>
  <c r="BL235" i="13"/>
  <c r="BL227" i="13"/>
  <c r="BL219" i="13"/>
  <c r="BL215" i="13"/>
  <c r="BL211" i="13"/>
  <c r="BL207" i="13"/>
  <c r="BL202" i="13"/>
  <c r="BL200" i="13"/>
  <c r="BL198" i="13"/>
  <c r="BL196" i="13"/>
  <c r="BL194" i="13"/>
  <c r="BL192" i="13"/>
  <c r="BL289" i="13"/>
  <c r="BL204" i="13"/>
  <c r="BL203" i="13"/>
  <c r="BL53" i="13"/>
  <c r="BL351" i="13"/>
  <c r="BL313" i="13"/>
  <c r="BL369" i="13"/>
  <c r="BL305" i="13"/>
  <c r="BL233" i="13"/>
  <c r="BL144" i="13"/>
  <c r="BL143" i="13"/>
  <c r="BL142" i="13"/>
  <c r="BL141" i="13"/>
  <c r="BL140" i="13"/>
  <c r="BL139" i="13"/>
  <c r="BL138" i="13"/>
  <c r="BL137" i="13"/>
  <c r="BL136" i="13"/>
  <c r="BL135" i="13"/>
  <c r="BL134" i="13"/>
  <c r="BL133" i="13"/>
  <c r="BL132" i="13"/>
  <c r="BL131" i="13"/>
  <c r="BL130" i="13"/>
  <c r="BL129" i="13"/>
  <c r="BL128" i="13"/>
  <c r="BL127" i="13"/>
  <c r="BL126" i="13"/>
  <c r="BL125" i="13"/>
  <c r="BL124" i="13"/>
  <c r="BL123" i="13"/>
  <c r="BL122" i="13"/>
  <c r="BL121" i="13"/>
  <c r="BL120" i="13"/>
  <c r="BL119" i="13"/>
  <c r="BL118" i="13"/>
  <c r="BL117" i="13"/>
  <c r="BL116" i="13"/>
  <c r="BL115" i="13"/>
  <c r="BL114" i="13"/>
  <c r="BL113" i="13"/>
  <c r="BL112" i="13"/>
  <c r="BL111" i="13"/>
  <c r="BL110" i="13"/>
  <c r="BL109" i="13"/>
  <c r="BL108" i="13"/>
  <c r="BL107" i="13"/>
  <c r="BL106" i="13"/>
  <c r="BL105" i="13"/>
  <c r="BL104" i="13"/>
  <c r="BL103" i="13"/>
  <c r="BL102" i="13"/>
  <c r="BL101" i="13"/>
  <c r="BL100" i="13"/>
  <c r="BL26" i="13"/>
  <c r="BE75" i="10" s="1" a="1"/>
  <c r="BE75" i="10" s="1"/>
  <c r="BL25" i="13"/>
  <c r="BL24" i="13"/>
  <c r="BL23" i="13"/>
  <c r="BL22" i="13"/>
  <c r="BL21" i="13"/>
  <c r="BL20" i="13"/>
  <c r="BL19" i="13"/>
  <c r="BL18" i="13"/>
  <c r="BL17" i="13"/>
  <c r="BL16" i="13"/>
  <c r="BL15" i="13"/>
  <c r="BL14" i="13"/>
  <c r="BL13" i="13"/>
  <c r="BL12" i="13"/>
  <c r="BL11" i="13"/>
  <c r="BL10" i="13"/>
  <c r="BL9" i="13"/>
  <c r="BL8" i="13"/>
  <c r="BL7" i="13"/>
  <c r="BL99" i="13"/>
  <c r="BL98" i="13"/>
  <c r="BL96" i="13"/>
  <c r="BL94" i="13"/>
  <c r="BL92" i="13"/>
  <c r="BL90" i="13"/>
  <c r="BL88" i="13"/>
  <c r="BL86" i="13"/>
  <c r="BL84" i="13"/>
  <c r="BL82" i="13"/>
  <c r="BL80" i="13"/>
  <c r="BL78" i="13"/>
  <c r="BL76" i="13"/>
  <c r="BL74" i="13"/>
  <c r="BL72" i="13"/>
  <c r="BL70" i="13"/>
  <c r="BL68" i="13"/>
  <c r="BL66" i="13"/>
  <c r="BL64" i="13"/>
  <c r="BL62" i="13"/>
  <c r="BL60" i="13"/>
  <c r="BL58" i="13"/>
  <c r="BL56" i="13"/>
  <c r="BL54" i="13"/>
  <c r="BL297" i="13"/>
  <c r="BL225" i="13"/>
  <c r="BL97" i="13"/>
  <c r="BL95" i="13"/>
  <c r="BL93" i="13"/>
  <c r="BL91" i="13"/>
  <c r="BL89" i="13"/>
  <c r="BL87" i="13"/>
  <c r="BL85" i="13"/>
  <c r="BL83" i="13"/>
  <c r="BL81" i="13"/>
  <c r="BL79" i="13"/>
  <c r="BL77" i="13"/>
  <c r="BL75" i="13"/>
  <c r="BL71" i="13"/>
  <c r="BL63" i="13"/>
  <c r="BL55" i="13"/>
  <c r="BL73" i="13"/>
  <c r="BL65" i="13"/>
  <c r="BL57" i="13"/>
  <c r="BM5" i="13"/>
  <c r="BG75" i="10" s="1" a="1"/>
  <c r="BG75" i="10" s="1"/>
  <c r="BL67" i="13"/>
  <c r="BL59" i="13"/>
  <c r="BL69" i="13"/>
  <c r="BL61" i="13"/>
  <c r="BF91" i="10"/>
  <c r="BF96" i="10"/>
  <c r="BG7" i="10" a="1"/>
  <c r="BG7" i="10" s="1"/>
  <c r="BG6" i="10" s="1"/>
  <c r="BG21" i="10" s="1"/>
  <c r="BH3" i="10"/>
  <c r="BG84" i="10"/>
  <c r="BG89" i="10"/>
  <c r="BG90" i="10"/>
  <c r="BI5" i="10"/>
  <c r="BH4" i="10"/>
  <c r="BD77" i="10" a="1"/>
  <c r="BD77" i="10" s="1"/>
  <c r="BD78" i="10" a="1"/>
  <c r="BD78" i="10" s="1"/>
  <c r="BD76" i="10" a="1"/>
  <c r="BD76" i="10" s="1"/>
  <c r="BH45" i="10" l="1"/>
  <c r="BH50" i="10" s="1"/>
  <c r="BG86" i="10"/>
  <c r="BG50" i="10"/>
  <c r="BG36" i="10"/>
  <c r="BG27" i="10"/>
  <c r="BG34" i="10"/>
  <c r="BG37" i="10"/>
  <c r="BG31" i="10"/>
  <c r="BG38" i="10"/>
  <c r="BG29" i="10"/>
  <c r="BG64" i="10"/>
  <c r="BG28" i="10"/>
  <c r="BG13" i="10"/>
  <c r="BG43" i="10"/>
  <c r="BG26" i="10"/>
  <c r="BG32" i="10"/>
  <c r="BG19" i="10"/>
  <c r="BG30" i="10"/>
  <c r="BG15" i="10"/>
  <c r="BG67" i="10"/>
  <c r="BG20" i="10"/>
  <c r="BG23" i="10"/>
  <c r="BG10" i="10"/>
  <c r="BG18" i="10"/>
  <c r="BG24" i="10"/>
  <c r="BG35" i="10"/>
  <c r="BG22" i="10"/>
  <c r="BG33" i="10"/>
  <c r="BG69" i="10"/>
  <c r="BG12" i="10"/>
  <c r="BG11" i="10"/>
  <c r="BG25" i="10"/>
  <c r="BF39" i="10"/>
  <c r="BG16" i="10"/>
  <c r="BG17" i="10"/>
  <c r="BG68" i="10"/>
  <c r="BG14" i="10"/>
  <c r="BI114" i="10"/>
  <c r="BI115" i="10" s="1"/>
  <c r="BI116" i="10" s="1"/>
  <c r="BG96" i="10"/>
  <c r="BE77" i="10" a="1"/>
  <c r="BE77" i="10" s="1"/>
  <c r="BE78" i="10" a="1"/>
  <c r="BE78" i="10" s="1"/>
  <c r="M75" i="10" a="1"/>
  <c r="M75" i="10" s="1"/>
  <c r="M95" i="10" s="1"/>
  <c r="M96" i="10" s="1"/>
  <c r="P75" i="10" a="1"/>
  <c r="P75" i="10" s="1"/>
  <c r="P95" i="10" s="1"/>
  <c r="P96" i="10" s="1"/>
  <c r="Q75" i="10" a="1"/>
  <c r="Q75" i="10" s="1"/>
  <c r="Q95" i="10" s="1"/>
  <c r="Q96" i="10" s="1"/>
  <c r="O75" i="10" a="1"/>
  <c r="O75" i="10" s="1"/>
  <c r="O95" i="10" s="1"/>
  <c r="O96" i="10" s="1"/>
  <c r="BI128" i="10"/>
  <c r="BG78" i="10" a="1"/>
  <c r="BG78" i="10" s="1"/>
  <c r="BG77" i="10" a="1"/>
  <c r="BG77" i="10" s="1"/>
  <c r="H76" i="10" a="1"/>
  <c r="H76" i="10" s="1"/>
  <c r="BG76" i="10" a="1"/>
  <c r="BG76" i="10" s="1"/>
  <c r="H75" i="10" a="1"/>
  <c r="H75" i="10" s="1"/>
  <c r="H78" i="10" a="1"/>
  <c r="H78" i="10" s="1"/>
  <c r="BH95" i="10"/>
  <c r="BE39" i="10"/>
  <c r="J75" i="10" a="1"/>
  <c r="J75" i="10" s="1"/>
  <c r="J95" i="10" s="1"/>
  <c r="J96" i="10" s="1"/>
  <c r="BD49" i="10"/>
  <c r="N75" i="10" a="1"/>
  <c r="N75" i="10" s="1"/>
  <c r="N95" i="10" s="1"/>
  <c r="N96" i="10" s="1"/>
  <c r="K75" i="10" a="1"/>
  <c r="K75" i="10" s="1"/>
  <c r="K95" i="10" s="1"/>
  <c r="K96" i="10" s="1"/>
  <c r="I75" i="10" a="1"/>
  <c r="I75" i="10" s="1"/>
  <c r="L75" i="10" a="1"/>
  <c r="L75" i="10" s="1"/>
  <c r="L95" i="10" s="1"/>
  <c r="L96" i="10" s="1"/>
  <c r="BH7" i="10" a="1"/>
  <c r="BH7" i="10" s="1"/>
  <c r="BH6" i="10" s="1"/>
  <c r="BH26" i="10" s="1"/>
  <c r="BI3" i="10"/>
  <c r="BH90" i="10"/>
  <c r="BH84" i="10"/>
  <c r="BH86" i="10" s="1"/>
  <c r="BH89" i="10"/>
  <c r="BH76" i="10" a="1"/>
  <c r="BH76" i="10" s="1"/>
  <c r="BH75" i="10" a="1"/>
  <c r="BH75" i="10" s="1"/>
  <c r="BH78" i="10" a="1"/>
  <c r="BH78" i="10" s="1"/>
  <c r="BH77" i="10" a="1"/>
  <c r="BH77" i="10" s="1"/>
  <c r="BM466" i="13"/>
  <c r="BM465" i="13"/>
  <c r="BM464" i="13"/>
  <c r="BM463" i="13"/>
  <c r="BM462" i="13"/>
  <c r="BM461" i="13"/>
  <c r="BM460" i="13"/>
  <c r="BM459" i="13"/>
  <c r="BM458" i="13"/>
  <c r="BM457" i="13"/>
  <c r="BM456" i="13"/>
  <c r="BM455" i="13"/>
  <c r="BM454" i="13"/>
  <c r="BM453" i="13"/>
  <c r="BM452" i="13"/>
  <c r="BM451" i="13"/>
  <c r="BM450" i="13"/>
  <c r="BM448" i="13"/>
  <c r="BM446" i="13"/>
  <c r="BM444" i="13"/>
  <c r="BM442" i="13"/>
  <c r="BM440" i="13"/>
  <c r="BM438" i="13"/>
  <c r="BM436" i="13"/>
  <c r="BM445" i="13"/>
  <c r="BM437" i="13"/>
  <c r="BM435" i="13"/>
  <c r="BM433" i="13"/>
  <c r="BM431" i="13"/>
  <c r="BM429" i="13"/>
  <c r="BM427" i="13"/>
  <c r="BM425" i="13"/>
  <c r="BM423" i="13"/>
  <c r="BM421" i="13"/>
  <c r="BM419" i="13"/>
  <c r="BM417" i="13"/>
  <c r="BM415" i="13"/>
  <c r="BM413" i="13"/>
  <c r="BM411" i="13"/>
  <c r="BM409" i="13"/>
  <c r="BM407" i="13"/>
  <c r="BM405" i="13"/>
  <c r="BM403" i="13"/>
  <c r="BM401" i="13"/>
  <c r="BM399" i="13"/>
  <c r="BM397" i="13"/>
  <c r="BM395" i="13"/>
  <c r="BM393" i="13"/>
  <c r="BM391" i="13"/>
  <c r="BM389" i="13"/>
  <c r="BM387" i="13"/>
  <c r="BM385" i="13"/>
  <c r="BM383" i="13"/>
  <c r="BM381" i="13"/>
  <c r="BM379" i="13"/>
  <c r="BM377" i="13"/>
  <c r="BM375" i="13"/>
  <c r="BM373" i="13"/>
  <c r="BM371" i="13"/>
  <c r="BM369" i="13"/>
  <c r="BM367" i="13"/>
  <c r="BM365" i="13"/>
  <c r="BM363" i="13"/>
  <c r="BM361" i="13"/>
  <c r="BM359" i="13"/>
  <c r="BM358" i="13"/>
  <c r="BM357" i="13"/>
  <c r="BM356" i="13"/>
  <c r="BM355" i="13"/>
  <c r="BM354" i="13"/>
  <c r="BM353" i="13"/>
  <c r="BM352" i="13"/>
  <c r="BM351" i="13"/>
  <c r="BM350" i="13"/>
  <c r="BM349" i="13"/>
  <c r="BM348" i="13"/>
  <c r="BM347" i="13"/>
  <c r="BM346" i="13"/>
  <c r="BM345" i="13"/>
  <c r="BM344" i="13"/>
  <c r="BM343" i="13"/>
  <c r="BM342" i="13"/>
  <c r="BM341" i="13"/>
  <c r="BM340" i="13"/>
  <c r="BM339" i="13"/>
  <c r="BM447" i="13"/>
  <c r="BM439" i="13"/>
  <c r="BM443" i="13"/>
  <c r="BM420" i="13"/>
  <c r="BM416" i="13"/>
  <c r="BM412" i="13"/>
  <c r="BM408" i="13"/>
  <c r="BM404" i="13"/>
  <c r="BM400" i="13"/>
  <c r="BM396" i="13"/>
  <c r="BM390" i="13"/>
  <c r="BM382" i="13"/>
  <c r="BM372" i="13"/>
  <c r="BM364" i="13"/>
  <c r="BM328" i="13"/>
  <c r="BM327" i="13"/>
  <c r="BM326" i="13"/>
  <c r="BM325" i="13"/>
  <c r="BM324" i="13"/>
  <c r="BM323" i="13"/>
  <c r="BM322" i="13"/>
  <c r="BM321" i="13"/>
  <c r="BM320" i="13"/>
  <c r="BM319" i="13"/>
  <c r="BM318" i="13"/>
  <c r="BM317" i="13"/>
  <c r="BM316" i="13"/>
  <c r="BM315" i="13"/>
  <c r="BM314" i="13"/>
  <c r="BM313" i="13"/>
  <c r="BM312" i="13"/>
  <c r="BM311" i="13"/>
  <c r="BM310" i="13"/>
  <c r="BM309" i="13"/>
  <c r="BM308" i="13"/>
  <c r="BM307" i="13"/>
  <c r="BM306" i="13"/>
  <c r="BM305" i="13"/>
  <c r="BM304" i="13"/>
  <c r="BM303" i="13"/>
  <c r="BM302" i="13"/>
  <c r="BM301" i="13"/>
  <c r="BM300" i="13"/>
  <c r="BM299" i="13"/>
  <c r="BM298" i="13"/>
  <c r="BM297" i="13"/>
  <c r="BM296" i="13"/>
  <c r="BM295" i="13"/>
  <c r="BM294" i="13"/>
  <c r="BM293" i="13"/>
  <c r="BM292" i="13"/>
  <c r="BM291" i="13"/>
  <c r="BM290" i="13"/>
  <c r="BM289" i="13"/>
  <c r="BM288" i="13"/>
  <c r="BM287" i="13"/>
  <c r="BM286" i="13"/>
  <c r="BM285" i="13"/>
  <c r="BM284" i="13"/>
  <c r="BM283" i="13"/>
  <c r="BM449" i="13"/>
  <c r="BM432" i="13"/>
  <c r="BM428" i="13"/>
  <c r="BM424" i="13"/>
  <c r="BM392" i="13"/>
  <c r="BM384" i="13"/>
  <c r="BM376" i="13"/>
  <c r="BM374" i="13"/>
  <c r="BM366" i="13"/>
  <c r="BM380" i="13"/>
  <c r="BM360" i="13"/>
  <c r="BM337" i="13"/>
  <c r="BM335" i="13"/>
  <c r="BM333" i="13"/>
  <c r="BM331" i="13"/>
  <c r="BM441" i="13"/>
  <c r="BM430" i="13"/>
  <c r="BM414" i="13"/>
  <c r="BM406" i="13"/>
  <c r="BM398" i="13"/>
  <c r="BM386" i="13"/>
  <c r="BM362" i="13"/>
  <c r="BM329" i="13"/>
  <c r="BM422" i="13"/>
  <c r="BM388" i="13"/>
  <c r="BM368" i="13"/>
  <c r="BM338" i="13"/>
  <c r="BM336" i="13"/>
  <c r="BM334" i="13"/>
  <c r="BM332" i="13"/>
  <c r="BM330" i="13"/>
  <c r="BM434" i="13"/>
  <c r="BM418" i="13"/>
  <c r="BM378" i="13"/>
  <c r="BM282" i="13"/>
  <c r="BM280" i="13"/>
  <c r="BM278" i="13"/>
  <c r="BM276" i="13"/>
  <c r="BM274" i="13"/>
  <c r="BM272" i="13"/>
  <c r="BM270" i="13"/>
  <c r="BM268" i="13"/>
  <c r="BM266" i="13"/>
  <c r="BM264" i="13"/>
  <c r="BM262" i="13"/>
  <c r="BM260" i="13"/>
  <c r="BM258" i="13"/>
  <c r="BM256" i="13"/>
  <c r="BM254" i="13"/>
  <c r="BM252" i="13"/>
  <c r="BM250" i="13"/>
  <c r="BM248" i="13"/>
  <c r="BM246" i="13"/>
  <c r="BM244" i="13"/>
  <c r="BM242" i="13"/>
  <c r="BM240" i="13"/>
  <c r="BM238" i="13"/>
  <c r="BM236" i="13"/>
  <c r="BM234" i="13"/>
  <c r="BM232" i="13"/>
  <c r="BM230" i="13"/>
  <c r="BM228" i="13"/>
  <c r="BM226" i="13"/>
  <c r="BM224" i="13"/>
  <c r="BM222" i="13"/>
  <c r="BM220" i="13"/>
  <c r="BM218" i="13"/>
  <c r="BM216" i="13"/>
  <c r="BM214" i="13"/>
  <c r="BM212" i="13"/>
  <c r="BM210" i="13"/>
  <c r="BM208" i="13"/>
  <c r="BM206" i="13"/>
  <c r="BM204" i="13"/>
  <c r="BM202" i="13"/>
  <c r="BM201" i="13"/>
  <c r="BM200" i="13"/>
  <c r="BM199" i="13"/>
  <c r="BM198" i="13"/>
  <c r="BM197" i="13"/>
  <c r="BM196" i="13"/>
  <c r="BM195" i="13"/>
  <c r="BM194" i="13"/>
  <c r="BM193" i="13"/>
  <c r="BM192" i="13"/>
  <c r="BM191" i="13"/>
  <c r="BM426" i="13"/>
  <c r="BM410" i="13"/>
  <c r="BM402" i="13"/>
  <c r="BM281" i="13"/>
  <c r="BM279" i="13"/>
  <c r="BM277" i="13"/>
  <c r="BM275" i="13"/>
  <c r="BM273" i="13"/>
  <c r="BM271" i="13"/>
  <c r="BM269" i="13"/>
  <c r="BM267" i="13"/>
  <c r="BM265" i="13"/>
  <c r="BM263" i="13"/>
  <c r="BM261" i="13"/>
  <c r="BM259" i="13"/>
  <c r="BM257" i="13"/>
  <c r="BM255" i="13"/>
  <c r="BM253" i="13"/>
  <c r="BM251" i="13"/>
  <c r="BM249" i="13"/>
  <c r="BM247" i="13"/>
  <c r="BM245" i="13"/>
  <c r="BM243" i="13"/>
  <c r="BM241" i="13"/>
  <c r="BM239" i="13"/>
  <c r="BM237" i="13"/>
  <c r="BM235" i="13"/>
  <c r="BM233" i="13"/>
  <c r="BM231" i="13"/>
  <c r="BM229" i="13"/>
  <c r="BM227" i="13"/>
  <c r="BM225" i="13"/>
  <c r="BM223" i="13"/>
  <c r="BM221" i="13"/>
  <c r="BM52" i="13"/>
  <c r="BM51" i="13"/>
  <c r="BM50" i="13"/>
  <c r="BM49" i="13"/>
  <c r="BM48" i="13"/>
  <c r="BM47" i="13"/>
  <c r="BM46" i="13"/>
  <c r="BM45" i="13"/>
  <c r="BM44" i="13"/>
  <c r="BM43" i="13"/>
  <c r="BM42" i="13"/>
  <c r="BM41" i="13"/>
  <c r="BM40" i="13"/>
  <c r="BM39" i="13"/>
  <c r="BM38" i="13"/>
  <c r="BM37" i="13"/>
  <c r="BM36" i="13"/>
  <c r="BM35" i="13"/>
  <c r="BM34" i="13"/>
  <c r="BM33" i="13"/>
  <c r="BM32" i="13"/>
  <c r="BM31" i="13"/>
  <c r="BM30" i="13"/>
  <c r="BM29" i="13"/>
  <c r="BM28" i="13"/>
  <c r="BM27" i="13"/>
  <c r="BM219" i="13"/>
  <c r="BM215" i="13"/>
  <c r="BM211" i="13"/>
  <c r="BM207" i="13"/>
  <c r="BM190" i="13"/>
  <c r="BM188" i="13"/>
  <c r="BM186" i="13"/>
  <c r="BM184" i="13"/>
  <c r="BM182" i="13"/>
  <c r="BM180" i="13"/>
  <c r="BM178" i="13"/>
  <c r="BM176" i="13"/>
  <c r="BM174" i="13"/>
  <c r="BM172" i="13"/>
  <c r="BM170" i="13"/>
  <c r="BM98" i="13"/>
  <c r="BM97" i="13"/>
  <c r="BM96" i="13"/>
  <c r="BM95" i="13"/>
  <c r="BM94" i="13"/>
  <c r="BM93" i="13"/>
  <c r="BM92" i="13"/>
  <c r="BM91" i="13"/>
  <c r="BM90" i="13"/>
  <c r="BM89" i="13"/>
  <c r="BM88" i="13"/>
  <c r="BM87" i="13"/>
  <c r="BM86" i="13"/>
  <c r="BM85" i="13"/>
  <c r="BM84" i="13"/>
  <c r="BM83" i="13"/>
  <c r="BM82" i="13"/>
  <c r="BM81" i="13"/>
  <c r="BM80" i="13"/>
  <c r="BM79" i="13"/>
  <c r="BM78" i="13"/>
  <c r="BM77" i="13"/>
  <c r="BM76" i="13"/>
  <c r="BM75" i="13"/>
  <c r="BM74" i="13"/>
  <c r="BM73" i="13"/>
  <c r="BM72" i="13"/>
  <c r="BM71" i="13"/>
  <c r="BM70" i="13"/>
  <c r="BM69" i="13"/>
  <c r="BM68" i="13"/>
  <c r="BM67" i="13"/>
  <c r="BM66" i="13"/>
  <c r="BM65" i="13"/>
  <c r="BM64" i="13"/>
  <c r="BM63" i="13"/>
  <c r="BM62" i="13"/>
  <c r="BM61" i="13"/>
  <c r="BM60" i="13"/>
  <c r="BM59" i="13"/>
  <c r="BM58" i="13"/>
  <c r="BM57" i="13"/>
  <c r="BM56" i="13"/>
  <c r="BM55" i="13"/>
  <c r="BM54" i="13"/>
  <c r="BM53" i="13"/>
  <c r="BM370" i="13"/>
  <c r="BM203" i="13"/>
  <c r="BM394" i="13"/>
  <c r="BM209" i="13"/>
  <c r="BM187" i="13"/>
  <c r="BM183" i="13"/>
  <c r="BM179" i="13"/>
  <c r="BM175" i="13"/>
  <c r="BM171" i="13"/>
  <c r="BM168" i="13"/>
  <c r="BM167" i="13"/>
  <c r="BM166" i="13"/>
  <c r="BM165" i="13"/>
  <c r="BM164" i="13"/>
  <c r="BM163" i="13"/>
  <c r="BM162" i="13"/>
  <c r="BM161" i="13"/>
  <c r="BM160" i="13"/>
  <c r="BM159" i="13"/>
  <c r="BM158" i="13"/>
  <c r="BM157" i="13"/>
  <c r="BM156" i="13"/>
  <c r="BM155" i="13"/>
  <c r="BM154" i="13"/>
  <c r="BM153" i="13"/>
  <c r="BM152" i="13"/>
  <c r="BM151" i="13"/>
  <c r="BM150" i="13"/>
  <c r="BM149" i="13"/>
  <c r="BM148" i="13"/>
  <c r="BM147" i="13"/>
  <c r="BM146" i="13"/>
  <c r="BM145" i="13"/>
  <c r="BM205" i="13"/>
  <c r="BM144" i="13"/>
  <c r="BM143" i="13"/>
  <c r="BM142" i="13"/>
  <c r="BM141" i="13"/>
  <c r="BM140" i="13"/>
  <c r="BM139" i="13"/>
  <c r="BM138" i="13"/>
  <c r="BM217" i="13"/>
  <c r="BM189" i="13"/>
  <c r="BM185" i="13"/>
  <c r="BM181" i="13"/>
  <c r="BM177" i="13"/>
  <c r="BM173" i="13"/>
  <c r="BM169" i="13"/>
  <c r="BM99" i="13"/>
  <c r="BM213" i="13"/>
  <c r="BM137" i="13"/>
  <c r="BM135" i="13"/>
  <c r="BM133" i="13"/>
  <c r="BM131" i="13"/>
  <c r="BM129" i="13"/>
  <c r="BM127" i="13"/>
  <c r="BM125" i="13"/>
  <c r="BM123" i="13"/>
  <c r="BM121" i="13"/>
  <c r="BM119" i="13"/>
  <c r="BM117" i="13"/>
  <c r="BM115" i="13"/>
  <c r="BM113" i="13"/>
  <c r="BM111" i="13"/>
  <c r="BM109" i="13"/>
  <c r="BM107" i="13"/>
  <c r="BM105" i="13"/>
  <c r="BM103" i="13"/>
  <c r="BM101" i="13"/>
  <c r="BM26" i="13"/>
  <c r="BM25" i="13"/>
  <c r="BM24" i="13"/>
  <c r="BM23" i="13"/>
  <c r="BM22" i="13"/>
  <c r="BM21" i="13"/>
  <c r="BM20" i="13"/>
  <c r="BM19" i="13"/>
  <c r="BM18" i="13"/>
  <c r="BM136" i="13"/>
  <c r="BM134" i="13"/>
  <c r="BM132" i="13"/>
  <c r="BM130" i="13"/>
  <c r="BM128" i="13"/>
  <c r="BM126" i="13"/>
  <c r="BM124" i="13"/>
  <c r="BM122" i="13"/>
  <c r="BM120" i="13"/>
  <c r="BM118" i="13"/>
  <c r="BM116" i="13"/>
  <c r="BM114" i="13"/>
  <c r="BM112" i="13"/>
  <c r="BM110" i="13"/>
  <c r="BM108" i="13"/>
  <c r="BM106" i="13"/>
  <c r="BM104" i="13"/>
  <c r="BM102" i="13"/>
  <c r="BM100" i="13"/>
  <c r="BM17" i="13"/>
  <c r="BM15" i="13"/>
  <c r="BM13" i="13"/>
  <c r="BM11" i="13"/>
  <c r="BM9" i="13"/>
  <c r="BM16" i="13"/>
  <c r="BM14" i="13"/>
  <c r="BM12" i="13"/>
  <c r="BM10" i="13"/>
  <c r="BM8" i="13"/>
  <c r="BM7" i="13"/>
  <c r="H77" i="10" a="1"/>
  <c r="H77" i="10" s="1"/>
  <c r="BF99" i="10"/>
  <c r="BI4" i="10"/>
  <c r="BJ5" i="10"/>
  <c r="BG91" i="10"/>
  <c r="BF75" i="10" l="1" a="1"/>
  <c r="BF75" i="10" s="1"/>
  <c r="BG99" i="10"/>
  <c r="I95" i="10"/>
  <c r="BE47" i="10"/>
  <c r="BH43" i="10"/>
  <c r="BH18" i="10"/>
  <c r="BG39" i="10"/>
  <c r="BH30" i="10"/>
  <c r="BH13" i="10"/>
  <c r="BH24" i="10"/>
  <c r="BH22" i="10"/>
  <c r="BH11" i="10"/>
  <c r="BH19" i="10"/>
  <c r="BF49" i="10"/>
  <c r="BF47" i="10"/>
  <c r="BH32" i="10"/>
  <c r="BH37" i="10"/>
  <c r="BH16" i="10"/>
  <c r="BH25" i="10"/>
  <c r="BH15" i="10"/>
  <c r="BH28" i="10"/>
  <c r="BH38" i="10"/>
  <c r="BH10" i="10"/>
  <c r="BI45" i="10"/>
  <c r="BH68" i="10"/>
  <c r="BH31" i="10"/>
  <c r="BH69" i="10"/>
  <c r="BH29" i="10"/>
  <c r="BH14" i="10"/>
  <c r="BH17" i="10"/>
  <c r="BH20" i="10"/>
  <c r="BH35" i="10"/>
  <c r="BH12" i="10"/>
  <c r="BH33" i="10"/>
  <c r="BH23" i="10"/>
  <c r="BH64" i="10"/>
  <c r="BH21" i="10"/>
  <c r="BH36" i="10"/>
  <c r="BH34" i="10"/>
  <c r="BH27" i="10"/>
  <c r="BH67" i="10"/>
  <c r="BJ114" i="10"/>
  <c r="BJ115" i="10" s="1"/>
  <c r="BJ116" i="10" s="1"/>
  <c r="BH96" i="10"/>
  <c r="BJ128" i="10"/>
  <c r="BE49" i="10"/>
  <c r="BI95" i="10"/>
  <c r="BI7" i="10" a="1"/>
  <c r="BI7" i="10" s="1"/>
  <c r="BI6" i="10" s="1"/>
  <c r="BI69" i="10" s="1"/>
  <c r="BJ3" i="10"/>
  <c r="BI84" i="10"/>
  <c r="BI86" i="10" s="1"/>
  <c r="BI89" i="10"/>
  <c r="BI90" i="10"/>
  <c r="BI78" i="10" a="1"/>
  <c r="BI78" i="10" s="1"/>
  <c r="BI77" i="10" a="1"/>
  <c r="BI77" i="10" s="1"/>
  <c r="BI76" i="10" a="1"/>
  <c r="BI76" i="10" s="1"/>
  <c r="BI75" i="10" a="1"/>
  <c r="BI75" i="10" s="1"/>
  <c r="BK5" i="10"/>
  <c r="BJ4" i="10"/>
  <c r="BF77" i="10" a="1"/>
  <c r="BF77" i="10" s="1"/>
  <c r="BF78" i="10" a="1"/>
  <c r="BF78" i="10" s="1"/>
  <c r="BF76" i="10" a="1"/>
  <c r="BF76" i="10" s="1"/>
  <c r="BH91" i="10"/>
  <c r="BH99" i="10" l="1"/>
  <c r="I96" i="10"/>
  <c r="BI50" i="10"/>
  <c r="BI43" i="10"/>
  <c r="BJ45" i="10"/>
  <c r="BJ50" i="10" s="1"/>
  <c r="BI10" i="10"/>
  <c r="BH39" i="10"/>
  <c r="BI68" i="10"/>
  <c r="BI33" i="10"/>
  <c r="BI25" i="10"/>
  <c r="BI17" i="10"/>
  <c r="BI38" i="10"/>
  <c r="BI18" i="10"/>
  <c r="BI34" i="10"/>
  <c r="BI20" i="10"/>
  <c r="BI31" i="10"/>
  <c r="BI23" i="10"/>
  <c r="BI32" i="10"/>
  <c r="BI14" i="10"/>
  <c r="BI16" i="10"/>
  <c r="BI37" i="10"/>
  <c r="BI29" i="10"/>
  <c r="BI13" i="10"/>
  <c r="BI12" i="10"/>
  <c r="BI27" i="10"/>
  <c r="BI22" i="10"/>
  <c r="BI15" i="10"/>
  <c r="BI26" i="10"/>
  <c r="BI21" i="10"/>
  <c r="BI24" i="10"/>
  <c r="BI36" i="10"/>
  <c r="BI30" i="10"/>
  <c r="BI35" i="10"/>
  <c r="BI28" i="10"/>
  <c r="BI19" i="10"/>
  <c r="BI64" i="10"/>
  <c r="BI67" i="10"/>
  <c r="BI11" i="10"/>
  <c r="BG47" i="10"/>
  <c r="BG49" i="10"/>
  <c r="BK114" i="10"/>
  <c r="BK115" i="10" s="1"/>
  <c r="BK116" i="10" s="1"/>
  <c r="BK128" i="10"/>
  <c r="BI96" i="10"/>
  <c r="BJ95" i="10"/>
  <c r="BJ96" i="10" s="1"/>
  <c r="BL5" i="10"/>
  <c r="BK4" i="10"/>
  <c r="BI91" i="10"/>
  <c r="BJ7" i="10" a="1"/>
  <c r="BJ7" i="10" s="1"/>
  <c r="BJ6" i="10" s="1"/>
  <c r="BK3" i="10"/>
  <c r="BK45" i="10" s="1"/>
  <c r="BK50" i="10" s="1"/>
  <c r="BJ84" i="10"/>
  <c r="BJ86" i="10" s="1"/>
  <c r="BJ89" i="10"/>
  <c r="BJ90" i="10"/>
  <c r="BJ77" i="10" a="1"/>
  <c r="BJ77" i="10" s="1"/>
  <c r="BJ76" i="10" a="1"/>
  <c r="BJ76" i="10" s="1"/>
  <c r="BJ75" i="10" a="1"/>
  <c r="BJ75" i="10" s="1"/>
  <c r="BJ78" i="10" a="1"/>
  <c r="BJ78" i="10" s="1"/>
  <c r="BH47" i="10" l="1"/>
  <c r="BH49" i="10"/>
  <c r="BJ10" i="10"/>
  <c r="BJ64" i="10"/>
  <c r="BI39" i="10"/>
  <c r="BJ11" i="10"/>
  <c r="BJ67" i="10"/>
  <c r="BJ43" i="10"/>
  <c r="BJ15" i="10"/>
  <c r="BJ32" i="10"/>
  <c r="BJ24" i="10"/>
  <c r="BJ16" i="10"/>
  <c r="BJ33" i="10"/>
  <c r="BJ19" i="10"/>
  <c r="BJ25" i="10"/>
  <c r="BJ38" i="10"/>
  <c r="BJ22" i="10"/>
  <c r="BJ29" i="10"/>
  <c r="BJ21" i="10"/>
  <c r="BJ36" i="10"/>
  <c r="BJ28" i="10"/>
  <c r="BJ20" i="10"/>
  <c r="BJ12" i="10"/>
  <c r="BJ27" i="10"/>
  <c r="BJ35" i="10"/>
  <c r="BJ17" i="10"/>
  <c r="BJ34" i="10"/>
  <c r="BJ26" i="10"/>
  <c r="BJ18" i="10"/>
  <c r="BJ37" i="10"/>
  <c r="BJ23" i="10"/>
  <c r="BJ31" i="10"/>
  <c r="BJ30" i="10"/>
  <c r="BJ14" i="10"/>
  <c r="BJ13" i="10"/>
  <c r="BJ68" i="10"/>
  <c r="BJ69" i="10"/>
  <c r="BL114" i="10"/>
  <c r="BL115" i="10" s="1"/>
  <c r="BL116" i="10" s="1"/>
  <c r="BI99" i="10"/>
  <c r="BL128" i="10"/>
  <c r="BK95" i="10"/>
  <c r="BM5" i="10"/>
  <c r="BL4" i="10"/>
  <c r="BJ91" i="10"/>
  <c r="BJ99" i="10" s="1"/>
  <c r="BK7" i="10" a="1"/>
  <c r="BK7" i="10" s="1"/>
  <c r="BK6" i="10" s="1"/>
  <c r="BL3" i="10"/>
  <c r="BK89" i="10"/>
  <c r="BK84" i="10"/>
  <c r="BK90" i="10"/>
  <c r="BK78" i="10" a="1"/>
  <c r="BK78" i="10" s="1"/>
  <c r="BK76" i="10" a="1"/>
  <c r="BK76" i="10" s="1"/>
  <c r="BK75" i="10" a="1"/>
  <c r="BK75" i="10" s="1"/>
  <c r="BK77" i="10" a="1"/>
  <c r="BK77" i="10" s="1"/>
  <c r="BK86" i="10" l="1"/>
  <c r="BK38" i="10"/>
  <c r="BK30" i="10"/>
  <c r="BK22" i="10"/>
  <c r="BK14" i="10"/>
  <c r="BK35" i="10"/>
  <c r="BK25" i="10"/>
  <c r="BK13" i="10"/>
  <c r="BK24" i="10"/>
  <c r="BK27" i="10"/>
  <c r="BK69" i="10"/>
  <c r="BK20" i="10"/>
  <c r="BK21" i="10"/>
  <c r="BK26" i="10"/>
  <c r="BK19" i="10"/>
  <c r="BK16" i="10"/>
  <c r="BK15" i="10"/>
  <c r="BJ39" i="10"/>
  <c r="BK67" i="10"/>
  <c r="BK12" i="10"/>
  <c r="BK43" i="10"/>
  <c r="BK18" i="10"/>
  <c r="BL45" i="10"/>
  <c r="BK11" i="10"/>
  <c r="BK37" i="10"/>
  <c r="BK36" i="10"/>
  <c r="BK33" i="10"/>
  <c r="BK10" i="10"/>
  <c r="BK23" i="10"/>
  <c r="BK32" i="10"/>
  <c r="BK17" i="10"/>
  <c r="BK68" i="10"/>
  <c r="BI49" i="10"/>
  <c r="BI47" i="10"/>
  <c r="BK64" i="10"/>
  <c r="BK28" i="10"/>
  <c r="BK31" i="10"/>
  <c r="BK34" i="10"/>
  <c r="BK29" i="10"/>
  <c r="BM114" i="10"/>
  <c r="BM115" i="10" s="1"/>
  <c r="BM116" i="10" s="1"/>
  <c r="BM128" i="10"/>
  <c r="BL95" i="10"/>
  <c r="BK96" i="10"/>
  <c r="BL7" i="10" a="1"/>
  <c r="BL7" i="10" s="1"/>
  <c r="BL6" i="10" s="1"/>
  <c r="BM3" i="10"/>
  <c r="BL89" i="10"/>
  <c r="BL84" i="10"/>
  <c r="BL86" i="10" s="1"/>
  <c r="BL90" i="10"/>
  <c r="BL77" i="10" a="1"/>
  <c r="BL77" i="10" s="1"/>
  <c r="BL75" i="10" a="1"/>
  <c r="BL75" i="10" s="1"/>
  <c r="BL76" i="10" a="1"/>
  <c r="BL76" i="10" s="1"/>
  <c r="BL78" i="10" a="1"/>
  <c r="BL78" i="10" s="1"/>
  <c r="BM4" i="10"/>
  <c r="BN5" i="10"/>
  <c r="BK91" i="10"/>
  <c r="BL50" i="10" l="1"/>
  <c r="BL38" i="10"/>
  <c r="BL32" i="10"/>
  <c r="BL16" i="10"/>
  <c r="BL33" i="10"/>
  <c r="BL25" i="10"/>
  <c r="BL17" i="10"/>
  <c r="BL24" i="10"/>
  <c r="BL23" i="10"/>
  <c r="BL15" i="10"/>
  <c r="BL36" i="10"/>
  <c r="BL30" i="10"/>
  <c r="BL22" i="10"/>
  <c r="BL37" i="10"/>
  <c r="BL34" i="10"/>
  <c r="BK39" i="10"/>
  <c r="BL35" i="10"/>
  <c r="BL26" i="10"/>
  <c r="BL68" i="10"/>
  <c r="BL29" i="10"/>
  <c r="BL28" i="10"/>
  <c r="BL67" i="10"/>
  <c r="BL27" i="10"/>
  <c r="BJ47" i="10"/>
  <c r="BJ49" i="10"/>
  <c r="BL43" i="10"/>
  <c r="BM45" i="10"/>
  <c r="BM50" i="10" s="1"/>
  <c r="BL21" i="10"/>
  <c r="BL12" i="10"/>
  <c r="BL19" i="10"/>
  <c r="BL10" i="10"/>
  <c r="BL14" i="10"/>
  <c r="BL11" i="10"/>
  <c r="BL13" i="10"/>
  <c r="BL18" i="10"/>
  <c r="BL20" i="10"/>
  <c r="BL64" i="10"/>
  <c r="BL69" i="10"/>
  <c r="BL31" i="10"/>
  <c r="BN114" i="10"/>
  <c r="BN115" i="10" s="1"/>
  <c r="BN116" i="10" s="1"/>
  <c r="BL96" i="10"/>
  <c r="BN128" i="10"/>
  <c r="BM95" i="10"/>
  <c r="BO5" i="10"/>
  <c r="BN4" i="10"/>
  <c r="BL91" i="10"/>
  <c r="BM7" i="10" a="1"/>
  <c r="BM7" i="10" s="1"/>
  <c r="BN3" i="10"/>
  <c r="BM84" i="10"/>
  <c r="BM86" i="10" s="1"/>
  <c r="BM89" i="10"/>
  <c r="BM90" i="10"/>
  <c r="BM77" i="10" a="1"/>
  <c r="BM77" i="10" s="1"/>
  <c r="BM75" i="10" a="1"/>
  <c r="BM75" i="10" s="1"/>
  <c r="BM78" i="10" a="1"/>
  <c r="BM78" i="10" s="1"/>
  <c r="BM76" i="10" a="1"/>
  <c r="BM76" i="10" s="1"/>
  <c r="BK99" i="10"/>
  <c r="BL39" i="10" l="1"/>
  <c r="BN45" i="10"/>
  <c r="BN50" i="10" s="1"/>
  <c r="BM6" i="10"/>
  <c r="BM43" i="10"/>
  <c r="BK47" i="10"/>
  <c r="BK49" i="10"/>
  <c r="BO114" i="10"/>
  <c r="BO115" i="10" s="1"/>
  <c r="BO116" i="10" s="1"/>
  <c r="BL99" i="10"/>
  <c r="BO128" i="10"/>
  <c r="BM96" i="10"/>
  <c r="BN95" i="10"/>
  <c r="BO3" i="10"/>
  <c r="BN7" i="10" a="1"/>
  <c r="BN7" i="10" s="1"/>
  <c r="BN6" i="10" s="1"/>
  <c r="BN25" i="10" s="1"/>
  <c r="BN84" i="10"/>
  <c r="BN86" i="10" s="1"/>
  <c r="BN89" i="10"/>
  <c r="BN90" i="10"/>
  <c r="BN76" i="10" a="1"/>
  <c r="BN76" i="10" s="1"/>
  <c r="BN78" i="10" a="1"/>
  <c r="BN78" i="10" s="1"/>
  <c r="BN75" i="10" a="1"/>
  <c r="BN75" i="10" s="1"/>
  <c r="BN77" i="10" a="1"/>
  <c r="BN77" i="10" s="1"/>
  <c r="BO4" i="10"/>
  <c r="BP5" i="10"/>
  <c r="BM91" i="10"/>
  <c r="BN43" i="10" l="1"/>
  <c r="BN68" i="10"/>
  <c r="BN35" i="10"/>
  <c r="BL47" i="10"/>
  <c r="BL49" i="10"/>
  <c r="BN11" i="10"/>
  <c r="BN38" i="10"/>
  <c r="BN36" i="10"/>
  <c r="BN28" i="10"/>
  <c r="BN20" i="10"/>
  <c r="BN12" i="10"/>
  <c r="BN27" i="10"/>
  <c r="BN32" i="10"/>
  <c r="BN24" i="10"/>
  <c r="BN16" i="10"/>
  <c r="BN31" i="10"/>
  <c r="BN33" i="10"/>
  <c r="BN19" i="10"/>
  <c r="BN15" i="10"/>
  <c r="BN13" i="10"/>
  <c r="BO45" i="10"/>
  <c r="BO50" i="10" s="1"/>
  <c r="BN34" i="10"/>
  <c r="BN37" i="10"/>
  <c r="BN69" i="10"/>
  <c r="BN64" i="10"/>
  <c r="BN30" i="10"/>
  <c r="BN29" i="10"/>
  <c r="BN26" i="10"/>
  <c r="BN21" i="10"/>
  <c r="BN23" i="10"/>
  <c r="BN67" i="10"/>
  <c r="BN22" i="10"/>
  <c r="BN17" i="10"/>
  <c r="BM37" i="10"/>
  <c r="BM29" i="10"/>
  <c r="BM21" i="10"/>
  <c r="BM13" i="10"/>
  <c r="BM26" i="10"/>
  <c r="BM16" i="10"/>
  <c r="BM28" i="10"/>
  <c r="BM35" i="10"/>
  <c r="BM27" i="10"/>
  <c r="BM19" i="10"/>
  <c r="BM24" i="10"/>
  <c r="BM38" i="10"/>
  <c r="BM18" i="10"/>
  <c r="BM31" i="10"/>
  <c r="BM30" i="10"/>
  <c r="BM12" i="10"/>
  <c r="BM15" i="10"/>
  <c r="BM32" i="10"/>
  <c r="BM33" i="10"/>
  <c r="BM25" i="10"/>
  <c r="BM17" i="10"/>
  <c r="BM36" i="10"/>
  <c r="BM22" i="10"/>
  <c r="BM34" i="10"/>
  <c r="BM14" i="10"/>
  <c r="BM10" i="10"/>
  <c r="BM67" i="10"/>
  <c r="BM23" i="10"/>
  <c r="BM20" i="10"/>
  <c r="BM11" i="10"/>
  <c r="BM69" i="10"/>
  <c r="BM68" i="10"/>
  <c r="BM64" i="10"/>
  <c r="BN10" i="10"/>
  <c r="BN18" i="10"/>
  <c r="BN14" i="10"/>
  <c r="BP114" i="10"/>
  <c r="BP115" i="10" s="1"/>
  <c r="BP116" i="10" s="1"/>
  <c r="BM99" i="10"/>
  <c r="BN96" i="10"/>
  <c r="BO95" i="10"/>
  <c r="BN91" i="10"/>
  <c r="BO7" i="10" a="1"/>
  <c r="BO7" i="10" s="1"/>
  <c r="BO6" i="10" s="1"/>
  <c r="BP3" i="10"/>
  <c r="BO84" i="10"/>
  <c r="BO86" i="10" s="1"/>
  <c r="BO90" i="10"/>
  <c r="BO89" i="10"/>
  <c r="BO77" i="10" a="1"/>
  <c r="BO77" i="10" s="1"/>
  <c r="BO78" i="10" a="1"/>
  <c r="BO78" i="10" s="1"/>
  <c r="BO76" i="10" a="1"/>
  <c r="BO76" i="10" s="1"/>
  <c r="BO75" i="10" a="1"/>
  <c r="BO75" i="10" s="1"/>
  <c r="BQ5" i="10"/>
  <c r="BQ4" i="10" s="1"/>
  <c r="BP4" i="10"/>
  <c r="BP45" i="10" l="1"/>
  <c r="BP50" i="10" s="1"/>
  <c r="BO36" i="10"/>
  <c r="BO28" i="10"/>
  <c r="BO20" i="10"/>
  <c r="BO12" i="10"/>
  <c r="BO29" i="10"/>
  <c r="BO33" i="10"/>
  <c r="BO34" i="10"/>
  <c r="BO26" i="10"/>
  <c r="BO18" i="10"/>
  <c r="BO27" i="10"/>
  <c r="BO13" i="10"/>
  <c r="BO32" i="10"/>
  <c r="BO24" i="10"/>
  <c r="BO16" i="10"/>
  <c r="BO25" i="10"/>
  <c r="BO37" i="10"/>
  <c r="BO21" i="10"/>
  <c r="BO38" i="10"/>
  <c r="BO30" i="10"/>
  <c r="BO14" i="10"/>
  <c r="BO31" i="10"/>
  <c r="BO35" i="10"/>
  <c r="BO15" i="10"/>
  <c r="BO23" i="10"/>
  <c r="BO22" i="10"/>
  <c r="BO19" i="10"/>
  <c r="BO17" i="10"/>
  <c r="BN39" i="10"/>
  <c r="BO69" i="10"/>
  <c r="BO43" i="10"/>
  <c r="BM39" i="10"/>
  <c r="BO64" i="10"/>
  <c r="BO10" i="10"/>
  <c r="BO68" i="10"/>
  <c r="BO67" i="10"/>
  <c r="BO11" i="10"/>
  <c r="BQ114" i="10"/>
  <c r="BQ115" i="10" s="1"/>
  <c r="BQ116" i="10" s="1"/>
  <c r="BN99" i="10"/>
  <c r="BO96" i="10"/>
  <c r="BP95" i="10"/>
  <c r="BO91" i="10"/>
  <c r="BP7" i="10" a="1"/>
  <c r="BP7" i="10" s="1"/>
  <c r="BQ3" i="10"/>
  <c r="BP84" i="10"/>
  <c r="BP86" i="10" s="1"/>
  <c r="BP89" i="10"/>
  <c r="BP90" i="10"/>
  <c r="BP78" i="10" a="1"/>
  <c r="BP78" i="10" s="1"/>
  <c r="BP75" i="10" a="1"/>
  <c r="BP75" i="10" s="1"/>
  <c r="BP77" i="10" a="1"/>
  <c r="BP77" i="10" s="1"/>
  <c r="BP76" i="10" a="1"/>
  <c r="BP76" i="10" s="1"/>
  <c r="BR5" i="10"/>
  <c r="BP6" i="10" l="1"/>
  <c r="BP11" i="10" s="1"/>
  <c r="M7" i="11"/>
  <c r="M6" i="11" s="1"/>
  <c r="BO39" i="10"/>
  <c r="BP35" i="10"/>
  <c r="BP30" i="10"/>
  <c r="BP69" i="10"/>
  <c r="BN47" i="10"/>
  <c r="BN49" i="10"/>
  <c r="BP37" i="10"/>
  <c r="BP29" i="10"/>
  <c r="BP26" i="10"/>
  <c r="BP38" i="10"/>
  <c r="BP33" i="10"/>
  <c r="BP25" i="10"/>
  <c r="BP17" i="10"/>
  <c r="BP32" i="10"/>
  <c r="BP22" i="10"/>
  <c r="BP20" i="10"/>
  <c r="BP36" i="10"/>
  <c r="BP31" i="10"/>
  <c r="BP23" i="10"/>
  <c r="BP15" i="10"/>
  <c r="BP18" i="10"/>
  <c r="BP21" i="10"/>
  <c r="BP34" i="10"/>
  <c r="BP28" i="10"/>
  <c r="BP13" i="10"/>
  <c r="BP14" i="10"/>
  <c r="BP16" i="10"/>
  <c r="BP43" i="10"/>
  <c r="BP68" i="10"/>
  <c r="BP27" i="10"/>
  <c r="BP12" i="10"/>
  <c r="BP64" i="10"/>
  <c r="BQ45" i="10"/>
  <c r="BQ50" i="10" s="1"/>
  <c r="BM49" i="10"/>
  <c r="BM47" i="10"/>
  <c r="BP19" i="10"/>
  <c r="BP67" i="10"/>
  <c r="BP10" i="10"/>
  <c r="BP24" i="10"/>
  <c r="BR116" i="10"/>
  <c r="BR114" i="10"/>
  <c r="BR115" i="10" s="1"/>
  <c r="BO99" i="10"/>
  <c r="BP96" i="10"/>
  <c r="BR108" i="10"/>
  <c r="BR122" i="10"/>
  <c r="BR128" i="10"/>
  <c r="BR124" i="10"/>
  <c r="BQ95" i="10"/>
  <c r="BR130" i="10"/>
  <c r="BP159" i="14" s="1"/>
  <c r="BS5" i="10"/>
  <c r="BR4" i="10"/>
  <c r="BQ7" i="10" a="1"/>
  <c r="BQ7" i="10" s="1"/>
  <c r="BQ6" i="10" s="1"/>
  <c r="BQ67" i="10" s="1"/>
  <c r="BR3" i="10"/>
  <c r="BQ84" i="10"/>
  <c r="BQ86" i="10" s="1"/>
  <c r="BQ89" i="10"/>
  <c r="BQ90" i="10"/>
  <c r="BQ76" i="10" a="1"/>
  <c r="BQ76" i="10" s="1"/>
  <c r="BQ75" i="10" a="1"/>
  <c r="BQ75" i="10" s="1"/>
  <c r="BQ78" i="10" a="1"/>
  <c r="BQ78" i="10" s="1"/>
  <c r="BQ77" i="10" a="1"/>
  <c r="BQ77" i="10" s="1"/>
  <c r="BP91" i="10"/>
  <c r="BQ68" i="10" l="1"/>
  <c r="BP39" i="10"/>
  <c r="BP47" i="10" s="1"/>
  <c r="BO47" i="10"/>
  <c r="BO49" i="10"/>
  <c r="BQ31" i="10"/>
  <c r="BQ23" i="10"/>
  <c r="BQ15" i="10"/>
  <c r="BQ32" i="10"/>
  <c r="BQ37" i="10"/>
  <c r="BQ29" i="10"/>
  <c r="BQ21" i="10"/>
  <c r="BQ13" i="10"/>
  <c r="BQ28" i="10"/>
  <c r="BQ36" i="10"/>
  <c r="BQ24" i="10"/>
  <c r="BQ35" i="10"/>
  <c r="BQ27" i="10"/>
  <c r="BQ19" i="10"/>
  <c r="BQ18" i="10"/>
  <c r="BQ34" i="10"/>
  <c r="BQ12" i="10"/>
  <c r="BQ22" i="10"/>
  <c r="BQ16" i="10"/>
  <c r="BQ33" i="10"/>
  <c r="BQ25" i="10"/>
  <c r="BQ17" i="10"/>
  <c r="BQ38" i="10"/>
  <c r="BQ14" i="10"/>
  <c r="BQ30" i="10"/>
  <c r="BQ20" i="10"/>
  <c r="BQ26" i="10"/>
  <c r="BQ43" i="10"/>
  <c r="BR45" i="10"/>
  <c r="BR50" i="10" s="1"/>
  <c r="BQ64" i="10"/>
  <c r="BQ10" i="10"/>
  <c r="BQ69" i="10"/>
  <c r="BQ11" i="10"/>
  <c r="BS114" i="10"/>
  <c r="BS115" i="10" s="1"/>
  <c r="BS116" i="10"/>
  <c r="BQ96" i="10"/>
  <c r="BP99" i="10"/>
  <c r="BS108" i="10"/>
  <c r="BS124" i="10"/>
  <c r="BS128" i="10"/>
  <c r="BS122" i="10"/>
  <c r="BR95" i="10"/>
  <c r="BQ91" i="10"/>
  <c r="BT5" i="10"/>
  <c r="BS130" i="10"/>
  <c r="BQ159" i="14" s="1"/>
  <c r="BS4" i="10"/>
  <c r="BS3" i="10"/>
  <c r="BR7" i="10" a="1"/>
  <c r="BR7" i="10" s="1"/>
  <c r="BR6" i="10" s="1"/>
  <c r="BR14" i="10" s="1"/>
  <c r="BR84" i="10"/>
  <c r="BR86" i="10" s="1"/>
  <c r="BR89" i="10"/>
  <c r="BR90" i="10"/>
  <c r="BR78" i="10" a="1"/>
  <c r="BR78" i="10" s="1"/>
  <c r="BR76" i="10" a="1"/>
  <c r="BR76" i="10" s="1"/>
  <c r="BR77" i="10" a="1"/>
  <c r="BR77" i="10" s="1"/>
  <c r="BR75" i="10" a="1"/>
  <c r="BR75" i="10" s="1"/>
  <c r="BP49" i="10" l="1"/>
  <c r="BS45" i="10"/>
  <c r="BS50" i="10" s="1"/>
  <c r="BR28" i="10"/>
  <c r="BR13" i="10"/>
  <c r="BR19" i="10"/>
  <c r="BR25" i="10"/>
  <c r="BR15" i="10"/>
  <c r="BR11" i="10"/>
  <c r="BR32" i="10"/>
  <c r="BR23" i="10"/>
  <c r="BR69" i="10"/>
  <c r="BR20" i="10"/>
  <c r="BR10" i="10"/>
  <c r="BR43" i="10"/>
  <c r="BR34" i="10"/>
  <c r="BR67" i="10"/>
  <c r="BR24" i="10"/>
  <c r="BR38" i="10"/>
  <c r="BR27" i="10"/>
  <c r="BR12" i="10"/>
  <c r="BQ39" i="10"/>
  <c r="BR26" i="10"/>
  <c r="BR31" i="10"/>
  <c r="BR33" i="10"/>
  <c r="BR16" i="10"/>
  <c r="BR22" i="10"/>
  <c r="BR68" i="10"/>
  <c r="BR64" i="10"/>
  <c r="BR36" i="10"/>
  <c r="BR21" i="10"/>
  <c r="BR35" i="10"/>
  <c r="BR18" i="10"/>
  <c r="BR30" i="10"/>
  <c r="BR17" i="10"/>
  <c r="BR37" i="10"/>
  <c r="BR29" i="10"/>
  <c r="BT114" i="10"/>
  <c r="BT115" i="10" s="1"/>
  <c r="BT116" i="10"/>
  <c r="BQ99" i="10"/>
  <c r="BT124" i="10"/>
  <c r="BT122" i="10"/>
  <c r="BT108" i="10"/>
  <c r="BT128" i="10"/>
  <c r="BS95" i="10"/>
  <c r="BR91" i="10"/>
  <c r="BR96" i="10"/>
  <c r="BS7" i="10" a="1"/>
  <c r="BS7" i="10" s="1"/>
  <c r="BS6" i="10" s="1"/>
  <c r="BT3" i="10"/>
  <c r="BS84" i="10"/>
  <c r="BS86" i="10" s="1"/>
  <c r="BS90" i="10"/>
  <c r="BS89" i="10"/>
  <c r="BS78" i="10" a="1"/>
  <c r="BS78" i="10" s="1"/>
  <c r="BS76" i="10" a="1"/>
  <c r="BS76" i="10" s="1"/>
  <c r="BS75" i="10" a="1"/>
  <c r="BS75" i="10" s="1"/>
  <c r="BS77" i="10" a="1"/>
  <c r="BS77" i="10" s="1"/>
  <c r="BT130" i="10"/>
  <c r="BR159" i="14" s="1"/>
  <c r="BQ156" i="14" s="1"/>
  <c r="BQ160" i="14" s="1"/>
  <c r="BU5" i="10"/>
  <c r="BT4" i="10"/>
  <c r="BP156" i="14"/>
  <c r="BP160" i="14" s="1"/>
  <c r="BT45" i="10" l="1"/>
  <c r="BT50" i="10" s="1"/>
  <c r="BS36" i="10"/>
  <c r="BS33" i="10"/>
  <c r="BQ47" i="10"/>
  <c r="BQ49" i="10"/>
  <c r="BS64" i="10"/>
  <c r="BS26" i="10"/>
  <c r="BS21" i="10"/>
  <c r="BR39" i="10"/>
  <c r="BS24" i="10"/>
  <c r="BS29" i="10"/>
  <c r="BS38" i="10"/>
  <c r="BS35" i="10"/>
  <c r="BS28" i="10"/>
  <c r="BS25" i="10"/>
  <c r="BS68" i="10"/>
  <c r="BS18" i="10"/>
  <c r="BS69" i="10"/>
  <c r="BS16" i="10"/>
  <c r="BS19" i="10"/>
  <c r="BS30" i="10"/>
  <c r="BS27" i="10"/>
  <c r="BS20" i="10"/>
  <c r="BS13" i="10"/>
  <c r="BS11" i="10"/>
  <c r="BS23" i="10"/>
  <c r="BS67" i="10"/>
  <c r="BS37" i="10"/>
  <c r="BS43" i="10"/>
  <c r="BS22" i="10"/>
  <c r="BS15" i="10"/>
  <c r="BS10" i="10"/>
  <c r="BS12" i="10"/>
  <c r="BS34" i="10"/>
  <c r="BS31" i="10"/>
  <c r="BS32" i="10"/>
  <c r="BS17" i="10"/>
  <c r="BS14" i="10"/>
  <c r="BU114" i="10"/>
  <c r="BU115" i="10" s="1"/>
  <c r="BU116" i="10"/>
  <c r="BU108" i="10"/>
  <c r="BU122" i="10"/>
  <c r="BU128" i="10"/>
  <c r="BU124" i="10"/>
  <c r="BT95" i="10"/>
  <c r="BR99" i="10"/>
  <c r="BS96" i="10"/>
  <c r="BS91" i="10"/>
  <c r="BT7" i="10" a="1"/>
  <c r="BT7" i="10" s="1"/>
  <c r="BT6" i="10" s="1"/>
  <c r="BT10" i="10" s="1"/>
  <c r="BU3" i="10"/>
  <c r="BT84" i="10"/>
  <c r="BT86" i="10" s="1"/>
  <c r="BT89" i="10"/>
  <c r="BT90" i="10"/>
  <c r="BT78" i="10" a="1"/>
  <c r="BT78" i="10" s="1"/>
  <c r="BT77" i="10" a="1"/>
  <c r="BT77" i="10" s="1"/>
  <c r="BT76" i="10" a="1"/>
  <c r="BT76" i="10" s="1"/>
  <c r="BT75" i="10" a="1"/>
  <c r="BT75" i="10" s="1"/>
  <c r="BU4" i="10"/>
  <c r="BU130" i="10"/>
  <c r="BS159" i="14" s="1"/>
  <c r="BV5" i="10"/>
  <c r="BU45" i="10" l="1"/>
  <c r="BU50" i="10" s="1"/>
  <c r="BS39" i="10"/>
  <c r="BT43" i="10"/>
  <c r="BT24" i="10"/>
  <c r="BT35" i="10"/>
  <c r="BT27" i="10"/>
  <c r="BT19" i="10"/>
  <c r="BT16" i="10"/>
  <c r="BT25" i="10"/>
  <c r="BT14" i="10"/>
  <c r="BT30" i="10"/>
  <c r="BT23" i="10"/>
  <c r="BT38" i="10"/>
  <c r="BT11" i="10"/>
  <c r="BT36" i="10"/>
  <c r="BT15" i="10"/>
  <c r="BT67" i="10"/>
  <c r="BT28" i="10"/>
  <c r="BT37" i="10"/>
  <c r="BT29" i="10"/>
  <c r="BT21" i="10"/>
  <c r="BT13" i="10"/>
  <c r="BT20" i="10"/>
  <c r="BT32" i="10"/>
  <c r="BT26" i="10"/>
  <c r="BT18" i="10"/>
  <c r="BT33" i="10"/>
  <c r="BT17" i="10"/>
  <c r="BT22" i="10"/>
  <c r="BT31" i="10"/>
  <c r="BT34" i="10"/>
  <c r="BT12" i="10"/>
  <c r="BT69" i="10"/>
  <c r="BT64" i="10"/>
  <c r="BR47" i="10"/>
  <c r="BR49" i="10"/>
  <c r="BT68" i="10"/>
  <c r="BV114" i="10"/>
  <c r="BV115" i="10" s="1"/>
  <c r="BV116" i="10"/>
  <c r="BV108" i="10"/>
  <c r="BV122" i="10"/>
  <c r="BV128" i="10"/>
  <c r="BV124" i="10"/>
  <c r="BU95" i="10"/>
  <c r="BS99" i="10"/>
  <c r="BT96" i="10"/>
  <c r="BT91" i="10"/>
  <c r="BR156" i="14"/>
  <c r="BR160" i="14" s="1"/>
  <c r="BU7" i="10" a="1"/>
  <c r="BU7" i="10" s="1"/>
  <c r="BU6" i="10" s="1"/>
  <c r="BV3" i="10"/>
  <c r="BU84" i="10"/>
  <c r="BU86" i="10" s="1"/>
  <c r="BU89" i="10"/>
  <c r="BU90" i="10"/>
  <c r="BU75" i="10" a="1"/>
  <c r="BU75" i="10" s="1"/>
  <c r="BU77" i="10" a="1"/>
  <c r="BU77" i="10" s="1"/>
  <c r="BU78" i="10" a="1"/>
  <c r="BU78" i="10" s="1"/>
  <c r="BU76" i="10" a="1"/>
  <c r="BU76" i="10" s="1"/>
  <c r="BV130" i="10"/>
  <c r="BT159" i="14" s="1"/>
  <c r="BS156" i="14" s="1"/>
  <c r="BS160" i="14" s="1"/>
  <c r="BW5" i="10"/>
  <c r="BV4" i="10"/>
  <c r="BT39" i="10" l="1"/>
  <c r="BT47" i="10" s="1"/>
  <c r="BU35" i="10"/>
  <c r="BU27" i="10"/>
  <c r="BU19" i="10"/>
  <c r="BU26" i="10"/>
  <c r="BU16" i="10"/>
  <c r="BU28" i="10"/>
  <c r="BU31" i="10"/>
  <c r="BU23" i="10"/>
  <c r="BU15" i="10"/>
  <c r="BU36" i="10"/>
  <c r="BU34" i="10"/>
  <c r="BU37" i="10"/>
  <c r="BU29" i="10"/>
  <c r="BU21" i="10"/>
  <c r="BU13" i="10"/>
  <c r="BU30" i="10"/>
  <c r="BU20" i="10"/>
  <c r="BU32" i="10"/>
  <c r="BU12" i="10"/>
  <c r="BU33" i="10"/>
  <c r="BU25" i="10"/>
  <c r="BU17" i="10"/>
  <c r="BU24" i="10"/>
  <c r="BU38" i="10"/>
  <c r="BU18" i="10"/>
  <c r="BU22" i="10"/>
  <c r="BU14" i="10"/>
  <c r="BU68" i="10"/>
  <c r="BU69" i="10"/>
  <c r="BU43" i="10"/>
  <c r="BU11" i="10"/>
  <c r="BV45" i="10"/>
  <c r="BV50" i="10" s="1"/>
  <c r="BU10" i="10"/>
  <c r="BU64" i="10"/>
  <c r="BS49" i="10"/>
  <c r="BS47" i="10"/>
  <c r="BU67" i="10"/>
  <c r="BW114" i="10"/>
  <c r="BW115" i="10" s="1"/>
  <c r="BW116" i="10"/>
  <c r="BU96" i="10"/>
  <c r="BW108" i="10"/>
  <c r="BW124" i="10"/>
  <c r="BW122" i="10"/>
  <c r="BW128" i="10"/>
  <c r="BV95" i="10"/>
  <c r="BW130" i="10"/>
  <c r="BU159" i="14" s="1"/>
  <c r="BT156" i="14" s="1"/>
  <c r="BT160" i="14" s="1"/>
  <c r="BX5" i="10"/>
  <c r="BW4" i="10"/>
  <c r="BU91" i="10"/>
  <c r="BV7" i="10" a="1"/>
  <c r="BV7" i="10" s="1"/>
  <c r="BV6" i="10" s="1"/>
  <c r="BV68" i="10" s="1"/>
  <c r="BW3" i="10"/>
  <c r="BV89" i="10"/>
  <c r="BV84" i="10"/>
  <c r="BV86" i="10" s="1"/>
  <c r="BV90" i="10"/>
  <c r="BV77" i="10" a="1"/>
  <c r="BV77" i="10" s="1"/>
  <c r="BV78" i="10" a="1"/>
  <c r="BV78" i="10" s="1"/>
  <c r="BV76" i="10" a="1"/>
  <c r="BV76" i="10" s="1"/>
  <c r="BV75" i="10" a="1"/>
  <c r="BV75" i="10" s="1"/>
  <c r="BT99" i="10"/>
  <c r="BT49" i="10" l="1"/>
  <c r="BU39" i="10"/>
  <c r="BU49" i="10" s="1"/>
  <c r="BW45" i="10"/>
  <c r="BW50" i="10" s="1"/>
  <c r="BV67" i="10"/>
  <c r="BV11" i="10"/>
  <c r="BV43" i="10"/>
  <c r="BV37" i="10"/>
  <c r="BV69" i="10"/>
  <c r="BV64" i="10"/>
  <c r="BV10" i="10"/>
  <c r="BV12" i="10"/>
  <c r="BV36" i="10"/>
  <c r="BV28" i="10"/>
  <c r="BV20" i="10"/>
  <c r="BV25" i="10"/>
  <c r="BV34" i="10"/>
  <c r="BV26" i="10"/>
  <c r="BV18" i="10"/>
  <c r="BV35" i="10"/>
  <c r="BV23" i="10"/>
  <c r="BV21" i="10"/>
  <c r="BV29" i="10"/>
  <c r="BV24" i="10"/>
  <c r="BV31" i="10"/>
  <c r="BV15" i="10"/>
  <c r="BV32" i="10"/>
  <c r="BV16" i="10"/>
  <c r="BV19" i="10"/>
  <c r="BV38" i="10"/>
  <c r="BV30" i="10"/>
  <c r="BV22" i="10"/>
  <c r="BV14" i="10"/>
  <c r="BV27" i="10"/>
  <c r="BV17" i="10"/>
  <c r="BV33" i="10"/>
  <c r="BV13" i="10"/>
  <c r="BX114" i="10"/>
  <c r="BX115" i="10" s="1"/>
  <c r="BX116" i="10"/>
  <c r="BU99" i="10"/>
  <c r="BV96" i="10"/>
  <c r="BX108" i="10"/>
  <c r="BX124" i="10"/>
  <c r="BX128" i="10"/>
  <c r="BX122" i="10"/>
  <c r="BW95" i="10"/>
  <c r="BV91" i="10"/>
  <c r="BW7" i="10" a="1"/>
  <c r="BW7" i="10" s="1"/>
  <c r="BW6" i="10" s="1"/>
  <c r="BX3" i="10"/>
  <c r="BW84" i="10"/>
  <c r="BW86" i="10" s="1"/>
  <c r="BW90" i="10"/>
  <c r="BW89" i="10"/>
  <c r="BW77" i="10" a="1"/>
  <c r="BW77" i="10" s="1"/>
  <c r="BW76" i="10" a="1"/>
  <c r="BW76" i="10" s="1"/>
  <c r="BW78" i="10" a="1"/>
  <c r="BW78" i="10" s="1"/>
  <c r="BW75" i="10" a="1"/>
  <c r="BW75" i="10" s="1"/>
  <c r="BX130" i="10"/>
  <c r="BV159" i="14" s="1"/>
  <c r="BY5" i="10"/>
  <c r="BX4" i="10"/>
  <c r="BU47" i="10" l="1"/>
  <c r="BX45" i="10"/>
  <c r="BX50" i="10" s="1"/>
  <c r="BW10" i="10"/>
  <c r="BW22" i="10"/>
  <c r="BW35" i="10"/>
  <c r="BW64" i="10"/>
  <c r="BW20" i="10"/>
  <c r="BW33" i="10"/>
  <c r="BW26" i="10"/>
  <c r="BW32" i="10"/>
  <c r="BW19" i="10"/>
  <c r="BW69" i="10"/>
  <c r="BW14" i="10"/>
  <c r="BW17" i="10"/>
  <c r="BW12" i="10"/>
  <c r="BW67" i="10"/>
  <c r="BW18" i="10"/>
  <c r="BW43" i="10"/>
  <c r="BW24" i="10"/>
  <c r="BW37" i="10"/>
  <c r="BW38" i="10"/>
  <c r="BW29" i="10"/>
  <c r="BV39" i="10"/>
  <c r="BW36" i="10"/>
  <c r="BW27" i="10"/>
  <c r="BW25" i="10"/>
  <c r="BW11" i="10"/>
  <c r="BW16" i="10"/>
  <c r="BW21" i="10"/>
  <c r="BW30" i="10"/>
  <c r="BW15" i="10"/>
  <c r="BW28" i="10"/>
  <c r="BW13" i="10"/>
  <c r="BW34" i="10"/>
  <c r="BW23" i="10"/>
  <c r="BW68" i="10"/>
  <c r="BW31" i="10"/>
  <c r="BY114" i="10"/>
  <c r="BY115" i="10" s="1"/>
  <c r="BY116" i="10"/>
  <c r="BV99" i="10"/>
  <c r="BY122" i="10"/>
  <c r="BY128" i="10"/>
  <c r="BY108" i="10"/>
  <c r="BY124" i="10"/>
  <c r="BX95" i="10"/>
  <c r="BW96" i="10"/>
  <c r="BW91" i="10"/>
  <c r="BX7" i="10" a="1"/>
  <c r="BX7" i="10" s="1"/>
  <c r="BX6" i="10" s="1"/>
  <c r="BX26" i="10" s="1"/>
  <c r="BY3" i="10"/>
  <c r="BX84" i="10"/>
  <c r="BX86" i="10" s="1"/>
  <c r="BX89" i="10"/>
  <c r="BX90" i="10"/>
  <c r="BX77" i="10" a="1"/>
  <c r="BX77" i="10" s="1"/>
  <c r="BX78" i="10" a="1"/>
  <c r="BX78" i="10" s="1"/>
  <c r="BX75" i="10" a="1"/>
  <c r="BX75" i="10" s="1"/>
  <c r="BX76" i="10" a="1"/>
  <c r="BX76" i="10" s="1"/>
  <c r="BY4" i="10"/>
  <c r="BY130" i="10"/>
  <c r="BW159" i="14" s="1"/>
  <c r="BV156" i="14" s="1"/>
  <c r="BV160" i="14" s="1"/>
  <c r="BZ5" i="10"/>
  <c r="BU156" i="14"/>
  <c r="BU160" i="14" s="1"/>
  <c r="BX69" i="10" l="1"/>
  <c r="BX43" i="10"/>
  <c r="BX11" i="10"/>
  <c r="BX67" i="10"/>
  <c r="BX36" i="10"/>
  <c r="BX19" i="10"/>
  <c r="BX64" i="10"/>
  <c r="BX31" i="10"/>
  <c r="BX15" i="10"/>
  <c r="BX28" i="10"/>
  <c r="BX14" i="10"/>
  <c r="BX37" i="10"/>
  <c r="BX29" i="10"/>
  <c r="BX21" i="10"/>
  <c r="BX13" i="10"/>
  <c r="BX12" i="10"/>
  <c r="BX20" i="10"/>
  <c r="BX33" i="10"/>
  <c r="BX25" i="10"/>
  <c r="BX17" i="10"/>
  <c r="BX38" i="10"/>
  <c r="BX22" i="10"/>
  <c r="BX24" i="10"/>
  <c r="BX16" i="10"/>
  <c r="BX23" i="10"/>
  <c r="BX32" i="10"/>
  <c r="BX18" i="10"/>
  <c r="BX34" i="10"/>
  <c r="BY45" i="10"/>
  <c r="BY50" i="10" s="1"/>
  <c r="BW39" i="10"/>
  <c r="BX68" i="10"/>
  <c r="BX35" i="10"/>
  <c r="BX30" i="10"/>
  <c r="BV47" i="10"/>
  <c r="BV49" i="10"/>
  <c r="BX10" i="10"/>
  <c r="BX27" i="10"/>
  <c r="BZ114" i="10"/>
  <c r="BZ115" i="10" s="1"/>
  <c r="BZ116" i="10"/>
  <c r="BZ108" i="10"/>
  <c r="BZ122" i="10"/>
  <c r="BZ128" i="10"/>
  <c r="BZ124" i="10"/>
  <c r="BY95" i="10"/>
  <c r="BW99" i="10"/>
  <c r="BX96" i="10"/>
  <c r="BY7" i="10" a="1"/>
  <c r="BY7" i="10" s="1"/>
  <c r="BY6" i="10" s="1"/>
  <c r="BY23" i="10" s="1"/>
  <c r="BZ3" i="10"/>
  <c r="BY84" i="10"/>
  <c r="BY86" i="10" s="1"/>
  <c r="BY89" i="10"/>
  <c r="BY90" i="10"/>
  <c r="BY76" i="10" a="1"/>
  <c r="BY76" i="10" s="1"/>
  <c r="BY78" i="10" a="1"/>
  <c r="BY78" i="10" s="1"/>
  <c r="BY75" i="10" a="1"/>
  <c r="BY75" i="10" s="1"/>
  <c r="BY77" i="10" a="1"/>
  <c r="BY77" i="10" s="1"/>
  <c r="BZ130" i="10"/>
  <c r="BX159" i="14" s="1"/>
  <c r="BW156" i="14" s="1"/>
  <c r="BW160" i="14" s="1"/>
  <c r="CA5" i="10"/>
  <c r="BZ4" i="10"/>
  <c r="BX91" i="10"/>
  <c r="BY29" i="10" l="1"/>
  <c r="BY25" i="10"/>
  <c r="BY18" i="10"/>
  <c r="BY30" i="10"/>
  <c r="BY31" i="10"/>
  <c r="BY28" i="10"/>
  <c r="BY24" i="10"/>
  <c r="BY16" i="10"/>
  <c r="BY10" i="10"/>
  <c r="BY68" i="10"/>
  <c r="BY34" i="10"/>
  <c r="BY36" i="10"/>
  <c r="BY64" i="10"/>
  <c r="BY22" i="10"/>
  <c r="BY35" i="10"/>
  <c r="BY27" i="10"/>
  <c r="BY19" i="10"/>
  <c r="BY14" i="10"/>
  <c r="BZ45" i="10"/>
  <c r="BZ50" i="10" s="1"/>
  <c r="BY17" i="10"/>
  <c r="BW47" i="10"/>
  <c r="BW49" i="10"/>
  <c r="BY15" i="10"/>
  <c r="BX39" i="10"/>
  <c r="BY38" i="10"/>
  <c r="BY32" i="10"/>
  <c r="BY67" i="10"/>
  <c r="BY13" i="10"/>
  <c r="BY69" i="10"/>
  <c r="BY20" i="10"/>
  <c r="BY21" i="10"/>
  <c r="BY43" i="10"/>
  <c r="BY33" i="10"/>
  <c r="BY12" i="10"/>
  <c r="BY26" i="10"/>
  <c r="BY37" i="10"/>
  <c r="BY11" i="10"/>
  <c r="CA114" i="10"/>
  <c r="CA115" i="10" s="1"/>
  <c r="CA116" i="10"/>
  <c r="BY96" i="10"/>
  <c r="CA108" i="10"/>
  <c r="CA124" i="10"/>
  <c r="CA128" i="10"/>
  <c r="CA122" i="10"/>
  <c r="BZ95" i="10"/>
  <c r="CA3" i="10"/>
  <c r="BZ7" i="10" a="1"/>
  <c r="BZ7" i="10" s="1"/>
  <c r="BZ6" i="10" s="1"/>
  <c r="BZ17" i="10" s="1"/>
  <c r="BZ84" i="10"/>
  <c r="BZ86" i="10" s="1"/>
  <c r="BZ90" i="10"/>
  <c r="BZ89" i="10"/>
  <c r="BZ77" i="10" a="1"/>
  <c r="BZ77" i="10" s="1"/>
  <c r="BZ78" i="10" a="1"/>
  <c r="BZ78" i="10" s="1"/>
  <c r="BZ76" i="10" a="1"/>
  <c r="BZ76" i="10" s="1"/>
  <c r="BZ75" i="10" a="1"/>
  <c r="BZ75" i="10" s="1"/>
  <c r="BY91" i="10"/>
  <c r="CA4" i="10"/>
  <c r="CB5" i="10"/>
  <c r="CA130" i="10"/>
  <c r="BY159" i="14" s="1"/>
  <c r="BX156" i="14" s="1"/>
  <c r="BX160" i="14" s="1"/>
  <c r="BX99" i="10"/>
  <c r="CA45" i="10" l="1"/>
  <c r="CA50" i="10" s="1"/>
  <c r="BZ11" i="10"/>
  <c r="BZ13" i="10"/>
  <c r="BZ36" i="10"/>
  <c r="BZ32" i="10"/>
  <c r="BZ30" i="10"/>
  <c r="BZ69" i="10"/>
  <c r="BZ12" i="10"/>
  <c r="BZ24" i="10"/>
  <c r="BZ22" i="10"/>
  <c r="BZ64" i="10"/>
  <c r="BZ27" i="10"/>
  <c r="BZ31" i="10"/>
  <c r="BZ29" i="10"/>
  <c r="BZ19" i="10"/>
  <c r="BY39" i="10"/>
  <c r="BZ35" i="10"/>
  <c r="BZ15" i="10"/>
  <c r="BZ34" i="10"/>
  <c r="BZ26" i="10"/>
  <c r="BZ18" i="10"/>
  <c r="BZ23" i="10"/>
  <c r="BZ68" i="10"/>
  <c r="BZ16" i="10"/>
  <c r="BZ21" i="10"/>
  <c r="BZ14" i="10"/>
  <c r="BZ43" i="10"/>
  <c r="BZ28" i="10"/>
  <c r="BZ25" i="10"/>
  <c r="BZ37" i="10"/>
  <c r="BZ38" i="10"/>
  <c r="BZ33" i="10"/>
  <c r="BZ67" i="10"/>
  <c r="BX49" i="10"/>
  <c r="BX47" i="10"/>
  <c r="BZ10" i="10"/>
  <c r="BZ20" i="10"/>
  <c r="CB114" i="10"/>
  <c r="CB115" i="10" s="1"/>
  <c r="CB116" i="10"/>
  <c r="BY99" i="10"/>
  <c r="BZ96" i="10"/>
  <c r="CB124" i="10"/>
  <c r="CB108" i="10"/>
  <c r="CB122" i="10"/>
  <c r="CB128" i="10"/>
  <c r="CA95" i="10"/>
  <c r="CB130" i="10"/>
  <c r="BZ159" i="14" s="1"/>
  <c r="BY156" i="14" s="1"/>
  <c r="BY160" i="14" s="1"/>
  <c r="CC5" i="10"/>
  <c r="CB4" i="10"/>
  <c r="BZ91" i="10"/>
  <c r="CA7" i="10" a="1"/>
  <c r="CA7" i="10" s="1"/>
  <c r="CB3" i="10"/>
  <c r="CA84" i="10"/>
  <c r="CA86" i="10" s="1"/>
  <c r="CA89" i="10"/>
  <c r="CA90" i="10"/>
  <c r="CA78" i="10" a="1"/>
  <c r="CA78" i="10" s="1"/>
  <c r="CA77" i="10" a="1"/>
  <c r="CA77" i="10" s="1"/>
  <c r="CA76" i="10" a="1"/>
  <c r="CA76" i="10" s="1"/>
  <c r="CA75" i="10" a="1"/>
  <c r="CA75" i="10" s="1"/>
  <c r="N108" i="11" l="1"/>
  <c r="CA6" i="10"/>
  <c r="CA43" i="10"/>
  <c r="CB45" i="10"/>
  <c r="CB50" i="10" s="1"/>
  <c r="BY47" i="10"/>
  <c r="BY49" i="10"/>
  <c r="BZ39" i="10"/>
  <c r="CC114" i="10"/>
  <c r="CC115" i="10" s="1"/>
  <c r="CC116" i="10"/>
  <c r="BZ99" i="10"/>
  <c r="CC108" i="10"/>
  <c r="CC122" i="10"/>
  <c r="CC128" i="10"/>
  <c r="CC124" i="10"/>
  <c r="CA96" i="10"/>
  <c r="CB95" i="10"/>
  <c r="CA91" i="10"/>
  <c r="CB7" i="10" a="1"/>
  <c r="CB7" i="10" s="1"/>
  <c r="CC3" i="10"/>
  <c r="CB84" i="10"/>
  <c r="CB86" i="10" s="1"/>
  <c r="CB89" i="10"/>
  <c r="CB90" i="10"/>
  <c r="CB75" i="10" a="1"/>
  <c r="CB75" i="10" s="1"/>
  <c r="CB76" i="10" a="1"/>
  <c r="CB76" i="10" s="1"/>
  <c r="CB77" i="10" a="1"/>
  <c r="CB77" i="10" s="1"/>
  <c r="CB78" i="10" a="1"/>
  <c r="CB78" i="10" s="1"/>
  <c r="CC4" i="10"/>
  <c r="CC130" i="10"/>
  <c r="CA159" i="14" s="1"/>
  <c r="BZ156" i="14" s="1"/>
  <c r="BZ160" i="14" s="1"/>
  <c r="CD5" i="10"/>
  <c r="CB6" i="10" l="1"/>
  <c r="CB21" i="10" s="1"/>
  <c r="N7" i="11"/>
  <c r="N6" i="11" s="1"/>
  <c r="CC45" i="10"/>
  <c r="CC50" i="10" s="1"/>
  <c r="CB43" i="10"/>
  <c r="BZ47" i="10"/>
  <c r="BZ49" i="10"/>
  <c r="CA32" i="10"/>
  <c r="CA24" i="10"/>
  <c r="CA16" i="10"/>
  <c r="CA31" i="10"/>
  <c r="CA29" i="10"/>
  <c r="CA19" i="10"/>
  <c r="CA38" i="10"/>
  <c r="CA22" i="10"/>
  <c r="CA37" i="10"/>
  <c r="CA23" i="10"/>
  <c r="CA15" i="10"/>
  <c r="CA11" i="10"/>
  <c r="CA36" i="10"/>
  <c r="CA28" i="10"/>
  <c r="CA20" i="10"/>
  <c r="CA12" i="10"/>
  <c r="CA17" i="10"/>
  <c r="CA25" i="10"/>
  <c r="CA26" i="10"/>
  <c r="CA69" i="10"/>
  <c r="CA10" i="10"/>
  <c r="CA30" i="10"/>
  <c r="CA14" i="10"/>
  <c r="CA27" i="10"/>
  <c r="CA64" i="10"/>
  <c r="CA35" i="10"/>
  <c r="CA13" i="10"/>
  <c r="CA34" i="10"/>
  <c r="CA18" i="10"/>
  <c r="CA33" i="10"/>
  <c r="CA21" i="10"/>
  <c r="CA67" i="10"/>
  <c r="CA68" i="10"/>
  <c r="CB37" i="10"/>
  <c r="CD114" i="10"/>
  <c r="CD115" i="10" s="1"/>
  <c r="CD116" i="10"/>
  <c r="CD50" i="10"/>
  <c r="CD45" i="10"/>
  <c r="CB96" i="10"/>
  <c r="CA99" i="10"/>
  <c r="CD108" i="10"/>
  <c r="CD56" i="10"/>
  <c r="CD122" i="10"/>
  <c r="CD128" i="10"/>
  <c r="CD57" i="10"/>
  <c r="CD58" i="10"/>
  <c r="CD59" i="10"/>
  <c r="CD60" i="10"/>
  <c r="CD61" i="10"/>
  <c r="CD62" i="10"/>
  <c r="CD63" i="10"/>
  <c r="CD43" i="10"/>
  <c r="CD10" i="10"/>
  <c r="CD11" i="10"/>
  <c r="CD65" i="10"/>
  <c r="CD124" i="10"/>
  <c r="CD64" i="10"/>
  <c r="CD66" i="10"/>
  <c r="CD68" i="10"/>
  <c r="CD69" i="10"/>
  <c r="CD67" i="10"/>
  <c r="CC95" i="10"/>
  <c r="CB91" i="10"/>
  <c r="CC7" i="10" a="1"/>
  <c r="CC7" i="10" s="1"/>
  <c r="CC6" i="10" s="1"/>
  <c r="CC58" i="10" s="1"/>
  <c r="CD3" i="10"/>
  <c r="CC84" i="10"/>
  <c r="CC86" i="10" s="1"/>
  <c r="CC89" i="10"/>
  <c r="CC90" i="10"/>
  <c r="CC78" i="10" a="1"/>
  <c r="CC78" i="10" s="1"/>
  <c r="CC77" i="10" a="1"/>
  <c r="CC77" i="10" s="1"/>
  <c r="CC76" i="10" a="1"/>
  <c r="CC76" i="10" s="1"/>
  <c r="CC75" i="10" a="1"/>
  <c r="CC75" i="10" s="1"/>
  <c r="CD130" i="10"/>
  <c r="CB159" i="14" s="1"/>
  <c r="CA156" i="14" s="1"/>
  <c r="CA160" i="14" s="1"/>
  <c r="CE5" i="10"/>
  <c r="CD35" i="10"/>
  <c r="CD33" i="10"/>
  <c r="CD31" i="10"/>
  <c r="CD23" i="10"/>
  <c r="CD19" i="10"/>
  <c r="CD49" i="10"/>
  <c r="CD38" i="10"/>
  <c r="CD36" i="10"/>
  <c r="CD34" i="10"/>
  <c r="CD32" i="10"/>
  <c r="CD30" i="10"/>
  <c r="CD28" i="10"/>
  <c r="CD26" i="10"/>
  <c r="CD24" i="10"/>
  <c r="CD22" i="10"/>
  <c r="CD20" i="10"/>
  <c r="CD18" i="10"/>
  <c r="CD16" i="10"/>
  <c r="CD14" i="10"/>
  <c r="CD12" i="10"/>
  <c r="CD29" i="10"/>
  <c r="CD27" i="10"/>
  <c r="CD15" i="10"/>
  <c r="CD37" i="10"/>
  <c r="CD25" i="10"/>
  <c r="CD21" i="10"/>
  <c r="CD17" i="10"/>
  <c r="CD13" i="10"/>
  <c r="CD4" i="10"/>
  <c r="CB67" i="10" l="1"/>
  <c r="CB22" i="10"/>
  <c r="CB12" i="10"/>
  <c r="CB64" i="10"/>
  <c r="CB33" i="10"/>
  <c r="CB28" i="10"/>
  <c r="CB20" i="10"/>
  <c r="CB29" i="10"/>
  <c r="CB14" i="10"/>
  <c r="CB23" i="10"/>
  <c r="CB38" i="10"/>
  <c r="CB31" i="10"/>
  <c r="CB17" i="10"/>
  <c r="CB68" i="10"/>
  <c r="CB27" i="10"/>
  <c r="CB25" i="10"/>
  <c r="CB13" i="10"/>
  <c r="CB19" i="10"/>
  <c r="CB69" i="10"/>
  <c r="CB11" i="10"/>
  <c r="CB26" i="10"/>
  <c r="CB18" i="10"/>
  <c r="CB34" i="10"/>
  <c r="CB35" i="10"/>
  <c r="CB32" i="10"/>
  <c r="CB16" i="10"/>
  <c r="CB30" i="10"/>
  <c r="CB15" i="10"/>
  <c r="CB24" i="10"/>
  <c r="CB10" i="10"/>
  <c r="CB36" i="10"/>
  <c r="CC65" i="10"/>
  <c r="CC61" i="10"/>
  <c r="CC69" i="10"/>
  <c r="CC56" i="10"/>
  <c r="CA39" i="10"/>
  <c r="CC33" i="10"/>
  <c r="CC25" i="10"/>
  <c r="CC17" i="10"/>
  <c r="CC12" i="10"/>
  <c r="CC26" i="10"/>
  <c r="CC16" i="10"/>
  <c r="CC28" i="10"/>
  <c r="CC24" i="10"/>
  <c r="CC38" i="10"/>
  <c r="CC18" i="10"/>
  <c r="CC10" i="10"/>
  <c r="CC67" i="10"/>
  <c r="CC59" i="10"/>
  <c r="CC37" i="10"/>
  <c r="CC29" i="10"/>
  <c r="CC13" i="10"/>
  <c r="CC22" i="10"/>
  <c r="CC14" i="10"/>
  <c r="CC64" i="10"/>
  <c r="CC68" i="10"/>
  <c r="CC35" i="10"/>
  <c r="CC27" i="10"/>
  <c r="CC19" i="10"/>
  <c r="CC20" i="10"/>
  <c r="CC31" i="10"/>
  <c r="CC23" i="10"/>
  <c r="CC15" i="10"/>
  <c r="CC62" i="10"/>
  <c r="CC63" i="10"/>
  <c r="CC21" i="10"/>
  <c r="CC36" i="10"/>
  <c r="CC34" i="10"/>
  <c r="CC11" i="10"/>
  <c r="CC57" i="10"/>
  <c r="CC30" i="10"/>
  <c r="CC32" i="10"/>
  <c r="CC43" i="10"/>
  <c r="CC60" i="10"/>
  <c r="CB99" i="10"/>
  <c r="CC66" i="10"/>
  <c r="CE114" i="10"/>
  <c r="CE115" i="10" s="1"/>
  <c r="CE116" i="10"/>
  <c r="CE50" i="10"/>
  <c r="CE45" i="10"/>
  <c r="CE108" i="10"/>
  <c r="CE124" i="10"/>
  <c r="CE56" i="10"/>
  <c r="CE122" i="10"/>
  <c r="CE57" i="10"/>
  <c r="CE58" i="10"/>
  <c r="CE59" i="10"/>
  <c r="CE60" i="10"/>
  <c r="CE61" i="10"/>
  <c r="CE62" i="10"/>
  <c r="CE63" i="10"/>
  <c r="CE128" i="10"/>
  <c r="CE43" i="10"/>
  <c r="CE65" i="10"/>
  <c r="CE67" i="10"/>
  <c r="CE64" i="10"/>
  <c r="CE10" i="10"/>
  <c r="CE66" i="10"/>
  <c r="CE68" i="10"/>
  <c r="CE69" i="10"/>
  <c r="CE11" i="10"/>
  <c r="CD95" i="10"/>
  <c r="CC96" i="10"/>
  <c r="CD39" i="10"/>
  <c r="CD47" i="10" s="1"/>
  <c r="CD70" i="10"/>
  <c r="CE3" i="10"/>
  <c r="CD7" i="10" a="1"/>
  <c r="CD7" i="10" s="1"/>
  <c r="CD6" i="10" s="1"/>
  <c r="CD90" i="10"/>
  <c r="CD84" i="10"/>
  <c r="CD86" i="10" s="1"/>
  <c r="CD89" i="10"/>
  <c r="CD75" i="10" a="1"/>
  <c r="CD75" i="10" s="1"/>
  <c r="CD78" i="10" a="1"/>
  <c r="CD78" i="10" s="1"/>
  <c r="CD76" i="10" a="1"/>
  <c r="CD76" i="10" s="1"/>
  <c r="CD77" i="10" a="1"/>
  <c r="CD77" i="10" s="1"/>
  <c r="CE130" i="10"/>
  <c r="CC159" i="14" s="1"/>
  <c r="CB156" i="14" s="1"/>
  <c r="CB160" i="14" s="1"/>
  <c r="CE49" i="10"/>
  <c r="CE38" i="10"/>
  <c r="CE36" i="10"/>
  <c r="CE34" i="10"/>
  <c r="CE32" i="10"/>
  <c r="CE30" i="10"/>
  <c r="CE28" i="10"/>
  <c r="CE26" i="10"/>
  <c r="CE24" i="10"/>
  <c r="CE22" i="10"/>
  <c r="CE20" i="10"/>
  <c r="CE18" i="10"/>
  <c r="CE16" i="10"/>
  <c r="CE14" i="10"/>
  <c r="CE12" i="10"/>
  <c r="CF5" i="10"/>
  <c r="CE29" i="10"/>
  <c r="CE27" i="10"/>
  <c r="CE25" i="10"/>
  <c r="CE19" i="10"/>
  <c r="CE15" i="10"/>
  <c r="CE13" i="10"/>
  <c r="CE37" i="10"/>
  <c r="CE35" i="10"/>
  <c r="CE33" i="10"/>
  <c r="CE31" i="10"/>
  <c r="CE23" i="10"/>
  <c r="CE21" i="10"/>
  <c r="CE17" i="10"/>
  <c r="CE4" i="10"/>
  <c r="CC91" i="10"/>
  <c r="CB39" i="10" l="1"/>
  <c r="CB47" i="10" s="1"/>
  <c r="CA47" i="10"/>
  <c r="CA49" i="10"/>
  <c r="CC70" i="10"/>
  <c r="CC48" i="10" s="1"/>
  <c r="CC39" i="10"/>
  <c r="CF114" i="10"/>
  <c r="CF115" i="10" s="1"/>
  <c r="CF116" i="10"/>
  <c r="CF50" i="10"/>
  <c r="CF45" i="10"/>
  <c r="CF108" i="10"/>
  <c r="CF124" i="10"/>
  <c r="CF128" i="10"/>
  <c r="CF56" i="10"/>
  <c r="CF57" i="10"/>
  <c r="CF59" i="10"/>
  <c r="CF61" i="10"/>
  <c r="CF63" i="10"/>
  <c r="CF64" i="10"/>
  <c r="CF65" i="10"/>
  <c r="CF66" i="10"/>
  <c r="CF67" i="10"/>
  <c r="CF68" i="10"/>
  <c r="CF69" i="10"/>
  <c r="CF58" i="10"/>
  <c r="CF60" i="10"/>
  <c r="CF62" i="10"/>
  <c r="CF11" i="10"/>
  <c r="CF43" i="10"/>
  <c r="CF10" i="10"/>
  <c r="CF122" i="10"/>
  <c r="CD48" i="10"/>
  <c r="CD52" i="10" s="1"/>
  <c r="CD71" i="10" s="1"/>
  <c r="CC99" i="10"/>
  <c r="CE95" i="10"/>
  <c r="CD91" i="10"/>
  <c r="CE7" i="10" a="1"/>
  <c r="CE7" i="10" s="1"/>
  <c r="CE6" i="10" s="1"/>
  <c r="CF3" i="10"/>
  <c r="CE84" i="10"/>
  <c r="CE86" i="10" s="1"/>
  <c r="CE89" i="10"/>
  <c r="CE90" i="10"/>
  <c r="CE76" i="10" a="1"/>
  <c r="CE76" i="10" s="1"/>
  <c r="CE75" i="10" a="1"/>
  <c r="CE75" i="10" s="1"/>
  <c r="CE78" i="10" a="1"/>
  <c r="CE78" i="10" s="1"/>
  <c r="CE77" i="10" a="1"/>
  <c r="CE77" i="10" s="1"/>
  <c r="CF130" i="10"/>
  <c r="CD159" i="14" s="1"/>
  <c r="CC156" i="14" s="1"/>
  <c r="CC160" i="14" s="1"/>
  <c r="CG5" i="10"/>
  <c r="CF36" i="10"/>
  <c r="CF28" i="10"/>
  <c r="CF18" i="10"/>
  <c r="CF16" i="10"/>
  <c r="CF37" i="10"/>
  <c r="CF35" i="10"/>
  <c r="CF33" i="10"/>
  <c r="CF31" i="10"/>
  <c r="CF29" i="10"/>
  <c r="CF27" i="10"/>
  <c r="CF25" i="10"/>
  <c r="CF23" i="10"/>
  <c r="CF21" i="10"/>
  <c r="CF19" i="10"/>
  <c r="CF17" i="10"/>
  <c r="CF15" i="10"/>
  <c r="CF13" i="10"/>
  <c r="CF4" i="10"/>
  <c r="CF38" i="10"/>
  <c r="CF30" i="10"/>
  <c r="CF26" i="10"/>
  <c r="CF22" i="10"/>
  <c r="CF20" i="10"/>
  <c r="CF49" i="10"/>
  <c r="CF34" i="10"/>
  <c r="CF32" i="10"/>
  <c r="CF24" i="10"/>
  <c r="CF14" i="10"/>
  <c r="CF12" i="10"/>
  <c r="CE39" i="10"/>
  <c r="CE47" i="10" s="1"/>
  <c r="CE70" i="10"/>
  <c r="CD96" i="10"/>
  <c r="CB49" i="10" l="1"/>
  <c r="CC49" i="10"/>
  <c r="CC47" i="10"/>
  <c r="CG114" i="10"/>
  <c r="CG115" i="10" s="1"/>
  <c r="CG116" i="10"/>
  <c r="CD72" i="10"/>
  <c r="CG50" i="10"/>
  <c r="CG45" i="10"/>
  <c r="CE48" i="10"/>
  <c r="CE52" i="10" s="1"/>
  <c r="CE71" i="10" s="1"/>
  <c r="CG122" i="10"/>
  <c r="CG128" i="10"/>
  <c r="CG108" i="10"/>
  <c r="CG56" i="10"/>
  <c r="CG124" i="10"/>
  <c r="CG10" i="10"/>
  <c r="CG11" i="10"/>
  <c r="CG57" i="10"/>
  <c r="CG59" i="10"/>
  <c r="CG61" i="10"/>
  <c r="CG63" i="10"/>
  <c r="CG64" i="10"/>
  <c r="CG65" i="10"/>
  <c r="CG66" i="10"/>
  <c r="CG67" i="10"/>
  <c r="CG68" i="10"/>
  <c r="CG69" i="10"/>
  <c r="CG60" i="10"/>
  <c r="CG43" i="10"/>
  <c r="CG58" i="10"/>
  <c r="CG62" i="10"/>
  <c r="CF95" i="10"/>
  <c r="CD74" i="10"/>
  <c r="CD123" i="10" s="1"/>
  <c r="CD99" i="10"/>
  <c r="CE91" i="10"/>
  <c r="CE96" i="10"/>
  <c r="CF7" i="10" a="1"/>
  <c r="CF7" i="10" s="1"/>
  <c r="CF6" i="10" s="1"/>
  <c r="CG3" i="10"/>
  <c r="CF84" i="10"/>
  <c r="CF86" i="10" s="1"/>
  <c r="CF89" i="10"/>
  <c r="CF90" i="10"/>
  <c r="CF76" i="10" a="1"/>
  <c r="CF76" i="10" s="1"/>
  <c r="CF75" i="10" a="1"/>
  <c r="CF75" i="10" s="1"/>
  <c r="CF77" i="10" a="1"/>
  <c r="CF77" i="10" s="1"/>
  <c r="CF78" i="10" a="1"/>
  <c r="CF78" i="10" s="1"/>
  <c r="CF39" i="10"/>
  <c r="CF47" i="10" s="1"/>
  <c r="CF70" i="10"/>
  <c r="CG37" i="10"/>
  <c r="CG35" i="10"/>
  <c r="CG33" i="10"/>
  <c r="CG31" i="10"/>
  <c r="CG29" i="10"/>
  <c r="CG27" i="10"/>
  <c r="CG25" i="10"/>
  <c r="CG23" i="10"/>
  <c r="CG21" i="10"/>
  <c r="CG19" i="10"/>
  <c r="CG17" i="10"/>
  <c r="CG15" i="10"/>
  <c r="CG13" i="10"/>
  <c r="CG4" i="10"/>
  <c r="CG130" i="10"/>
  <c r="CE159" i="14" s="1"/>
  <c r="CD156" i="14" s="1"/>
  <c r="CD160" i="14" s="1"/>
  <c r="CG38" i="10"/>
  <c r="CG32" i="10"/>
  <c r="CG28" i="10"/>
  <c r="CG18" i="10"/>
  <c r="CG14" i="10"/>
  <c r="CG49" i="10"/>
  <c r="CG36" i="10"/>
  <c r="CG34" i="10"/>
  <c r="CG30" i="10"/>
  <c r="CG26" i="10"/>
  <c r="CG24" i="10"/>
  <c r="CG22" i="10"/>
  <c r="CG20" i="10"/>
  <c r="CG16" i="10"/>
  <c r="CG12" i="10"/>
  <c r="CH5" i="10"/>
  <c r="CC52" i="10" l="1"/>
  <c r="CC71" i="10" s="1"/>
  <c r="CH116" i="10"/>
  <c r="CH114" i="10"/>
  <c r="CH115" i="10" s="1"/>
  <c r="CE72" i="10"/>
  <c r="CH50" i="10"/>
  <c r="CH45" i="10"/>
  <c r="CF96" i="10"/>
  <c r="CH108" i="10"/>
  <c r="CH56" i="10"/>
  <c r="CH122" i="10"/>
  <c r="CH128" i="10"/>
  <c r="CH124" i="10"/>
  <c r="CH57" i="10"/>
  <c r="CH58" i="10"/>
  <c r="CH59" i="10"/>
  <c r="CH60" i="10"/>
  <c r="CH61" i="10"/>
  <c r="CH62" i="10"/>
  <c r="CH63" i="10"/>
  <c r="CH43" i="10"/>
  <c r="CH11" i="10"/>
  <c r="CH10" i="10"/>
  <c r="CH66" i="10"/>
  <c r="CH65" i="10"/>
  <c r="CH67" i="10"/>
  <c r="CH64" i="10"/>
  <c r="CH68" i="10"/>
  <c r="CH69" i="10"/>
  <c r="CF48" i="10"/>
  <c r="CF52" i="10" s="1"/>
  <c r="CF71" i="10" s="1"/>
  <c r="CG95" i="10"/>
  <c r="CD131" i="10"/>
  <c r="CG39" i="10"/>
  <c r="CG47" i="10" s="1"/>
  <c r="CE74" i="10"/>
  <c r="CE123" i="10" s="1"/>
  <c r="CH130" i="10"/>
  <c r="CF159" i="14" s="1"/>
  <c r="CE156" i="14" s="1"/>
  <c r="CE160" i="14" s="1"/>
  <c r="CH37" i="10"/>
  <c r="CH29" i="10"/>
  <c r="CH17" i="10"/>
  <c r="CH49" i="10"/>
  <c r="CH38" i="10"/>
  <c r="CH36" i="10"/>
  <c r="CH34" i="10"/>
  <c r="CH32" i="10"/>
  <c r="CH30" i="10"/>
  <c r="CH28" i="10"/>
  <c r="CH26" i="10"/>
  <c r="CH24" i="10"/>
  <c r="CH22" i="10"/>
  <c r="CH20" i="10"/>
  <c r="CH18" i="10"/>
  <c r="CH16" i="10"/>
  <c r="CH14" i="10"/>
  <c r="CH12" i="10"/>
  <c r="CH35" i="10"/>
  <c r="CH31" i="10"/>
  <c r="CH25" i="10"/>
  <c r="CH23" i="10"/>
  <c r="CH21" i="10"/>
  <c r="CH19" i="10"/>
  <c r="CI5" i="10"/>
  <c r="CH33" i="10"/>
  <c r="CH27" i="10"/>
  <c r="CH15" i="10"/>
  <c r="CH13" i="10"/>
  <c r="CH4" i="10"/>
  <c r="CG70" i="10"/>
  <c r="CG7" i="10" a="1"/>
  <c r="CG7" i="10" s="1"/>
  <c r="CG6" i="10" s="1"/>
  <c r="CH3" i="10"/>
  <c r="CG84" i="10"/>
  <c r="CG86" i="10" s="1"/>
  <c r="CG89" i="10"/>
  <c r="CG90" i="10"/>
  <c r="CG75" i="10" a="1"/>
  <c r="CG75" i="10" s="1"/>
  <c r="CG76" i="10" a="1"/>
  <c r="CG76" i="10" s="1"/>
  <c r="CG77" i="10" a="1"/>
  <c r="CG77" i="10" s="1"/>
  <c r="CG78" i="10" a="1"/>
  <c r="CG78" i="10" s="1"/>
  <c r="CF91" i="10"/>
  <c r="CE99" i="10"/>
  <c r="CC72" i="10" l="1"/>
  <c r="CC74" i="10"/>
  <c r="CC123" i="10" s="1"/>
  <c r="CI114" i="10"/>
  <c r="CI115" i="10" s="1"/>
  <c r="CI116" i="10"/>
  <c r="CF72" i="10"/>
  <c r="CF99" i="10"/>
  <c r="CI50" i="10"/>
  <c r="CI45" i="10"/>
  <c r="CG48" i="10"/>
  <c r="CG52" i="10" s="1"/>
  <c r="CG71" i="10" s="1"/>
  <c r="CI108" i="10"/>
  <c r="CI124" i="10"/>
  <c r="CI56" i="10"/>
  <c r="CI128" i="10"/>
  <c r="CI57" i="10"/>
  <c r="CI58" i="10"/>
  <c r="CI59" i="10"/>
  <c r="CI60" i="10"/>
  <c r="CI61" i="10"/>
  <c r="CI62" i="10"/>
  <c r="CI63" i="10"/>
  <c r="CI122" i="10"/>
  <c r="CI43" i="10"/>
  <c r="CI64" i="10"/>
  <c r="CI66" i="10"/>
  <c r="CI68" i="10"/>
  <c r="CI69" i="10"/>
  <c r="CI65" i="10"/>
  <c r="CI10" i="10"/>
  <c r="CI11" i="10"/>
  <c r="CI67" i="10"/>
  <c r="CH95" i="10"/>
  <c r="CH7" i="10" a="1"/>
  <c r="CH7" i="10" s="1"/>
  <c r="CH6" i="10" s="1"/>
  <c r="CI3" i="10"/>
  <c r="CH84" i="10"/>
  <c r="CH86" i="10" s="1"/>
  <c r="CH89" i="10"/>
  <c r="CH90" i="10"/>
  <c r="CH75" i="10" a="1"/>
  <c r="CH75" i="10" s="1"/>
  <c r="CH78" i="10" a="1"/>
  <c r="CH78" i="10" s="1"/>
  <c r="CH77" i="10" a="1"/>
  <c r="CH77" i="10" s="1"/>
  <c r="CH76" i="10" a="1"/>
  <c r="CH76" i="10" s="1"/>
  <c r="CH39" i="10"/>
  <c r="CH47" i="10" s="1"/>
  <c r="CH70" i="10"/>
  <c r="CE131" i="10"/>
  <c r="CI49" i="10"/>
  <c r="CI38" i="10"/>
  <c r="CI36" i="10"/>
  <c r="CI34" i="10"/>
  <c r="CI32" i="10"/>
  <c r="CI30" i="10"/>
  <c r="CI28" i="10"/>
  <c r="CI26" i="10"/>
  <c r="CI24" i="10"/>
  <c r="CI22" i="10"/>
  <c r="CI20" i="10"/>
  <c r="CI18" i="10"/>
  <c r="CI16" i="10"/>
  <c r="CI14" i="10"/>
  <c r="CI12" i="10"/>
  <c r="CJ5" i="10"/>
  <c r="CI35" i="10"/>
  <c r="CI33" i="10"/>
  <c r="CI31" i="10"/>
  <c r="CI29" i="10"/>
  <c r="CI23" i="10"/>
  <c r="CI21" i="10"/>
  <c r="CI17" i="10"/>
  <c r="CI4" i="10"/>
  <c r="CI130" i="10"/>
  <c r="CG159" i="14" s="1"/>
  <c r="CI37" i="10"/>
  <c r="CI27" i="10"/>
  <c r="CI25" i="10"/>
  <c r="CI19" i="10"/>
  <c r="CI15" i="10"/>
  <c r="CI13" i="10"/>
  <c r="CG96" i="10"/>
  <c r="CG91" i="10"/>
  <c r="CF74" i="10"/>
  <c r="CF123" i="10" s="1"/>
  <c r="CC131" i="10" l="1"/>
  <c r="CJ114" i="10"/>
  <c r="CJ115" i="10" s="1"/>
  <c r="CJ116" i="10"/>
  <c r="CG72" i="10"/>
  <c r="CJ50" i="10"/>
  <c r="CJ45" i="10"/>
  <c r="CJ124" i="10"/>
  <c r="CJ122" i="10"/>
  <c r="CJ56" i="10"/>
  <c r="CJ58" i="10"/>
  <c r="CJ60" i="10"/>
  <c r="CJ62" i="10"/>
  <c r="CJ64" i="10"/>
  <c r="CJ65" i="10"/>
  <c r="CJ66" i="10"/>
  <c r="CJ67" i="10"/>
  <c r="CJ68" i="10"/>
  <c r="CJ69" i="10"/>
  <c r="CJ57" i="10"/>
  <c r="CJ59" i="10"/>
  <c r="CJ61" i="10"/>
  <c r="CJ63" i="10"/>
  <c r="CJ128" i="10"/>
  <c r="CJ108" i="10"/>
  <c r="CJ10" i="10"/>
  <c r="CJ43" i="10"/>
  <c r="CJ11" i="10"/>
  <c r="CH48" i="10"/>
  <c r="CH52" i="10" s="1"/>
  <c r="CH71" i="10" s="1"/>
  <c r="CI95" i="10"/>
  <c r="CH91" i="10"/>
  <c r="CG74" i="10"/>
  <c r="CG123" i="10" s="1"/>
  <c r="CG99" i="10"/>
  <c r="CF156" i="14"/>
  <c r="CF160" i="14" s="1"/>
  <c r="CJ130" i="10"/>
  <c r="CH159" i="14" s="1"/>
  <c r="CK5" i="10"/>
  <c r="CJ49" i="10"/>
  <c r="CJ24" i="10"/>
  <c r="CJ37" i="10"/>
  <c r="CJ35" i="10"/>
  <c r="CJ33" i="10"/>
  <c r="CJ31" i="10"/>
  <c r="CJ29" i="10"/>
  <c r="CJ27" i="10"/>
  <c r="CJ25" i="10"/>
  <c r="CJ23" i="10"/>
  <c r="CJ21" i="10"/>
  <c r="CJ19" i="10"/>
  <c r="CJ17" i="10"/>
  <c r="CJ15" i="10"/>
  <c r="CJ13" i="10"/>
  <c r="CJ4" i="10"/>
  <c r="CJ34" i="10"/>
  <c r="CJ32" i="10"/>
  <c r="CJ28" i="10"/>
  <c r="CJ26" i="10"/>
  <c r="CJ18" i="10"/>
  <c r="CJ16" i="10"/>
  <c r="CJ14" i="10"/>
  <c r="CJ38" i="10"/>
  <c r="CJ36" i="10"/>
  <c r="CJ30" i="10"/>
  <c r="CJ22" i="10"/>
  <c r="CJ20" i="10"/>
  <c r="CJ12" i="10"/>
  <c r="CI39" i="10"/>
  <c r="CI47" i="10" s="1"/>
  <c r="CI70" i="10"/>
  <c r="CF131" i="10"/>
  <c r="CH96" i="10"/>
  <c r="CI7" i="10" a="1"/>
  <c r="CI7" i="10" s="1"/>
  <c r="CI6" i="10" s="1"/>
  <c r="CJ3" i="10"/>
  <c r="CI84" i="10"/>
  <c r="CI86" i="10" s="1"/>
  <c r="CI90" i="10"/>
  <c r="CI89" i="10"/>
  <c r="CI78" i="10" a="1"/>
  <c r="CI78" i="10" s="1"/>
  <c r="CI75" i="10" a="1"/>
  <c r="CI75" i="10" s="1"/>
  <c r="CI76" i="10" a="1"/>
  <c r="CI76" i="10" s="1"/>
  <c r="CI77" i="10" a="1"/>
  <c r="CI77" i="10" s="1"/>
  <c r="CK114" i="10" l="1"/>
  <c r="CK115" i="10" s="1"/>
  <c r="CK116" i="10"/>
  <c r="CH72" i="10"/>
  <c r="CK50" i="10"/>
  <c r="CK45" i="10"/>
  <c r="CI48" i="10"/>
  <c r="CI52" i="10" s="1"/>
  <c r="CI72" i="10" s="1"/>
  <c r="CK108" i="10"/>
  <c r="CK122" i="10"/>
  <c r="CK128" i="10"/>
  <c r="CK124" i="10"/>
  <c r="CK10" i="10"/>
  <c r="CK11" i="10"/>
  <c r="CK69" i="10"/>
  <c r="CK56" i="10"/>
  <c r="CK58" i="10"/>
  <c r="CK60" i="10"/>
  <c r="CK62" i="10"/>
  <c r="CK64" i="10"/>
  <c r="CK65" i="10"/>
  <c r="CK66" i="10"/>
  <c r="CK67" i="10"/>
  <c r="CK68" i="10"/>
  <c r="CK59" i="10"/>
  <c r="CK57" i="10"/>
  <c r="CK61" i="10"/>
  <c r="CK63" i="10"/>
  <c r="CK43" i="10"/>
  <c r="CI96" i="10"/>
  <c r="CJ95" i="10"/>
  <c r="CH99" i="10"/>
  <c r="CI91" i="10"/>
  <c r="CK37" i="10"/>
  <c r="CK35" i="10"/>
  <c r="CK33" i="10"/>
  <c r="CK31" i="10"/>
  <c r="CK29" i="10"/>
  <c r="CK27" i="10"/>
  <c r="CK25" i="10"/>
  <c r="CK23" i="10"/>
  <c r="CK21" i="10"/>
  <c r="CK19" i="10"/>
  <c r="CK17" i="10"/>
  <c r="CK15" i="10"/>
  <c r="CK13" i="10"/>
  <c r="CK4" i="10"/>
  <c r="CK130" i="10"/>
  <c r="CI159" i="14" s="1"/>
  <c r="CK49" i="10"/>
  <c r="CK36" i="10"/>
  <c r="CK30" i="10"/>
  <c r="CK26" i="10"/>
  <c r="CK24" i="10"/>
  <c r="CK22" i="10"/>
  <c r="CK20" i="10"/>
  <c r="CK16" i="10"/>
  <c r="CK12" i="10"/>
  <c r="CK38" i="10"/>
  <c r="CK34" i="10"/>
  <c r="CK32" i="10"/>
  <c r="CK28" i="10"/>
  <c r="CK18" i="10"/>
  <c r="CK14" i="10"/>
  <c r="CL5" i="10"/>
  <c r="CH74" i="10"/>
  <c r="CH123" i="10" s="1"/>
  <c r="CJ39" i="10"/>
  <c r="CJ47" i="10" s="1"/>
  <c r="CJ7" i="10" a="1"/>
  <c r="CJ7" i="10" s="1"/>
  <c r="CJ6" i="10" s="1"/>
  <c r="CK3" i="10"/>
  <c r="CJ89" i="10"/>
  <c r="CJ84" i="10"/>
  <c r="CJ86" i="10" s="1"/>
  <c r="CJ90" i="10"/>
  <c r="CJ76" i="10" a="1"/>
  <c r="CJ76" i="10" s="1"/>
  <c r="CJ77" i="10" a="1"/>
  <c r="CJ77" i="10" s="1"/>
  <c r="CJ75" i="10" a="1"/>
  <c r="CJ75" i="10" s="1"/>
  <c r="CJ78" i="10" a="1"/>
  <c r="CJ78" i="10" s="1"/>
  <c r="CJ70" i="10"/>
  <c r="CG131" i="10"/>
  <c r="CG156" i="14"/>
  <c r="CG160" i="14" s="1"/>
  <c r="CL114" i="10" l="1"/>
  <c r="CL115" i="10" s="1"/>
  <c r="CL116" i="10"/>
  <c r="CL50" i="10"/>
  <c r="CL45" i="10"/>
  <c r="CI99" i="10"/>
  <c r="CI74" i="10"/>
  <c r="CI123" i="10" s="1"/>
  <c r="CI71" i="10"/>
  <c r="CJ48" i="10"/>
  <c r="CJ52" i="10" s="1"/>
  <c r="CJ71" i="10" s="1"/>
  <c r="CL108" i="10"/>
  <c r="CL56" i="10"/>
  <c r="CL122" i="10"/>
  <c r="CL128" i="10"/>
  <c r="CL57" i="10"/>
  <c r="CL58" i="10"/>
  <c r="CL59" i="10"/>
  <c r="CL60" i="10"/>
  <c r="CL61" i="10"/>
  <c r="CL62" i="10"/>
  <c r="CL63" i="10"/>
  <c r="CL43" i="10"/>
  <c r="CL10" i="10"/>
  <c r="CL124" i="10"/>
  <c r="CL11" i="10"/>
  <c r="CL64" i="10"/>
  <c r="CL66" i="10"/>
  <c r="CL68" i="10"/>
  <c r="CL69" i="10"/>
  <c r="CL65" i="10"/>
  <c r="CL67" i="10"/>
  <c r="CK95" i="10"/>
  <c r="CJ96" i="10"/>
  <c r="CK39" i="10"/>
  <c r="CK47" i="10" s="1"/>
  <c r="CK7" i="10" a="1"/>
  <c r="CK7" i="10" s="1"/>
  <c r="CK6" i="10" s="1"/>
  <c r="CL3" i="10"/>
  <c r="CK84" i="10"/>
  <c r="CK86" i="10" s="1"/>
  <c r="CK90" i="10"/>
  <c r="CK89" i="10"/>
  <c r="CK78" i="10" a="1"/>
  <c r="CK78" i="10" s="1"/>
  <c r="CK77" i="10" a="1"/>
  <c r="CK77" i="10" s="1"/>
  <c r="CK76" i="10" a="1"/>
  <c r="CK76" i="10" s="1"/>
  <c r="CK75" i="10" a="1"/>
  <c r="CK75" i="10" s="1"/>
  <c r="CH131" i="10"/>
  <c r="CL130" i="10"/>
  <c r="CJ159" i="14" s="1"/>
  <c r="CL27" i="10"/>
  <c r="CL21" i="10"/>
  <c r="CL49" i="10"/>
  <c r="CL38" i="10"/>
  <c r="CL36" i="10"/>
  <c r="CL34" i="10"/>
  <c r="CL32" i="10"/>
  <c r="CL30" i="10"/>
  <c r="CL28" i="10"/>
  <c r="CL26" i="10"/>
  <c r="CL24" i="10"/>
  <c r="CL22" i="10"/>
  <c r="CL20" i="10"/>
  <c r="CL18" i="10"/>
  <c r="CL16" i="10"/>
  <c r="CL14" i="10"/>
  <c r="CL12" i="10"/>
  <c r="CM5" i="10"/>
  <c r="CL37" i="10"/>
  <c r="CL33" i="10"/>
  <c r="CL15" i="10"/>
  <c r="CL35" i="10"/>
  <c r="CL31" i="10"/>
  <c r="CL29" i="10"/>
  <c r="CL25" i="10"/>
  <c r="CL23" i="10"/>
  <c r="CL19" i="10"/>
  <c r="CL17" i="10"/>
  <c r="CL13" i="10"/>
  <c r="CL4" i="10"/>
  <c r="CK70" i="10"/>
  <c r="CJ91" i="10"/>
  <c r="CH156" i="14"/>
  <c r="CH160" i="14" s="1"/>
  <c r="CM114" i="10" l="1"/>
  <c r="CM115" i="10" s="1"/>
  <c r="CM116" i="10"/>
  <c r="CJ72" i="10"/>
  <c r="CJ99" i="10"/>
  <c r="CM50" i="10"/>
  <c r="CM45" i="10"/>
  <c r="CI131" i="10"/>
  <c r="CK48" i="10"/>
  <c r="CK52" i="10" s="1"/>
  <c r="CK72" i="10" s="1"/>
  <c r="CM108" i="10"/>
  <c r="CM124" i="10"/>
  <c r="CM56" i="10"/>
  <c r="CM122" i="10"/>
  <c r="CM57" i="10"/>
  <c r="CM58" i="10"/>
  <c r="CM59" i="10"/>
  <c r="CM60" i="10"/>
  <c r="CM61" i="10"/>
  <c r="CM62" i="10"/>
  <c r="CM63" i="10"/>
  <c r="CM43" i="10"/>
  <c r="CM128" i="10"/>
  <c r="CM65" i="10"/>
  <c r="CM67" i="10"/>
  <c r="CM11" i="10"/>
  <c r="CM10" i="10"/>
  <c r="CM64" i="10"/>
  <c r="CM66" i="10"/>
  <c r="CM68" i="10"/>
  <c r="CM69" i="10"/>
  <c r="CK96" i="10"/>
  <c r="CL95" i="10"/>
  <c r="CJ74" i="10"/>
  <c r="CJ123" i="10" s="1"/>
  <c r="CL39" i="10"/>
  <c r="CL47" i="10" s="1"/>
  <c r="CI156" i="14"/>
  <c r="CI160" i="14" s="1"/>
  <c r="CM130" i="10"/>
  <c r="CK159" i="14" s="1"/>
  <c r="CM49" i="10"/>
  <c r="CM38" i="10"/>
  <c r="CM36" i="10"/>
  <c r="CM34" i="10"/>
  <c r="CM32" i="10"/>
  <c r="CM30" i="10"/>
  <c r="CM28" i="10"/>
  <c r="CM26" i="10"/>
  <c r="CM24" i="10"/>
  <c r="CM22" i="10"/>
  <c r="CM20" i="10"/>
  <c r="CM18" i="10"/>
  <c r="CM16" i="10"/>
  <c r="CM14" i="10"/>
  <c r="CM12" i="10"/>
  <c r="CM4" i="10"/>
  <c r="CN5" i="10"/>
  <c r="CM35" i="10"/>
  <c r="CM27" i="10"/>
  <c r="CM25" i="10"/>
  <c r="CM23" i="10"/>
  <c r="CM19" i="10"/>
  <c r="CM15" i="10"/>
  <c r="CM37" i="10"/>
  <c r="CM33" i="10"/>
  <c r="CM31" i="10"/>
  <c r="CM29" i="10"/>
  <c r="CM21" i="10"/>
  <c r="CM17" i="10"/>
  <c r="CM13" i="10"/>
  <c r="CL70" i="10"/>
  <c r="CK91" i="10"/>
  <c r="CM3" i="10"/>
  <c r="CL7" i="10" a="1"/>
  <c r="CL7" i="10" s="1"/>
  <c r="CL6" i="10" s="1"/>
  <c r="CL89" i="10"/>
  <c r="CL84" i="10"/>
  <c r="CL86" i="10" s="1"/>
  <c r="CL90" i="10"/>
  <c r="CL77" i="10" a="1"/>
  <c r="CL77" i="10" s="1"/>
  <c r="CL75" i="10" a="1"/>
  <c r="CL75" i="10" s="1"/>
  <c r="CL76" i="10" a="1"/>
  <c r="CL76" i="10" s="1"/>
  <c r="CL78" i="10" a="1"/>
  <c r="CL78" i="10" s="1"/>
  <c r="CN114" i="10" l="1"/>
  <c r="CN115" i="10" s="1"/>
  <c r="CN116" i="10"/>
  <c r="CN50" i="10"/>
  <c r="CN45" i="10"/>
  <c r="CK99" i="10"/>
  <c r="CK74" i="10"/>
  <c r="CK123" i="10" s="1"/>
  <c r="CK71" i="10"/>
  <c r="CL48" i="10"/>
  <c r="CL52" i="10" s="1"/>
  <c r="CL71" i="10" s="1"/>
  <c r="CN108" i="10"/>
  <c r="CN124" i="10"/>
  <c r="CN128" i="10"/>
  <c r="CN56" i="10"/>
  <c r="CN57" i="10"/>
  <c r="CN59" i="10"/>
  <c r="CN61" i="10"/>
  <c r="CN63" i="10"/>
  <c r="CN64" i="10"/>
  <c r="CN65" i="10"/>
  <c r="CN66" i="10"/>
  <c r="CN67" i="10"/>
  <c r="CN68" i="10"/>
  <c r="CN69" i="10"/>
  <c r="CN58" i="10"/>
  <c r="CN60" i="10"/>
  <c r="CN62" i="10"/>
  <c r="CN122" i="10"/>
  <c r="CN11" i="10"/>
  <c r="CN10" i="10"/>
  <c r="CN43" i="10"/>
  <c r="CM95" i="10"/>
  <c r="CJ131" i="10"/>
  <c r="CM39" i="10"/>
  <c r="CM47" i="10" s="1"/>
  <c r="CJ156" i="14"/>
  <c r="CJ160" i="14" s="1"/>
  <c r="CN130" i="10"/>
  <c r="CL159" i="14" s="1"/>
  <c r="CK156" i="14" s="1"/>
  <c r="CK160" i="14" s="1"/>
  <c r="CO5" i="10"/>
  <c r="CN38" i="10"/>
  <c r="CN30" i="10"/>
  <c r="CN18" i="10"/>
  <c r="CN37" i="10"/>
  <c r="CN35" i="10"/>
  <c r="CN33" i="10"/>
  <c r="CN31" i="10"/>
  <c r="CN29" i="10"/>
  <c r="CN27" i="10"/>
  <c r="CN25" i="10"/>
  <c r="CN23" i="10"/>
  <c r="CN21" i="10"/>
  <c r="CN19" i="10"/>
  <c r="CN17" i="10"/>
  <c r="CN15" i="10"/>
  <c r="CN13" i="10"/>
  <c r="CN4" i="10"/>
  <c r="CN49" i="10"/>
  <c r="CN36" i="10"/>
  <c r="CN22" i="10"/>
  <c r="CN20" i="10"/>
  <c r="CN16" i="10"/>
  <c r="CN14" i="10"/>
  <c r="CN34" i="10"/>
  <c r="CN32" i="10"/>
  <c r="CN28" i="10"/>
  <c r="CN26" i="10"/>
  <c r="CN24" i="10"/>
  <c r="CN12" i="10"/>
  <c r="CM70" i="10"/>
  <c r="CL96" i="10"/>
  <c r="CL91" i="10"/>
  <c r="CM7" i="10" a="1"/>
  <c r="CM7" i="10" s="1"/>
  <c r="CM6" i="10" s="1"/>
  <c r="CN3" i="10"/>
  <c r="CM84" i="10"/>
  <c r="CM86" i="10" s="1"/>
  <c r="CM89" i="10"/>
  <c r="CM90" i="10"/>
  <c r="CM78" i="10" a="1"/>
  <c r="CM78" i="10" s="1"/>
  <c r="CM75" i="10" a="1"/>
  <c r="CM75" i="10" s="1"/>
  <c r="CM77" i="10" a="1"/>
  <c r="CM77" i="10" s="1"/>
  <c r="CM76" i="10" a="1"/>
  <c r="CM76" i="10" s="1"/>
  <c r="O108" i="11" l="1"/>
  <c r="CO114" i="10"/>
  <c r="CO115" i="10" s="1"/>
  <c r="CO116" i="10"/>
  <c r="CL72" i="10"/>
  <c r="CO50" i="10"/>
  <c r="CO45" i="10"/>
  <c r="CK131" i="10"/>
  <c r="CM48" i="10"/>
  <c r="CM52" i="10" s="1"/>
  <c r="CM71" i="10" s="1"/>
  <c r="CO122" i="10"/>
  <c r="CO128" i="10"/>
  <c r="CO56" i="10"/>
  <c r="CO108" i="10"/>
  <c r="CO10" i="10"/>
  <c r="CO11" i="10"/>
  <c r="CO124" i="10"/>
  <c r="CO57" i="10"/>
  <c r="CO59" i="10"/>
  <c r="CO61" i="10"/>
  <c r="CO63" i="10"/>
  <c r="CO64" i="10"/>
  <c r="CO65" i="10"/>
  <c r="CO66" i="10"/>
  <c r="CO67" i="10"/>
  <c r="CO68" i="10"/>
  <c r="CO69" i="10"/>
  <c r="CO58" i="10"/>
  <c r="CO43" i="10"/>
  <c r="CO62" i="10"/>
  <c r="CO60" i="10"/>
  <c r="CN95" i="10"/>
  <c r="CL99" i="10"/>
  <c r="CO37" i="10"/>
  <c r="CO35" i="10"/>
  <c r="CO33" i="10"/>
  <c r="CO31" i="10"/>
  <c r="CO29" i="10"/>
  <c r="CO27" i="10"/>
  <c r="CO25" i="10"/>
  <c r="CO23" i="10"/>
  <c r="CO21" i="10"/>
  <c r="CO19" i="10"/>
  <c r="CO17" i="10"/>
  <c r="CO15" i="10"/>
  <c r="CO13" i="10"/>
  <c r="CO4" i="10"/>
  <c r="CO38" i="10"/>
  <c r="CO32" i="10"/>
  <c r="CO28" i="10"/>
  <c r="CO22" i="10"/>
  <c r="CO18" i="10"/>
  <c r="CO14" i="10"/>
  <c r="CO49" i="10"/>
  <c r="CO36" i="10"/>
  <c r="CO34" i="10"/>
  <c r="CO30" i="10"/>
  <c r="CO26" i="10"/>
  <c r="CO24" i="10"/>
  <c r="CO20" i="10"/>
  <c r="CO16" i="10"/>
  <c r="CO12" i="10"/>
  <c r="CO130" i="10"/>
  <c r="CM159" i="14" s="1"/>
  <c r="CL156" i="14" s="1"/>
  <c r="CL160" i="14" s="1"/>
  <c r="CP5" i="10"/>
  <c r="CM91" i="10"/>
  <c r="CN70" i="10"/>
  <c r="CM96" i="10"/>
  <c r="CN7" i="10" a="1"/>
  <c r="CN7" i="10" s="1"/>
  <c r="CO3" i="10"/>
  <c r="CN84" i="10"/>
  <c r="CN86" i="10" s="1"/>
  <c r="CN89" i="10"/>
  <c r="CN90" i="10"/>
  <c r="CN78" i="10" a="1"/>
  <c r="CN78" i="10" s="1"/>
  <c r="CN75" i="10" a="1"/>
  <c r="CN75" i="10" s="1"/>
  <c r="CN76" i="10" a="1"/>
  <c r="CN76" i="10" s="1"/>
  <c r="CN77" i="10" a="1"/>
  <c r="CN77" i="10" s="1"/>
  <c r="CL74" i="10"/>
  <c r="CL123" i="10" s="1"/>
  <c r="CN39" i="10"/>
  <c r="CN47" i="10" s="1"/>
  <c r="CN6" i="10" l="1"/>
  <c r="O7" i="11"/>
  <c r="O6" i="11" s="1"/>
  <c r="CP114" i="10"/>
  <c r="CP115" i="10" s="1"/>
  <c r="CP116" i="10"/>
  <c r="CM72" i="10"/>
  <c r="CP50" i="10"/>
  <c r="CP45" i="10"/>
  <c r="CN48" i="10"/>
  <c r="CN52" i="10" s="1"/>
  <c r="CN72" i="10" s="1"/>
  <c r="CP108" i="10"/>
  <c r="CP56" i="10"/>
  <c r="CP122" i="10"/>
  <c r="CP128" i="10"/>
  <c r="CP124" i="10"/>
  <c r="CP57" i="10"/>
  <c r="CP58" i="10"/>
  <c r="CP59" i="10"/>
  <c r="CP60" i="10"/>
  <c r="CP61" i="10"/>
  <c r="CP62" i="10"/>
  <c r="CP63" i="10"/>
  <c r="CP43" i="10"/>
  <c r="CP11" i="10"/>
  <c r="CP10" i="10"/>
  <c r="CP64" i="10"/>
  <c r="CP66" i="10"/>
  <c r="CP65" i="10"/>
  <c r="CP67" i="10"/>
  <c r="CP68" i="10"/>
  <c r="CP69" i="10"/>
  <c r="CO95" i="10"/>
  <c r="CL131" i="10"/>
  <c r="CO7" i="10" a="1"/>
  <c r="CO7" i="10" s="1"/>
  <c r="CO6" i="10" s="1"/>
  <c r="CP3" i="10"/>
  <c r="CO84" i="10"/>
  <c r="CO86" i="10" s="1"/>
  <c r="CO90" i="10"/>
  <c r="CO89" i="10"/>
  <c r="CO78" i="10" a="1"/>
  <c r="CO78" i="10" s="1"/>
  <c r="CO75" i="10" a="1"/>
  <c r="CO75" i="10" s="1"/>
  <c r="CO76" i="10" a="1"/>
  <c r="CO76" i="10" s="1"/>
  <c r="CO77" i="10" a="1"/>
  <c r="CO77" i="10" s="1"/>
  <c r="CN91" i="10"/>
  <c r="CM99" i="10"/>
  <c r="CP130" i="10"/>
  <c r="CN159" i="14" s="1"/>
  <c r="CM156" i="14" s="1"/>
  <c r="CM160" i="14" s="1"/>
  <c r="CQ5" i="10"/>
  <c r="CP35" i="10"/>
  <c r="CP33" i="10"/>
  <c r="CP31" i="10"/>
  <c r="CP19" i="10"/>
  <c r="CP49" i="10"/>
  <c r="CP38" i="10"/>
  <c r="CP36" i="10"/>
  <c r="CP34" i="10"/>
  <c r="CP32" i="10"/>
  <c r="CP30" i="10"/>
  <c r="CP28" i="10"/>
  <c r="CP26" i="10"/>
  <c r="CP24" i="10"/>
  <c r="CP22" i="10"/>
  <c r="CP20" i="10"/>
  <c r="CP18" i="10"/>
  <c r="CP16" i="10"/>
  <c r="CP14" i="10"/>
  <c r="CP12" i="10"/>
  <c r="CP29" i="10"/>
  <c r="CP27" i="10"/>
  <c r="CP25" i="10"/>
  <c r="CP23" i="10"/>
  <c r="CP37" i="10"/>
  <c r="CP21" i="10"/>
  <c r="CP17" i="10"/>
  <c r="CP15" i="10"/>
  <c r="CP13" i="10"/>
  <c r="CP4" i="10"/>
  <c r="CN96" i="10"/>
  <c r="CO70" i="10"/>
  <c r="CO39" i="10"/>
  <c r="CO47" i="10" s="1"/>
  <c r="CM74" i="10"/>
  <c r="CM123" i="10" s="1"/>
  <c r="CQ114" i="10" l="1"/>
  <c r="CQ115" i="10" s="1"/>
  <c r="CQ116" i="10"/>
  <c r="CQ50" i="10"/>
  <c r="CQ45" i="10"/>
  <c r="CN74" i="10"/>
  <c r="CN71" i="10"/>
  <c r="CO48" i="10"/>
  <c r="CO52" i="10" s="1"/>
  <c r="CO72" i="10" s="1"/>
  <c r="CQ108" i="10"/>
  <c r="CQ124" i="10"/>
  <c r="CQ56" i="10"/>
  <c r="CQ128" i="10"/>
  <c r="CQ57" i="10"/>
  <c r="CQ58" i="10"/>
  <c r="CQ59" i="10"/>
  <c r="CQ60" i="10"/>
  <c r="CQ61" i="10"/>
  <c r="CQ62" i="10"/>
  <c r="CQ63" i="10"/>
  <c r="CQ122" i="10"/>
  <c r="CQ43" i="10"/>
  <c r="CQ64" i="10"/>
  <c r="CQ66" i="10"/>
  <c r="CQ68" i="10"/>
  <c r="CQ69" i="10"/>
  <c r="CQ65" i="10"/>
  <c r="CQ11" i="10"/>
  <c r="CQ67" i="10"/>
  <c r="CQ10" i="10"/>
  <c r="CP95" i="10"/>
  <c r="CO91" i="10"/>
  <c r="CO96" i="10"/>
  <c r="CP39" i="10"/>
  <c r="CP47" i="10" s="1"/>
  <c r="CQ49" i="10"/>
  <c r="CQ38" i="10"/>
  <c r="CQ36" i="10"/>
  <c r="CQ34" i="10"/>
  <c r="CQ32" i="10"/>
  <c r="CQ30" i="10"/>
  <c r="CQ28" i="10"/>
  <c r="CQ26" i="10"/>
  <c r="CQ24" i="10"/>
  <c r="CQ22" i="10"/>
  <c r="CQ20" i="10"/>
  <c r="CQ18" i="10"/>
  <c r="CQ16" i="10"/>
  <c r="CQ14" i="10"/>
  <c r="CQ12" i="10"/>
  <c r="CR5" i="10"/>
  <c r="CQ35" i="10"/>
  <c r="CQ33" i="10"/>
  <c r="CQ23" i="10"/>
  <c r="CQ19" i="10"/>
  <c r="CQ15" i="10"/>
  <c r="CQ130" i="10"/>
  <c r="CO159" i="14" s="1"/>
  <c r="CQ37" i="10"/>
  <c r="CQ31" i="10"/>
  <c r="CQ29" i="10"/>
  <c r="CQ27" i="10"/>
  <c r="CQ25" i="10"/>
  <c r="CQ21" i="10"/>
  <c r="CQ17" i="10"/>
  <c r="CQ13" i="10"/>
  <c r="CQ4" i="10"/>
  <c r="CP7" i="10" a="1"/>
  <c r="CP7" i="10" s="1"/>
  <c r="CP6" i="10" s="1"/>
  <c r="CQ3" i="10"/>
  <c r="CP84" i="10"/>
  <c r="CP86" i="10" s="1"/>
  <c r="CP90" i="10"/>
  <c r="CP89" i="10"/>
  <c r="CP76" i="10" a="1"/>
  <c r="CP76" i="10" s="1"/>
  <c r="CP77" i="10" a="1"/>
  <c r="CP77" i="10" s="1"/>
  <c r="CP78" i="10" a="1"/>
  <c r="CP78" i="10" s="1"/>
  <c r="CP75" i="10" a="1"/>
  <c r="CP75" i="10" s="1"/>
  <c r="CM131" i="10"/>
  <c r="CP70" i="10"/>
  <c r="CN99" i="10"/>
  <c r="CR114" i="10" l="1"/>
  <c r="CR115" i="10" s="1"/>
  <c r="CR116" i="10"/>
  <c r="CR50" i="10"/>
  <c r="CR45" i="10"/>
  <c r="CN123" i="10"/>
  <c r="CN131" i="10"/>
  <c r="CO74" i="10"/>
  <c r="CO131" i="10" s="1"/>
  <c r="CO71" i="10"/>
  <c r="CP48" i="10"/>
  <c r="CP52" i="10" s="1"/>
  <c r="CP71" i="10" s="1"/>
  <c r="CR124" i="10"/>
  <c r="CR108" i="10"/>
  <c r="CR122" i="10"/>
  <c r="CR58" i="10"/>
  <c r="CR60" i="10"/>
  <c r="CR62" i="10"/>
  <c r="CR64" i="10"/>
  <c r="CR65" i="10"/>
  <c r="CR66" i="10"/>
  <c r="CR67" i="10"/>
  <c r="CR68" i="10"/>
  <c r="CR69" i="10"/>
  <c r="CR56" i="10"/>
  <c r="CR57" i="10"/>
  <c r="CR59" i="10"/>
  <c r="CR61" i="10"/>
  <c r="CR63" i="10"/>
  <c r="CR10" i="10"/>
  <c r="CR43" i="10"/>
  <c r="CR128" i="10"/>
  <c r="CR11" i="10"/>
  <c r="CP96" i="10"/>
  <c r="CQ95" i="10"/>
  <c r="CQ39" i="10"/>
  <c r="CQ47" i="10" s="1"/>
  <c r="CO99" i="10"/>
  <c r="CQ7" i="10" a="1"/>
  <c r="CQ7" i="10" s="1"/>
  <c r="CQ6" i="10" s="1"/>
  <c r="CR3" i="10"/>
  <c r="CQ89" i="10"/>
  <c r="CQ84" i="10"/>
  <c r="CQ86" i="10" s="1"/>
  <c r="CQ90" i="10"/>
  <c r="CQ76" i="10" a="1"/>
  <c r="CQ76" i="10" s="1"/>
  <c r="CQ75" i="10" a="1"/>
  <c r="CQ75" i="10" s="1"/>
  <c r="CQ78" i="10" a="1"/>
  <c r="CQ78" i="10" s="1"/>
  <c r="CQ77" i="10" a="1"/>
  <c r="CQ77" i="10" s="1"/>
  <c r="CR130" i="10"/>
  <c r="CP159" i="14" s="1"/>
  <c r="CO156" i="14" s="1"/>
  <c r="CO160" i="14" s="1"/>
  <c r="CS5" i="10"/>
  <c r="CR49" i="10"/>
  <c r="CR36" i="10"/>
  <c r="CR28" i="10"/>
  <c r="CR37" i="10"/>
  <c r="CR35" i="10"/>
  <c r="CR33" i="10"/>
  <c r="CR31" i="10"/>
  <c r="CR29" i="10"/>
  <c r="CR27" i="10"/>
  <c r="CR25" i="10"/>
  <c r="CR23" i="10"/>
  <c r="CR21" i="10"/>
  <c r="CR19" i="10"/>
  <c r="CR17" i="10"/>
  <c r="CR15" i="10"/>
  <c r="CR13" i="10"/>
  <c r="CR4" i="10"/>
  <c r="CR38" i="10"/>
  <c r="CR34" i="10"/>
  <c r="CR32" i="10"/>
  <c r="CR26" i="10"/>
  <c r="CR24" i="10"/>
  <c r="CR18" i="10"/>
  <c r="CR30" i="10"/>
  <c r="CR22" i="10"/>
  <c r="CR20" i="10"/>
  <c r="CR16" i="10"/>
  <c r="CR14" i="10"/>
  <c r="CR12" i="10"/>
  <c r="CQ70" i="10"/>
  <c r="CP91" i="10"/>
  <c r="CN156" i="14"/>
  <c r="CN160" i="14" s="1"/>
  <c r="CS114" i="10" l="1"/>
  <c r="CS115" i="10" s="1"/>
  <c r="CS116" i="10"/>
  <c r="CP72" i="10"/>
  <c r="CS50" i="10"/>
  <c r="CS45" i="10"/>
  <c r="CO123" i="10"/>
  <c r="CQ96" i="10"/>
  <c r="CQ48" i="10"/>
  <c r="CQ52" i="10" s="1"/>
  <c r="CQ71" i="10" s="1"/>
  <c r="CS108" i="10"/>
  <c r="CS122" i="10"/>
  <c r="CS128" i="10"/>
  <c r="CS124" i="10"/>
  <c r="CS10" i="10"/>
  <c r="CS11" i="10"/>
  <c r="CS58" i="10"/>
  <c r="CS60" i="10"/>
  <c r="CS62" i="10"/>
  <c r="CS64" i="10"/>
  <c r="CS65" i="10"/>
  <c r="CS66" i="10"/>
  <c r="CS67" i="10"/>
  <c r="CS68" i="10"/>
  <c r="CS69" i="10"/>
  <c r="CS56" i="10"/>
  <c r="CS57" i="10"/>
  <c r="CS61" i="10"/>
  <c r="CS63" i="10"/>
  <c r="CS59" i="10"/>
  <c r="CS43" i="10"/>
  <c r="CP99" i="10"/>
  <c r="CR95" i="10"/>
  <c r="CR39" i="10"/>
  <c r="CR47" i="10" s="1"/>
  <c r="CP74" i="10"/>
  <c r="CP123" i="10" s="1"/>
  <c r="CR7" i="10" a="1"/>
  <c r="CR7" i="10" s="1"/>
  <c r="CR6" i="10" s="1"/>
  <c r="CS3" i="10"/>
  <c r="CR89" i="10"/>
  <c r="CR84" i="10"/>
  <c r="CR86" i="10" s="1"/>
  <c r="CR90" i="10"/>
  <c r="CR76" i="10" a="1"/>
  <c r="CR76" i="10" s="1"/>
  <c r="CR78" i="10" a="1"/>
  <c r="CR78" i="10" s="1"/>
  <c r="CR77" i="10" a="1"/>
  <c r="CR77" i="10" s="1"/>
  <c r="CR75" i="10" a="1"/>
  <c r="CR75" i="10" s="1"/>
  <c r="CS37" i="10"/>
  <c r="CS35" i="10"/>
  <c r="CS33" i="10"/>
  <c r="CS31" i="10"/>
  <c r="CS29" i="10"/>
  <c r="CS27" i="10"/>
  <c r="CS25" i="10"/>
  <c r="CS23" i="10"/>
  <c r="CS21" i="10"/>
  <c r="CS19" i="10"/>
  <c r="CS17" i="10"/>
  <c r="CS15" i="10"/>
  <c r="CS13" i="10"/>
  <c r="CS4" i="10"/>
  <c r="CS130" i="10"/>
  <c r="CQ159" i="14" s="1"/>
  <c r="CP156" i="14" s="1"/>
  <c r="CP160" i="14" s="1"/>
  <c r="CS49" i="10"/>
  <c r="CS36" i="10"/>
  <c r="CS30" i="10"/>
  <c r="CS26" i="10"/>
  <c r="CS24" i="10"/>
  <c r="CS20" i="10"/>
  <c r="CS16" i="10"/>
  <c r="CS38" i="10"/>
  <c r="CS34" i="10"/>
  <c r="CS32" i="10"/>
  <c r="CS28" i="10"/>
  <c r="CS22" i="10"/>
  <c r="CS18" i="10"/>
  <c r="CS14" i="10"/>
  <c r="CS12" i="10"/>
  <c r="CT5" i="10"/>
  <c r="CQ91" i="10"/>
  <c r="CR70" i="10"/>
  <c r="CT114" i="10" l="1"/>
  <c r="CT115" i="10" s="1"/>
  <c r="CT116" i="10"/>
  <c r="CQ72" i="10"/>
  <c r="CT50" i="10"/>
  <c r="CT45" i="10"/>
  <c r="CQ99" i="10"/>
  <c r="CR48" i="10"/>
  <c r="CR52" i="10" s="1"/>
  <c r="CR72" i="10" s="1"/>
  <c r="CT108" i="10"/>
  <c r="CT56" i="10"/>
  <c r="CT122" i="10"/>
  <c r="CT128" i="10"/>
  <c r="CT57" i="10"/>
  <c r="CT58" i="10"/>
  <c r="CT59" i="10"/>
  <c r="CT60" i="10"/>
  <c r="CT61" i="10"/>
  <c r="CT62" i="10"/>
  <c r="CT63" i="10"/>
  <c r="CT43" i="10"/>
  <c r="CT10" i="10"/>
  <c r="CT11" i="10"/>
  <c r="CT67" i="10"/>
  <c r="CT64" i="10"/>
  <c r="CT66" i="10"/>
  <c r="CT68" i="10"/>
  <c r="CT69" i="10"/>
  <c r="CT124" i="10"/>
  <c r="CT65" i="10"/>
  <c r="CS95" i="10"/>
  <c r="CP131" i="10"/>
  <c r="CQ74" i="10"/>
  <c r="CQ123" i="10" s="1"/>
  <c r="CS70" i="10"/>
  <c r="CR96" i="10"/>
  <c r="CR91" i="10"/>
  <c r="CS7" i="10" a="1"/>
  <c r="CS7" i="10" s="1"/>
  <c r="CS6" i="10" s="1"/>
  <c r="CT3" i="10"/>
  <c r="CS84" i="10"/>
  <c r="CS86" i="10" s="1"/>
  <c r="CS89" i="10"/>
  <c r="CS90" i="10"/>
  <c r="CS78" i="10" a="1"/>
  <c r="CS78" i="10" s="1"/>
  <c r="CS76" i="10" a="1"/>
  <c r="CS76" i="10" s="1"/>
  <c r="CS75" i="10" a="1"/>
  <c r="CS75" i="10" s="1"/>
  <c r="CS77" i="10" a="1"/>
  <c r="CS77" i="10" s="1"/>
  <c r="CT130" i="10"/>
  <c r="CR159" i="14" s="1"/>
  <c r="CT29" i="10"/>
  <c r="CT23" i="10"/>
  <c r="CT17" i="10"/>
  <c r="CT15" i="10"/>
  <c r="CT49" i="10"/>
  <c r="CT38" i="10"/>
  <c r="CT36" i="10"/>
  <c r="CT34" i="10"/>
  <c r="CT32" i="10"/>
  <c r="CT30" i="10"/>
  <c r="CT28" i="10"/>
  <c r="CT26" i="10"/>
  <c r="CT24" i="10"/>
  <c r="CT22" i="10"/>
  <c r="CT20" i="10"/>
  <c r="CT18" i="10"/>
  <c r="CT16" i="10"/>
  <c r="CT14" i="10"/>
  <c r="CT12" i="10"/>
  <c r="CT37" i="10"/>
  <c r="CT35" i="10"/>
  <c r="CT33" i="10"/>
  <c r="CT31" i="10"/>
  <c r="CT21" i="10"/>
  <c r="CT19" i="10"/>
  <c r="CU5" i="10"/>
  <c r="CT27" i="10"/>
  <c r="CT25" i="10"/>
  <c r="CT13" i="10"/>
  <c r="CT4" i="10"/>
  <c r="CS39" i="10"/>
  <c r="CS47" i="10" s="1"/>
  <c r="CU114" i="10" l="1"/>
  <c r="CU115" i="10" s="1"/>
  <c r="CU116" i="10"/>
  <c r="CU50" i="10"/>
  <c r="CU45" i="10"/>
  <c r="CR74" i="10"/>
  <c r="CR71" i="10"/>
  <c r="CU108" i="10"/>
  <c r="CU124" i="10"/>
  <c r="CU56" i="10"/>
  <c r="CU122" i="10"/>
  <c r="CU57" i="10"/>
  <c r="CU58" i="10"/>
  <c r="CU59" i="10"/>
  <c r="CU60" i="10"/>
  <c r="CU61" i="10"/>
  <c r="CU62" i="10"/>
  <c r="CU63" i="10"/>
  <c r="CU128" i="10"/>
  <c r="CU43" i="10"/>
  <c r="CU65" i="10"/>
  <c r="CU67" i="10"/>
  <c r="CU64" i="10"/>
  <c r="CU10" i="10"/>
  <c r="CU66" i="10"/>
  <c r="CU68" i="10"/>
  <c r="CU69" i="10"/>
  <c r="CU11" i="10"/>
  <c r="CS48" i="10"/>
  <c r="CS52" i="10" s="1"/>
  <c r="CS72" i="10" s="1"/>
  <c r="CT95" i="10"/>
  <c r="CQ131" i="10"/>
  <c r="CR99" i="10"/>
  <c r="CU130" i="10"/>
  <c r="CS159" i="14" s="1"/>
  <c r="CR156" i="14" s="1"/>
  <c r="CR160" i="14" s="1"/>
  <c r="CU49" i="10"/>
  <c r="CU38" i="10"/>
  <c r="CU36" i="10"/>
  <c r="CU34" i="10"/>
  <c r="CU32" i="10"/>
  <c r="CU30" i="10"/>
  <c r="CU28" i="10"/>
  <c r="CU26" i="10"/>
  <c r="CU24" i="10"/>
  <c r="CU22" i="10"/>
  <c r="CU20" i="10"/>
  <c r="CU18" i="10"/>
  <c r="CU16" i="10"/>
  <c r="CU14" i="10"/>
  <c r="CU12" i="10"/>
  <c r="CV5" i="10"/>
  <c r="CU37" i="10"/>
  <c r="CU23" i="10"/>
  <c r="CU19" i="10"/>
  <c r="CU15" i="10"/>
  <c r="CU4" i="10"/>
  <c r="CU35" i="10"/>
  <c r="CU33" i="10"/>
  <c r="CU31" i="10"/>
  <c r="CU29" i="10"/>
  <c r="CU27" i="10"/>
  <c r="CU25" i="10"/>
  <c r="CU21" i="10"/>
  <c r="CU17" i="10"/>
  <c r="CU13" i="10"/>
  <c r="CS91" i="10"/>
  <c r="CT39" i="10"/>
  <c r="CT47" i="10" s="1"/>
  <c r="CU3" i="10"/>
  <c r="CT7" i="10" a="1"/>
  <c r="CT7" i="10" s="1"/>
  <c r="CT6" i="10" s="1"/>
  <c r="CT84" i="10"/>
  <c r="CT86" i="10" s="1"/>
  <c r="CT89" i="10"/>
  <c r="CT90" i="10"/>
  <c r="CT78" i="10" a="1"/>
  <c r="CT78" i="10" s="1"/>
  <c r="CT76" i="10" a="1"/>
  <c r="CT76" i="10" s="1"/>
  <c r="CT75" i="10" a="1"/>
  <c r="CT75" i="10" s="1"/>
  <c r="CT77" i="10" a="1"/>
  <c r="CT77" i="10" s="1"/>
  <c r="CQ156" i="14"/>
  <c r="CQ160" i="14" s="1"/>
  <c r="CT70" i="10"/>
  <c r="CS96" i="10"/>
  <c r="CV114" i="10" l="1"/>
  <c r="CV115" i="10" s="1"/>
  <c r="CV116" i="10"/>
  <c r="CV50" i="10"/>
  <c r="CV45" i="10"/>
  <c r="CS74" i="10"/>
  <c r="CS123" i="10" s="1"/>
  <c r="CS71" i="10"/>
  <c r="CR123" i="10"/>
  <c r="CR131" i="10"/>
  <c r="CT48" i="10"/>
  <c r="CT52" i="10" s="1"/>
  <c r="CT71" i="10" s="1"/>
  <c r="CV108" i="10"/>
  <c r="CV124" i="10"/>
  <c r="CV128" i="10"/>
  <c r="CV56" i="10"/>
  <c r="CV57" i="10"/>
  <c r="CV59" i="10"/>
  <c r="CV61" i="10"/>
  <c r="CV63" i="10"/>
  <c r="CV64" i="10"/>
  <c r="CV65" i="10"/>
  <c r="CV66" i="10"/>
  <c r="CV67" i="10"/>
  <c r="CV68" i="10"/>
  <c r="CV69" i="10"/>
  <c r="CV58" i="10"/>
  <c r="CV60" i="10"/>
  <c r="CV62" i="10"/>
  <c r="CV122" i="10"/>
  <c r="CV11" i="10"/>
  <c r="CV43" i="10"/>
  <c r="CV10" i="10"/>
  <c r="CU95" i="10"/>
  <c r="CT96" i="10"/>
  <c r="CS99" i="10"/>
  <c r="CV130" i="10"/>
  <c r="CT159" i="14" s="1"/>
  <c r="CW5" i="10"/>
  <c r="CV30" i="10"/>
  <c r="CV26" i="10"/>
  <c r="CV24" i="10"/>
  <c r="CV16" i="10"/>
  <c r="CV37" i="10"/>
  <c r="CV35" i="10"/>
  <c r="CV33" i="10"/>
  <c r="CV31" i="10"/>
  <c r="CV29" i="10"/>
  <c r="CV27" i="10"/>
  <c r="CV25" i="10"/>
  <c r="CV23" i="10"/>
  <c r="CV21" i="10"/>
  <c r="CV19" i="10"/>
  <c r="CV17" i="10"/>
  <c r="CV15" i="10"/>
  <c r="CV13" i="10"/>
  <c r="CV4" i="10"/>
  <c r="CV36" i="10"/>
  <c r="CV28" i="10"/>
  <c r="CV22" i="10"/>
  <c r="CV20" i="10"/>
  <c r="CV18" i="10"/>
  <c r="CV14" i="10"/>
  <c r="CV49" i="10"/>
  <c r="CV38" i="10"/>
  <c r="CV34" i="10"/>
  <c r="CV32" i="10"/>
  <c r="CV12" i="10"/>
  <c r="CT91" i="10"/>
  <c r="CU7" i="10" a="1"/>
  <c r="CU7" i="10" s="1"/>
  <c r="CU6" i="10" s="1"/>
  <c r="CV3" i="10"/>
  <c r="CU90" i="10"/>
  <c r="CU84" i="10"/>
  <c r="CU86" i="10" s="1"/>
  <c r="CU89" i="10"/>
  <c r="CU78" i="10" a="1"/>
  <c r="CU78" i="10" s="1"/>
  <c r="CU77" i="10" a="1"/>
  <c r="CU77" i="10" s="1"/>
  <c r="CU76" i="10" a="1"/>
  <c r="CU76" i="10" s="1"/>
  <c r="CU75" i="10" a="1"/>
  <c r="CU75" i="10" s="1"/>
  <c r="CU70" i="10"/>
  <c r="CU39" i="10"/>
  <c r="CU47" i="10" s="1"/>
  <c r="CW114" i="10" l="1"/>
  <c r="CW115" i="10" s="1"/>
  <c r="CW116" i="10"/>
  <c r="CT72" i="10"/>
  <c r="CW50" i="10"/>
  <c r="CW45" i="10"/>
  <c r="CS131" i="10"/>
  <c r="CU48" i="10"/>
  <c r="CU52" i="10" s="1"/>
  <c r="CU71" i="10" s="1"/>
  <c r="CW122" i="10"/>
  <c r="CW128" i="10"/>
  <c r="CW108" i="10"/>
  <c r="CW56" i="10"/>
  <c r="CW124" i="10"/>
  <c r="CW10" i="10"/>
  <c r="CW11" i="10"/>
  <c r="CW69" i="10"/>
  <c r="CW57" i="10"/>
  <c r="CW59" i="10"/>
  <c r="CW61" i="10"/>
  <c r="CW63" i="10"/>
  <c r="CW64" i="10"/>
  <c r="CW65" i="10"/>
  <c r="CW66" i="10"/>
  <c r="CW67" i="10"/>
  <c r="CW68" i="10"/>
  <c r="CW43" i="10"/>
  <c r="CW60" i="10"/>
  <c r="CW58" i="10"/>
  <c r="CW62" i="10"/>
  <c r="CT99" i="10"/>
  <c r="CV95" i="10"/>
  <c r="CV39" i="10"/>
  <c r="CV47" i="10" s="1"/>
  <c r="CV70" i="10"/>
  <c r="CW37" i="10"/>
  <c r="CW35" i="10"/>
  <c r="CW33" i="10"/>
  <c r="CW31" i="10"/>
  <c r="CW29" i="10"/>
  <c r="CW27" i="10"/>
  <c r="CW25" i="10"/>
  <c r="CW23" i="10"/>
  <c r="CW21" i="10"/>
  <c r="CW19" i="10"/>
  <c r="CW17" i="10"/>
  <c r="CW15" i="10"/>
  <c r="CW13" i="10"/>
  <c r="CW4" i="10"/>
  <c r="CW38" i="10"/>
  <c r="CW36" i="10"/>
  <c r="CW32" i="10"/>
  <c r="CW30" i="10"/>
  <c r="CW22" i="10"/>
  <c r="CW18" i="10"/>
  <c r="CW130" i="10"/>
  <c r="CU159" i="14" s="1"/>
  <c r="CW49" i="10"/>
  <c r="CW34" i="10"/>
  <c r="CW28" i="10"/>
  <c r="CW26" i="10"/>
  <c r="CW24" i="10"/>
  <c r="CW20" i="10"/>
  <c r="CW16" i="10"/>
  <c r="CW14" i="10"/>
  <c r="CW12" i="10"/>
  <c r="CX5" i="10"/>
  <c r="CU91" i="10"/>
  <c r="CV7" i="10" a="1"/>
  <c r="CV7" i="10" s="1"/>
  <c r="CV6" i="10" s="1"/>
  <c r="CW3" i="10"/>
  <c r="CV84" i="10"/>
  <c r="CV86" i="10" s="1"/>
  <c r="CV89" i="10"/>
  <c r="CV90" i="10"/>
  <c r="CV77" i="10" a="1"/>
  <c r="CV77" i="10" s="1"/>
  <c r="CV75" i="10" a="1"/>
  <c r="CV75" i="10" s="1"/>
  <c r="CV76" i="10" a="1"/>
  <c r="CV76" i="10" s="1"/>
  <c r="CV78" i="10" a="1"/>
  <c r="CV78" i="10" s="1"/>
  <c r="CS156" i="14"/>
  <c r="CS160" i="14" s="1"/>
  <c r="CT74" i="10"/>
  <c r="CT123" i="10" s="1"/>
  <c r="CU96" i="10"/>
  <c r="CX114" i="10" l="1"/>
  <c r="CX115" i="10" s="1"/>
  <c r="CX116" i="10"/>
  <c r="CU72" i="10"/>
  <c r="CX50" i="10"/>
  <c r="CX45" i="10"/>
  <c r="CX108" i="10"/>
  <c r="CX56" i="10"/>
  <c r="CX122" i="10"/>
  <c r="CX128" i="10"/>
  <c r="CX124" i="10"/>
  <c r="CX57" i="10"/>
  <c r="CX58" i="10"/>
  <c r="CX59" i="10"/>
  <c r="CX60" i="10"/>
  <c r="CX61" i="10"/>
  <c r="CX62" i="10"/>
  <c r="CX63" i="10"/>
  <c r="CX43" i="10"/>
  <c r="CX11" i="10"/>
  <c r="CX10" i="10"/>
  <c r="CX66" i="10"/>
  <c r="CX68" i="10"/>
  <c r="CX69" i="10"/>
  <c r="CX65" i="10"/>
  <c r="CX67" i="10"/>
  <c r="CX64" i="10"/>
  <c r="CV48" i="10"/>
  <c r="CV52" i="10" s="1"/>
  <c r="CV72" i="10" s="1"/>
  <c r="CW95" i="10"/>
  <c r="CV96" i="10"/>
  <c r="CT131" i="10"/>
  <c r="CX130" i="10"/>
  <c r="CV159" i="14" s="1"/>
  <c r="CU156" i="14" s="1"/>
  <c r="CU160" i="14" s="1"/>
  <c r="CX21" i="10"/>
  <c r="CX49" i="10"/>
  <c r="CX38" i="10"/>
  <c r="CX36" i="10"/>
  <c r="CX34" i="10"/>
  <c r="CX32" i="10"/>
  <c r="CX30" i="10"/>
  <c r="CX28" i="10"/>
  <c r="CX26" i="10"/>
  <c r="CX24" i="10"/>
  <c r="CX22" i="10"/>
  <c r="CX20" i="10"/>
  <c r="CX18" i="10"/>
  <c r="CX16" i="10"/>
  <c r="CX14" i="10"/>
  <c r="CX12" i="10"/>
  <c r="CY5" i="10"/>
  <c r="CX27" i="10"/>
  <c r="CX25" i="10"/>
  <c r="CX37" i="10"/>
  <c r="CX35" i="10"/>
  <c r="CX33" i="10"/>
  <c r="CX31" i="10"/>
  <c r="CX29" i="10"/>
  <c r="CX23" i="10"/>
  <c r="CX19" i="10"/>
  <c r="CX17" i="10"/>
  <c r="CX15" i="10"/>
  <c r="CX13" i="10"/>
  <c r="CX4" i="10"/>
  <c r="CW70" i="10"/>
  <c r="CU99" i="10"/>
  <c r="CU74" i="10"/>
  <c r="CU123" i="10" s="1"/>
  <c r="CW7" i="10" a="1"/>
  <c r="CW7" i="10" s="1"/>
  <c r="CW6" i="10" s="1"/>
  <c r="CX3" i="10"/>
  <c r="CW84" i="10"/>
  <c r="CW86" i="10" s="1"/>
  <c r="CW89" i="10"/>
  <c r="CW90" i="10"/>
  <c r="CW76" i="10" a="1"/>
  <c r="CW76" i="10" s="1"/>
  <c r="CW78" i="10" a="1"/>
  <c r="CW78" i="10" s="1"/>
  <c r="CW75" i="10" a="1"/>
  <c r="CW75" i="10" s="1"/>
  <c r="CW77" i="10" a="1"/>
  <c r="CW77" i="10" s="1"/>
  <c r="CV91" i="10"/>
  <c r="CT156" i="14"/>
  <c r="CT160" i="14" s="1"/>
  <c r="CW39" i="10"/>
  <c r="CW47" i="10" s="1"/>
  <c r="CY114" i="10" l="1"/>
  <c r="CY115" i="10" s="1"/>
  <c r="CY116" i="10"/>
  <c r="CY50" i="10"/>
  <c r="CY45" i="10"/>
  <c r="CW96" i="10"/>
  <c r="CV74" i="10"/>
  <c r="CV123" i="10" s="1"/>
  <c r="CV71" i="10"/>
  <c r="CW48" i="10"/>
  <c r="CW52" i="10" s="1"/>
  <c r="CW71" i="10" s="1"/>
  <c r="CY108" i="10"/>
  <c r="CY124" i="10"/>
  <c r="CY56" i="10"/>
  <c r="CY128" i="10"/>
  <c r="CY57" i="10"/>
  <c r="CY58" i="10"/>
  <c r="CY59" i="10"/>
  <c r="CY60" i="10"/>
  <c r="CY61" i="10"/>
  <c r="CY62" i="10"/>
  <c r="CY63" i="10"/>
  <c r="CY122" i="10"/>
  <c r="CY43" i="10"/>
  <c r="CY64" i="10"/>
  <c r="CY66" i="10"/>
  <c r="CY68" i="10"/>
  <c r="CY69" i="10"/>
  <c r="CY10" i="10"/>
  <c r="CY11" i="10"/>
  <c r="CY65" i="10"/>
  <c r="CY67" i="10"/>
  <c r="CV99" i="10"/>
  <c r="CX95" i="10"/>
  <c r="CX39" i="10"/>
  <c r="CX47" i="10" s="1"/>
  <c r="CU131" i="10"/>
  <c r="CX7" i="10" a="1"/>
  <c r="CX7" i="10" s="1"/>
  <c r="CX6" i="10" s="1"/>
  <c r="CY3" i="10"/>
  <c r="CX84" i="10"/>
  <c r="CX86" i="10" s="1"/>
  <c r="CX90" i="10"/>
  <c r="CX89" i="10"/>
  <c r="CX77" i="10" a="1"/>
  <c r="CX77" i="10" s="1"/>
  <c r="CX78" i="10" a="1"/>
  <c r="CX78" i="10" s="1"/>
  <c r="CX75" i="10" a="1"/>
  <c r="CX75" i="10" s="1"/>
  <c r="CX76" i="10" a="1"/>
  <c r="CX76" i="10" s="1"/>
  <c r="CY49" i="10"/>
  <c r="CY38" i="10"/>
  <c r="CY36" i="10"/>
  <c r="CY34" i="10"/>
  <c r="CY32" i="10"/>
  <c r="CY30" i="10"/>
  <c r="CY28" i="10"/>
  <c r="CY26" i="10"/>
  <c r="CY24" i="10"/>
  <c r="CY22" i="10"/>
  <c r="CY20" i="10"/>
  <c r="CY18" i="10"/>
  <c r="CY16" i="10"/>
  <c r="CY14" i="10"/>
  <c r="CY12" i="10"/>
  <c r="CY4" i="10"/>
  <c r="CZ5" i="10"/>
  <c r="CY35" i="10"/>
  <c r="CY31" i="10"/>
  <c r="CY29" i="10"/>
  <c r="CY21" i="10"/>
  <c r="CY19" i="10"/>
  <c r="CY13" i="10"/>
  <c r="CY130" i="10"/>
  <c r="CW159" i="14" s="1"/>
  <c r="CV156" i="14" s="1"/>
  <c r="CV160" i="14" s="1"/>
  <c r="CY37" i="10"/>
  <c r="CY33" i="10"/>
  <c r="CY27" i="10"/>
  <c r="CY25" i="10"/>
  <c r="CY23" i="10"/>
  <c r="CY17" i="10"/>
  <c r="CY15" i="10"/>
  <c r="CW91" i="10"/>
  <c r="CX70" i="10"/>
  <c r="CZ114" i="10" l="1"/>
  <c r="CZ115" i="10" s="1"/>
  <c r="CZ116" i="10"/>
  <c r="CW72" i="10"/>
  <c r="CZ50" i="10"/>
  <c r="CZ45" i="10"/>
  <c r="CW99" i="10"/>
  <c r="CV131" i="10"/>
  <c r="CX48" i="10"/>
  <c r="CX52" i="10" s="1"/>
  <c r="CX71" i="10" s="1"/>
  <c r="CZ124" i="10"/>
  <c r="CZ122" i="10"/>
  <c r="CZ56" i="10"/>
  <c r="CZ58" i="10"/>
  <c r="CZ60" i="10"/>
  <c r="CZ62" i="10"/>
  <c r="CZ64" i="10"/>
  <c r="CZ65" i="10"/>
  <c r="CZ66" i="10"/>
  <c r="CZ67" i="10"/>
  <c r="CZ68" i="10"/>
  <c r="CZ69" i="10"/>
  <c r="CZ57" i="10"/>
  <c r="CZ59" i="10"/>
  <c r="CZ61" i="10"/>
  <c r="CZ63" i="10"/>
  <c r="CZ108" i="10"/>
  <c r="CZ128" i="10"/>
  <c r="CZ10" i="10"/>
  <c r="CZ43" i="10"/>
  <c r="CZ11" i="10"/>
  <c r="CY95" i="10"/>
  <c r="CX96" i="10"/>
  <c r="CX91" i="10"/>
  <c r="CY39" i="10"/>
  <c r="CY47" i="10" s="1"/>
  <c r="CW74" i="10"/>
  <c r="CW123" i="10" s="1"/>
  <c r="CZ130" i="10"/>
  <c r="CX159" i="14" s="1"/>
  <c r="CW156" i="14" s="1"/>
  <c r="CW160" i="14" s="1"/>
  <c r="DA5" i="10"/>
  <c r="CZ36" i="10"/>
  <c r="CZ28" i="10"/>
  <c r="CZ18" i="10"/>
  <c r="CZ37" i="10"/>
  <c r="CZ35" i="10"/>
  <c r="CZ33" i="10"/>
  <c r="CZ31" i="10"/>
  <c r="CZ29" i="10"/>
  <c r="CZ27" i="10"/>
  <c r="CZ25" i="10"/>
  <c r="CZ23" i="10"/>
  <c r="CZ21" i="10"/>
  <c r="CZ19" i="10"/>
  <c r="CZ17" i="10"/>
  <c r="CZ15" i="10"/>
  <c r="CZ13" i="10"/>
  <c r="CZ4" i="10"/>
  <c r="CZ49" i="10"/>
  <c r="CZ38" i="10"/>
  <c r="CZ34" i="10"/>
  <c r="CZ26" i="10"/>
  <c r="CZ16" i="10"/>
  <c r="CZ32" i="10"/>
  <c r="CZ30" i="10"/>
  <c r="CZ24" i="10"/>
  <c r="CZ22" i="10"/>
  <c r="CZ20" i="10"/>
  <c r="CZ14" i="10"/>
  <c r="CZ12" i="10"/>
  <c r="CY70" i="10"/>
  <c r="CY7" i="10" a="1"/>
  <c r="CY7" i="10" s="1"/>
  <c r="CY6" i="10" s="1"/>
  <c r="CZ3" i="10"/>
  <c r="CY84" i="10"/>
  <c r="CY86" i="10" s="1"/>
  <c r="CY90" i="10"/>
  <c r="CY89" i="10"/>
  <c r="CY75" i="10" a="1"/>
  <c r="CY75" i="10" s="1"/>
  <c r="CY77" i="10" a="1"/>
  <c r="CY77" i="10" s="1"/>
  <c r="CY78" i="10" a="1"/>
  <c r="CY78" i="10" s="1"/>
  <c r="CY76" i="10" a="1"/>
  <c r="CY76" i="10" s="1"/>
  <c r="P108" i="11" l="1"/>
  <c r="DA114" i="10"/>
  <c r="DA115" i="10" s="1"/>
  <c r="DA116" i="10"/>
  <c r="CX72" i="10"/>
  <c r="DA50" i="10"/>
  <c r="DA45" i="10"/>
  <c r="CY48" i="10"/>
  <c r="CY52" i="10" s="1"/>
  <c r="CY71" i="10" s="1"/>
  <c r="DA108" i="10"/>
  <c r="DA122" i="10"/>
  <c r="DA128" i="10"/>
  <c r="DA124" i="10"/>
  <c r="DA10" i="10"/>
  <c r="DA11" i="10"/>
  <c r="DA56" i="10"/>
  <c r="DA58" i="10"/>
  <c r="DA60" i="10"/>
  <c r="DA62" i="10"/>
  <c r="DA64" i="10"/>
  <c r="DA65" i="10"/>
  <c r="DA66" i="10"/>
  <c r="DA67" i="10"/>
  <c r="DA68" i="10"/>
  <c r="DA69" i="10"/>
  <c r="DA63" i="10"/>
  <c r="DA59" i="10"/>
  <c r="DA61" i="10"/>
  <c r="DA57" i="10"/>
  <c r="DA43" i="10"/>
  <c r="CZ95" i="10"/>
  <c r="CX99" i="10"/>
  <c r="CZ70" i="10"/>
  <c r="CY91" i="10"/>
  <c r="CW131" i="10"/>
  <c r="CX74" i="10"/>
  <c r="CX123" i="10" s="1"/>
  <c r="DA37" i="10"/>
  <c r="DA35" i="10"/>
  <c r="DA33" i="10"/>
  <c r="DA31" i="10"/>
  <c r="DA29" i="10"/>
  <c r="DA27" i="10"/>
  <c r="DA25" i="10"/>
  <c r="DA23" i="10"/>
  <c r="DA21" i="10"/>
  <c r="DA19" i="10"/>
  <c r="DA17" i="10"/>
  <c r="DA15" i="10"/>
  <c r="DA13" i="10"/>
  <c r="DA4" i="10"/>
  <c r="DA130" i="10"/>
  <c r="CY159" i="14" s="1"/>
  <c r="CX156" i="14" s="1"/>
  <c r="CX160" i="14" s="1"/>
  <c r="DA49" i="10"/>
  <c r="DA36" i="10"/>
  <c r="DA30" i="10"/>
  <c r="DA24" i="10"/>
  <c r="DA22" i="10"/>
  <c r="DA20" i="10"/>
  <c r="DA16" i="10"/>
  <c r="DA12" i="10"/>
  <c r="DA38" i="10"/>
  <c r="DA34" i="10"/>
  <c r="DA32" i="10"/>
  <c r="DA28" i="10"/>
  <c r="DA26" i="10"/>
  <c r="DA18" i="10"/>
  <c r="DA14" i="10"/>
  <c r="DB5" i="10"/>
  <c r="CY96" i="10"/>
  <c r="CZ7" i="10" a="1"/>
  <c r="CZ7" i="10" s="1"/>
  <c r="DA3" i="10"/>
  <c r="CZ89" i="10"/>
  <c r="CZ84" i="10"/>
  <c r="CZ86" i="10" s="1"/>
  <c r="CZ90" i="10"/>
  <c r="CZ76" i="10" a="1"/>
  <c r="CZ76" i="10" s="1"/>
  <c r="CZ77" i="10" a="1"/>
  <c r="CZ77" i="10" s="1"/>
  <c r="CZ78" i="10" a="1"/>
  <c r="CZ78" i="10" s="1"/>
  <c r="CZ75" i="10" a="1"/>
  <c r="CZ75" i="10" s="1"/>
  <c r="CZ39" i="10"/>
  <c r="CZ47" i="10" s="1"/>
  <c r="CZ6" i="10" l="1"/>
  <c r="P7" i="11"/>
  <c r="P6" i="11" s="1"/>
  <c r="DB114" i="10"/>
  <c r="DB115" i="10" s="1"/>
  <c r="DB116" i="10"/>
  <c r="CY72" i="10"/>
  <c r="DB50" i="10"/>
  <c r="DB45" i="10"/>
  <c r="DB108" i="10"/>
  <c r="DB122" i="10"/>
  <c r="DB128" i="10"/>
  <c r="DB56" i="10"/>
  <c r="DB57" i="10"/>
  <c r="DB58" i="10"/>
  <c r="DB59" i="10"/>
  <c r="DB60" i="10"/>
  <c r="DB61" i="10"/>
  <c r="DB62" i="10"/>
  <c r="DB63" i="10"/>
  <c r="DB43" i="10"/>
  <c r="DB10" i="10"/>
  <c r="DB124" i="10"/>
  <c r="DB11" i="10"/>
  <c r="DB64" i="10"/>
  <c r="DB66" i="10"/>
  <c r="DB68" i="10"/>
  <c r="DB69" i="10"/>
  <c r="DB65" i="10"/>
  <c r="DB67" i="10"/>
  <c r="CZ48" i="10"/>
  <c r="CZ52" i="10" s="1"/>
  <c r="CZ72" i="10" s="1"/>
  <c r="DA95" i="10"/>
  <c r="CY99" i="10"/>
  <c r="CZ91" i="10"/>
  <c r="DA70" i="10"/>
  <c r="CZ96" i="10"/>
  <c r="DA7" i="10" a="1"/>
  <c r="DA7" i="10" s="1"/>
  <c r="DA6" i="10" s="1"/>
  <c r="DB3" i="10"/>
  <c r="DA84" i="10"/>
  <c r="DA86" i="10" s="1"/>
  <c r="DA89" i="10"/>
  <c r="DA90" i="10"/>
  <c r="DA76" i="10" a="1"/>
  <c r="DA76" i="10" s="1"/>
  <c r="DA78" i="10" a="1"/>
  <c r="DA78" i="10" s="1"/>
  <c r="DA75" i="10" a="1"/>
  <c r="DA75" i="10" s="1"/>
  <c r="DA77" i="10" a="1"/>
  <c r="DA77" i="10" s="1"/>
  <c r="DB130" i="10"/>
  <c r="CZ159" i="14" s="1"/>
  <c r="CY156" i="14" s="1"/>
  <c r="CY160" i="14" s="1"/>
  <c r="DC5" i="10"/>
  <c r="DB37" i="10"/>
  <c r="DB35" i="10"/>
  <c r="DB33" i="10"/>
  <c r="DB31" i="10"/>
  <c r="DB19" i="10"/>
  <c r="DB49" i="10"/>
  <c r="DB38" i="10"/>
  <c r="DB36" i="10"/>
  <c r="DB34" i="10"/>
  <c r="DB32" i="10"/>
  <c r="DB30" i="10"/>
  <c r="DB28" i="10"/>
  <c r="DB26" i="10"/>
  <c r="DB24" i="10"/>
  <c r="DB22" i="10"/>
  <c r="DB20" i="10"/>
  <c r="DB18" i="10"/>
  <c r="DB16" i="10"/>
  <c r="DB14" i="10"/>
  <c r="DB12" i="10"/>
  <c r="DB29" i="10"/>
  <c r="DB23" i="10"/>
  <c r="DB17" i="10"/>
  <c r="DB15" i="10"/>
  <c r="DB27" i="10"/>
  <c r="DB25" i="10"/>
  <c r="DB21" i="10"/>
  <c r="DB13" i="10"/>
  <c r="DB4" i="10"/>
  <c r="CY74" i="10"/>
  <c r="CY123" i="10" s="1"/>
  <c r="DA39" i="10"/>
  <c r="DA47" i="10" s="1"/>
  <c r="CX131" i="10"/>
  <c r="DC114" i="10" l="1"/>
  <c r="DC115" i="10" s="1"/>
  <c r="DC116" i="10"/>
  <c r="DC50" i="10"/>
  <c r="DC45" i="10"/>
  <c r="DA96" i="10"/>
  <c r="CZ74" i="10"/>
  <c r="CZ71" i="10"/>
  <c r="DC108" i="10"/>
  <c r="DC124" i="10"/>
  <c r="DC122" i="10"/>
  <c r="DC56" i="10"/>
  <c r="DC57" i="10"/>
  <c r="DC58" i="10"/>
  <c r="DC59" i="10"/>
  <c r="DC60" i="10"/>
  <c r="DC61" i="10"/>
  <c r="DC62" i="10"/>
  <c r="DC63" i="10"/>
  <c r="DC43" i="10"/>
  <c r="DC128" i="10"/>
  <c r="DC65" i="10"/>
  <c r="DC67" i="10"/>
  <c r="DC11" i="10"/>
  <c r="DC10" i="10"/>
  <c r="DC64" i="10"/>
  <c r="DC66" i="10"/>
  <c r="DC68" i="10"/>
  <c r="DC69" i="10"/>
  <c r="DA48" i="10"/>
  <c r="DA52" i="10" s="1"/>
  <c r="DA72" i="10" s="1"/>
  <c r="DB95" i="10"/>
  <c r="CZ99" i="10"/>
  <c r="DB70" i="10"/>
  <c r="DC130" i="10"/>
  <c r="DA159" i="14" s="1"/>
  <c r="CZ156" i="14" s="1"/>
  <c r="CZ160" i="14" s="1"/>
  <c r="DC49" i="10"/>
  <c r="DC38" i="10"/>
  <c r="DC36" i="10"/>
  <c r="DC34" i="10"/>
  <c r="DC32" i="10"/>
  <c r="DC30" i="10"/>
  <c r="DC28" i="10"/>
  <c r="DC26" i="10"/>
  <c r="DC24" i="10"/>
  <c r="DC22" i="10"/>
  <c r="DC20" i="10"/>
  <c r="DC18" i="10"/>
  <c r="DC16" i="10"/>
  <c r="DC14" i="10"/>
  <c r="DC12" i="10"/>
  <c r="DD5" i="10"/>
  <c r="DC35" i="10"/>
  <c r="DC27" i="10"/>
  <c r="DC25" i="10"/>
  <c r="DC23" i="10"/>
  <c r="DC17" i="10"/>
  <c r="DC15" i="10"/>
  <c r="DC37" i="10"/>
  <c r="DC33" i="10"/>
  <c r="DC31" i="10"/>
  <c r="DC29" i="10"/>
  <c r="DC21" i="10"/>
  <c r="DC19" i="10"/>
  <c r="DC13" i="10"/>
  <c r="DC4" i="10"/>
  <c r="DA91" i="10"/>
  <c r="DC3" i="10"/>
  <c r="DB7" i="10" a="1"/>
  <c r="DB7" i="10" s="1"/>
  <c r="DB6" i="10" s="1"/>
  <c r="DB89" i="10"/>
  <c r="DB84" i="10"/>
  <c r="DB86" i="10" s="1"/>
  <c r="DB90" i="10"/>
  <c r="DB77" i="10" a="1"/>
  <c r="DB77" i="10" s="1"/>
  <c r="DB78" i="10" a="1"/>
  <c r="DB78" i="10" s="1"/>
  <c r="DB76" i="10" a="1"/>
  <c r="DB76" i="10" s="1"/>
  <c r="DB75" i="10" a="1"/>
  <c r="DB75" i="10" s="1"/>
  <c r="CY131" i="10"/>
  <c r="DB39" i="10"/>
  <c r="DB47" i="10" s="1"/>
  <c r="DD114" i="10" l="1"/>
  <c r="DD115" i="10" s="1"/>
  <c r="DD116" i="10"/>
  <c r="DD50" i="10"/>
  <c r="DD45" i="10"/>
  <c r="DA99" i="10"/>
  <c r="DA74" i="10"/>
  <c r="DA71" i="10"/>
  <c r="CZ123" i="10"/>
  <c r="CZ131" i="10"/>
  <c r="DD108" i="10"/>
  <c r="DD124" i="10"/>
  <c r="DD128" i="10"/>
  <c r="DD57" i="10"/>
  <c r="DD59" i="10"/>
  <c r="DD61" i="10"/>
  <c r="DD63" i="10"/>
  <c r="DD64" i="10"/>
  <c r="DD65" i="10"/>
  <c r="DD66" i="10"/>
  <c r="DD67" i="10"/>
  <c r="DD68" i="10"/>
  <c r="DD69" i="10"/>
  <c r="DD56" i="10"/>
  <c r="DD58" i="10"/>
  <c r="DD60" i="10"/>
  <c r="DD62" i="10"/>
  <c r="DD122" i="10"/>
  <c r="DD11" i="10"/>
  <c r="DD10" i="10"/>
  <c r="DD43" i="10"/>
  <c r="DB48" i="10"/>
  <c r="DB52" i="10" s="1"/>
  <c r="DB72" i="10" s="1"/>
  <c r="DB96" i="10"/>
  <c r="DC95" i="10"/>
  <c r="DB91" i="10"/>
  <c r="DC7" i="10" a="1"/>
  <c r="DC7" i="10" s="1"/>
  <c r="DC6" i="10" s="1"/>
  <c r="DD3" i="10"/>
  <c r="DC84" i="10"/>
  <c r="DC86" i="10" s="1"/>
  <c r="DC90" i="10"/>
  <c r="DC89" i="10"/>
  <c r="DC76" i="10" a="1"/>
  <c r="DC76" i="10" s="1"/>
  <c r="DC75" i="10" a="1"/>
  <c r="DC75" i="10" s="1"/>
  <c r="DC78" i="10" a="1"/>
  <c r="DC78" i="10" s="1"/>
  <c r="DC77" i="10" a="1"/>
  <c r="DC77" i="10" s="1"/>
  <c r="DC39" i="10"/>
  <c r="DC47" i="10" s="1"/>
  <c r="DD130" i="10"/>
  <c r="DB159" i="14" s="1"/>
  <c r="DA156" i="14" s="1"/>
  <c r="DA160" i="14" s="1"/>
  <c r="DE5" i="10"/>
  <c r="DD32" i="10"/>
  <c r="DD30" i="10"/>
  <c r="DD26" i="10"/>
  <c r="DD24" i="10"/>
  <c r="DD16" i="10"/>
  <c r="DD37" i="10"/>
  <c r="DD35" i="10"/>
  <c r="DD33" i="10"/>
  <c r="DD31" i="10"/>
  <c r="DD29" i="10"/>
  <c r="DD27" i="10"/>
  <c r="DD25" i="10"/>
  <c r="DD23" i="10"/>
  <c r="DD21" i="10"/>
  <c r="DD19" i="10"/>
  <c r="DD17" i="10"/>
  <c r="DD15" i="10"/>
  <c r="DD13" i="10"/>
  <c r="DD4" i="10"/>
  <c r="DD36" i="10"/>
  <c r="DD34" i="10"/>
  <c r="DD28" i="10"/>
  <c r="DD22" i="10"/>
  <c r="DD20" i="10"/>
  <c r="DD18" i="10"/>
  <c r="DD49" i="10"/>
  <c r="DD38" i="10"/>
  <c r="DD14" i="10"/>
  <c r="DD12" i="10"/>
  <c r="DC70" i="10"/>
  <c r="DE114" i="10" l="1"/>
  <c r="DE115" i="10" s="1"/>
  <c r="DE116" i="10"/>
  <c r="DE50" i="10"/>
  <c r="DE45" i="10"/>
  <c r="DB99" i="10"/>
  <c r="DA123" i="10"/>
  <c r="DA131" i="10"/>
  <c r="DB74" i="10"/>
  <c r="DB71" i="10"/>
  <c r="DC48" i="10"/>
  <c r="DC52" i="10" s="1"/>
  <c r="DC71" i="10" s="1"/>
  <c r="DE122" i="10"/>
  <c r="DE128" i="10"/>
  <c r="DE10" i="10"/>
  <c r="DE11" i="10"/>
  <c r="DE69" i="10"/>
  <c r="DE108" i="10"/>
  <c r="DE124" i="10"/>
  <c r="DE57" i="10"/>
  <c r="DE59" i="10"/>
  <c r="DE61" i="10"/>
  <c r="DE63" i="10"/>
  <c r="DE64" i="10"/>
  <c r="DE65" i="10"/>
  <c r="DE66" i="10"/>
  <c r="DE67" i="10"/>
  <c r="DE68" i="10"/>
  <c r="DE62" i="10"/>
  <c r="DE43" i="10"/>
  <c r="DE58" i="10"/>
  <c r="DE56" i="10"/>
  <c r="DE60" i="10"/>
  <c r="DD95" i="10"/>
  <c r="DD7" i="10" a="1"/>
  <c r="DD7" i="10" s="1"/>
  <c r="DD6" i="10" s="1"/>
  <c r="DE3" i="10"/>
  <c r="DD84" i="10"/>
  <c r="DD86" i="10" s="1"/>
  <c r="DD89" i="10"/>
  <c r="DD90" i="10"/>
  <c r="DD77" i="10" a="1"/>
  <c r="DD77" i="10" s="1"/>
  <c r="DD78" i="10" a="1"/>
  <c r="DD78" i="10" s="1"/>
  <c r="DD76" i="10" a="1"/>
  <c r="DD76" i="10" s="1"/>
  <c r="DD75" i="10" a="1"/>
  <c r="DD75" i="10" s="1"/>
  <c r="DC91" i="10"/>
  <c r="DC96" i="10"/>
  <c r="DD70" i="10"/>
  <c r="DE37" i="10"/>
  <c r="DE35" i="10"/>
  <c r="DE33" i="10"/>
  <c r="DE31" i="10"/>
  <c r="DE29" i="10"/>
  <c r="DE27" i="10"/>
  <c r="DE25" i="10"/>
  <c r="DE23" i="10"/>
  <c r="DE21" i="10"/>
  <c r="DE19" i="10"/>
  <c r="DE17" i="10"/>
  <c r="DE15" i="10"/>
  <c r="DE13" i="10"/>
  <c r="DE4" i="10"/>
  <c r="DE38" i="10"/>
  <c r="DE32" i="10"/>
  <c r="DE28" i="10"/>
  <c r="DE22" i="10"/>
  <c r="DE16" i="10"/>
  <c r="DE49" i="10"/>
  <c r="DE36" i="10"/>
  <c r="DE34" i="10"/>
  <c r="DE30" i="10"/>
  <c r="DE26" i="10"/>
  <c r="DE24" i="10"/>
  <c r="DE20" i="10"/>
  <c r="DE18" i="10"/>
  <c r="DE14" i="10"/>
  <c r="DE12" i="10"/>
  <c r="DE130" i="10"/>
  <c r="DC159" i="14" s="1"/>
  <c r="DF5" i="10"/>
  <c r="DD39" i="10"/>
  <c r="DD47" i="10" s="1"/>
  <c r="DF114" i="10" l="1"/>
  <c r="DF115" i="10" s="1"/>
  <c r="DF116" i="10"/>
  <c r="DC72" i="10"/>
  <c r="DF50" i="10"/>
  <c r="DF45" i="10"/>
  <c r="DB131" i="10"/>
  <c r="DB123" i="10"/>
  <c r="DF108" i="10"/>
  <c r="DF122" i="10"/>
  <c r="DF128" i="10"/>
  <c r="DF124" i="10"/>
  <c r="DF56" i="10"/>
  <c r="DF57" i="10"/>
  <c r="DF58" i="10"/>
  <c r="DF59" i="10"/>
  <c r="DF60" i="10"/>
  <c r="DF61" i="10"/>
  <c r="DF62" i="10"/>
  <c r="DF63" i="10"/>
  <c r="DF43" i="10"/>
  <c r="DF11" i="10"/>
  <c r="DF10" i="10"/>
  <c r="DF64" i="10"/>
  <c r="DF66" i="10"/>
  <c r="DF65" i="10"/>
  <c r="DF67" i="10"/>
  <c r="DF68" i="10"/>
  <c r="DF69" i="10"/>
  <c r="DD48" i="10"/>
  <c r="DD52" i="10" s="1"/>
  <c r="DD72" i="10" s="1"/>
  <c r="DE95" i="10"/>
  <c r="DC99" i="10"/>
  <c r="DB156" i="14"/>
  <c r="DB160" i="14" s="1"/>
  <c r="DD91" i="10"/>
  <c r="DF130" i="10"/>
  <c r="DD159" i="14" s="1"/>
  <c r="DC156" i="14" s="1"/>
  <c r="DC160" i="14" s="1"/>
  <c r="DF27" i="10"/>
  <c r="DF23" i="10"/>
  <c r="DF17" i="10"/>
  <c r="DF15" i="10"/>
  <c r="DF49" i="10"/>
  <c r="DF38" i="10"/>
  <c r="DF36" i="10"/>
  <c r="DF34" i="10"/>
  <c r="DF32" i="10"/>
  <c r="DF30" i="10"/>
  <c r="DF28" i="10"/>
  <c r="DF26" i="10"/>
  <c r="DF24" i="10"/>
  <c r="DF22" i="10"/>
  <c r="DF20" i="10"/>
  <c r="DF18" i="10"/>
  <c r="DF16" i="10"/>
  <c r="DF14" i="10"/>
  <c r="DF12" i="10"/>
  <c r="DF37" i="10"/>
  <c r="DF35" i="10"/>
  <c r="DF33" i="10"/>
  <c r="DF31" i="10"/>
  <c r="DF25" i="10"/>
  <c r="DF21" i="10"/>
  <c r="DG5" i="10"/>
  <c r="DF29" i="10"/>
  <c r="DF19" i="10"/>
  <c r="DF13" i="10"/>
  <c r="DF4" i="10"/>
  <c r="DC74" i="10"/>
  <c r="DC123" i="10" s="1"/>
  <c r="DD96" i="10"/>
  <c r="DE70" i="10"/>
  <c r="DE39" i="10"/>
  <c r="DE47" i="10" s="1"/>
  <c r="DE7" i="10" a="1"/>
  <c r="DE7" i="10" s="1"/>
  <c r="DE6" i="10" s="1"/>
  <c r="DF3" i="10"/>
  <c r="DE84" i="10"/>
  <c r="DE86" i="10" s="1"/>
  <c r="DE90" i="10"/>
  <c r="DE89" i="10"/>
  <c r="DE78" i="10" a="1"/>
  <c r="DE78" i="10" s="1"/>
  <c r="DE77" i="10" a="1"/>
  <c r="DE77" i="10" s="1"/>
  <c r="DE76" i="10" a="1"/>
  <c r="DE76" i="10" s="1"/>
  <c r="DE75" i="10" a="1"/>
  <c r="DE75" i="10" s="1"/>
  <c r="DG114" i="10" l="1"/>
  <c r="DG115" i="10" s="1"/>
  <c r="DG116" i="10"/>
  <c r="DG50" i="10"/>
  <c r="DG45" i="10"/>
  <c r="DD74" i="10"/>
  <c r="DD131" i="10" s="1"/>
  <c r="DD71" i="10"/>
  <c r="DE48" i="10"/>
  <c r="DE52" i="10" s="1"/>
  <c r="DE71" i="10" s="1"/>
  <c r="DG108" i="10"/>
  <c r="DG124" i="10"/>
  <c r="DG128" i="10"/>
  <c r="DG56" i="10"/>
  <c r="DG57" i="10"/>
  <c r="DG58" i="10"/>
  <c r="DG59" i="10"/>
  <c r="DG60" i="10"/>
  <c r="DG61" i="10"/>
  <c r="DG62" i="10"/>
  <c r="DG63" i="10"/>
  <c r="DG122" i="10"/>
  <c r="DG43" i="10"/>
  <c r="DG64" i="10"/>
  <c r="DG66" i="10"/>
  <c r="DG68" i="10"/>
  <c r="DG69" i="10"/>
  <c r="DG65" i="10"/>
  <c r="DG11" i="10"/>
  <c r="DG67" i="10"/>
  <c r="DG10" i="10"/>
  <c r="DF95" i="10"/>
  <c r="DF39" i="10"/>
  <c r="DF47" i="10" s="1"/>
  <c r="DD99" i="10"/>
  <c r="DE96" i="10"/>
  <c r="DG49" i="10"/>
  <c r="DG38" i="10"/>
  <c r="DG36" i="10"/>
  <c r="DG34" i="10"/>
  <c r="DG32" i="10"/>
  <c r="DG30" i="10"/>
  <c r="DG28" i="10"/>
  <c r="DG26" i="10"/>
  <c r="DG24" i="10"/>
  <c r="DG22" i="10"/>
  <c r="DG20" i="10"/>
  <c r="DG18" i="10"/>
  <c r="DG16" i="10"/>
  <c r="DG14" i="10"/>
  <c r="DG12" i="10"/>
  <c r="DH5" i="10"/>
  <c r="DG35" i="10"/>
  <c r="DG33" i="10"/>
  <c r="DG23" i="10"/>
  <c r="DG19" i="10"/>
  <c r="DG15" i="10"/>
  <c r="DG4" i="10"/>
  <c r="DG130" i="10"/>
  <c r="DE159" i="14" s="1"/>
  <c r="DD156" i="14" s="1"/>
  <c r="DD160" i="14" s="1"/>
  <c r="DG37" i="10"/>
  <c r="DG31" i="10"/>
  <c r="DG29" i="10"/>
  <c r="DG27" i="10"/>
  <c r="DG25" i="10"/>
  <c r="DG21" i="10"/>
  <c r="DG17" i="10"/>
  <c r="DG13" i="10"/>
  <c r="DF70" i="10"/>
  <c r="DE91" i="10"/>
  <c r="DG3" i="10"/>
  <c r="DF7" i="10" a="1"/>
  <c r="DF7" i="10" s="1"/>
  <c r="DF6" i="10" s="1"/>
  <c r="DF84" i="10"/>
  <c r="DF86" i="10" s="1"/>
  <c r="DF90" i="10"/>
  <c r="DF89" i="10"/>
  <c r="DF78" i="10" a="1"/>
  <c r="DF78" i="10" s="1"/>
  <c r="DF77" i="10" a="1"/>
  <c r="DF77" i="10" s="1"/>
  <c r="DF76" i="10" a="1"/>
  <c r="DF76" i="10" s="1"/>
  <c r="DF75" i="10" a="1"/>
  <c r="DF75" i="10" s="1"/>
  <c r="DC131" i="10"/>
  <c r="DH114" i="10" l="1"/>
  <c r="DH115" i="10" s="1"/>
  <c r="DH116" i="10"/>
  <c r="DE72" i="10"/>
  <c r="DH50" i="10"/>
  <c r="DH45" i="10"/>
  <c r="DD123" i="10"/>
  <c r="DF48" i="10"/>
  <c r="DF52" i="10" s="1"/>
  <c r="DF71" i="10" s="1"/>
  <c r="DH124" i="10"/>
  <c r="DH108" i="10"/>
  <c r="DH122" i="10"/>
  <c r="DH56" i="10"/>
  <c r="DH58" i="10"/>
  <c r="DH60" i="10"/>
  <c r="DH62" i="10"/>
  <c r="DH64" i="10"/>
  <c r="DH65" i="10"/>
  <c r="DH66" i="10"/>
  <c r="DH67" i="10"/>
  <c r="DH68" i="10"/>
  <c r="DH69" i="10"/>
  <c r="DH57" i="10"/>
  <c r="DH59" i="10"/>
  <c r="DH61" i="10"/>
  <c r="DH63" i="10"/>
  <c r="DH10" i="10"/>
  <c r="DH43" i="10"/>
  <c r="DH11" i="10"/>
  <c r="DH128" i="10"/>
  <c r="DG95" i="10"/>
  <c r="DG70" i="10"/>
  <c r="DF96" i="10"/>
  <c r="DH130" i="10"/>
  <c r="DF159" i="14" s="1"/>
  <c r="DE156" i="14" s="1"/>
  <c r="DE160" i="14" s="1"/>
  <c r="DI5" i="10"/>
  <c r="DH49" i="10"/>
  <c r="DH38" i="10"/>
  <c r="DH36" i="10"/>
  <c r="DH28" i="10"/>
  <c r="DH37" i="10"/>
  <c r="DH35" i="10"/>
  <c r="DH33" i="10"/>
  <c r="DH31" i="10"/>
  <c r="DH29" i="10"/>
  <c r="DH27" i="10"/>
  <c r="DH25" i="10"/>
  <c r="DH23" i="10"/>
  <c r="DH21" i="10"/>
  <c r="DH19" i="10"/>
  <c r="DH17" i="10"/>
  <c r="DH15" i="10"/>
  <c r="DH13" i="10"/>
  <c r="DH4" i="10"/>
  <c r="DH32" i="10"/>
  <c r="DH26" i="10"/>
  <c r="DH18" i="10"/>
  <c r="DH16" i="10"/>
  <c r="DH14" i="10"/>
  <c r="DH34" i="10"/>
  <c r="DH30" i="10"/>
  <c r="DH24" i="10"/>
  <c r="DH22" i="10"/>
  <c r="DH20" i="10"/>
  <c r="DH12" i="10"/>
  <c r="DG7" i="10" a="1"/>
  <c r="DG7" i="10" s="1"/>
  <c r="DG6" i="10" s="1"/>
  <c r="DH3" i="10"/>
  <c r="DG84" i="10"/>
  <c r="DG86" i="10" s="1"/>
  <c r="DG89" i="10"/>
  <c r="DG90" i="10"/>
  <c r="DG76" i="10" a="1"/>
  <c r="DG76" i="10" s="1"/>
  <c r="DG78" i="10" a="1"/>
  <c r="DG78" i="10" s="1"/>
  <c r="DG75" i="10" a="1"/>
  <c r="DG75" i="10" s="1"/>
  <c r="DG77" i="10" a="1"/>
  <c r="DG77" i="10" s="1"/>
  <c r="DE74" i="10"/>
  <c r="DE123" i="10" s="1"/>
  <c r="DF91" i="10"/>
  <c r="DG39" i="10"/>
  <c r="DG47" i="10" s="1"/>
  <c r="DE99" i="10"/>
  <c r="DI114" i="10" l="1"/>
  <c r="DI115" i="10" s="1"/>
  <c r="DI116" i="10"/>
  <c r="DF72" i="10"/>
  <c r="DI50" i="10"/>
  <c r="DI45" i="10"/>
  <c r="DF74" i="10"/>
  <c r="DF123" i="10" s="1"/>
  <c r="DI108" i="10"/>
  <c r="DI122" i="10"/>
  <c r="DI128" i="10"/>
  <c r="DI124" i="10"/>
  <c r="DI10" i="10"/>
  <c r="DI11" i="10"/>
  <c r="DI56" i="10"/>
  <c r="DI58" i="10"/>
  <c r="DI60" i="10"/>
  <c r="DI62" i="10"/>
  <c r="DI64" i="10"/>
  <c r="DI65" i="10"/>
  <c r="DI66" i="10"/>
  <c r="DI67" i="10"/>
  <c r="DI68" i="10"/>
  <c r="DI69" i="10"/>
  <c r="DI61" i="10"/>
  <c r="DI59" i="10"/>
  <c r="DI63" i="10"/>
  <c r="DI57" i="10"/>
  <c r="DI43" i="10"/>
  <c r="DG48" i="10"/>
  <c r="DG52" i="10" s="1"/>
  <c r="DG72" i="10" s="1"/>
  <c r="DH95" i="10"/>
  <c r="DF99" i="10"/>
  <c r="DI37" i="10"/>
  <c r="DI35" i="10"/>
  <c r="DI33" i="10"/>
  <c r="DI31" i="10"/>
  <c r="DI29" i="10"/>
  <c r="DI27" i="10"/>
  <c r="DI25" i="10"/>
  <c r="DI23" i="10"/>
  <c r="DI21" i="10"/>
  <c r="DI19" i="10"/>
  <c r="DI17" i="10"/>
  <c r="DI15" i="10"/>
  <c r="DI13" i="10"/>
  <c r="DI4" i="10"/>
  <c r="DI130" i="10"/>
  <c r="DG159" i="14" s="1"/>
  <c r="DF156" i="14" s="1"/>
  <c r="DF160" i="14" s="1"/>
  <c r="DI49" i="10"/>
  <c r="DI36" i="10"/>
  <c r="DI30" i="10"/>
  <c r="DI26" i="10"/>
  <c r="DI24" i="10"/>
  <c r="DI16" i="10"/>
  <c r="DI14" i="10"/>
  <c r="DI38" i="10"/>
  <c r="DI34" i="10"/>
  <c r="DI32" i="10"/>
  <c r="DI28" i="10"/>
  <c r="DI22" i="10"/>
  <c r="DI20" i="10"/>
  <c r="DI18" i="10"/>
  <c r="DI12" i="10"/>
  <c r="DJ5" i="10"/>
  <c r="DH39" i="10"/>
  <c r="DH47" i="10" s="1"/>
  <c r="DE131" i="10"/>
  <c r="DG96" i="10"/>
  <c r="DG91" i="10"/>
  <c r="DH7" i="10" a="1"/>
  <c r="DH7" i="10" s="1"/>
  <c r="DH6" i="10" s="1"/>
  <c r="DI3" i="10"/>
  <c r="DH84" i="10"/>
  <c r="DH86" i="10" s="1"/>
  <c r="DH89" i="10"/>
  <c r="DH90" i="10"/>
  <c r="DH78" i="10" a="1"/>
  <c r="DH78" i="10" s="1"/>
  <c r="DH76" i="10" a="1"/>
  <c r="DH76" i="10" s="1"/>
  <c r="DH75" i="10" a="1"/>
  <c r="DH75" i="10" s="1"/>
  <c r="DH77" i="10" a="1"/>
  <c r="DH77" i="10" s="1"/>
  <c r="DH70" i="10"/>
  <c r="DJ114" i="10" l="1"/>
  <c r="DJ115" i="10" s="1"/>
  <c r="DJ116" i="10"/>
  <c r="DJ50" i="10"/>
  <c r="DJ45" i="10"/>
  <c r="DH96" i="10"/>
  <c r="DF131" i="10"/>
  <c r="DG74" i="10"/>
  <c r="DG131" i="10" s="1"/>
  <c r="DG71" i="10"/>
  <c r="DH48" i="10"/>
  <c r="DH52" i="10" s="1"/>
  <c r="DH71" i="10" s="1"/>
  <c r="DJ108" i="10"/>
  <c r="DJ122" i="10"/>
  <c r="DJ128" i="10"/>
  <c r="DJ56" i="10"/>
  <c r="DJ57" i="10"/>
  <c r="DJ58" i="10"/>
  <c r="DJ59" i="10"/>
  <c r="DJ60" i="10"/>
  <c r="DJ61" i="10"/>
  <c r="DJ62" i="10"/>
  <c r="DJ63" i="10"/>
  <c r="DJ43" i="10"/>
  <c r="DJ10" i="10"/>
  <c r="DJ11" i="10"/>
  <c r="DJ124" i="10"/>
  <c r="DJ65" i="10"/>
  <c r="DJ64" i="10"/>
  <c r="DJ66" i="10"/>
  <c r="DJ68" i="10"/>
  <c r="DJ69" i="10"/>
  <c r="DJ67" i="10"/>
  <c r="DI95" i="10"/>
  <c r="DG99" i="10"/>
  <c r="DH91" i="10"/>
  <c r="DH99" i="10" s="1"/>
  <c r="DI7" i="10" a="1"/>
  <c r="DI7" i="10" s="1"/>
  <c r="DI6" i="10" s="1"/>
  <c r="DJ3" i="10"/>
  <c r="DI84" i="10"/>
  <c r="DI86" i="10" s="1"/>
  <c r="DI89" i="10"/>
  <c r="DI90" i="10"/>
  <c r="DI75" i="10" a="1"/>
  <c r="DI75" i="10" s="1"/>
  <c r="DI77" i="10" a="1"/>
  <c r="DI77" i="10" s="1"/>
  <c r="DI78" i="10" a="1"/>
  <c r="DI78" i="10" s="1"/>
  <c r="DI76" i="10" a="1"/>
  <c r="DI76" i="10" s="1"/>
  <c r="DI70" i="10"/>
  <c r="DJ130" i="10"/>
  <c r="DH159" i="14" s="1"/>
  <c r="DJ49" i="10"/>
  <c r="DJ38" i="10"/>
  <c r="DJ36" i="10"/>
  <c r="DJ34" i="10"/>
  <c r="DJ32" i="10"/>
  <c r="DJ30" i="10"/>
  <c r="DJ28" i="10"/>
  <c r="DJ26" i="10"/>
  <c r="DJ24" i="10"/>
  <c r="DJ22" i="10"/>
  <c r="DJ20" i="10"/>
  <c r="DJ18" i="10"/>
  <c r="DJ16" i="10"/>
  <c r="DJ14" i="10"/>
  <c r="DJ12" i="10"/>
  <c r="DK5" i="10"/>
  <c r="DJ29" i="10"/>
  <c r="DJ27" i="10"/>
  <c r="DJ19" i="10"/>
  <c r="DJ37" i="10"/>
  <c r="DJ35" i="10"/>
  <c r="DJ33" i="10"/>
  <c r="DJ31" i="10"/>
  <c r="DJ25" i="10"/>
  <c r="DJ23" i="10"/>
  <c r="DJ21" i="10"/>
  <c r="DJ17" i="10"/>
  <c r="DJ15" i="10"/>
  <c r="DJ13" i="10"/>
  <c r="DJ4" i="10"/>
  <c r="DI39" i="10"/>
  <c r="DI47" i="10" s="1"/>
  <c r="DK114" i="10" l="1"/>
  <c r="DK115" i="10" s="1"/>
  <c r="DK116" i="10"/>
  <c r="DH72" i="10"/>
  <c r="DK50" i="10"/>
  <c r="DK45" i="10"/>
  <c r="DG123" i="10"/>
  <c r="DK108" i="10"/>
  <c r="DK124" i="10"/>
  <c r="DK122" i="10"/>
  <c r="DK56" i="10"/>
  <c r="DK57" i="10"/>
  <c r="DK58" i="10"/>
  <c r="DK59" i="10"/>
  <c r="DK60" i="10"/>
  <c r="DK61" i="10"/>
  <c r="DK62" i="10"/>
  <c r="DK63" i="10"/>
  <c r="DK128" i="10"/>
  <c r="DK43" i="10"/>
  <c r="DK65" i="10"/>
  <c r="DK67" i="10"/>
  <c r="DK64" i="10"/>
  <c r="DK10" i="10"/>
  <c r="DK66" i="10"/>
  <c r="DK68" i="10"/>
  <c r="DK69" i="10"/>
  <c r="DK11" i="10"/>
  <c r="DI48" i="10"/>
  <c r="DI52" i="10" s="1"/>
  <c r="DI71" i="10" s="1"/>
  <c r="DI96" i="10"/>
  <c r="DJ95" i="10"/>
  <c r="DJ39" i="10"/>
  <c r="DJ47" i="10" s="1"/>
  <c r="DI91" i="10"/>
  <c r="DK130" i="10"/>
  <c r="DI159" i="14" s="1"/>
  <c r="DH156" i="14" s="1"/>
  <c r="DH160" i="14" s="1"/>
  <c r="DK49" i="10"/>
  <c r="DK38" i="10"/>
  <c r="DK36" i="10"/>
  <c r="DK34" i="10"/>
  <c r="DK32" i="10"/>
  <c r="DK30" i="10"/>
  <c r="DK28" i="10"/>
  <c r="DK26" i="10"/>
  <c r="DK24" i="10"/>
  <c r="DK22" i="10"/>
  <c r="DK20" i="10"/>
  <c r="DK18" i="10"/>
  <c r="DK16" i="10"/>
  <c r="DK14" i="10"/>
  <c r="DK12" i="10"/>
  <c r="DK4" i="10"/>
  <c r="DL5" i="10"/>
  <c r="DK35" i="10"/>
  <c r="DK23" i="10"/>
  <c r="DK19" i="10"/>
  <c r="DK15" i="10"/>
  <c r="DK37" i="10"/>
  <c r="DK33" i="10"/>
  <c r="DK31" i="10"/>
  <c r="DK29" i="10"/>
  <c r="DK27" i="10"/>
  <c r="DK25" i="10"/>
  <c r="DK21" i="10"/>
  <c r="DK17" i="10"/>
  <c r="DK13" i="10"/>
  <c r="DG156" i="14"/>
  <c r="DG160" i="14" s="1"/>
  <c r="DJ70" i="10"/>
  <c r="DH74" i="10"/>
  <c r="DH123" i="10" s="1"/>
  <c r="DK3" i="10"/>
  <c r="DJ7" i="10" a="1"/>
  <c r="DJ7" i="10" s="1"/>
  <c r="DJ6" i="10" s="1"/>
  <c r="DJ84" i="10"/>
  <c r="DJ86" i="10" s="1"/>
  <c r="DJ89" i="10"/>
  <c r="DJ90" i="10"/>
  <c r="DJ77" i="10" a="1"/>
  <c r="DJ77" i="10" s="1"/>
  <c r="DJ76" i="10" a="1"/>
  <c r="DJ76" i="10" s="1"/>
  <c r="DJ78" i="10" a="1"/>
  <c r="DJ78" i="10" s="1"/>
  <c r="DJ75" i="10" a="1"/>
  <c r="DJ75" i="10" s="1"/>
  <c r="DL114" i="10" l="1"/>
  <c r="DL115" i="10" s="1"/>
  <c r="DL116" i="10"/>
  <c r="DI72" i="10"/>
  <c r="DL50" i="10"/>
  <c r="DL45" i="10"/>
  <c r="DI99" i="10"/>
  <c r="DJ48" i="10"/>
  <c r="DJ52" i="10" s="1"/>
  <c r="DJ71" i="10" s="1"/>
  <c r="DL108" i="10"/>
  <c r="Q108" i="11" s="1"/>
  <c r="DL124" i="10"/>
  <c r="DL128" i="10"/>
  <c r="DL57" i="10"/>
  <c r="DL59" i="10"/>
  <c r="DL61" i="10"/>
  <c r="DL63" i="10"/>
  <c r="DL64" i="10"/>
  <c r="DL65" i="10"/>
  <c r="DL66" i="10"/>
  <c r="DL67" i="10"/>
  <c r="DL68" i="10"/>
  <c r="DL69" i="10"/>
  <c r="DL56" i="10"/>
  <c r="DL58" i="10"/>
  <c r="DL60" i="10"/>
  <c r="DL62" i="10"/>
  <c r="DL11" i="10"/>
  <c r="DL122" i="10"/>
  <c r="DL10" i="10"/>
  <c r="DL43" i="10"/>
  <c r="DK95" i="10"/>
  <c r="DH131" i="10"/>
  <c r="DK39" i="10"/>
  <c r="DK47" i="10" s="1"/>
  <c r="DJ96" i="10"/>
  <c r="DK7" i="10" a="1"/>
  <c r="DK7" i="10" s="1"/>
  <c r="DK6" i="10" s="1"/>
  <c r="DL3" i="10"/>
  <c r="DK84" i="10"/>
  <c r="DK86" i="10" s="1"/>
  <c r="DK89" i="10"/>
  <c r="DK90" i="10"/>
  <c r="DK78" i="10" a="1"/>
  <c r="DK78" i="10" s="1"/>
  <c r="DK76" i="10" a="1"/>
  <c r="DK76" i="10" s="1"/>
  <c r="DK77" i="10" a="1"/>
  <c r="DK77" i="10" s="1"/>
  <c r="DK75" i="10" a="1"/>
  <c r="DK75" i="10" s="1"/>
  <c r="DI74" i="10"/>
  <c r="DI123" i="10" s="1"/>
  <c r="DK70" i="10"/>
  <c r="DJ91" i="10"/>
  <c r="DL130" i="10"/>
  <c r="DJ159" i="14" s="1"/>
  <c r="DI156" i="14" s="1"/>
  <c r="DI160" i="14" s="1"/>
  <c r="DM5" i="10"/>
  <c r="DL30" i="10"/>
  <c r="DL26" i="10"/>
  <c r="DL24" i="10"/>
  <c r="DL18" i="10"/>
  <c r="DL37" i="10"/>
  <c r="DL35" i="10"/>
  <c r="DL33" i="10"/>
  <c r="DL31" i="10"/>
  <c r="DL29" i="10"/>
  <c r="DL27" i="10"/>
  <c r="DL25" i="10"/>
  <c r="DL23" i="10"/>
  <c r="DL21" i="10"/>
  <c r="DL19" i="10"/>
  <c r="DL17" i="10"/>
  <c r="DL15" i="10"/>
  <c r="DL13" i="10"/>
  <c r="DL4" i="10"/>
  <c r="DL49" i="10"/>
  <c r="DL38" i="10"/>
  <c r="DL36" i="10"/>
  <c r="DL34" i="10"/>
  <c r="DL28" i="10"/>
  <c r="DL22" i="10"/>
  <c r="DL20" i="10"/>
  <c r="DL16" i="10"/>
  <c r="DL32" i="10"/>
  <c r="DL14" i="10"/>
  <c r="DL12" i="10"/>
  <c r="DM114" i="10" l="1"/>
  <c r="DM115" i="10" s="1"/>
  <c r="DM116" i="10"/>
  <c r="DJ72" i="10"/>
  <c r="DM50" i="10"/>
  <c r="DM45" i="10"/>
  <c r="DM122" i="10"/>
  <c r="DM128" i="10"/>
  <c r="DM108" i="10"/>
  <c r="DM124" i="10"/>
  <c r="DM10" i="10"/>
  <c r="DM11" i="10"/>
  <c r="DM69" i="10"/>
  <c r="DM57" i="10"/>
  <c r="DM59" i="10"/>
  <c r="DM61" i="10"/>
  <c r="DM63" i="10"/>
  <c r="DM64" i="10"/>
  <c r="DM65" i="10"/>
  <c r="DM66" i="10"/>
  <c r="DM67" i="10"/>
  <c r="DM68" i="10"/>
  <c r="DM60" i="10"/>
  <c r="DM43" i="10"/>
  <c r="DM56" i="10"/>
  <c r="DM58" i="10"/>
  <c r="DM62" i="10"/>
  <c r="DK48" i="10"/>
  <c r="DK52" i="10" s="1"/>
  <c r="DK71" i="10" s="1"/>
  <c r="DK96" i="10"/>
  <c r="DL95" i="10"/>
  <c r="DK91" i="10"/>
  <c r="DL7" i="10" a="1"/>
  <c r="DL7" i="10" s="1"/>
  <c r="DM3" i="10"/>
  <c r="DL84" i="10"/>
  <c r="DL86" i="10" s="1"/>
  <c r="DL89" i="10"/>
  <c r="DL90" i="10"/>
  <c r="DL76" i="10" a="1"/>
  <c r="DL76" i="10" s="1"/>
  <c r="DL77" i="10" a="1"/>
  <c r="DL77" i="10" s="1"/>
  <c r="DL78" i="10" a="1"/>
  <c r="DL78" i="10" s="1"/>
  <c r="DL75" i="10" a="1"/>
  <c r="DL75" i="10" s="1"/>
  <c r="DJ99" i="10"/>
  <c r="DL70" i="10"/>
  <c r="DJ74" i="10"/>
  <c r="DJ123" i="10" s="1"/>
  <c r="DL39" i="10"/>
  <c r="DL47" i="10" s="1"/>
  <c r="DM37" i="10"/>
  <c r="DM35" i="10"/>
  <c r="DM33" i="10"/>
  <c r="DM31" i="10"/>
  <c r="DM29" i="10"/>
  <c r="DM27" i="10"/>
  <c r="DM25" i="10"/>
  <c r="DM23" i="10"/>
  <c r="DM21" i="10"/>
  <c r="DM19" i="10"/>
  <c r="DM17" i="10"/>
  <c r="DM15" i="10"/>
  <c r="DM13" i="10"/>
  <c r="DM4" i="10"/>
  <c r="DM130" i="10"/>
  <c r="DK159" i="14" s="1"/>
  <c r="DJ156" i="14" s="1"/>
  <c r="DJ160" i="14" s="1"/>
  <c r="DM38" i="10"/>
  <c r="DM36" i="10"/>
  <c r="DM32" i="10"/>
  <c r="DM30" i="10"/>
  <c r="DM22" i="10"/>
  <c r="DM18" i="10"/>
  <c r="DM49" i="10"/>
  <c r="DM34" i="10"/>
  <c r="DM28" i="10"/>
  <c r="DM26" i="10"/>
  <c r="DM24" i="10"/>
  <c r="DM20" i="10"/>
  <c r="DM16" i="10"/>
  <c r="DM14" i="10"/>
  <c r="DM12" i="10"/>
  <c r="DN5" i="10"/>
  <c r="DI131" i="10"/>
  <c r="DL6" i="10" l="1"/>
  <c r="Q7" i="11"/>
  <c r="Q6" i="11" s="1"/>
  <c r="DN116" i="10"/>
  <c r="DN114" i="10"/>
  <c r="DN115" i="10" s="1"/>
  <c r="DK72" i="10"/>
  <c r="DN50" i="10"/>
  <c r="DN45" i="10"/>
  <c r="DN108" i="10"/>
  <c r="DN122" i="10"/>
  <c r="DN128" i="10"/>
  <c r="DN124" i="10"/>
  <c r="DN56" i="10"/>
  <c r="DN57" i="10"/>
  <c r="DN58" i="10"/>
  <c r="DN59" i="10"/>
  <c r="DN60" i="10"/>
  <c r="DN61" i="10"/>
  <c r="DN62" i="10"/>
  <c r="DN63" i="10"/>
  <c r="DN43" i="10"/>
  <c r="DN11" i="10"/>
  <c r="DN10" i="10"/>
  <c r="DN64" i="10"/>
  <c r="DN68" i="10"/>
  <c r="DN69" i="10"/>
  <c r="DN65" i="10"/>
  <c r="DN67" i="10"/>
  <c r="DN66" i="10"/>
  <c r="DL48" i="10"/>
  <c r="DL52" i="10" s="1"/>
  <c r="DL71" i="10" s="1"/>
  <c r="DK99" i="10"/>
  <c r="DM95" i="10"/>
  <c r="DL96" i="10"/>
  <c r="DM7" i="10" a="1"/>
  <c r="DM7" i="10" s="1"/>
  <c r="DM6" i="10" s="1"/>
  <c r="DN3" i="10"/>
  <c r="DM84" i="10"/>
  <c r="DM86" i="10" s="1"/>
  <c r="DM89" i="10"/>
  <c r="DM90" i="10"/>
  <c r="DM76" i="10" a="1"/>
  <c r="DM76" i="10" s="1"/>
  <c r="DM78" i="10" a="1"/>
  <c r="DM78" i="10" s="1"/>
  <c r="DM75" i="10" a="1"/>
  <c r="DM75" i="10" s="1"/>
  <c r="DM77" i="10" a="1"/>
  <c r="DM77" i="10" s="1"/>
  <c r="DL91" i="10"/>
  <c r="DN130" i="10"/>
  <c r="DL159" i="14" s="1"/>
  <c r="DK156" i="14" s="1"/>
  <c r="DK160" i="14" s="1"/>
  <c r="DO5" i="10"/>
  <c r="DN31" i="10"/>
  <c r="DN29" i="10"/>
  <c r="DN49" i="10"/>
  <c r="DN38" i="10"/>
  <c r="DN36" i="10"/>
  <c r="DN34" i="10"/>
  <c r="DN32" i="10"/>
  <c r="DN30" i="10"/>
  <c r="DN28" i="10"/>
  <c r="DN26" i="10"/>
  <c r="DN24" i="10"/>
  <c r="DN22" i="10"/>
  <c r="DN20" i="10"/>
  <c r="DN18" i="10"/>
  <c r="DN16" i="10"/>
  <c r="DN14" i="10"/>
  <c r="DN12" i="10"/>
  <c r="DN35" i="10"/>
  <c r="DN33" i="10"/>
  <c r="DN25" i="10"/>
  <c r="DN23" i="10"/>
  <c r="DN21" i="10"/>
  <c r="DN17" i="10"/>
  <c r="DN15" i="10"/>
  <c r="DN37" i="10"/>
  <c r="DN27" i="10"/>
  <c r="DN19" i="10"/>
  <c r="DN13" i="10"/>
  <c r="DN4" i="10"/>
  <c r="DJ131" i="10"/>
  <c r="DK74" i="10"/>
  <c r="DK123" i="10" s="1"/>
  <c r="DM70" i="10"/>
  <c r="DM39" i="10"/>
  <c r="DM47" i="10" s="1"/>
  <c r="DL99" i="10" l="1"/>
  <c r="DO114" i="10"/>
  <c r="DO115" i="10" s="1"/>
  <c r="DO116" i="10"/>
  <c r="DL72" i="10"/>
  <c r="DO50" i="10"/>
  <c r="DO45" i="10"/>
  <c r="DM48" i="10"/>
  <c r="DM52" i="10" s="1"/>
  <c r="DM72" i="10" s="1"/>
  <c r="DO108" i="10"/>
  <c r="DO124" i="10"/>
  <c r="DO128" i="10"/>
  <c r="DO56" i="10"/>
  <c r="DO57" i="10"/>
  <c r="DO58" i="10"/>
  <c r="DO59" i="10"/>
  <c r="DO60" i="10"/>
  <c r="DO61" i="10"/>
  <c r="DO62" i="10"/>
  <c r="DO63" i="10"/>
  <c r="DO122" i="10"/>
  <c r="DO43" i="10"/>
  <c r="DO64" i="10"/>
  <c r="DO66" i="10"/>
  <c r="DO68" i="10"/>
  <c r="DO69" i="10"/>
  <c r="DO10" i="10"/>
  <c r="DO11" i="10"/>
  <c r="DO65" i="10"/>
  <c r="DO67" i="10"/>
  <c r="DM96" i="10"/>
  <c r="DN95" i="10"/>
  <c r="DN70" i="10"/>
  <c r="DO49" i="10"/>
  <c r="DO38" i="10"/>
  <c r="DO36" i="10"/>
  <c r="DO34" i="10"/>
  <c r="DO32" i="10"/>
  <c r="DO30" i="10"/>
  <c r="DO28" i="10"/>
  <c r="DO26" i="10"/>
  <c r="DO24" i="10"/>
  <c r="DO22" i="10"/>
  <c r="DO20" i="10"/>
  <c r="DO18" i="10"/>
  <c r="DO16" i="10"/>
  <c r="DO14" i="10"/>
  <c r="DO12" i="10"/>
  <c r="DP5" i="10"/>
  <c r="DO35" i="10"/>
  <c r="DO23" i="10"/>
  <c r="DO19" i="10"/>
  <c r="DO15" i="10"/>
  <c r="DO130" i="10"/>
  <c r="DM159" i="14" s="1"/>
  <c r="DL156" i="14" s="1"/>
  <c r="DL160" i="14" s="1"/>
  <c r="DO37" i="10"/>
  <c r="DO33" i="10"/>
  <c r="DO31" i="10"/>
  <c r="DO29" i="10"/>
  <c r="DO27" i="10"/>
  <c r="DO25" i="10"/>
  <c r="DO21" i="10"/>
  <c r="DO17" i="10"/>
  <c r="DO13" i="10"/>
  <c r="DO4" i="10"/>
  <c r="DM91" i="10"/>
  <c r="DO3" i="10"/>
  <c r="DN7" i="10" a="1"/>
  <c r="DN7" i="10" s="1"/>
  <c r="DN6" i="10" s="1"/>
  <c r="DN84" i="10"/>
  <c r="DN86" i="10" s="1"/>
  <c r="DN89" i="10"/>
  <c r="DN90" i="10"/>
  <c r="DN75" i="10" a="1"/>
  <c r="DN75" i="10" s="1"/>
  <c r="DN78" i="10" a="1"/>
  <c r="DN78" i="10" s="1"/>
  <c r="DN76" i="10" a="1"/>
  <c r="DN76" i="10" s="1"/>
  <c r="DN77" i="10" a="1"/>
  <c r="DN77" i="10" s="1"/>
  <c r="DL74" i="10"/>
  <c r="DL123" i="10" s="1"/>
  <c r="DK131" i="10"/>
  <c r="DN39" i="10"/>
  <c r="DN47" i="10" s="1"/>
  <c r="DP114" i="10" l="1"/>
  <c r="DP115" i="10" s="1"/>
  <c r="DP116" i="10"/>
  <c r="DM99" i="10"/>
  <c r="DP50" i="10"/>
  <c r="DP45" i="10"/>
  <c r="DN96" i="10"/>
  <c r="DM74" i="10"/>
  <c r="DM131" i="10" s="1"/>
  <c r="DM71" i="10"/>
  <c r="DP124" i="10"/>
  <c r="DP122" i="10"/>
  <c r="DP56" i="10"/>
  <c r="DP58" i="10"/>
  <c r="DP60" i="10"/>
  <c r="DP62" i="10"/>
  <c r="DP64" i="10"/>
  <c r="DP65" i="10"/>
  <c r="DP66" i="10"/>
  <c r="DP67" i="10"/>
  <c r="DP68" i="10"/>
  <c r="DP69" i="10"/>
  <c r="DP57" i="10"/>
  <c r="DP59" i="10"/>
  <c r="DP61" i="10"/>
  <c r="DP63" i="10"/>
  <c r="DP128" i="10"/>
  <c r="DP10" i="10"/>
  <c r="DP108" i="10"/>
  <c r="DP43" i="10"/>
  <c r="DP11" i="10"/>
  <c r="DN48" i="10"/>
  <c r="DN52" i="10" s="1"/>
  <c r="DN72" i="10" s="1"/>
  <c r="DO95" i="10"/>
  <c r="DO39" i="10"/>
  <c r="DO47" i="10" s="1"/>
  <c r="DL131" i="10"/>
  <c r="DN91" i="10"/>
  <c r="DN99" i="10" s="1"/>
  <c r="DP130" i="10"/>
  <c r="DN159" i="14" s="1"/>
  <c r="DQ5" i="10"/>
  <c r="DP16" i="10"/>
  <c r="DP37" i="10"/>
  <c r="DP35" i="10"/>
  <c r="DP33" i="10"/>
  <c r="DP31" i="10"/>
  <c r="DP29" i="10"/>
  <c r="DP27" i="10"/>
  <c r="DP25" i="10"/>
  <c r="DP23" i="10"/>
  <c r="DP21" i="10"/>
  <c r="DP19" i="10"/>
  <c r="DP17" i="10"/>
  <c r="DP15" i="10"/>
  <c r="DP13" i="10"/>
  <c r="DP4" i="10"/>
  <c r="DP49" i="10"/>
  <c r="DP36" i="10"/>
  <c r="DP28" i="10"/>
  <c r="DP26" i="10"/>
  <c r="DP18" i="10"/>
  <c r="DP14" i="10"/>
  <c r="DP38" i="10"/>
  <c r="DP34" i="10"/>
  <c r="DP32" i="10"/>
  <c r="DP30" i="10"/>
  <c r="DP24" i="10"/>
  <c r="DP22" i="10"/>
  <c r="DP20" i="10"/>
  <c r="DP12" i="10"/>
  <c r="DO70" i="10"/>
  <c r="DO7" i="10" a="1"/>
  <c r="DO7" i="10" s="1"/>
  <c r="DO6" i="10" s="1"/>
  <c r="DP3" i="10"/>
  <c r="DO84" i="10"/>
  <c r="DO86" i="10" s="1"/>
  <c r="DO89" i="10"/>
  <c r="DO90" i="10"/>
  <c r="DO77" i="10" a="1"/>
  <c r="DO77" i="10" s="1"/>
  <c r="DO78" i="10" a="1"/>
  <c r="DO78" i="10" s="1"/>
  <c r="DO76" i="10" a="1"/>
  <c r="DO76" i="10" s="1"/>
  <c r="DO75" i="10" a="1"/>
  <c r="DO75" i="10" s="1"/>
  <c r="DQ114" i="10" l="1"/>
  <c r="DQ115" i="10" s="1"/>
  <c r="DQ116" i="10"/>
  <c r="DQ50" i="10"/>
  <c r="DQ45" i="10"/>
  <c r="DM123" i="10"/>
  <c r="DN74" i="10"/>
  <c r="DN71" i="10"/>
  <c r="DO48" i="10"/>
  <c r="DO52" i="10" s="1"/>
  <c r="DO71" i="10" s="1"/>
  <c r="DQ108" i="10"/>
  <c r="DQ122" i="10"/>
  <c r="DQ128" i="10"/>
  <c r="DQ124" i="10"/>
  <c r="DQ10" i="10"/>
  <c r="DQ11" i="10"/>
  <c r="DQ56" i="10"/>
  <c r="DQ58" i="10"/>
  <c r="DQ60" i="10"/>
  <c r="DQ62" i="10"/>
  <c r="DQ64" i="10"/>
  <c r="DQ65" i="10"/>
  <c r="DQ66" i="10"/>
  <c r="DQ67" i="10"/>
  <c r="DQ68" i="10"/>
  <c r="DQ69" i="10"/>
  <c r="DQ59" i="10"/>
  <c r="DQ63" i="10"/>
  <c r="DQ57" i="10"/>
  <c r="DQ61" i="10"/>
  <c r="DQ43" i="10"/>
  <c r="DP95" i="10"/>
  <c r="DO96" i="10"/>
  <c r="DO91" i="10"/>
  <c r="DP7" i="10" a="1"/>
  <c r="DP7" i="10" s="1"/>
  <c r="DP6" i="10" s="1"/>
  <c r="DQ3" i="10"/>
  <c r="DP89" i="10"/>
  <c r="DP90" i="10"/>
  <c r="DP84" i="10"/>
  <c r="DP86" i="10" s="1"/>
  <c r="DP77" i="10" a="1"/>
  <c r="DP77" i="10" s="1"/>
  <c r="DP78" i="10" a="1"/>
  <c r="DP78" i="10" s="1"/>
  <c r="DP75" i="10" a="1"/>
  <c r="DP75" i="10" s="1"/>
  <c r="DP76" i="10" a="1"/>
  <c r="DP76" i="10" s="1"/>
  <c r="DP70" i="10"/>
  <c r="DQ37" i="10"/>
  <c r="DQ35" i="10"/>
  <c r="DQ33" i="10"/>
  <c r="DQ31" i="10"/>
  <c r="DQ29" i="10"/>
  <c r="DQ27" i="10"/>
  <c r="DQ25" i="10"/>
  <c r="DQ23" i="10"/>
  <c r="DQ21" i="10"/>
  <c r="DQ19" i="10"/>
  <c r="DQ17" i="10"/>
  <c r="DQ15" i="10"/>
  <c r="DQ13" i="10"/>
  <c r="DQ4" i="10"/>
  <c r="DQ130" i="10"/>
  <c r="DO159" i="14" s="1"/>
  <c r="DN156" i="14" s="1"/>
  <c r="DN160" i="14" s="1"/>
  <c r="DQ49" i="10"/>
  <c r="DQ36" i="10"/>
  <c r="DQ30" i="10"/>
  <c r="DQ24" i="10"/>
  <c r="DQ22" i="10"/>
  <c r="DQ20" i="10"/>
  <c r="DQ16" i="10"/>
  <c r="DQ38" i="10"/>
  <c r="DQ34" i="10"/>
  <c r="DQ32" i="10"/>
  <c r="DQ28" i="10"/>
  <c r="DQ26" i="10"/>
  <c r="DQ18" i="10"/>
  <c r="DQ14" i="10"/>
  <c r="DQ12" i="10"/>
  <c r="DR5" i="10"/>
  <c r="DP39" i="10"/>
  <c r="DP47" i="10" s="1"/>
  <c r="DM156" i="14"/>
  <c r="DM160" i="14" s="1"/>
  <c r="DR114" i="10" l="1"/>
  <c r="DR115" i="10" s="1"/>
  <c r="DR116" i="10"/>
  <c r="DO72" i="10"/>
  <c r="DR50" i="10"/>
  <c r="DR45" i="10"/>
  <c r="DN123" i="10"/>
  <c r="DN131" i="10"/>
  <c r="DR108" i="10"/>
  <c r="DR122" i="10"/>
  <c r="DR128" i="10"/>
  <c r="DR56" i="10"/>
  <c r="DR57" i="10"/>
  <c r="DR58" i="10"/>
  <c r="DR59" i="10"/>
  <c r="DR60" i="10"/>
  <c r="DR61" i="10"/>
  <c r="DR62" i="10"/>
  <c r="DR63" i="10"/>
  <c r="DR43" i="10"/>
  <c r="DR10" i="10"/>
  <c r="DR124" i="10"/>
  <c r="DR11" i="10"/>
  <c r="DR65" i="10"/>
  <c r="DR64" i="10"/>
  <c r="DR66" i="10"/>
  <c r="DR68" i="10"/>
  <c r="DR69" i="10"/>
  <c r="DR67" i="10"/>
  <c r="DP48" i="10"/>
  <c r="DP52" i="10" s="1"/>
  <c r="DP71" i="10" s="1"/>
  <c r="DO99" i="10"/>
  <c r="DP96" i="10"/>
  <c r="DQ95" i="10"/>
  <c r="DQ39" i="10"/>
  <c r="DQ47" i="10" s="1"/>
  <c r="DQ70" i="10"/>
  <c r="DO74" i="10"/>
  <c r="DO123" i="10" s="1"/>
  <c r="DP91" i="10"/>
  <c r="DR130" i="10"/>
  <c r="DP159" i="14" s="1"/>
  <c r="DO156" i="14" s="1"/>
  <c r="DO160" i="14" s="1"/>
  <c r="DR37" i="10"/>
  <c r="DR33" i="10"/>
  <c r="DR25" i="10"/>
  <c r="DR23" i="10"/>
  <c r="DR17" i="10"/>
  <c r="DR49" i="10"/>
  <c r="DR38" i="10"/>
  <c r="DR36" i="10"/>
  <c r="DR34" i="10"/>
  <c r="DR32" i="10"/>
  <c r="DR30" i="10"/>
  <c r="DR28" i="10"/>
  <c r="DR26" i="10"/>
  <c r="DR24" i="10"/>
  <c r="DR22" i="10"/>
  <c r="DR20" i="10"/>
  <c r="DR18" i="10"/>
  <c r="DR16" i="10"/>
  <c r="DR14" i="10"/>
  <c r="DR12" i="10"/>
  <c r="DR31" i="10"/>
  <c r="DR29" i="10"/>
  <c r="DR27" i="10"/>
  <c r="DR19" i="10"/>
  <c r="DS5" i="10"/>
  <c r="DR35" i="10"/>
  <c r="DR21" i="10"/>
  <c r="DR15" i="10"/>
  <c r="DR13" i="10"/>
  <c r="DR4" i="10"/>
  <c r="DQ7" i="10" a="1"/>
  <c r="DQ7" i="10" s="1"/>
  <c r="DQ6" i="10" s="1"/>
  <c r="DR3" i="10"/>
  <c r="DQ84" i="10"/>
  <c r="DQ86" i="10" s="1"/>
  <c r="DQ89" i="10"/>
  <c r="DQ90" i="10"/>
  <c r="DQ78" i="10" a="1"/>
  <c r="DQ78" i="10" s="1"/>
  <c r="DQ75" i="10" a="1"/>
  <c r="DQ75" i="10" s="1"/>
  <c r="DQ77" i="10" a="1"/>
  <c r="DQ77" i="10" s="1"/>
  <c r="DQ76" i="10" a="1"/>
  <c r="DQ76" i="10" s="1"/>
  <c r="DS114" i="10" l="1"/>
  <c r="DS115" i="10" s="1"/>
  <c r="DS116" i="10"/>
  <c r="DP72" i="10"/>
  <c r="DS50" i="10"/>
  <c r="DS45" i="10"/>
  <c r="DQ96" i="10"/>
  <c r="DS108" i="10"/>
  <c r="DS124" i="10"/>
  <c r="DS122" i="10"/>
  <c r="DS56" i="10"/>
  <c r="DS57" i="10"/>
  <c r="DS58" i="10"/>
  <c r="DS59" i="10"/>
  <c r="DS60" i="10"/>
  <c r="DS61" i="10"/>
  <c r="DS62" i="10"/>
  <c r="DS63" i="10"/>
  <c r="DS43" i="10"/>
  <c r="DS128" i="10"/>
  <c r="DS65" i="10"/>
  <c r="DS67" i="10"/>
  <c r="DS10" i="10"/>
  <c r="DS64" i="10"/>
  <c r="DS66" i="10"/>
  <c r="DS68" i="10"/>
  <c r="DS69" i="10"/>
  <c r="DS11" i="10"/>
  <c r="DQ48" i="10"/>
  <c r="DQ52" i="10" s="1"/>
  <c r="DQ71" i="10" s="1"/>
  <c r="DP99" i="10"/>
  <c r="DR95" i="10"/>
  <c r="DR70" i="10"/>
  <c r="DP74" i="10"/>
  <c r="DP123" i="10" s="1"/>
  <c r="DQ91" i="10"/>
  <c r="DS3" i="10"/>
  <c r="DR7" i="10" a="1"/>
  <c r="DR7" i="10" s="1"/>
  <c r="DR6" i="10" s="1"/>
  <c r="DR84" i="10"/>
  <c r="DR86" i="10" s="1"/>
  <c r="DR89" i="10"/>
  <c r="DR90" i="10"/>
  <c r="DR76" i="10" a="1"/>
  <c r="DR76" i="10" s="1"/>
  <c r="DR77" i="10" a="1"/>
  <c r="DR77" i="10" s="1"/>
  <c r="DR78" i="10" a="1"/>
  <c r="DR78" i="10" s="1"/>
  <c r="DR75" i="10" a="1"/>
  <c r="DR75" i="10" s="1"/>
  <c r="DS130" i="10"/>
  <c r="DQ159" i="14" s="1"/>
  <c r="DP156" i="14" s="1"/>
  <c r="DP160" i="14" s="1"/>
  <c r="DS49" i="10"/>
  <c r="DS38" i="10"/>
  <c r="DS36" i="10"/>
  <c r="DS34" i="10"/>
  <c r="DS32" i="10"/>
  <c r="DS30" i="10"/>
  <c r="DS28" i="10"/>
  <c r="DS26" i="10"/>
  <c r="DS24" i="10"/>
  <c r="DS22" i="10"/>
  <c r="DS20" i="10"/>
  <c r="DS18" i="10"/>
  <c r="DS16" i="10"/>
  <c r="DS14" i="10"/>
  <c r="DS12" i="10"/>
  <c r="DT5" i="10"/>
  <c r="DS35" i="10"/>
  <c r="DS23" i="10"/>
  <c r="DS19" i="10"/>
  <c r="DS15" i="10"/>
  <c r="DS4" i="10"/>
  <c r="DS37" i="10"/>
  <c r="DS33" i="10"/>
  <c r="DS31" i="10"/>
  <c r="DS29" i="10"/>
  <c r="DS27" i="10"/>
  <c r="DS25" i="10"/>
  <c r="DS21" i="10"/>
  <c r="DS17" i="10"/>
  <c r="DS13" i="10"/>
  <c r="DR39" i="10"/>
  <c r="DR47" i="10" s="1"/>
  <c r="DO131" i="10"/>
  <c r="DT114" i="10" l="1"/>
  <c r="DT115" i="10" s="1"/>
  <c r="DT116" i="10"/>
  <c r="DQ72" i="10"/>
  <c r="DQ99" i="10"/>
  <c r="DT50" i="10"/>
  <c r="DT45" i="10"/>
  <c r="DT108" i="10"/>
  <c r="DT124" i="10"/>
  <c r="DT128" i="10"/>
  <c r="DT57" i="10"/>
  <c r="DT59" i="10"/>
  <c r="DT61" i="10"/>
  <c r="DT63" i="10"/>
  <c r="DT64" i="10"/>
  <c r="DT65" i="10"/>
  <c r="DT66" i="10"/>
  <c r="DT67" i="10"/>
  <c r="DT68" i="10"/>
  <c r="DT69" i="10"/>
  <c r="DT56" i="10"/>
  <c r="DT58" i="10"/>
  <c r="DT60" i="10"/>
  <c r="DT62" i="10"/>
  <c r="DT122" i="10"/>
  <c r="DT11" i="10"/>
  <c r="DT43" i="10"/>
  <c r="DT10" i="10"/>
  <c r="DR48" i="10"/>
  <c r="DR52" i="10" s="1"/>
  <c r="DR72" i="10" s="1"/>
  <c r="DS95" i="10"/>
  <c r="DP131" i="10"/>
  <c r="DR96" i="10"/>
  <c r="DQ74" i="10"/>
  <c r="DQ123" i="10" s="1"/>
  <c r="DS7" i="10" a="1"/>
  <c r="DS7" i="10" s="1"/>
  <c r="DS6" i="10" s="1"/>
  <c r="DT3" i="10"/>
  <c r="DS84" i="10"/>
  <c r="DS86" i="10" s="1"/>
  <c r="DS89" i="10"/>
  <c r="DS90" i="10"/>
  <c r="DS76" i="10" a="1"/>
  <c r="DS76" i="10" s="1"/>
  <c r="DS77" i="10" a="1"/>
  <c r="DS77" i="10" s="1"/>
  <c r="DS78" i="10" a="1"/>
  <c r="DS78" i="10" s="1"/>
  <c r="DS75" i="10" a="1"/>
  <c r="DS75" i="10" s="1"/>
  <c r="DR91" i="10"/>
  <c r="DT130" i="10"/>
  <c r="DR159" i="14" s="1"/>
  <c r="DQ156" i="14" s="1"/>
  <c r="DQ160" i="14" s="1"/>
  <c r="DU5" i="10"/>
  <c r="DT49" i="10"/>
  <c r="DT36" i="10"/>
  <c r="DT30" i="10"/>
  <c r="DT28" i="10"/>
  <c r="DT26" i="10"/>
  <c r="DT24" i="10"/>
  <c r="DT18" i="10"/>
  <c r="DT37" i="10"/>
  <c r="DT35" i="10"/>
  <c r="DT33" i="10"/>
  <c r="DT31" i="10"/>
  <c r="DT29" i="10"/>
  <c r="DT27" i="10"/>
  <c r="DT25" i="10"/>
  <c r="DT23" i="10"/>
  <c r="DT21" i="10"/>
  <c r="DT19" i="10"/>
  <c r="DT17" i="10"/>
  <c r="DT15" i="10"/>
  <c r="DT13" i="10"/>
  <c r="DT4" i="10"/>
  <c r="DT38" i="10"/>
  <c r="DT34" i="10"/>
  <c r="DT20" i="10"/>
  <c r="DT16" i="10"/>
  <c r="DT32" i="10"/>
  <c r="DT22" i="10"/>
  <c r="DT14" i="10"/>
  <c r="DT12" i="10"/>
  <c r="DS39" i="10"/>
  <c r="DS47" i="10" s="1"/>
  <c r="DS70" i="10"/>
  <c r="DU114" i="10" l="1"/>
  <c r="DU115" i="10" s="1"/>
  <c r="DU116" i="10"/>
  <c r="DU50" i="10"/>
  <c r="DU45" i="10"/>
  <c r="DR74" i="10"/>
  <c r="DR71" i="10"/>
  <c r="DS48" i="10"/>
  <c r="DS52" i="10" s="1"/>
  <c r="DS72" i="10" s="1"/>
  <c r="DU122" i="10"/>
  <c r="DU128" i="10"/>
  <c r="DU108" i="10"/>
  <c r="DU10" i="10"/>
  <c r="DU11" i="10"/>
  <c r="DU69" i="10"/>
  <c r="DU124" i="10"/>
  <c r="DU57" i="10"/>
  <c r="DU59" i="10"/>
  <c r="DU61" i="10"/>
  <c r="DU63" i="10"/>
  <c r="DU64" i="10"/>
  <c r="DU65" i="10"/>
  <c r="DU66" i="10"/>
  <c r="DU67" i="10"/>
  <c r="DU68" i="10"/>
  <c r="DU58" i="10"/>
  <c r="DU43" i="10"/>
  <c r="DU62" i="10"/>
  <c r="DU56" i="10"/>
  <c r="DU60" i="10"/>
  <c r="DR99" i="10"/>
  <c r="DS96" i="10"/>
  <c r="DT95" i="10"/>
  <c r="DU37" i="10"/>
  <c r="DU35" i="10"/>
  <c r="DU33" i="10"/>
  <c r="DU31" i="10"/>
  <c r="DU29" i="10"/>
  <c r="DU27" i="10"/>
  <c r="DU25" i="10"/>
  <c r="DU23" i="10"/>
  <c r="DU21" i="10"/>
  <c r="DU19" i="10"/>
  <c r="DU17" i="10"/>
  <c r="DU15" i="10"/>
  <c r="DU13" i="10"/>
  <c r="DU4" i="10"/>
  <c r="DU26" i="10"/>
  <c r="DU12" i="10"/>
  <c r="DU49" i="10"/>
  <c r="DU36" i="10"/>
  <c r="DU34" i="10"/>
  <c r="DU32" i="10"/>
  <c r="DU30" i="10"/>
  <c r="DU22" i="10"/>
  <c r="DU16" i="10"/>
  <c r="DU130" i="10"/>
  <c r="DS159" i="14" s="1"/>
  <c r="DR156" i="14" s="1"/>
  <c r="DR160" i="14" s="1"/>
  <c r="DU38" i="10"/>
  <c r="DU28" i="10"/>
  <c r="DU24" i="10"/>
  <c r="DU20" i="10"/>
  <c r="DU18" i="10"/>
  <c r="DU14" i="10"/>
  <c r="DV5" i="10"/>
  <c r="DT7" i="10" a="1"/>
  <c r="DT7" i="10" s="1"/>
  <c r="DT6" i="10" s="1"/>
  <c r="DU3" i="10"/>
  <c r="DT84" i="10"/>
  <c r="DT86" i="10" s="1"/>
  <c r="DT90" i="10"/>
  <c r="DT89" i="10"/>
  <c r="DT78" i="10" a="1"/>
  <c r="DT78" i="10" s="1"/>
  <c r="DT75" i="10" a="1"/>
  <c r="DT75" i="10" s="1"/>
  <c r="DT76" i="10" a="1"/>
  <c r="DT76" i="10" s="1"/>
  <c r="DT77" i="10" a="1"/>
  <c r="DT77" i="10" s="1"/>
  <c r="DQ131" i="10"/>
  <c r="DT39" i="10"/>
  <c r="DT47" i="10" s="1"/>
  <c r="DT70" i="10"/>
  <c r="DS91" i="10"/>
  <c r="DV114" i="10" l="1"/>
  <c r="DV115" i="10" s="1"/>
  <c r="DV116" i="10"/>
  <c r="DV50" i="10"/>
  <c r="DV45" i="10"/>
  <c r="DS99" i="10"/>
  <c r="DT96" i="10"/>
  <c r="DS74" i="10"/>
  <c r="DS123" i="10" s="1"/>
  <c r="DS71" i="10"/>
  <c r="DR123" i="10"/>
  <c r="DR131" i="10"/>
  <c r="DT48" i="10"/>
  <c r="DT52" i="10" s="1"/>
  <c r="DT72" i="10" s="1"/>
  <c r="DV108" i="10"/>
  <c r="DV122" i="10"/>
  <c r="DV128" i="10"/>
  <c r="DV124" i="10"/>
  <c r="DV56" i="10"/>
  <c r="DV57" i="10"/>
  <c r="DV58" i="10"/>
  <c r="DV59" i="10"/>
  <c r="DV60" i="10"/>
  <c r="DV61" i="10"/>
  <c r="DV62" i="10"/>
  <c r="DV63" i="10"/>
  <c r="DV43" i="10"/>
  <c r="DV11" i="10"/>
  <c r="DV10" i="10"/>
  <c r="DV66" i="10"/>
  <c r="DV65" i="10"/>
  <c r="DV67" i="10"/>
  <c r="DV64" i="10"/>
  <c r="DV68" i="10"/>
  <c r="DV69" i="10"/>
  <c r="DU95" i="10"/>
  <c r="DU7" i="10" a="1"/>
  <c r="DU7" i="10" s="1"/>
  <c r="DU6" i="10" s="1"/>
  <c r="DV3" i="10"/>
  <c r="DU84" i="10"/>
  <c r="DU86" i="10" s="1"/>
  <c r="DU90" i="10"/>
  <c r="DU89" i="10"/>
  <c r="DU78" i="10" a="1"/>
  <c r="DU78" i="10" s="1"/>
  <c r="DU75" i="10" a="1"/>
  <c r="DU75" i="10" s="1"/>
  <c r="DU77" i="10" a="1"/>
  <c r="DU77" i="10" s="1"/>
  <c r="DU76" i="10" a="1"/>
  <c r="DU76" i="10" s="1"/>
  <c r="DU70" i="10"/>
  <c r="DT91" i="10"/>
  <c r="DV130" i="10"/>
  <c r="DT159" i="14" s="1"/>
  <c r="DS156" i="14" s="1"/>
  <c r="DS160" i="14" s="1"/>
  <c r="DV35" i="10"/>
  <c r="DV31" i="10"/>
  <c r="DV27" i="10"/>
  <c r="DV19" i="10"/>
  <c r="DV15" i="10"/>
  <c r="DV49" i="10"/>
  <c r="DV38" i="10"/>
  <c r="DV36" i="10"/>
  <c r="DV34" i="10"/>
  <c r="DV32" i="10"/>
  <c r="DV30" i="10"/>
  <c r="DV28" i="10"/>
  <c r="DV26" i="10"/>
  <c r="DV24" i="10"/>
  <c r="DV22" i="10"/>
  <c r="DV20" i="10"/>
  <c r="DV18" i="10"/>
  <c r="DV16" i="10"/>
  <c r="DV14" i="10"/>
  <c r="DV12" i="10"/>
  <c r="DW5" i="10"/>
  <c r="DV33" i="10"/>
  <c r="DV23" i="10"/>
  <c r="DV17" i="10"/>
  <c r="DV37" i="10"/>
  <c r="DV29" i="10"/>
  <c r="DV25" i="10"/>
  <c r="DV21" i="10"/>
  <c r="DV13" i="10"/>
  <c r="DV4" i="10"/>
  <c r="DU39" i="10"/>
  <c r="DU47" i="10" s="1"/>
  <c r="DW114" i="10" l="1"/>
  <c r="DW115" i="10" s="1"/>
  <c r="DW116" i="10"/>
  <c r="DW50" i="10"/>
  <c r="DW45" i="10"/>
  <c r="DT99" i="10"/>
  <c r="DS131" i="10"/>
  <c r="DU96" i="10"/>
  <c r="DT74" i="10"/>
  <c r="DT123" i="10" s="1"/>
  <c r="DT71" i="10"/>
  <c r="DW108" i="10"/>
  <c r="DW124" i="10"/>
  <c r="DW128" i="10"/>
  <c r="DW56" i="10"/>
  <c r="DW57" i="10"/>
  <c r="DW58" i="10"/>
  <c r="DW59" i="10"/>
  <c r="DW60" i="10"/>
  <c r="DW61" i="10"/>
  <c r="DW62" i="10"/>
  <c r="DW63" i="10"/>
  <c r="DW122" i="10"/>
  <c r="DW43" i="10"/>
  <c r="DW64" i="10"/>
  <c r="DW66" i="10"/>
  <c r="DW68" i="10"/>
  <c r="DW69" i="10"/>
  <c r="DW65" i="10"/>
  <c r="DW10" i="10"/>
  <c r="DW11" i="10"/>
  <c r="DW67" i="10"/>
  <c r="DU48" i="10"/>
  <c r="DU52" i="10" s="1"/>
  <c r="DU72" i="10" s="1"/>
  <c r="DV95" i="10"/>
  <c r="DU91" i="10"/>
  <c r="DV70" i="10"/>
  <c r="DW49" i="10"/>
  <c r="DW38" i="10"/>
  <c r="DW36" i="10"/>
  <c r="DW34" i="10"/>
  <c r="DW32" i="10"/>
  <c r="DW30" i="10"/>
  <c r="DW28" i="10"/>
  <c r="DW26" i="10"/>
  <c r="DW24" i="10"/>
  <c r="DW22" i="10"/>
  <c r="DW20" i="10"/>
  <c r="DW18" i="10"/>
  <c r="DW16" i="10"/>
  <c r="DW14" i="10"/>
  <c r="DW12" i="10"/>
  <c r="DW4" i="10"/>
  <c r="DX5" i="10"/>
  <c r="DW35" i="10"/>
  <c r="DW23" i="10"/>
  <c r="DW19" i="10"/>
  <c r="DW15" i="10"/>
  <c r="DW130" i="10"/>
  <c r="DU159" i="14" s="1"/>
  <c r="DW37" i="10"/>
  <c r="DW33" i="10"/>
  <c r="DW31" i="10"/>
  <c r="DW29" i="10"/>
  <c r="DW27" i="10"/>
  <c r="DW25" i="10"/>
  <c r="DW21" i="10"/>
  <c r="DW17" i="10"/>
  <c r="DW13" i="10"/>
  <c r="DV39" i="10"/>
  <c r="DV47" i="10" s="1"/>
  <c r="DV7" i="10" a="1"/>
  <c r="DV7" i="10" s="1"/>
  <c r="DV6" i="10" s="1"/>
  <c r="DW3" i="10"/>
  <c r="DV84" i="10"/>
  <c r="DV86" i="10" s="1"/>
  <c r="DV89" i="10"/>
  <c r="DV90" i="10"/>
  <c r="DV76" i="10" a="1"/>
  <c r="DV76" i="10" s="1"/>
  <c r="DV77" i="10" a="1"/>
  <c r="DV77" i="10" s="1"/>
  <c r="DV75" i="10" a="1"/>
  <c r="DV75" i="10" s="1"/>
  <c r="DV78" i="10" a="1"/>
  <c r="DV78" i="10" s="1"/>
  <c r="DX114" i="10" l="1"/>
  <c r="DX115" i="10" s="1"/>
  <c r="E113" i="10" s="1"/>
  <c r="E113" i="11" s="1"/>
  <c r="DX116" i="10"/>
  <c r="DX50" i="10"/>
  <c r="DX45" i="10"/>
  <c r="DV96" i="10"/>
  <c r="DU99" i="10"/>
  <c r="DT131" i="10"/>
  <c r="DU74" i="10"/>
  <c r="DU123" i="10" s="1"/>
  <c r="DU71" i="10"/>
  <c r="DX124" i="10"/>
  <c r="DX108" i="10"/>
  <c r="DX122" i="10"/>
  <c r="DX56" i="10"/>
  <c r="DX58" i="10"/>
  <c r="DX60" i="10"/>
  <c r="DX62" i="10"/>
  <c r="DX64" i="10"/>
  <c r="DX65" i="10"/>
  <c r="DX66" i="10"/>
  <c r="DX67" i="10"/>
  <c r="DX68" i="10"/>
  <c r="DX69" i="10"/>
  <c r="DY5" i="10"/>
  <c r="DX57" i="10"/>
  <c r="DX59" i="10"/>
  <c r="DX61" i="10"/>
  <c r="DX63" i="10"/>
  <c r="DX128" i="10"/>
  <c r="DX10" i="10"/>
  <c r="DX43" i="10"/>
  <c r="DX11" i="10"/>
  <c r="DV48" i="10"/>
  <c r="DV52" i="10" s="1"/>
  <c r="DV72" i="10" s="1"/>
  <c r="DW95" i="10"/>
  <c r="DW70" i="10"/>
  <c r="DW39" i="10"/>
  <c r="DW47" i="10" s="1"/>
  <c r="DV91" i="10"/>
  <c r="DW7" i="10" a="1"/>
  <c r="DW7" i="10" s="1"/>
  <c r="DW6" i="10" s="1"/>
  <c r="DX3" i="10"/>
  <c r="DW89" i="10"/>
  <c r="DW84" i="10"/>
  <c r="DW86" i="10" s="1"/>
  <c r="DW90" i="10"/>
  <c r="DW77" i="10" a="1"/>
  <c r="DW77" i="10" s="1"/>
  <c r="DW75" i="10" a="1"/>
  <c r="DW75" i="10" s="1"/>
  <c r="DW78" i="10" a="1"/>
  <c r="DW78" i="10" s="1"/>
  <c r="DW76" i="10" a="1"/>
  <c r="DW76" i="10" s="1"/>
  <c r="DT156" i="14"/>
  <c r="DT160" i="14" s="1"/>
  <c r="DX130" i="10"/>
  <c r="DV159" i="14" s="1"/>
  <c r="DU156" i="14" s="1"/>
  <c r="DU160" i="14" s="1"/>
  <c r="DX16" i="10"/>
  <c r="DX37" i="10"/>
  <c r="DX35" i="10"/>
  <c r="DX33" i="10"/>
  <c r="DX31" i="10"/>
  <c r="DX29" i="10"/>
  <c r="DX27" i="10"/>
  <c r="DX25" i="10"/>
  <c r="DX23" i="10"/>
  <c r="DX21" i="10"/>
  <c r="DX19" i="10"/>
  <c r="DX17" i="10"/>
  <c r="DX15" i="10"/>
  <c r="DX13" i="10"/>
  <c r="DX4" i="10"/>
  <c r="DX36" i="10"/>
  <c r="DX28" i="10"/>
  <c r="DX26" i="10"/>
  <c r="DX22" i="10"/>
  <c r="DX18" i="10"/>
  <c r="DX14" i="10"/>
  <c r="DX49" i="10"/>
  <c r="DX38" i="10"/>
  <c r="DX34" i="10"/>
  <c r="DX32" i="10"/>
  <c r="DX30" i="10"/>
  <c r="DX24" i="10"/>
  <c r="DX20" i="10"/>
  <c r="DX12" i="10"/>
  <c r="R108" i="11" l="1"/>
  <c r="DV99" i="10"/>
  <c r="DY114" i="10"/>
  <c r="DY115" i="10" s="1"/>
  <c r="DY116" i="10"/>
  <c r="DY50" i="10"/>
  <c r="DY45" i="10"/>
  <c r="DY3" i="10"/>
  <c r="DZ3" i="10" s="1"/>
  <c r="F9" i="8"/>
  <c r="DW96" i="10"/>
  <c r="DU131" i="10"/>
  <c r="DV74" i="10"/>
  <c r="DV123" i="10" s="1"/>
  <c r="DV71" i="10"/>
  <c r="DW48" i="10"/>
  <c r="DW52" i="10" s="1"/>
  <c r="DW71" i="10" s="1"/>
  <c r="DY4" i="10"/>
  <c r="DY108" i="10"/>
  <c r="DY122" i="10"/>
  <c r="DY128" i="10"/>
  <c r="DY124" i="10"/>
  <c r="DY10" i="10"/>
  <c r="DY11" i="10"/>
  <c r="DY56" i="10"/>
  <c r="DY58" i="10"/>
  <c r="DY60" i="10"/>
  <c r="DY62" i="10"/>
  <c r="DY64" i="10"/>
  <c r="DY65" i="10"/>
  <c r="DY66" i="10"/>
  <c r="DY67" i="10"/>
  <c r="DY68" i="10"/>
  <c r="DY69" i="10"/>
  <c r="DY57" i="10"/>
  <c r="DY59" i="10"/>
  <c r="DY61" i="10"/>
  <c r="DY43" i="10"/>
  <c r="DY63" i="10"/>
  <c r="DZ5" i="10"/>
  <c r="DY23" i="10"/>
  <c r="DY12" i="10"/>
  <c r="DY28" i="10"/>
  <c r="DY13" i="10"/>
  <c r="DY29" i="10"/>
  <c r="DY14" i="10"/>
  <c r="DY30" i="10"/>
  <c r="DY27" i="10"/>
  <c r="DY16" i="10"/>
  <c r="DY32" i="10"/>
  <c r="DY17" i="10"/>
  <c r="DY33" i="10"/>
  <c r="DY18" i="10"/>
  <c r="DY34" i="10"/>
  <c r="DY15" i="10"/>
  <c r="DY31" i="10"/>
  <c r="DY20" i="10"/>
  <c r="DY36" i="10"/>
  <c r="DY21" i="10"/>
  <c r="DY37" i="10"/>
  <c r="DY22" i="10"/>
  <c r="DY38" i="10"/>
  <c r="DY19" i="10"/>
  <c r="DY25" i="10"/>
  <c r="DY35" i="10"/>
  <c r="DY24" i="10"/>
  <c r="DY26" i="10"/>
  <c r="DY49" i="10"/>
  <c r="DY130" i="10"/>
  <c r="DX95" i="10"/>
  <c r="DX39" i="10"/>
  <c r="DX47" i="10" s="1"/>
  <c r="DW91" i="10"/>
  <c r="DX70" i="10"/>
  <c r="DV156" i="14"/>
  <c r="DV160" i="14" s="1"/>
  <c r="DX7" i="10" a="1"/>
  <c r="DX7" i="10" s="1"/>
  <c r="DX89" i="10"/>
  <c r="DX84" i="10"/>
  <c r="DX90" i="10"/>
  <c r="F25" i="8"/>
  <c r="F11" i="8"/>
  <c r="F10" i="8"/>
  <c r="F13" i="8"/>
  <c r="DX77" i="10" a="1"/>
  <c r="DX77" i="10" s="1"/>
  <c r="DX75" i="10" a="1"/>
  <c r="DX75" i="10" s="1"/>
  <c r="DX76" i="10" a="1"/>
  <c r="DX76" i="10" s="1"/>
  <c r="DX78" i="10" a="1"/>
  <c r="DX78" i="10" s="1"/>
  <c r="DY89" i="10" l="1"/>
  <c r="DY78" i="10" a="1"/>
  <c r="DY78" i="10" s="1"/>
  <c r="DY75" i="10" a="1"/>
  <c r="DY75" i="10" s="1"/>
  <c r="DY84" i="10"/>
  <c r="DY86" i="10" s="1"/>
  <c r="DY76" i="10" a="1"/>
  <c r="DY76" i="10" s="1"/>
  <c r="DY90" i="10"/>
  <c r="DY7" i="10" a="1"/>
  <c r="DY7" i="10" s="1"/>
  <c r="DY6" i="10" s="1"/>
  <c r="DY95" i="10"/>
  <c r="DY96" i="10" s="1"/>
  <c r="DY77" i="10" a="1"/>
  <c r="DY77" i="10" s="1"/>
  <c r="DX6" i="10"/>
  <c r="R7" i="11"/>
  <c r="R6" i="11" s="1"/>
  <c r="DW99" i="10"/>
  <c r="DZ114" i="10"/>
  <c r="DZ115" i="10" s="1"/>
  <c r="DZ116" i="10"/>
  <c r="DW72" i="10"/>
  <c r="DZ50" i="10"/>
  <c r="DZ45" i="10"/>
  <c r="G9" i="8"/>
  <c r="H9" i="8"/>
  <c r="DV131" i="10"/>
  <c r="F8" i="8"/>
  <c r="DY39" i="10"/>
  <c r="DY47" i="10" s="1"/>
  <c r="DY70" i="10"/>
  <c r="DX48" i="10"/>
  <c r="DX52" i="10" s="1"/>
  <c r="DX71" i="10" s="1"/>
  <c r="DZ108" i="10"/>
  <c r="DZ122" i="10"/>
  <c r="DZ128" i="10"/>
  <c r="DZ56" i="10"/>
  <c r="DZ57" i="10"/>
  <c r="DZ58" i="10"/>
  <c r="DZ59" i="10"/>
  <c r="DZ60" i="10"/>
  <c r="DZ61" i="10"/>
  <c r="DZ62" i="10"/>
  <c r="DZ63" i="10"/>
  <c r="DZ43" i="10"/>
  <c r="DZ10" i="10"/>
  <c r="DZ11" i="10"/>
  <c r="DZ124" i="10"/>
  <c r="DZ65" i="10"/>
  <c r="DZ67" i="10"/>
  <c r="DZ64" i="10"/>
  <c r="DZ66" i="10"/>
  <c r="DZ68" i="10"/>
  <c r="DZ69" i="10"/>
  <c r="DZ4" i="10"/>
  <c r="EA5" i="10"/>
  <c r="DZ14" i="10"/>
  <c r="DZ30" i="10"/>
  <c r="DZ12" i="10"/>
  <c r="DZ28" i="10"/>
  <c r="DZ25" i="10"/>
  <c r="DZ19" i="10"/>
  <c r="DZ34" i="10"/>
  <c r="DZ21" i="10"/>
  <c r="DZ18" i="10"/>
  <c r="DZ33" i="10"/>
  <c r="DZ16" i="10"/>
  <c r="DZ32" i="10"/>
  <c r="DZ49" i="10"/>
  <c r="DZ23" i="10"/>
  <c r="DZ38" i="10"/>
  <c r="DZ36" i="10"/>
  <c r="DZ22" i="10"/>
  <c r="DZ37" i="10"/>
  <c r="DZ20" i="10"/>
  <c r="DZ35" i="10"/>
  <c r="DZ130" i="10"/>
  <c r="DZ27" i="10"/>
  <c r="DZ29" i="10"/>
  <c r="DZ26" i="10"/>
  <c r="DZ15" i="10"/>
  <c r="DZ31" i="10"/>
  <c r="DZ24" i="10"/>
  <c r="DZ13" i="10"/>
  <c r="DZ17" i="10"/>
  <c r="DY91" i="10"/>
  <c r="DZ76" i="10" a="1"/>
  <c r="DZ76" i="10" s="1"/>
  <c r="DZ78" i="10" a="1"/>
  <c r="DZ78" i="10" s="1"/>
  <c r="DZ77" i="10" a="1"/>
  <c r="DZ77" i="10" s="1"/>
  <c r="DZ7" i="10" a="1"/>
  <c r="DZ7" i="10" s="1"/>
  <c r="DZ6" i="10" s="1"/>
  <c r="EA3" i="10"/>
  <c r="DZ84" i="10"/>
  <c r="DZ86" i="10" s="1"/>
  <c r="DZ89" i="10"/>
  <c r="DZ95" i="10"/>
  <c r="DZ90" i="10"/>
  <c r="DZ75" i="10" a="1"/>
  <c r="DZ75" i="10" s="1"/>
  <c r="DW74" i="10"/>
  <c r="DW123" i="10" s="1"/>
  <c r="G13" i="8"/>
  <c r="H13" i="8"/>
  <c r="H10" i="8"/>
  <c r="G10" i="8"/>
  <c r="H25" i="8"/>
  <c r="G25" i="8"/>
  <c r="DX96" i="10"/>
  <c r="G95" i="10"/>
  <c r="G96" i="11" s="1"/>
  <c r="DX86" i="10"/>
  <c r="G84" i="10"/>
  <c r="G85" i="11" s="1"/>
  <c r="G11" i="8"/>
  <c r="H11" i="8"/>
  <c r="G90" i="10"/>
  <c r="G91" i="11" s="1"/>
  <c r="DX91" i="10"/>
  <c r="G89" i="10"/>
  <c r="G90" i="11" s="1"/>
  <c r="G86" i="10" l="1"/>
  <c r="G87" i="11" s="1"/>
  <c r="EA114" i="10"/>
  <c r="EA115" i="10" s="1"/>
  <c r="EA116" i="10"/>
  <c r="DY48" i="10"/>
  <c r="DY52" i="10" s="1"/>
  <c r="DY72" i="10" s="1"/>
  <c r="DX72" i="10"/>
  <c r="EA50" i="10"/>
  <c r="EA45" i="10"/>
  <c r="F12" i="8"/>
  <c r="F14" i="8" s="1"/>
  <c r="H8" i="8"/>
  <c r="G8" i="8"/>
  <c r="DX74" i="10"/>
  <c r="DZ39" i="10"/>
  <c r="DZ47" i="10" s="1"/>
  <c r="DZ70" i="10"/>
  <c r="EA108" i="10"/>
  <c r="EA124" i="10"/>
  <c r="EA122" i="10"/>
  <c r="EA56" i="10"/>
  <c r="EA57" i="10"/>
  <c r="EA58" i="10"/>
  <c r="EA59" i="10"/>
  <c r="EA60" i="10"/>
  <c r="EA61" i="10"/>
  <c r="EA62" i="10"/>
  <c r="EA63" i="10"/>
  <c r="EA128" i="10"/>
  <c r="EA43" i="10"/>
  <c r="EA65" i="10"/>
  <c r="EA67" i="10"/>
  <c r="EA10" i="10"/>
  <c r="EA64" i="10"/>
  <c r="EA66" i="10"/>
  <c r="EA68" i="10"/>
  <c r="EA69" i="10"/>
  <c r="EA11" i="10"/>
  <c r="EA4" i="10"/>
  <c r="EB5" i="10"/>
  <c r="EA21" i="10"/>
  <c r="EA14" i="10"/>
  <c r="EA30" i="10"/>
  <c r="EA16" i="10"/>
  <c r="EA32" i="10"/>
  <c r="EA130" i="10"/>
  <c r="EA27" i="10"/>
  <c r="EA25" i="10"/>
  <c r="EA18" i="10"/>
  <c r="EA34" i="10"/>
  <c r="EA20" i="10"/>
  <c r="EA49" i="10"/>
  <c r="EA15" i="10"/>
  <c r="EA31" i="10"/>
  <c r="EA13" i="10"/>
  <c r="EA29" i="10"/>
  <c r="EA22" i="10"/>
  <c r="EA24" i="10"/>
  <c r="EA33" i="10"/>
  <c r="EA19" i="10"/>
  <c r="EA38" i="10"/>
  <c r="EA37" i="10"/>
  <c r="EA36" i="10"/>
  <c r="EA26" i="10"/>
  <c r="EA23" i="10"/>
  <c r="EA12" i="10"/>
  <c r="EA35" i="10"/>
  <c r="EA17" i="10"/>
  <c r="EA28" i="10"/>
  <c r="DY99" i="10"/>
  <c r="DZ91" i="10"/>
  <c r="EA7" i="10" a="1"/>
  <c r="EA7" i="10" s="1"/>
  <c r="EA6" i="10" s="1"/>
  <c r="EA78" i="10" a="1"/>
  <c r="EA78" i="10" s="1"/>
  <c r="EB3" i="10"/>
  <c r="EA77" i="10" a="1"/>
  <c r="EA77" i="10" s="1"/>
  <c r="EA76" i="10" a="1"/>
  <c r="EA76" i="10" s="1"/>
  <c r="EA84" i="10"/>
  <c r="EA86" i="10" s="1"/>
  <c r="EA89" i="10"/>
  <c r="EA95" i="10"/>
  <c r="EA90" i="10"/>
  <c r="EA75" i="10" a="1"/>
  <c r="EA75" i="10" s="1"/>
  <c r="DZ96" i="10"/>
  <c r="DW131" i="10"/>
  <c r="DX99" i="10"/>
  <c r="G96" i="10"/>
  <c r="G97" i="11" s="1"/>
  <c r="DX123" i="10" l="1"/>
  <c r="EB114" i="10"/>
  <c r="EB115" i="10" s="1"/>
  <c r="EB116" i="10"/>
  <c r="DZ48" i="10"/>
  <c r="H12" i="8"/>
  <c r="G12" i="8"/>
  <c r="EB50" i="10"/>
  <c r="EB45" i="10"/>
  <c r="I12" i="8"/>
  <c r="I11" i="8"/>
  <c r="I9" i="8"/>
  <c r="DX131" i="10"/>
  <c r="EA39" i="10"/>
  <c r="EA47" i="10" s="1"/>
  <c r="EA70" i="10"/>
  <c r="DY74" i="10"/>
  <c r="DY71" i="10"/>
  <c r="EB108" i="10"/>
  <c r="EB124" i="10"/>
  <c r="EB128" i="10"/>
  <c r="EB57" i="10"/>
  <c r="EB59" i="10"/>
  <c r="EB61" i="10"/>
  <c r="EB63" i="10"/>
  <c r="EB64" i="10"/>
  <c r="EB65" i="10"/>
  <c r="EB66" i="10"/>
  <c r="EB67" i="10"/>
  <c r="EB68" i="10"/>
  <c r="EB69" i="10"/>
  <c r="EB56" i="10"/>
  <c r="EB58" i="10"/>
  <c r="EB60" i="10"/>
  <c r="EB62" i="10"/>
  <c r="EB11" i="10"/>
  <c r="EB43" i="10"/>
  <c r="EB122" i="10"/>
  <c r="EB10" i="10"/>
  <c r="EC5" i="10"/>
  <c r="EB4" i="10"/>
  <c r="EB13" i="10"/>
  <c r="EB28" i="10"/>
  <c r="EB15" i="10"/>
  <c r="EB18" i="10"/>
  <c r="EB36" i="10"/>
  <c r="EB24" i="10"/>
  <c r="EB17" i="10"/>
  <c r="EB19" i="10"/>
  <c r="EB21" i="10"/>
  <c r="EB16" i="10"/>
  <c r="EB31" i="10"/>
  <c r="EB32" i="10"/>
  <c r="EB27" i="10"/>
  <c r="EB23" i="10"/>
  <c r="EB25" i="10"/>
  <c r="EB49" i="10"/>
  <c r="EB29" i="10"/>
  <c r="EB26" i="10"/>
  <c r="EB35" i="10"/>
  <c r="EB14" i="10"/>
  <c r="EB22" i="10"/>
  <c r="EB34" i="10"/>
  <c r="EB33" i="10"/>
  <c r="EB37" i="10"/>
  <c r="EB130" i="10"/>
  <c r="EB38" i="10"/>
  <c r="EB12" i="10"/>
  <c r="EB30" i="10"/>
  <c r="EB20" i="10"/>
  <c r="DZ99" i="10"/>
  <c r="EA96" i="10"/>
  <c r="EB7" i="10" a="1"/>
  <c r="EB7" i="10" s="1"/>
  <c r="EB6" i="10" s="1"/>
  <c r="EB78" i="10" a="1"/>
  <c r="EB78" i="10" s="1"/>
  <c r="EC3" i="10"/>
  <c r="EB76" i="10" a="1"/>
  <c r="EB76" i="10" s="1"/>
  <c r="EB77" i="10" a="1"/>
  <c r="EB77" i="10" s="1"/>
  <c r="EB84" i="10"/>
  <c r="EB86" i="10" s="1"/>
  <c r="EB90" i="10"/>
  <c r="EB89" i="10"/>
  <c r="EB95" i="10"/>
  <c r="EB75" i="10" a="1"/>
  <c r="EB75" i="10" s="1"/>
  <c r="EA91" i="10"/>
  <c r="I14" i="8"/>
  <c r="I28" i="8"/>
  <c r="I13" i="8"/>
  <c r="I8" i="8"/>
  <c r="I25" i="8"/>
  <c r="I10" i="8"/>
  <c r="G14" i="8"/>
  <c r="H14" i="8"/>
  <c r="DZ52" i="10" l="1"/>
  <c r="DZ72" i="10" s="1"/>
  <c r="EC114" i="10"/>
  <c r="EC115" i="10" s="1"/>
  <c r="EC116" i="10"/>
  <c r="EA48" i="10"/>
  <c r="EA52" i="10" s="1"/>
  <c r="EA72" i="10" s="1"/>
  <c r="EA99" i="10"/>
  <c r="EC50" i="10"/>
  <c r="EC45" i="10"/>
  <c r="EB70" i="10"/>
  <c r="EB39" i="10"/>
  <c r="EB47" i="10" s="1"/>
  <c r="DY123" i="10"/>
  <c r="DY131" i="10"/>
  <c r="EC122" i="10"/>
  <c r="EC128" i="10"/>
  <c r="EC108" i="10"/>
  <c r="EC124" i="10"/>
  <c r="EC10" i="10"/>
  <c r="EC11" i="10"/>
  <c r="EC69" i="10"/>
  <c r="EC57" i="10"/>
  <c r="EC59" i="10"/>
  <c r="EC61" i="10"/>
  <c r="EC63" i="10"/>
  <c r="EC64" i="10"/>
  <c r="EC65" i="10"/>
  <c r="EC66" i="10"/>
  <c r="EC67" i="10"/>
  <c r="EC68" i="10"/>
  <c r="EC56" i="10"/>
  <c r="EC43" i="10"/>
  <c r="EC62" i="10"/>
  <c r="EC58" i="10"/>
  <c r="EC60" i="10"/>
  <c r="EC4" i="10"/>
  <c r="ED5" i="10"/>
  <c r="EC28" i="10"/>
  <c r="EC29" i="10"/>
  <c r="EC24" i="10"/>
  <c r="EC13" i="10"/>
  <c r="EC33" i="10"/>
  <c r="EC21" i="10"/>
  <c r="EC30" i="10"/>
  <c r="EC34" i="10"/>
  <c r="EC17" i="10"/>
  <c r="EC32" i="10"/>
  <c r="EC27" i="10"/>
  <c r="EC37" i="10"/>
  <c r="EC130" i="10"/>
  <c r="EC35" i="10"/>
  <c r="EC12" i="10"/>
  <c r="EC38" i="10"/>
  <c r="EC19" i="10"/>
  <c r="EC36" i="10"/>
  <c r="EC18" i="10"/>
  <c r="EC14" i="10"/>
  <c r="EC31" i="10"/>
  <c r="EC16" i="10"/>
  <c r="EC22" i="10"/>
  <c r="EC49" i="10"/>
  <c r="EC25" i="10"/>
  <c r="EC20" i="10"/>
  <c r="EC26" i="10"/>
  <c r="EC23" i="10"/>
  <c r="EC15" i="10"/>
  <c r="EB96" i="10"/>
  <c r="ED3" i="10"/>
  <c r="EC76" i="10" a="1"/>
  <c r="EC76" i="10" s="1"/>
  <c r="EC7" i="10" a="1"/>
  <c r="EC7" i="10" s="1"/>
  <c r="EC6" i="10" s="1"/>
  <c r="EC78" i="10" a="1"/>
  <c r="EC78" i="10" s="1"/>
  <c r="EC77" i="10" a="1"/>
  <c r="EC77" i="10" s="1"/>
  <c r="EC84" i="10"/>
  <c r="EC86" i="10" s="1"/>
  <c r="EC89" i="10"/>
  <c r="EC95" i="10"/>
  <c r="EC90" i="10"/>
  <c r="EC75" i="10" a="1"/>
  <c r="EC75" i="10" s="1"/>
  <c r="EB91" i="10"/>
  <c r="DZ71" i="10" l="1"/>
  <c r="DZ74" i="10"/>
  <c r="DZ131" i="10" s="1"/>
  <c r="ED114" i="10"/>
  <c r="ED115" i="10" s="1"/>
  <c r="ED116" i="10"/>
  <c r="EB48" i="10"/>
  <c r="EB52" i="10" s="1"/>
  <c r="EB72" i="10" s="1"/>
  <c r="ED50" i="10"/>
  <c r="ED45" i="10"/>
  <c r="EB99" i="10"/>
  <c r="EA74" i="10"/>
  <c r="EA71" i="10"/>
  <c r="EC70" i="10"/>
  <c r="EC39" i="10"/>
  <c r="EC47" i="10" s="1"/>
  <c r="ED108" i="10"/>
  <c r="ED122" i="10"/>
  <c r="ED128" i="10"/>
  <c r="ED124" i="10"/>
  <c r="ED56" i="10"/>
  <c r="ED57" i="10"/>
  <c r="ED58" i="10"/>
  <c r="ED59" i="10"/>
  <c r="ED60" i="10"/>
  <c r="ED61" i="10"/>
  <c r="ED62" i="10"/>
  <c r="ED63" i="10"/>
  <c r="ED43" i="10"/>
  <c r="ED11" i="10"/>
  <c r="ED10" i="10"/>
  <c r="ED64" i="10"/>
  <c r="ED66" i="10"/>
  <c r="ED65" i="10"/>
  <c r="ED67" i="10"/>
  <c r="ED68" i="10"/>
  <c r="ED69" i="10"/>
  <c r="ED4" i="10"/>
  <c r="EE5" i="10"/>
  <c r="ED13" i="10"/>
  <c r="ED29" i="10"/>
  <c r="ED130" i="10"/>
  <c r="ED18" i="10"/>
  <c r="ED33" i="10"/>
  <c r="ED16" i="10"/>
  <c r="ED19" i="10"/>
  <c r="ED34" i="10"/>
  <c r="ED17" i="10"/>
  <c r="ED32" i="10"/>
  <c r="ED20" i="10"/>
  <c r="ED22" i="10"/>
  <c r="ED37" i="10"/>
  <c r="ED24" i="10"/>
  <c r="ED23" i="10"/>
  <c r="ED38" i="10"/>
  <c r="ED21" i="10"/>
  <c r="ED36" i="10"/>
  <c r="ED28" i="10"/>
  <c r="ED26" i="10"/>
  <c r="ED35" i="10"/>
  <c r="ED27" i="10"/>
  <c r="ED14" i="10"/>
  <c r="ED31" i="10"/>
  <c r="ED30" i="10"/>
  <c r="ED25" i="10"/>
  <c r="ED12" i="10"/>
  <c r="ED49" i="10"/>
  <c r="ED15" i="10"/>
  <c r="EC96" i="10"/>
  <c r="EC91" i="10"/>
  <c r="ED78" i="10" a="1"/>
  <c r="ED78" i="10" s="1"/>
  <c r="ED77" i="10" a="1"/>
  <c r="ED77" i="10" s="1"/>
  <c r="EE3" i="10"/>
  <c r="ED7" i="10" a="1"/>
  <c r="ED7" i="10" s="1"/>
  <c r="ED6" i="10" s="1"/>
  <c r="ED76" i="10" a="1"/>
  <c r="ED76" i="10" s="1"/>
  <c r="ED84" i="10"/>
  <c r="ED86" i="10" s="1"/>
  <c r="ED89" i="10"/>
  <c r="ED95" i="10"/>
  <c r="ED90" i="10"/>
  <c r="ED75" i="10" a="1"/>
  <c r="ED75" i="10" s="1"/>
  <c r="DZ123" i="10" l="1"/>
  <c r="EE114" i="10"/>
  <c r="EE115" i="10" s="1"/>
  <c r="EE116" i="10"/>
  <c r="EC48" i="10"/>
  <c r="EC52" i="10" s="1"/>
  <c r="EC72" i="10" s="1"/>
  <c r="EE50" i="10"/>
  <c r="EE45" i="10"/>
  <c r="EB74" i="10"/>
  <c r="EB71" i="10"/>
  <c r="ED39" i="10"/>
  <c r="ED47" i="10" s="1"/>
  <c r="ED70" i="10"/>
  <c r="EA131" i="10"/>
  <c r="EA123" i="10"/>
  <c r="EE108" i="10"/>
  <c r="EE124" i="10"/>
  <c r="EE128" i="10"/>
  <c r="EE56" i="10"/>
  <c r="EE57" i="10"/>
  <c r="EE58" i="10"/>
  <c r="EE59" i="10"/>
  <c r="EE60" i="10"/>
  <c r="EE61" i="10"/>
  <c r="EE62" i="10"/>
  <c r="EE63" i="10"/>
  <c r="EE122" i="10"/>
  <c r="EE43" i="10"/>
  <c r="EE64" i="10"/>
  <c r="EE66" i="10"/>
  <c r="EE68" i="10"/>
  <c r="EE69" i="10"/>
  <c r="EE11" i="10"/>
  <c r="EE65" i="10"/>
  <c r="EE67" i="10"/>
  <c r="EE10" i="10"/>
  <c r="EE4" i="10"/>
  <c r="EF5" i="10"/>
  <c r="EE22" i="10"/>
  <c r="EE35" i="10"/>
  <c r="EE19" i="10"/>
  <c r="EE16" i="10"/>
  <c r="EE28" i="10"/>
  <c r="EE25" i="10"/>
  <c r="EE26" i="10"/>
  <c r="EE130" i="10"/>
  <c r="EE23" i="10"/>
  <c r="EE33" i="10"/>
  <c r="EE24" i="10"/>
  <c r="EE13" i="10"/>
  <c r="EE29" i="10"/>
  <c r="EE14" i="10"/>
  <c r="EE30" i="10"/>
  <c r="EE34" i="10"/>
  <c r="EE27" i="10"/>
  <c r="EE38" i="10"/>
  <c r="EE37" i="10"/>
  <c r="EE17" i="10"/>
  <c r="EE32" i="10"/>
  <c r="EE31" i="10"/>
  <c r="EE49" i="10"/>
  <c r="EE18" i="10"/>
  <c r="EE12" i="10"/>
  <c r="EE36" i="10"/>
  <c r="EE20" i="10"/>
  <c r="EE15" i="10"/>
  <c r="EE21" i="10"/>
  <c r="ED96" i="10"/>
  <c r="EC99" i="10"/>
  <c r="ED91" i="10"/>
  <c r="EE7" i="10" a="1"/>
  <c r="EE7" i="10" s="1"/>
  <c r="EE6" i="10" s="1"/>
  <c r="EE76" i="10" a="1"/>
  <c r="EE76" i="10" s="1"/>
  <c r="EF3" i="10"/>
  <c r="EE78" i="10" a="1"/>
  <c r="EE78" i="10" s="1"/>
  <c r="EE77" i="10" a="1"/>
  <c r="EE77" i="10" s="1"/>
  <c r="EE84" i="10"/>
  <c r="EE86" i="10" s="1"/>
  <c r="EE89" i="10"/>
  <c r="EE95" i="10"/>
  <c r="EE90" i="10"/>
  <c r="EE75" i="10" a="1"/>
  <c r="EE75" i="10" s="1"/>
  <c r="EF114" i="10" l="1"/>
  <c r="EF115" i="10" s="1"/>
  <c r="EF116" i="10"/>
  <c r="ED48" i="10"/>
  <c r="ED52" i="10" s="1"/>
  <c r="ED72" i="10" s="1"/>
  <c r="EF50" i="10"/>
  <c r="EF45" i="10"/>
  <c r="EE70" i="10"/>
  <c r="EC74" i="10"/>
  <c r="EC71" i="10"/>
  <c r="ED99" i="10"/>
  <c r="EE39" i="10"/>
  <c r="EE47" i="10" s="1"/>
  <c r="EB131" i="10"/>
  <c r="EB123" i="10"/>
  <c r="EF124" i="10"/>
  <c r="EF122" i="10"/>
  <c r="EF56" i="10"/>
  <c r="EF58" i="10"/>
  <c r="EF60" i="10"/>
  <c r="EF62" i="10"/>
  <c r="EF64" i="10"/>
  <c r="EF65" i="10"/>
  <c r="EF66" i="10"/>
  <c r="EF67" i="10"/>
  <c r="EF68" i="10"/>
  <c r="EF69" i="10"/>
  <c r="EF57" i="10"/>
  <c r="EF59" i="10"/>
  <c r="EF61" i="10"/>
  <c r="EF63" i="10"/>
  <c r="EF108" i="10"/>
  <c r="EF128" i="10"/>
  <c r="EF10" i="10"/>
  <c r="EF43" i="10"/>
  <c r="EF11" i="10"/>
  <c r="EG5" i="10"/>
  <c r="EF4" i="10"/>
  <c r="EF16" i="10"/>
  <c r="EF34" i="10"/>
  <c r="EF21" i="10"/>
  <c r="EF25" i="10"/>
  <c r="EF14" i="10"/>
  <c r="EF36" i="10"/>
  <c r="EF28" i="10"/>
  <c r="EF49" i="10"/>
  <c r="EF24" i="10"/>
  <c r="EF29" i="10"/>
  <c r="EF35" i="10"/>
  <c r="EF31" i="10"/>
  <c r="EF22" i="10"/>
  <c r="EF13" i="10"/>
  <c r="EF33" i="10"/>
  <c r="EF130" i="10"/>
  <c r="EF17" i="10"/>
  <c r="EF19" i="10"/>
  <c r="EF18" i="10"/>
  <c r="EF38" i="10"/>
  <c r="EF30" i="10"/>
  <c r="EF12" i="10"/>
  <c r="EF32" i="10"/>
  <c r="EF27" i="10"/>
  <c r="EF23" i="10"/>
  <c r="EF15" i="10"/>
  <c r="EF37" i="10"/>
  <c r="EF20" i="10"/>
  <c r="EF26" i="10"/>
  <c r="EE96" i="10"/>
  <c r="EE91" i="10"/>
  <c r="EF78" i="10" a="1"/>
  <c r="EF78" i="10" s="1"/>
  <c r="EG3" i="10"/>
  <c r="EF76" i="10" a="1"/>
  <c r="EF76" i="10" s="1"/>
  <c r="EF7" i="10" a="1"/>
  <c r="EF7" i="10" s="1"/>
  <c r="EF6" i="10" s="1"/>
  <c r="EF77" i="10" a="1"/>
  <c r="EF77" i="10" s="1"/>
  <c r="EF84" i="10"/>
  <c r="EF86" i="10" s="1"/>
  <c r="EF90" i="10"/>
  <c r="EF89" i="10"/>
  <c r="EF95" i="10"/>
  <c r="EF75" i="10" a="1"/>
  <c r="EF75" i="10" s="1"/>
  <c r="D17" i="6"/>
  <c r="E17" i="6"/>
  <c r="J91" i="10"/>
  <c r="J99" i="10" s="1"/>
  <c r="J100" i="10" s="1"/>
  <c r="K91" i="10"/>
  <c r="K99" i="10" s="1"/>
  <c r="K100" i="10" s="1"/>
  <c r="L91" i="10"/>
  <c r="L99" i="10" s="1"/>
  <c r="L100" i="10" s="1"/>
  <c r="M91" i="10"/>
  <c r="M99" i="10" s="1"/>
  <c r="M100" i="10" s="1"/>
  <c r="N91" i="10"/>
  <c r="N99" i="10" s="1"/>
  <c r="N100" i="10" s="1"/>
  <c r="O91" i="10"/>
  <c r="O99" i="10" s="1"/>
  <c r="O100" i="10" s="1"/>
  <c r="P91" i="10"/>
  <c r="P99" i="10" s="1"/>
  <c r="P100" i="10" s="1"/>
  <c r="Q91" i="10"/>
  <c r="Q99" i="10" s="1"/>
  <c r="Q100" i="10" s="1"/>
  <c r="R91" i="10"/>
  <c r="R99" i="10" s="1"/>
  <c r="R100" i="10" s="1"/>
  <c r="S91" i="10"/>
  <c r="S99" i="10" s="1"/>
  <c r="S100" i="10" s="1"/>
  <c r="T91" i="10"/>
  <c r="T99" i="10" s="1"/>
  <c r="T100" i="10" s="1"/>
  <c r="U91" i="10"/>
  <c r="V91" i="10"/>
  <c r="W91" i="10"/>
  <c r="W99" i="10" s="1"/>
  <c r="W100" i="10" s="1"/>
  <c r="X91" i="10"/>
  <c r="X99" i="10" s="1"/>
  <c r="X100" i="10" s="1"/>
  <c r="Y91" i="10"/>
  <c r="Y99" i="10" s="1"/>
  <c r="Y100" i="10" s="1"/>
  <c r="Z91" i="10"/>
  <c r="Z99" i="10" s="1"/>
  <c r="Z100" i="10" s="1"/>
  <c r="AA91" i="10"/>
  <c r="AA99" i="10" s="1"/>
  <c r="AA100" i="10" s="1"/>
  <c r="AB91" i="10"/>
  <c r="AB99" i="10" s="1"/>
  <c r="AB100" i="10" s="1"/>
  <c r="AC91" i="10"/>
  <c r="AC99" i="10" s="1"/>
  <c r="AC100" i="10" s="1"/>
  <c r="AD91" i="10"/>
  <c r="AD99" i="10" s="1"/>
  <c r="AD100" i="10" s="1"/>
  <c r="U99" i="10" l="1"/>
  <c r="U100" i="10" s="1"/>
  <c r="EG114" i="10"/>
  <c r="EG115" i="10" s="1"/>
  <c r="EG116" i="10"/>
  <c r="EE48" i="10"/>
  <c r="EE52" i="10" s="1"/>
  <c r="EE72" i="10" s="1"/>
  <c r="EG50" i="10"/>
  <c r="EG45" i="10"/>
  <c r="EE99" i="10"/>
  <c r="EF39" i="10"/>
  <c r="EF47" i="10" s="1"/>
  <c r="EF70" i="10"/>
  <c r="ED74" i="10"/>
  <c r="ED71" i="10"/>
  <c r="EC123" i="10"/>
  <c r="EC131" i="10"/>
  <c r="EG108" i="10"/>
  <c r="EG122" i="10"/>
  <c r="EG128" i="10"/>
  <c r="EG124" i="10"/>
  <c r="EG10" i="10"/>
  <c r="EG11" i="10"/>
  <c r="EG56" i="10"/>
  <c r="EG58" i="10"/>
  <c r="EG60" i="10"/>
  <c r="EG62" i="10"/>
  <c r="EG64" i="10"/>
  <c r="EG65" i="10"/>
  <c r="EG66" i="10"/>
  <c r="EG67" i="10"/>
  <c r="EG68" i="10"/>
  <c r="EG69" i="10"/>
  <c r="EG63" i="10"/>
  <c r="EG61" i="10"/>
  <c r="EG57" i="10"/>
  <c r="EG59" i="10"/>
  <c r="EG43" i="10"/>
  <c r="EG4" i="10"/>
  <c r="EH5" i="10"/>
  <c r="EG31" i="10"/>
  <c r="EG17" i="10"/>
  <c r="EG49" i="10"/>
  <c r="EG33" i="10"/>
  <c r="EG30" i="10"/>
  <c r="EG21" i="10"/>
  <c r="EG24" i="10"/>
  <c r="EG35" i="10"/>
  <c r="EG25" i="10"/>
  <c r="EG22" i="10"/>
  <c r="EG37" i="10"/>
  <c r="EG130" i="10"/>
  <c r="EG29" i="10"/>
  <c r="EG18" i="10"/>
  <c r="EG15" i="10"/>
  <c r="EG14" i="10"/>
  <c r="EG32" i="10"/>
  <c r="EG19" i="10"/>
  <c r="EG26" i="10"/>
  <c r="EG34" i="10"/>
  <c r="EG12" i="10"/>
  <c r="EG23" i="10"/>
  <c r="EG16" i="10"/>
  <c r="EG20" i="10"/>
  <c r="EG13" i="10"/>
  <c r="EG36" i="10"/>
  <c r="EG38" i="10"/>
  <c r="EG27" i="10"/>
  <c r="EG28" i="10"/>
  <c r="EF91" i="10"/>
  <c r="EG7" i="10" a="1"/>
  <c r="EG7" i="10" s="1"/>
  <c r="EG6" i="10" s="1"/>
  <c r="EG77" i="10" a="1"/>
  <c r="EG77" i="10" s="1"/>
  <c r="EH3" i="10"/>
  <c r="EG78" i="10" a="1"/>
  <c r="EG78" i="10" s="1"/>
  <c r="EG76" i="10" a="1"/>
  <c r="EG76" i="10" s="1"/>
  <c r="EG84" i="10"/>
  <c r="EG86" i="10" s="1"/>
  <c r="EG89" i="10"/>
  <c r="EG95" i="10"/>
  <c r="EG90" i="10"/>
  <c r="EG75" i="10" a="1"/>
  <c r="EG75" i="10" s="1"/>
  <c r="EF96" i="10"/>
  <c r="V99" i="10"/>
  <c r="V100" i="10" s="1"/>
  <c r="EH114" i="10" l="1"/>
  <c r="EH115" i="10" s="1"/>
  <c r="EH116" i="10"/>
  <c r="EF48" i="10"/>
  <c r="EF52" i="10" s="1"/>
  <c r="EF72" i="10" s="1"/>
  <c r="EH50" i="10"/>
  <c r="EH45" i="10"/>
  <c r="EF99" i="10"/>
  <c r="ED131" i="10"/>
  <c r="ED123" i="10"/>
  <c r="EG70" i="10"/>
  <c r="EE74" i="10"/>
  <c r="EE71" i="10"/>
  <c r="EG39" i="10"/>
  <c r="EG47" i="10" s="1"/>
  <c r="EH108" i="10"/>
  <c r="EH122" i="10"/>
  <c r="EH128" i="10"/>
  <c r="EH56" i="10"/>
  <c r="EH57" i="10"/>
  <c r="EH58" i="10"/>
  <c r="EH59" i="10"/>
  <c r="EH60" i="10"/>
  <c r="EH61" i="10"/>
  <c r="EH62" i="10"/>
  <c r="EH63" i="10"/>
  <c r="EH43" i="10"/>
  <c r="EH10" i="10"/>
  <c r="EH124" i="10"/>
  <c r="EH11" i="10"/>
  <c r="EH64" i="10"/>
  <c r="EH66" i="10"/>
  <c r="EH68" i="10"/>
  <c r="EH69" i="10"/>
  <c r="EH65" i="10"/>
  <c r="EH67" i="10"/>
  <c r="EH4" i="10"/>
  <c r="EI5" i="10"/>
  <c r="EH12" i="10"/>
  <c r="EH28" i="10"/>
  <c r="EH34" i="10"/>
  <c r="EH25" i="10"/>
  <c r="EH49" i="10"/>
  <c r="EH18" i="10"/>
  <c r="EH33" i="10"/>
  <c r="EH31" i="10"/>
  <c r="EH16" i="10"/>
  <c r="EH35" i="10"/>
  <c r="EH13" i="10"/>
  <c r="EH29" i="10"/>
  <c r="EH130" i="10"/>
  <c r="EH22" i="10"/>
  <c r="EH37" i="10"/>
  <c r="EH38" i="10"/>
  <c r="EH20" i="10"/>
  <c r="EH15" i="10"/>
  <c r="EH17" i="10"/>
  <c r="EH32" i="10"/>
  <c r="EH19" i="10"/>
  <c r="EH26" i="10"/>
  <c r="EH24" i="10"/>
  <c r="EH14" i="10"/>
  <c r="EH27" i="10"/>
  <c r="EH30" i="10"/>
  <c r="EH21" i="10"/>
  <c r="EH36" i="10"/>
  <c r="EH23" i="10"/>
  <c r="EG96" i="10"/>
  <c r="EH77" i="10" a="1"/>
  <c r="EH77" i="10" s="1"/>
  <c r="EH76" i="10" a="1"/>
  <c r="EH76" i="10" s="1"/>
  <c r="EI3" i="10"/>
  <c r="EH78" i="10" a="1"/>
  <c r="EH78" i="10" s="1"/>
  <c r="EH7" i="10" a="1"/>
  <c r="EH7" i="10" s="1"/>
  <c r="EH6" i="10" s="1"/>
  <c r="EH84" i="10"/>
  <c r="EH86" i="10" s="1"/>
  <c r="EH89" i="10"/>
  <c r="EH95" i="10"/>
  <c r="EH90" i="10"/>
  <c r="EH75" i="10" a="1"/>
  <c r="EH75" i="10" s="1"/>
  <c r="EG91" i="10"/>
  <c r="EI114" i="10" l="1"/>
  <c r="EI115" i="10" s="1"/>
  <c r="EI116" i="10"/>
  <c r="EG48" i="10"/>
  <c r="EG52" i="10" s="1"/>
  <c r="EG72" i="10" s="1"/>
  <c r="EI50" i="10"/>
  <c r="EI45" i="10"/>
  <c r="EG99" i="10"/>
  <c r="EH70" i="10"/>
  <c r="EE123" i="10"/>
  <c r="EE131" i="10"/>
  <c r="EF74" i="10"/>
  <c r="EF71" i="10"/>
  <c r="EH39" i="10"/>
  <c r="EH47" i="10" s="1"/>
  <c r="EI108" i="10"/>
  <c r="EI124" i="10"/>
  <c r="EI122" i="10"/>
  <c r="EI56" i="10"/>
  <c r="EI57" i="10"/>
  <c r="EI58" i="10"/>
  <c r="EI59" i="10"/>
  <c r="EI60" i="10"/>
  <c r="EI61" i="10"/>
  <c r="EI62" i="10"/>
  <c r="EI63" i="10"/>
  <c r="EI43" i="10"/>
  <c r="EI128" i="10"/>
  <c r="EI65" i="10"/>
  <c r="EI67" i="10"/>
  <c r="EI64" i="10"/>
  <c r="EI11" i="10"/>
  <c r="EI10" i="10"/>
  <c r="EI66" i="10"/>
  <c r="EI68" i="10"/>
  <c r="EI69" i="10"/>
  <c r="EI4" i="10"/>
  <c r="EJ5" i="10"/>
  <c r="EI23" i="10"/>
  <c r="EI130" i="10"/>
  <c r="EI27" i="10"/>
  <c r="EI14" i="10"/>
  <c r="EI15" i="10"/>
  <c r="EI30" i="10"/>
  <c r="EI24" i="10"/>
  <c r="EI32" i="10"/>
  <c r="EI36" i="10"/>
  <c r="EI25" i="10"/>
  <c r="EI22" i="10"/>
  <c r="EI19" i="10"/>
  <c r="EI12" i="10"/>
  <c r="EI28" i="10"/>
  <c r="EI13" i="10"/>
  <c r="EI29" i="10"/>
  <c r="EI49" i="10"/>
  <c r="EI31" i="10"/>
  <c r="EI16" i="10"/>
  <c r="EI34" i="10"/>
  <c r="EI18" i="10"/>
  <c r="EI17" i="10"/>
  <c r="EI38" i="10"/>
  <c r="EI33" i="10"/>
  <c r="EI20" i="10"/>
  <c r="EI37" i="10"/>
  <c r="EI26" i="10"/>
  <c r="EI21" i="10"/>
  <c r="EI35" i="10"/>
  <c r="EH96" i="10"/>
  <c r="EI78" i="10" a="1"/>
  <c r="EI78" i="10" s="1"/>
  <c r="EJ3" i="10"/>
  <c r="EI7" i="10" a="1"/>
  <c r="EI7" i="10" s="1"/>
  <c r="EI6" i="10" s="1"/>
  <c r="EI77" i="10" a="1"/>
  <c r="EI77" i="10" s="1"/>
  <c r="EI76" i="10" a="1"/>
  <c r="EI76" i="10" s="1"/>
  <c r="EI84" i="10"/>
  <c r="EI86" i="10" s="1"/>
  <c r="EI89" i="10"/>
  <c r="EI95" i="10"/>
  <c r="EI90" i="10"/>
  <c r="EI75" i="10" a="1"/>
  <c r="EI75" i="10" s="1"/>
  <c r="EH91" i="10"/>
  <c r="EJ114" i="10" l="1"/>
  <c r="EJ115" i="10" s="1"/>
  <c r="EJ116" i="10"/>
  <c r="EH48" i="10"/>
  <c r="EH52" i="10" s="1"/>
  <c r="EH72" i="10" s="1"/>
  <c r="EJ50" i="10"/>
  <c r="EJ45" i="10"/>
  <c r="EH99" i="10"/>
  <c r="EI70" i="10"/>
  <c r="EF123" i="10"/>
  <c r="EF131" i="10"/>
  <c r="EI39" i="10"/>
  <c r="EI47" i="10" s="1"/>
  <c r="EG74" i="10"/>
  <c r="EG71" i="10"/>
  <c r="EJ108" i="10"/>
  <c r="EJ124" i="10"/>
  <c r="EJ128" i="10"/>
  <c r="EJ57" i="10"/>
  <c r="EJ59" i="10"/>
  <c r="EJ61" i="10"/>
  <c r="EJ63" i="10"/>
  <c r="EJ64" i="10"/>
  <c r="EJ65" i="10"/>
  <c r="EJ66" i="10"/>
  <c r="EJ67" i="10"/>
  <c r="EJ68" i="10"/>
  <c r="EJ69" i="10"/>
  <c r="EJ56" i="10"/>
  <c r="EJ58" i="10"/>
  <c r="EJ60" i="10"/>
  <c r="EJ62" i="10"/>
  <c r="EJ122" i="10"/>
  <c r="EJ11" i="10"/>
  <c r="EJ10" i="10"/>
  <c r="EJ43" i="10"/>
  <c r="EJ4" i="10"/>
  <c r="I44" i="11" s="1"/>
  <c r="EJ33" i="10"/>
  <c r="EJ38" i="10"/>
  <c r="EJ18" i="10"/>
  <c r="EJ20" i="10"/>
  <c r="EJ21" i="10"/>
  <c r="EJ28" i="10"/>
  <c r="EJ16" i="10"/>
  <c r="EJ23" i="10"/>
  <c r="EJ30" i="10"/>
  <c r="EJ24" i="10"/>
  <c r="EJ15" i="10"/>
  <c r="EJ29" i="10"/>
  <c r="EJ130" i="10"/>
  <c r="EJ17" i="10"/>
  <c r="EJ49" i="10"/>
  <c r="EJ31" i="10"/>
  <c r="EJ19" i="10"/>
  <c r="EJ14" i="10"/>
  <c r="EJ32" i="10"/>
  <c r="EJ26" i="10"/>
  <c r="EJ37" i="10"/>
  <c r="EJ25" i="10"/>
  <c r="EJ12" i="10"/>
  <c r="EJ35" i="10"/>
  <c r="EJ27" i="10"/>
  <c r="EJ36" i="10"/>
  <c r="EJ13" i="10"/>
  <c r="EJ34" i="10"/>
  <c r="EJ22" i="10"/>
  <c r="EI96" i="10"/>
  <c r="EJ77" i="10" a="1"/>
  <c r="EJ77" i="10" s="1"/>
  <c r="EJ76" i="10" a="1"/>
  <c r="EJ76" i="10" s="1"/>
  <c r="EJ7" i="10" a="1"/>
  <c r="EJ7" i="10" s="1"/>
  <c r="EJ6" i="10" s="1"/>
  <c r="EJ78" i="10" a="1"/>
  <c r="EJ78" i="10" s="1"/>
  <c r="EJ84" i="10"/>
  <c r="EJ90" i="10"/>
  <c r="EJ89" i="10"/>
  <c r="EJ95" i="10"/>
  <c r="EJ75" i="10" a="1"/>
  <c r="EJ75" i="10" s="1"/>
  <c r="EI91" i="10"/>
  <c r="I98" i="11" l="1"/>
  <c r="I46" i="11"/>
  <c r="J99" i="11"/>
  <c r="I97" i="11"/>
  <c r="I41" i="11"/>
  <c r="J100" i="11"/>
  <c r="I83" i="11"/>
  <c r="H47" i="11"/>
  <c r="N56" i="11"/>
  <c r="O78" i="11"/>
  <c r="Q49" i="11"/>
  <c r="P56" i="11"/>
  <c r="Q130" i="11"/>
  <c r="O106" i="11"/>
  <c r="O34" i="11"/>
  <c r="N43" i="11"/>
  <c r="O90" i="11"/>
  <c r="M83" i="11"/>
  <c r="O20" i="11"/>
  <c r="P19" i="11"/>
  <c r="Q40" i="11"/>
  <c r="P49" i="11"/>
  <c r="P47" i="11"/>
  <c r="H122" i="11"/>
  <c r="P100" i="11"/>
  <c r="K44" i="11"/>
  <c r="H41" i="11"/>
  <c r="P28" i="11"/>
  <c r="L51" i="11"/>
  <c r="J44" i="11"/>
  <c r="Q47" i="11"/>
  <c r="O30" i="11"/>
  <c r="P69" i="11"/>
  <c r="P11" i="11"/>
  <c r="Q15" i="11"/>
  <c r="O57" i="11"/>
  <c r="N15" i="11"/>
  <c r="P18" i="11"/>
  <c r="M88" i="11"/>
  <c r="Q96" i="11"/>
  <c r="Q65" i="11"/>
  <c r="H62" i="11"/>
  <c r="N14" i="11"/>
  <c r="N26" i="11"/>
  <c r="H11" i="11"/>
  <c r="N23" i="11"/>
  <c r="P68" i="11"/>
  <c r="Q23" i="11"/>
  <c r="P13" i="11"/>
  <c r="H18" i="11"/>
  <c r="P75" i="11"/>
  <c r="P14" i="11"/>
  <c r="P26" i="11"/>
  <c r="P23" i="11"/>
  <c r="P88" i="11"/>
  <c r="Q64" i="11"/>
  <c r="N48" i="11"/>
  <c r="O15" i="11"/>
  <c r="O28" i="11"/>
  <c r="M41" i="11"/>
  <c r="P85" i="11"/>
  <c r="K87" i="11"/>
  <c r="N18" i="11"/>
  <c r="N67" i="11"/>
  <c r="O130" i="11"/>
  <c r="O26" i="11"/>
  <c r="O42" i="11"/>
  <c r="O98" i="11"/>
  <c r="P63" i="11"/>
  <c r="P76" i="11"/>
  <c r="P35" i="11"/>
  <c r="O62" i="11"/>
  <c r="N30" i="11"/>
  <c r="Q26" i="11"/>
  <c r="H28" i="11"/>
  <c r="L40" i="11"/>
  <c r="O29" i="11"/>
  <c r="Q17" i="11"/>
  <c r="O44" i="11"/>
  <c r="N29" i="11"/>
  <c r="P52" i="11"/>
  <c r="N17" i="11"/>
  <c r="H68" i="11"/>
  <c r="H36" i="11"/>
  <c r="H35" i="11"/>
  <c r="N90" i="11"/>
  <c r="H98" i="11"/>
  <c r="H13" i="11"/>
  <c r="Q18" i="11"/>
  <c r="P22" i="11"/>
  <c r="P67" i="11"/>
  <c r="N59" i="11"/>
  <c r="M51" i="11"/>
  <c r="O32" i="11"/>
  <c r="H64" i="11"/>
  <c r="O52" i="11"/>
  <c r="N41" i="11"/>
  <c r="N68" i="11"/>
  <c r="P91" i="11"/>
  <c r="N123" i="11"/>
  <c r="Q90" i="11"/>
  <c r="P39" i="11"/>
  <c r="H15" i="11"/>
  <c r="O49" i="11"/>
  <c r="J88" i="11"/>
  <c r="P41" i="11"/>
  <c r="N46" i="11"/>
  <c r="N31" i="11"/>
  <c r="O37" i="11"/>
  <c r="O11" i="11"/>
  <c r="O58" i="11"/>
  <c r="H30" i="11"/>
  <c r="N63" i="11"/>
  <c r="N120" i="11"/>
  <c r="O23" i="11"/>
  <c r="O67" i="11"/>
  <c r="O51" i="11"/>
  <c r="P130" i="11"/>
  <c r="H22" i="11"/>
  <c r="O96" i="11"/>
  <c r="Q97" i="11"/>
  <c r="M98" i="11"/>
  <c r="L83" i="11"/>
  <c r="N32" i="11"/>
  <c r="H90" i="11"/>
  <c r="Q41" i="11"/>
  <c r="K40" i="11"/>
  <c r="Q31" i="11"/>
  <c r="N49" i="11"/>
  <c r="O59" i="11"/>
  <c r="N39" i="11"/>
  <c r="P58" i="11"/>
  <c r="J42" i="11"/>
  <c r="H44" i="11"/>
  <c r="H57" i="11"/>
  <c r="Q46" i="11"/>
  <c r="N52" i="11"/>
  <c r="O14" i="11"/>
  <c r="O84" i="11"/>
  <c r="O36" i="11"/>
  <c r="O89" i="11"/>
  <c r="Q42" i="11"/>
  <c r="H60" i="11"/>
  <c r="K46" i="11"/>
  <c r="O21" i="11"/>
  <c r="N28" i="11"/>
  <c r="M46" i="11"/>
  <c r="H85" i="11"/>
  <c r="P64" i="11"/>
  <c r="P71" i="11" s="1"/>
  <c r="P33" i="11"/>
  <c r="N62" i="11"/>
  <c r="O61" i="11"/>
  <c r="H88" i="11"/>
  <c r="H34" i="11"/>
  <c r="Q56" i="11"/>
  <c r="Q123" i="11"/>
  <c r="Q34" i="11"/>
  <c r="O48" i="11"/>
  <c r="H25" i="11"/>
  <c r="Q20" i="11"/>
  <c r="L85" i="11"/>
  <c r="M44" i="11"/>
  <c r="Q98" i="11"/>
  <c r="H29" i="11"/>
  <c r="H38" i="11"/>
  <c r="P120" i="11"/>
  <c r="P31" i="11"/>
  <c r="P50" i="11"/>
  <c r="P36" i="11"/>
  <c r="Q86" i="11"/>
  <c r="H24" i="11"/>
  <c r="N11" i="11"/>
  <c r="H63" i="11"/>
  <c r="O66" i="11"/>
  <c r="P38" i="11"/>
  <c r="O41" i="11"/>
  <c r="P45" i="11"/>
  <c r="P122" i="11"/>
  <c r="H86" i="11"/>
  <c r="P78" i="11"/>
  <c r="Q33" i="11"/>
  <c r="P37" i="11"/>
  <c r="P83" i="11"/>
  <c r="L46" i="11"/>
  <c r="N99" i="11"/>
  <c r="O31" i="11"/>
  <c r="N64" i="11"/>
  <c r="M97" i="11"/>
  <c r="P32" i="11"/>
  <c r="N16" i="11"/>
  <c r="N69" i="11"/>
  <c r="N60" i="11"/>
  <c r="P106" i="11"/>
  <c r="N87" i="11"/>
  <c r="O19" i="11"/>
  <c r="N58" i="11"/>
  <c r="O70" i="11"/>
  <c r="Q21" i="11"/>
  <c r="O35" i="11"/>
  <c r="N78" i="11"/>
  <c r="O85" i="11"/>
  <c r="Q16" i="11"/>
  <c r="P123" i="11"/>
  <c r="H45" i="11"/>
  <c r="O97" i="11"/>
  <c r="I51" i="11"/>
  <c r="I42" i="11"/>
  <c r="O56" i="11"/>
  <c r="N74" i="11"/>
  <c r="H12" i="11"/>
  <c r="P61" i="11"/>
  <c r="Q83" i="11"/>
  <c r="N57" i="11"/>
  <c r="Q12" i="11"/>
  <c r="O40" i="11"/>
  <c r="O77" i="11"/>
  <c r="J85" i="11"/>
  <c r="P89" i="11"/>
  <c r="H43" i="11"/>
  <c r="H37" i="11"/>
  <c r="K88" i="11"/>
  <c r="P15" i="11"/>
  <c r="N40" i="11"/>
  <c r="N19" i="11"/>
  <c r="H95" i="11"/>
  <c r="P57" i="11"/>
  <c r="N100" i="11"/>
  <c r="H16" i="11"/>
  <c r="K98" i="11"/>
  <c r="K85" i="11"/>
  <c r="O86" i="11"/>
  <c r="N98" i="11"/>
  <c r="P74" i="11"/>
  <c r="M42" i="11"/>
  <c r="N38" i="11"/>
  <c r="P86" i="11"/>
  <c r="L98" i="11"/>
  <c r="P97" i="11"/>
  <c r="M40" i="11"/>
  <c r="N89" i="11"/>
  <c r="P46" i="11"/>
  <c r="N12" i="11"/>
  <c r="Q87" i="11"/>
  <c r="N91" i="11"/>
  <c r="R37" i="11"/>
  <c r="R24" i="11"/>
  <c r="O47" i="11"/>
  <c r="H19" i="11"/>
  <c r="O13" i="11"/>
  <c r="O75" i="11"/>
  <c r="O87" i="11"/>
  <c r="R50" i="11"/>
  <c r="Q100" i="11"/>
  <c r="Q85" i="11"/>
  <c r="H42" i="11"/>
  <c r="H50" i="11"/>
  <c r="Q43" i="11"/>
  <c r="N106" i="11"/>
  <c r="Q14" i="11"/>
  <c r="P87" i="11"/>
  <c r="N86" i="11"/>
  <c r="R18" i="11"/>
  <c r="O63" i="11"/>
  <c r="Q50" i="11"/>
  <c r="O100" i="11"/>
  <c r="P70" i="11"/>
  <c r="H69" i="11"/>
  <c r="Q122" i="11"/>
  <c r="O43" i="11"/>
  <c r="N36" i="11"/>
  <c r="N95" i="11"/>
  <c r="N88" i="11"/>
  <c r="Q106" i="11"/>
  <c r="J97" i="11"/>
  <c r="Q22" i="11"/>
  <c r="P90" i="11"/>
  <c r="P77" i="11"/>
  <c r="Q99" i="11"/>
  <c r="L88" i="11"/>
  <c r="O25" i="11"/>
  <c r="R38" i="11"/>
  <c r="Q68" i="11"/>
  <c r="P44" i="11"/>
  <c r="H83" i="11"/>
  <c r="P96" i="11"/>
  <c r="Q30" i="11"/>
  <c r="N61" i="11"/>
  <c r="O76" i="11"/>
  <c r="N22" i="11"/>
  <c r="H59" i="11"/>
  <c r="N34" i="11"/>
  <c r="H31" i="11"/>
  <c r="L41" i="11"/>
  <c r="N66" i="11"/>
  <c r="N75" i="11"/>
  <c r="O123" i="11"/>
  <c r="P20" i="11"/>
  <c r="M85" i="11"/>
  <c r="R97" i="11"/>
  <c r="Q59" i="11"/>
  <c r="Q88" i="11"/>
  <c r="H51" i="11"/>
  <c r="R45" i="11"/>
  <c r="N47" i="11"/>
  <c r="R21" i="11"/>
  <c r="H67" i="11"/>
  <c r="R27" i="11"/>
  <c r="N84" i="11"/>
  <c r="O39" i="11"/>
  <c r="N21" i="11"/>
  <c r="N77" i="11"/>
  <c r="R130" i="11"/>
  <c r="Q75" i="11"/>
  <c r="Q24" i="11"/>
  <c r="R25" i="11"/>
  <c r="H23" i="11"/>
  <c r="P27" i="11"/>
  <c r="N76" i="11"/>
  <c r="N122" i="11"/>
  <c r="R42" i="11"/>
  <c r="O22" i="11"/>
  <c r="N20" i="11"/>
  <c r="O46" i="11"/>
  <c r="J98" i="11"/>
  <c r="N37" i="11"/>
  <c r="Q29" i="11"/>
  <c r="Q51" i="11"/>
  <c r="P84" i="11"/>
  <c r="N13" i="11"/>
  <c r="Q76" i="11"/>
  <c r="Q48" i="11"/>
  <c r="P16" i="11"/>
  <c r="O69" i="11"/>
  <c r="R48" i="11"/>
  <c r="O95" i="11"/>
  <c r="K51" i="11"/>
  <c r="Q69" i="11"/>
  <c r="N70" i="11"/>
  <c r="Q28" i="11"/>
  <c r="P21" i="11"/>
  <c r="O99" i="11"/>
  <c r="P34" i="11"/>
  <c r="L44" i="11"/>
  <c r="J87" i="11"/>
  <c r="O120" i="11"/>
  <c r="P17" i="11"/>
  <c r="Q19" i="11"/>
  <c r="Q13" i="11"/>
  <c r="O17" i="11"/>
  <c r="P43" i="11"/>
  <c r="H87" i="11"/>
  <c r="H46" i="11"/>
  <c r="Q66" i="11"/>
  <c r="P40" i="11"/>
  <c r="Q44" i="11"/>
  <c r="R86" i="11"/>
  <c r="J51" i="11"/>
  <c r="J41" i="11"/>
  <c r="P48" i="11"/>
  <c r="O65" i="11"/>
  <c r="N33" i="11"/>
  <c r="R98" i="11"/>
  <c r="H96" i="11"/>
  <c r="Q74" i="11"/>
  <c r="O60" i="11"/>
  <c r="H49" i="11"/>
  <c r="H48" i="11"/>
  <c r="R11" i="11"/>
  <c r="N35" i="11"/>
  <c r="O88" i="11"/>
  <c r="Q67" i="11"/>
  <c r="J40" i="11"/>
  <c r="N83" i="11"/>
  <c r="K41" i="11"/>
  <c r="H56" i="11"/>
  <c r="P25" i="11"/>
  <c r="O33" i="11"/>
  <c r="Q62" i="11"/>
  <c r="P62" i="11"/>
  <c r="H33" i="11"/>
  <c r="Q91" i="11"/>
  <c r="P99" i="11"/>
  <c r="O12" i="11"/>
  <c r="R63" i="11"/>
  <c r="N42" i="11"/>
  <c r="P42" i="11"/>
  <c r="N45" i="11"/>
  <c r="H27" i="11"/>
  <c r="H58" i="11"/>
  <c r="R28" i="11"/>
  <c r="R68" i="11"/>
  <c r="L42" i="11"/>
  <c r="R106" i="11"/>
  <c r="O64" i="11"/>
  <c r="N97" i="11"/>
  <c r="O18" i="11"/>
  <c r="N96" i="11"/>
  <c r="O50" i="11"/>
  <c r="Q37" i="11"/>
  <c r="N50" i="11"/>
  <c r="P65" i="11"/>
  <c r="O45" i="11"/>
  <c r="H17" i="11"/>
  <c r="N85" i="11"/>
  <c r="O74" i="11"/>
  <c r="P29" i="11"/>
  <c r="N65" i="11"/>
  <c r="Q77" i="11"/>
  <c r="Q61" i="11"/>
  <c r="P98" i="11"/>
  <c r="Q39" i="11"/>
  <c r="H32" i="11"/>
  <c r="O16" i="11"/>
  <c r="O38" i="11"/>
  <c r="P59" i="11"/>
  <c r="R59" i="11"/>
  <c r="Q27" i="11"/>
  <c r="R78" i="11"/>
  <c r="N24" i="11"/>
  <c r="O68" i="11"/>
  <c r="H66" i="11"/>
  <c r="Q35" i="11"/>
  <c r="N25" i="11"/>
  <c r="Q25" i="11"/>
  <c r="H65" i="11"/>
  <c r="H14" i="11"/>
  <c r="Q45" i="11"/>
  <c r="P30" i="11"/>
  <c r="K42" i="11"/>
  <c r="R49" i="11"/>
  <c r="O24" i="11"/>
  <c r="Q84" i="11"/>
  <c r="Q57" i="11"/>
  <c r="N130" i="11"/>
  <c r="L97" i="11"/>
  <c r="H61" i="11"/>
  <c r="J46" i="11"/>
  <c r="Q58" i="11"/>
  <c r="H70" i="11"/>
  <c r="H40" i="11"/>
  <c r="H97" i="11"/>
  <c r="P95" i="11"/>
  <c r="Q32" i="11"/>
  <c r="M87" i="11"/>
  <c r="O122" i="11"/>
  <c r="R96" i="11"/>
  <c r="K97" i="11"/>
  <c r="P51" i="11"/>
  <c r="R83" i="11"/>
  <c r="P24" i="11"/>
  <c r="R40" i="11"/>
  <c r="Q120" i="11"/>
  <c r="H26" i="11"/>
  <c r="H21" i="11"/>
  <c r="R47" i="11"/>
  <c r="R89" i="11"/>
  <c r="O27" i="11"/>
  <c r="R39" i="11"/>
  <c r="R122" i="11"/>
  <c r="R67" i="11"/>
  <c r="R22" i="11"/>
  <c r="I87" i="11"/>
  <c r="R52" i="11"/>
  <c r="R32" i="11"/>
  <c r="R12" i="11"/>
  <c r="R31" i="11"/>
  <c r="Q89" i="11"/>
  <c r="P66" i="11"/>
  <c r="R77" i="11"/>
  <c r="R62" i="11"/>
  <c r="Q38" i="11"/>
  <c r="R17" i="11"/>
  <c r="H52" i="11"/>
  <c r="R69" i="11"/>
  <c r="N51" i="11"/>
  <c r="L87" i="11"/>
  <c r="R36" i="11"/>
  <c r="R20" i="11"/>
  <c r="R43" i="11"/>
  <c r="H39" i="11"/>
  <c r="R123" i="11"/>
  <c r="R35" i="11"/>
  <c r="R61" i="11"/>
  <c r="R14" i="11"/>
  <c r="R26" i="11"/>
  <c r="R56" i="11"/>
  <c r="H20" i="11"/>
  <c r="R23" i="11"/>
  <c r="R44" i="11"/>
  <c r="N44" i="11"/>
  <c r="R76" i="11"/>
  <c r="R66" i="11"/>
  <c r="Q11" i="11"/>
  <c r="P12" i="11"/>
  <c r="Q78" i="11"/>
  <c r="Q60" i="11"/>
  <c r="R90" i="11"/>
  <c r="P60" i="11"/>
  <c r="R100" i="11"/>
  <c r="R91" i="11"/>
  <c r="R33" i="11"/>
  <c r="R46" i="11"/>
  <c r="R13" i="11"/>
  <c r="J83" i="11"/>
  <c r="H89" i="11"/>
  <c r="Q95" i="11"/>
  <c r="R85" i="11"/>
  <c r="R51" i="11"/>
  <c r="R95" i="11"/>
  <c r="Q52" i="11"/>
  <c r="R34" i="11"/>
  <c r="K83" i="11"/>
  <c r="R16" i="11"/>
  <c r="R57" i="11"/>
  <c r="R15" i="11"/>
  <c r="H84" i="11"/>
  <c r="Q63" i="11"/>
  <c r="O83" i="11"/>
  <c r="R19" i="11"/>
  <c r="R88" i="11"/>
  <c r="N27" i="11"/>
  <c r="O91" i="11"/>
  <c r="R84" i="11"/>
  <c r="R65" i="11"/>
  <c r="Q36" i="11"/>
  <c r="R30" i="11"/>
  <c r="Q70" i="11"/>
  <c r="R58" i="11"/>
  <c r="R99" i="11"/>
  <c r="R87" i="11"/>
  <c r="H123" i="11"/>
  <c r="R74" i="11"/>
  <c r="R41" i="11"/>
  <c r="R75" i="11"/>
  <c r="R120" i="11"/>
  <c r="R64" i="11"/>
  <c r="R60" i="11"/>
  <c r="R70" i="11"/>
  <c r="R29" i="11"/>
  <c r="H74" i="11"/>
  <c r="H131" i="11" s="1"/>
  <c r="K77" i="11"/>
  <c r="K75" i="11"/>
  <c r="J78" i="11"/>
  <c r="I76" i="11"/>
  <c r="I77" i="11"/>
  <c r="K78" i="11"/>
  <c r="J77" i="11"/>
  <c r="K76" i="11"/>
  <c r="J95" i="11"/>
  <c r="I78" i="11"/>
  <c r="J75" i="11"/>
  <c r="J76" i="11"/>
  <c r="J89" i="11"/>
  <c r="I89" i="11"/>
  <c r="J96" i="11"/>
  <c r="K95" i="11"/>
  <c r="K96" i="11"/>
  <c r="K99" i="11"/>
  <c r="H75" i="11"/>
  <c r="H78" i="11"/>
  <c r="H77" i="11"/>
  <c r="H76" i="11"/>
  <c r="I75" i="11"/>
  <c r="I95" i="11"/>
  <c r="I96" i="11"/>
  <c r="J91" i="11"/>
  <c r="I85" i="11"/>
  <c r="I88" i="11"/>
  <c r="I40" i="11"/>
  <c r="L76" i="11"/>
  <c r="M76" i="11"/>
  <c r="L77" i="11"/>
  <c r="M77" i="11"/>
  <c r="L78" i="11"/>
  <c r="M78" i="11"/>
  <c r="I90" i="11"/>
  <c r="J90" i="11"/>
  <c r="K90" i="11"/>
  <c r="L90" i="11"/>
  <c r="M90" i="11"/>
  <c r="K89" i="11"/>
  <c r="L89" i="11"/>
  <c r="M89" i="11"/>
  <c r="EJ86" i="10"/>
  <c r="I84" i="11"/>
  <c r="J84" i="11"/>
  <c r="K84" i="11"/>
  <c r="L84" i="11"/>
  <c r="M84" i="11"/>
  <c r="L75" i="11"/>
  <c r="M75" i="11"/>
  <c r="L95" i="11"/>
  <c r="M95" i="11"/>
  <c r="I36" i="11"/>
  <c r="J36" i="11"/>
  <c r="K36" i="11"/>
  <c r="L36" i="11"/>
  <c r="M36" i="11"/>
  <c r="I25" i="11"/>
  <c r="J25" i="11"/>
  <c r="K25" i="11"/>
  <c r="L25" i="11"/>
  <c r="M25" i="11"/>
  <c r="I14" i="11"/>
  <c r="J14" i="11"/>
  <c r="K14" i="11"/>
  <c r="L14" i="11"/>
  <c r="M14" i="11"/>
  <c r="I17" i="11"/>
  <c r="J17" i="11"/>
  <c r="K17" i="11"/>
  <c r="L17" i="11"/>
  <c r="M17" i="11"/>
  <c r="I24" i="11"/>
  <c r="J24" i="11"/>
  <c r="K24" i="11"/>
  <c r="L24" i="11"/>
  <c r="M24" i="11"/>
  <c r="I28" i="11"/>
  <c r="J28" i="11"/>
  <c r="K28" i="11"/>
  <c r="L28" i="11"/>
  <c r="M28" i="11"/>
  <c r="I38" i="11"/>
  <c r="J38" i="11"/>
  <c r="K38" i="11"/>
  <c r="L38" i="11"/>
  <c r="M38" i="11"/>
  <c r="I60" i="11"/>
  <c r="J60" i="11"/>
  <c r="I68" i="11"/>
  <c r="J68" i="11"/>
  <c r="M68" i="11"/>
  <c r="I64" i="11"/>
  <c r="J64" i="11"/>
  <c r="K64" i="11"/>
  <c r="L64" i="11"/>
  <c r="M64" i="11"/>
  <c r="I57" i="11"/>
  <c r="J57" i="11"/>
  <c r="I50" i="11"/>
  <c r="J50" i="11"/>
  <c r="K50" i="11"/>
  <c r="L50" i="11"/>
  <c r="M50" i="11"/>
  <c r="I37" i="11"/>
  <c r="J37" i="11"/>
  <c r="K37" i="11"/>
  <c r="L37" i="11"/>
  <c r="M37" i="11"/>
  <c r="I19" i="11"/>
  <c r="J19" i="11"/>
  <c r="K19" i="11"/>
  <c r="L19" i="11"/>
  <c r="M19" i="11"/>
  <c r="I30" i="11"/>
  <c r="J30" i="11"/>
  <c r="K30" i="11"/>
  <c r="L30" i="11"/>
  <c r="M30" i="11"/>
  <c r="I21" i="11"/>
  <c r="J21" i="11"/>
  <c r="K21" i="11"/>
  <c r="L21" i="11"/>
  <c r="M21" i="11"/>
  <c r="I33" i="11"/>
  <c r="J33" i="11"/>
  <c r="K33" i="11"/>
  <c r="L33" i="11"/>
  <c r="M33" i="11"/>
  <c r="I11" i="11"/>
  <c r="J11" i="11"/>
  <c r="K11" i="11"/>
  <c r="L11" i="11"/>
  <c r="M11" i="11"/>
  <c r="I58" i="11"/>
  <c r="J58" i="11"/>
  <c r="I67" i="11"/>
  <c r="J67" i="11"/>
  <c r="K67" i="11"/>
  <c r="L67" i="11"/>
  <c r="M67" i="11"/>
  <c r="I63" i="11"/>
  <c r="J63" i="11"/>
  <c r="I22" i="11"/>
  <c r="J22" i="11"/>
  <c r="K22" i="11"/>
  <c r="L22" i="11"/>
  <c r="M22" i="11"/>
  <c r="I26" i="11"/>
  <c r="J26" i="11"/>
  <c r="K26" i="11"/>
  <c r="L26" i="11"/>
  <c r="M26" i="11"/>
  <c r="I29" i="11"/>
  <c r="J29" i="11"/>
  <c r="K29" i="11"/>
  <c r="L29" i="11"/>
  <c r="M29" i="11"/>
  <c r="I20" i="11"/>
  <c r="J20" i="11"/>
  <c r="K20" i="11"/>
  <c r="L20" i="11"/>
  <c r="M20" i="11"/>
  <c r="I56" i="11"/>
  <c r="J56" i="11"/>
  <c r="I66" i="11"/>
  <c r="J66" i="11"/>
  <c r="I61" i="11"/>
  <c r="J61" i="11"/>
  <c r="I27" i="11"/>
  <c r="J27" i="11"/>
  <c r="K27" i="11"/>
  <c r="L27" i="11"/>
  <c r="M27" i="11"/>
  <c r="I34" i="11"/>
  <c r="J34" i="11"/>
  <c r="K34" i="11"/>
  <c r="L34" i="11"/>
  <c r="M34" i="11"/>
  <c r="I35" i="11"/>
  <c r="J35" i="11"/>
  <c r="K35" i="11"/>
  <c r="L35" i="11"/>
  <c r="M35" i="11"/>
  <c r="I31" i="11"/>
  <c r="J31" i="11"/>
  <c r="K31" i="11"/>
  <c r="L31" i="11"/>
  <c r="M31" i="11"/>
  <c r="I23" i="11"/>
  <c r="J23" i="11"/>
  <c r="K23" i="11"/>
  <c r="L23" i="11"/>
  <c r="M23" i="11"/>
  <c r="I13" i="11"/>
  <c r="J13" i="11"/>
  <c r="K13" i="11"/>
  <c r="L13" i="11"/>
  <c r="M13" i="11"/>
  <c r="I12" i="11"/>
  <c r="J12" i="11"/>
  <c r="K12" i="11"/>
  <c r="L12" i="11"/>
  <c r="M12" i="11"/>
  <c r="I32" i="11"/>
  <c r="J32" i="11"/>
  <c r="K32" i="11"/>
  <c r="L32" i="11"/>
  <c r="M32" i="11"/>
  <c r="I49" i="11"/>
  <c r="J49" i="11"/>
  <c r="K49" i="11"/>
  <c r="L49" i="11"/>
  <c r="M49" i="11"/>
  <c r="I15" i="11"/>
  <c r="J15" i="11"/>
  <c r="K15" i="11"/>
  <c r="L15" i="11"/>
  <c r="M15" i="11"/>
  <c r="I16" i="11"/>
  <c r="J16" i="11"/>
  <c r="K16" i="11"/>
  <c r="L16" i="11"/>
  <c r="M16" i="11"/>
  <c r="I18" i="11"/>
  <c r="J18" i="11"/>
  <c r="K18" i="11"/>
  <c r="L18" i="11"/>
  <c r="M18" i="11"/>
  <c r="I43" i="11"/>
  <c r="J43" i="11"/>
  <c r="K43" i="11"/>
  <c r="L43" i="11"/>
  <c r="M43" i="11"/>
  <c r="I62" i="11"/>
  <c r="J62" i="11"/>
  <c r="I69" i="11"/>
  <c r="J69" i="11"/>
  <c r="K69" i="11"/>
  <c r="L69" i="11"/>
  <c r="M69" i="11"/>
  <c r="I65" i="11"/>
  <c r="J65" i="11"/>
  <c r="I59" i="11"/>
  <c r="J59" i="11"/>
  <c r="I45" i="11"/>
  <c r="J45" i="11"/>
  <c r="K45" i="11"/>
  <c r="L45" i="11"/>
  <c r="M45" i="11"/>
  <c r="O10" i="11"/>
  <c r="R10" i="11"/>
  <c r="Q10" i="11"/>
  <c r="N10" i="11"/>
  <c r="P10" i="11"/>
  <c r="H10" i="11"/>
  <c r="L10" i="11"/>
  <c r="M10" i="11"/>
  <c r="I10" i="11"/>
  <c r="J10" i="11"/>
  <c r="K10" i="11"/>
  <c r="EI48" i="10"/>
  <c r="EI52" i="10" s="1"/>
  <c r="EI72" i="10" s="1"/>
  <c r="EI99" i="10"/>
  <c r="EH74" i="10"/>
  <c r="EH71" i="10"/>
  <c r="EJ70" i="10"/>
  <c r="EJ39" i="10"/>
  <c r="EG123" i="10"/>
  <c r="EG131" i="10"/>
  <c r="EJ91" i="10"/>
  <c r="EJ96" i="10"/>
  <c r="Q131" i="11" l="1"/>
  <c r="Q119" i="11"/>
  <c r="Q121" i="11" s="1"/>
  <c r="O119" i="11"/>
  <c r="O121" i="11" s="1"/>
  <c r="P72" i="11"/>
  <c r="N72" i="11"/>
  <c r="R71" i="11"/>
  <c r="R131" i="11"/>
  <c r="R72" i="11"/>
  <c r="O71" i="11"/>
  <c r="O72" i="11"/>
  <c r="P131" i="11"/>
  <c r="R119" i="11"/>
  <c r="R121" i="11" s="1"/>
  <c r="N71" i="11"/>
  <c r="Q71" i="11"/>
  <c r="H72" i="11"/>
  <c r="H71" i="11"/>
  <c r="Q72" i="11"/>
  <c r="P119" i="11"/>
  <c r="P121" i="11" s="1"/>
  <c r="O131" i="11"/>
  <c r="N131" i="11"/>
  <c r="L96" i="11"/>
  <c r="M96" i="11"/>
  <c r="K91" i="11"/>
  <c r="L91" i="11"/>
  <c r="M91" i="11"/>
  <c r="I86" i="11"/>
  <c r="J86" i="11"/>
  <c r="K86" i="11"/>
  <c r="L86" i="11"/>
  <c r="M86" i="11"/>
  <c r="I39" i="11"/>
  <c r="J39" i="11"/>
  <c r="K39" i="11"/>
  <c r="L39" i="11"/>
  <c r="M39" i="11"/>
  <c r="I70" i="11"/>
  <c r="J70" i="11"/>
  <c r="EJ47" i="10"/>
  <c r="EJ48" i="10"/>
  <c r="EI74" i="10"/>
  <c r="EI71" i="10"/>
  <c r="EH131" i="10"/>
  <c r="EH123" i="10"/>
  <c r="EJ99" i="10"/>
  <c r="L99" i="11" l="1"/>
  <c r="M99" i="11"/>
  <c r="I48" i="11"/>
  <c r="J48" i="11"/>
  <c r="I47" i="11"/>
  <c r="J47" i="11"/>
  <c r="K47" i="11"/>
  <c r="L47" i="11"/>
  <c r="M47" i="11"/>
  <c r="EJ52" i="10"/>
  <c r="EI123" i="10"/>
  <c r="EI131" i="10"/>
  <c r="I52" i="11" l="1"/>
  <c r="J52" i="11"/>
  <c r="EJ71" i="10"/>
  <c r="EJ72" i="10"/>
  <c r="EJ74" i="10"/>
  <c r="J71" i="11" l="1"/>
  <c r="J72" i="11"/>
  <c r="I71" i="11"/>
  <c r="I72" i="11"/>
  <c r="I74" i="11"/>
  <c r="J74" i="11"/>
  <c r="EJ131" i="10"/>
  <c r="EJ123" i="10"/>
  <c r="I91" i="10" l="1"/>
  <c r="I91" i="11" s="1"/>
  <c r="I99" i="10" l="1"/>
  <c r="I99" i="11" l="1"/>
  <c r="I100" i="10"/>
  <c r="I100" i="11" s="1"/>
  <c r="AP128" i="10" l="1"/>
  <c r="G73" i="2" l="1"/>
  <c r="D65" i="2"/>
  <c r="F17" i="22" s="1"/>
  <c r="D66" i="2"/>
  <c r="F18" i="22" s="1"/>
  <c r="D67" i="2"/>
  <c r="F19" i="22" s="1"/>
  <c r="D68" i="2"/>
  <c r="E68" i="2" s="1"/>
  <c r="D69" i="2"/>
  <c r="F21" i="22" s="1"/>
  <c r="D70" i="2"/>
  <c r="F22" i="22" s="1"/>
  <c r="D71" i="2"/>
  <c r="F23" i="22" s="1"/>
  <c r="D72" i="2"/>
  <c r="G65" i="2" l="1"/>
  <c r="G68" i="2"/>
  <c r="C62" i="10"/>
  <c r="H23" i="22"/>
  <c r="G23" i="22"/>
  <c r="I23" i="22"/>
  <c r="C57" i="10"/>
  <c r="H18" i="22"/>
  <c r="G18" i="22"/>
  <c r="I18" i="22"/>
  <c r="G22" i="22"/>
  <c r="C61" i="10"/>
  <c r="H22" i="22"/>
  <c r="I22" i="22"/>
  <c r="F24" i="22"/>
  <c r="E72" i="2"/>
  <c r="G69" i="2"/>
  <c r="F20" i="22"/>
  <c r="H17" i="22"/>
  <c r="C56" i="10"/>
  <c r="G17" i="22"/>
  <c r="I17" i="22"/>
  <c r="H21" i="22"/>
  <c r="C60" i="10"/>
  <c r="G21" i="22"/>
  <c r="I21" i="22"/>
  <c r="H19" i="22"/>
  <c r="C58" i="10"/>
  <c r="G19" i="22"/>
  <c r="I19" i="22"/>
  <c r="E71" i="2"/>
  <c r="G66" i="2"/>
  <c r="G72" i="2"/>
  <c r="G70" i="2"/>
  <c r="E65" i="2"/>
  <c r="E69" i="2"/>
  <c r="E67" i="2"/>
  <c r="G71" i="2"/>
  <c r="E70" i="2"/>
  <c r="G67" i="2"/>
  <c r="E66" i="2"/>
  <c r="D75" i="2"/>
  <c r="F27" i="22" s="1"/>
  <c r="C62" i="11" l="1"/>
  <c r="AG62" i="10"/>
  <c r="AH62" i="10"/>
  <c r="AI62" i="10"/>
  <c r="AJ62" i="10"/>
  <c r="AK62" i="10"/>
  <c r="AL62" i="10"/>
  <c r="BE62" i="10"/>
  <c r="BF62" i="10"/>
  <c r="BG62" i="10"/>
  <c r="BH62" i="10"/>
  <c r="BI62" i="10"/>
  <c r="BJ62" i="10"/>
  <c r="BK62" i="10"/>
  <c r="BL62" i="10"/>
  <c r="BM62" i="10"/>
  <c r="BN62" i="10"/>
  <c r="BO62" i="10"/>
  <c r="BP62" i="10"/>
  <c r="BQ62" i="10"/>
  <c r="BR62" i="10"/>
  <c r="BS62" i="10"/>
  <c r="BT62" i="10"/>
  <c r="BU62" i="10"/>
  <c r="BV62" i="10"/>
  <c r="BW62" i="10"/>
  <c r="BX62" i="10"/>
  <c r="BY62" i="10"/>
  <c r="BZ62" i="10"/>
  <c r="CA62" i="10"/>
  <c r="CB62" i="10"/>
  <c r="C57" i="11"/>
  <c r="AH57" i="10"/>
  <c r="AG57" i="10"/>
  <c r="AI57" i="10"/>
  <c r="AJ57" i="10"/>
  <c r="AL57" i="10"/>
  <c r="AK57" i="10"/>
  <c r="BE57" i="10"/>
  <c r="BF57" i="10"/>
  <c r="BG57" i="10"/>
  <c r="BH57" i="10"/>
  <c r="BI57" i="10"/>
  <c r="BJ57" i="10"/>
  <c r="BK57" i="10"/>
  <c r="BL57" i="10"/>
  <c r="BN57" i="10"/>
  <c r="BM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60" i="11"/>
  <c r="AH60" i="10"/>
  <c r="AG60" i="10"/>
  <c r="AI60" i="10"/>
  <c r="AJ60" i="10"/>
  <c r="AK60" i="10"/>
  <c r="AL60" i="10"/>
  <c r="BF60" i="10"/>
  <c r="BE60" i="10"/>
  <c r="BG60" i="10"/>
  <c r="BH60" i="10"/>
  <c r="BI60" i="10"/>
  <c r="BJ60" i="10"/>
  <c r="BK60" i="10"/>
  <c r="BL60" i="10"/>
  <c r="BN60" i="10"/>
  <c r="BM60" i="10"/>
  <c r="BO60" i="10"/>
  <c r="BP60" i="10"/>
  <c r="BQ60" i="10"/>
  <c r="BR60" i="10"/>
  <c r="BS60" i="10"/>
  <c r="BT60" i="10"/>
  <c r="BU60" i="10"/>
  <c r="BV60" i="10"/>
  <c r="BW60" i="10"/>
  <c r="BX60" i="10"/>
  <c r="BY60" i="10"/>
  <c r="BZ60" i="10"/>
  <c r="CB60" i="10"/>
  <c r="CA60" i="10"/>
  <c r="C61" i="11"/>
  <c r="AH61" i="10"/>
  <c r="AG61" i="10"/>
  <c r="AI61" i="10"/>
  <c r="AJ61" i="10"/>
  <c r="AL61" i="10"/>
  <c r="AK61" i="10"/>
  <c r="BF61" i="10"/>
  <c r="BE61" i="10"/>
  <c r="BG61" i="10"/>
  <c r="BH61" i="10"/>
  <c r="BI61" i="10"/>
  <c r="BJ61" i="10"/>
  <c r="BK61" i="10"/>
  <c r="BL61" i="10"/>
  <c r="BN61" i="10"/>
  <c r="BM61" i="10"/>
  <c r="BO61" i="10"/>
  <c r="BP61" i="10"/>
  <c r="BQ61" i="10"/>
  <c r="BR61" i="10"/>
  <c r="BS61" i="10"/>
  <c r="BT61" i="10"/>
  <c r="BU61" i="10"/>
  <c r="BV61" i="10"/>
  <c r="BW61" i="10"/>
  <c r="BX61" i="10"/>
  <c r="BY61" i="10"/>
  <c r="BZ61" i="10"/>
  <c r="CA61" i="10"/>
  <c r="CB61" i="10"/>
  <c r="C58" i="11"/>
  <c r="AG58" i="10"/>
  <c r="AH58" i="10"/>
  <c r="AI58" i="10"/>
  <c r="AJ58" i="10"/>
  <c r="AK58" i="10"/>
  <c r="AL58" i="10"/>
  <c r="BE58" i="10"/>
  <c r="BF58" i="10"/>
  <c r="BG58" i="10"/>
  <c r="BH58" i="10"/>
  <c r="BI58" i="10"/>
  <c r="BJ58" i="10"/>
  <c r="BK58" i="10"/>
  <c r="BL58" i="10"/>
  <c r="BN58" i="10"/>
  <c r="BM58" i="10"/>
  <c r="BO58" i="10"/>
  <c r="BP58" i="10"/>
  <c r="BQ58" i="10"/>
  <c r="BR58" i="10"/>
  <c r="BS58" i="10"/>
  <c r="BT58" i="10"/>
  <c r="BU58" i="10"/>
  <c r="BV58" i="10"/>
  <c r="BW58" i="10"/>
  <c r="BX58" i="10"/>
  <c r="BY58" i="10"/>
  <c r="BZ58" i="10"/>
  <c r="CA58" i="10"/>
  <c r="CB58" i="10"/>
  <c r="C56" i="11"/>
  <c r="AG56" i="10"/>
  <c r="AH56" i="10"/>
  <c r="AI56" i="10"/>
  <c r="AJ56" i="10"/>
  <c r="AL56" i="10"/>
  <c r="AK56" i="10"/>
  <c r="BE56" i="10"/>
  <c r="BF56" i="10"/>
  <c r="BG56" i="10"/>
  <c r="BH56" i="10"/>
  <c r="BI56" i="10"/>
  <c r="BJ56" i="10"/>
  <c r="BK56" i="10"/>
  <c r="BL56" i="10"/>
  <c r="BN56" i="10"/>
  <c r="BM56" i="10"/>
  <c r="BO56" i="10"/>
  <c r="BP56" i="10"/>
  <c r="BQ56" i="10"/>
  <c r="BR56" i="10"/>
  <c r="BS56" i="10"/>
  <c r="BT56" i="10"/>
  <c r="BU56" i="10"/>
  <c r="BV56" i="10"/>
  <c r="BW56" i="10"/>
  <c r="BX56" i="10"/>
  <c r="BY56" i="10"/>
  <c r="BZ56" i="10"/>
  <c r="CA56" i="10"/>
  <c r="CB56" i="10"/>
  <c r="AM58" i="10"/>
  <c r="AN58" i="10"/>
  <c r="AO58" i="10"/>
  <c r="AP58" i="10"/>
  <c r="AQ58" i="10"/>
  <c r="AR58" i="10"/>
  <c r="AS58" i="10"/>
  <c r="AT58" i="10"/>
  <c r="AU58" i="10"/>
  <c r="AW58" i="10"/>
  <c r="AV58" i="10"/>
  <c r="AX58" i="10"/>
  <c r="AY58" i="10"/>
  <c r="AZ58" i="10"/>
  <c r="BA58" i="10"/>
  <c r="BB58" i="10"/>
  <c r="BC58" i="10"/>
  <c r="BD58" i="10"/>
  <c r="AM60" i="10"/>
  <c r="AN60" i="10"/>
  <c r="AO60" i="10"/>
  <c r="AQ60" i="10"/>
  <c r="AP60" i="10"/>
  <c r="AR60" i="10"/>
  <c r="AS60" i="10"/>
  <c r="AT60" i="10"/>
  <c r="AU60" i="10"/>
  <c r="AW60" i="10"/>
  <c r="AV60" i="10"/>
  <c r="AX60" i="10"/>
  <c r="AY60" i="10"/>
  <c r="AZ60" i="10"/>
  <c r="BA60" i="10"/>
  <c r="BB60" i="10"/>
  <c r="BC60" i="10"/>
  <c r="BD60" i="10"/>
  <c r="AM56" i="10"/>
  <c r="AN56" i="10"/>
  <c r="AO56" i="10"/>
  <c r="AP56" i="10"/>
  <c r="AQ56" i="10"/>
  <c r="AR56" i="10"/>
  <c r="AS56" i="10"/>
  <c r="AT56" i="10"/>
  <c r="AU56" i="10"/>
  <c r="AV56" i="10"/>
  <c r="AW56" i="10"/>
  <c r="AX56" i="10"/>
  <c r="AY56" i="10"/>
  <c r="AZ56" i="10"/>
  <c r="BA56" i="10"/>
  <c r="BB56" i="10"/>
  <c r="BC56" i="10"/>
  <c r="BD56" i="10"/>
  <c r="C66" i="10"/>
  <c r="H27" i="22"/>
  <c r="G27" i="22"/>
  <c r="I27" i="22"/>
  <c r="C59" i="10"/>
  <c r="G20" i="22"/>
  <c r="H20" i="22"/>
  <c r="I20" i="22"/>
  <c r="C63" i="10"/>
  <c r="G24" i="22"/>
  <c r="H24" i="22"/>
  <c r="I24" i="22"/>
  <c r="AN61" i="10"/>
  <c r="AM61" i="10"/>
  <c r="AO61" i="10"/>
  <c r="AP61" i="10"/>
  <c r="AQ61" i="10"/>
  <c r="AR61" i="10"/>
  <c r="AS61" i="10"/>
  <c r="AT61" i="10"/>
  <c r="AU61" i="10"/>
  <c r="AV61" i="10"/>
  <c r="AW61" i="10"/>
  <c r="AX61" i="10"/>
  <c r="AY61" i="10"/>
  <c r="AZ61" i="10"/>
  <c r="BA61" i="10"/>
  <c r="BB61" i="10"/>
  <c r="BC61" i="10"/>
  <c r="BD61" i="10"/>
  <c r="AN57" i="10"/>
  <c r="AM57" i="10"/>
  <c r="AO57" i="10"/>
  <c r="AP57" i="10"/>
  <c r="AQ57" i="10"/>
  <c r="AR57" i="10"/>
  <c r="AS57" i="10"/>
  <c r="AU57" i="10"/>
  <c r="AT57" i="10"/>
  <c r="AW57" i="10"/>
  <c r="AV57" i="10"/>
  <c r="AX57" i="10"/>
  <c r="AY57" i="10"/>
  <c r="AZ57" i="10"/>
  <c r="BA57" i="10"/>
  <c r="BB57" i="10"/>
  <c r="BC57" i="10"/>
  <c r="BD57" i="10"/>
  <c r="AN62" i="10"/>
  <c r="AM62" i="10"/>
  <c r="AO62" i="10"/>
  <c r="AP62" i="10"/>
  <c r="AQ62" i="10"/>
  <c r="AR62" i="10"/>
  <c r="AS62" i="10"/>
  <c r="AT62" i="10"/>
  <c r="AU62" i="10"/>
  <c r="AV62" i="10"/>
  <c r="AW62" i="10"/>
  <c r="AX62" i="10"/>
  <c r="AY62" i="10"/>
  <c r="AZ62" i="10"/>
  <c r="BA62" i="10"/>
  <c r="BB62" i="10"/>
  <c r="BC62" i="10"/>
  <c r="BD62" i="10"/>
  <c r="E75" i="2"/>
  <c r="G75" i="2"/>
  <c r="M58" i="11" l="1"/>
  <c r="M62" i="11"/>
  <c r="M56" i="11"/>
  <c r="M60" i="11"/>
  <c r="M57" i="11"/>
  <c r="M61" i="11"/>
  <c r="C63" i="11"/>
  <c r="AH63" i="10"/>
  <c r="AG63" i="10"/>
  <c r="AI63" i="10"/>
  <c r="AJ63" i="10"/>
  <c r="AK63" i="10"/>
  <c r="AL63" i="10"/>
  <c r="BF63" i="10"/>
  <c r="BE63" i="10"/>
  <c r="BG63" i="10"/>
  <c r="BH63" i="10"/>
  <c r="BI63" i="10"/>
  <c r="BJ63" i="10"/>
  <c r="BK63" i="10"/>
  <c r="BL63" i="10"/>
  <c r="BN63" i="10"/>
  <c r="BM63" i="10"/>
  <c r="BO63" i="10"/>
  <c r="BP63" i="10"/>
  <c r="BQ63" i="10"/>
  <c r="BR63" i="10"/>
  <c r="BS63" i="10"/>
  <c r="BT63" i="10"/>
  <c r="BU63" i="10"/>
  <c r="BV63" i="10"/>
  <c r="BW63" i="10"/>
  <c r="BX63" i="10"/>
  <c r="BY63" i="10"/>
  <c r="BZ63" i="10"/>
  <c r="CA63" i="10"/>
  <c r="CB63" i="10"/>
  <c r="C59" i="11"/>
  <c r="AH59" i="10"/>
  <c r="AG59" i="10"/>
  <c r="AI59" i="10"/>
  <c r="AJ59" i="10"/>
  <c r="AL59" i="10"/>
  <c r="AK59" i="10"/>
  <c r="BF59" i="10"/>
  <c r="BE59" i="10"/>
  <c r="BG59" i="10"/>
  <c r="BH59" i="10"/>
  <c r="BI59" i="10"/>
  <c r="BJ59" i="10"/>
  <c r="BK59" i="10"/>
  <c r="BL59" i="10"/>
  <c r="BN59" i="10"/>
  <c r="BM59" i="10"/>
  <c r="BO59" i="10"/>
  <c r="BP59" i="10"/>
  <c r="BQ59" i="10"/>
  <c r="BR59" i="10"/>
  <c r="BS59" i="10"/>
  <c r="BT59" i="10"/>
  <c r="BU59" i="10"/>
  <c r="BV59" i="10"/>
  <c r="BW59" i="10"/>
  <c r="BX59" i="10"/>
  <c r="BY59" i="10"/>
  <c r="BZ59" i="10"/>
  <c r="CA59" i="10"/>
  <c r="CB59" i="10"/>
  <c r="C66" i="11"/>
  <c r="AH66" i="10"/>
  <c r="AG66" i="10"/>
  <c r="AI66" i="10"/>
  <c r="AJ66" i="10"/>
  <c r="AL66" i="10"/>
  <c r="AK66" i="10"/>
  <c r="BE66" i="10"/>
  <c r="BF66" i="10"/>
  <c r="BG66" i="10"/>
  <c r="BH66" i="10"/>
  <c r="BI66" i="10"/>
  <c r="BJ66" i="10"/>
  <c r="BK66" i="10"/>
  <c r="BL66" i="10"/>
  <c r="BN66" i="10"/>
  <c r="BM66" i="10"/>
  <c r="BO66" i="10"/>
  <c r="BP66" i="10"/>
  <c r="BQ66" i="10"/>
  <c r="BR66" i="10"/>
  <c r="BS66" i="10"/>
  <c r="BT66" i="10"/>
  <c r="BU66" i="10"/>
  <c r="BV66" i="10"/>
  <c r="BW66" i="10"/>
  <c r="BX66" i="10"/>
  <c r="BY66" i="10"/>
  <c r="BZ66" i="10"/>
  <c r="CB66" i="10"/>
  <c r="CA66" i="10"/>
  <c r="L62" i="11"/>
  <c r="K56" i="11"/>
  <c r="L61" i="11"/>
  <c r="K62" i="11"/>
  <c r="K61" i="11"/>
  <c r="L57" i="11"/>
  <c r="L56" i="11"/>
  <c r="K60" i="11"/>
  <c r="L58" i="11"/>
  <c r="K57" i="11"/>
  <c r="L60" i="11"/>
  <c r="K58" i="11"/>
  <c r="F18" i="8"/>
  <c r="F19" i="8"/>
  <c r="F23" i="8"/>
  <c r="F21" i="8"/>
  <c r="AN63" i="10"/>
  <c r="AM63" i="10"/>
  <c r="AO63" i="10"/>
  <c r="AQ63" i="10"/>
  <c r="AP63" i="10"/>
  <c r="AR63" i="10"/>
  <c r="AS63" i="10"/>
  <c r="AU63" i="10"/>
  <c r="AT63" i="10"/>
  <c r="AW63" i="10"/>
  <c r="AV63" i="10"/>
  <c r="AX63" i="10"/>
  <c r="AY63" i="10"/>
  <c r="AZ63" i="10"/>
  <c r="BA63" i="10"/>
  <c r="BB63" i="10"/>
  <c r="BC63" i="10"/>
  <c r="BD63" i="10"/>
  <c r="AM59" i="10"/>
  <c r="AN59" i="10"/>
  <c r="AO59" i="10"/>
  <c r="AQ59" i="10"/>
  <c r="AP59" i="10"/>
  <c r="AR59" i="10"/>
  <c r="AS59" i="10"/>
  <c r="AT59" i="10"/>
  <c r="AU59" i="10"/>
  <c r="AV59" i="10"/>
  <c r="AW59" i="10"/>
  <c r="AX59" i="10"/>
  <c r="AY59" i="10"/>
  <c r="AZ59" i="10"/>
  <c r="BA59" i="10"/>
  <c r="BB59" i="10"/>
  <c r="BC59" i="10"/>
  <c r="BD59" i="10"/>
  <c r="AM66" i="10"/>
  <c r="AN66" i="10"/>
  <c r="AO66" i="10"/>
  <c r="AQ66" i="10"/>
  <c r="AP66" i="10"/>
  <c r="AR66" i="10"/>
  <c r="AS66" i="10"/>
  <c r="AU66" i="10"/>
  <c r="AT66" i="10"/>
  <c r="AW66" i="10"/>
  <c r="AV66" i="10"/>
  <c r="AX66" i="10"/>
  <c r="AY66" i="10"/>
  <c r="AZ66" i="10"/>
  <c r="BA66" i="10"/>
  <c r="BB66" i="10"/>
  <c r="BC66" i="10"/>
  <c r="BD66" i="10"/>
  <c r="F17" i="8"/>
  <c r="F22" i="8"/>
  <c r="AM68" i="10"/>
  <c r="AN68" i="10"/>
  <c r="AO68" i="10"/>
  <c r="AP68" i="10"/>
  <c r="AQ68" i="10"/>
  <c r="AR68" i="10"/>
  <c r="AS68" i="10"/>
  <c r="AT68" i="10"/>
  <c r="AU68" i="10"/>
  <c r="AV68" i="10"/>
  <c r="AW68" i="10"/>
  <c r="AX68" i="10"/>
  <c r="AY68" i="10"/>
  <c r="AZ68" i="10"/>
  <c r="BA68" i="10"/>
  <c r="BB68" i="10"/>
  <c r="BC68" i="10"/>
  <c r="BD68" i="10"/>
  <c r="M59" i="11" l="1"/>
  <c r="M66" i="11"/>
  <c r="M63" i="11"/>
  <c r="K68" i="11"/>
  <c r="L66" i="11"/>
  <c r="L68" i="11"/>
  <c r="K63" i="11"/>
  <c r="K59" i="11"/>
  <c r="L63" i="11"/>
  <c r="K66" i="11"/>
  <c r="L59" i="11"/>
  <c r="G22" i="8"/>
  <c r="H22" i="8"/>
  <c r="I22" i="8"/>
  <c r="F24" i="8"/>
  <c r="H19" i="8"/>
  <c r="G19" i="8"/>
  <c r="I19" i="8"/>
  <c r="F20" i="8"/>
  <c r="H21" i="8"/>
  <c r="G21" i="8"/>
  <c r="I21" i="8"/>
  <c r="G17" i="8"/>
  <c r="H17" i="8"/>
  <c r="I17" i="8"/>
  <c r="F27" i="8"/>
  <c r="G23" i="8"/>
  <c r="H23" i="8"/>
  <c r="I23" i="8"/>
  <c r="H18" i="8"/>
  <c r="G18" i="8"/>
  <c r="I18" i="8"/>
  <c r="H27" i="8" l="1"/>
  <c r="G27" i="8"/>
  <c r="I27" i="8"/>
  <c r="H20" i="8"/>
  <c r="G20" i="8"/>
  <c r="I20" i="8"/>
  <c r="G24" i="8"/>
  <c r="H24" i="8"/>
  <c r="I24" i="8"/>
  <c r="G91" i="10"/>
  <c r="H91" i="10"/>
  <c r="H91" i="11" s="1"/>
  <c r="G99" i="10" l="1"/>
  <c r="G92" i="11"/>
  <c r="H99" i="10"/>
  <c r="E76" i="2"/>
  <c r="D76" i="2"/>
  <c r="D37" i="2" s="1"/>
  <c r="F26" i="22"/>
  <c r="C65" i="10" s="1"/>
  <c r="H99" i="11" l="1"/>
  <c r="H100" i="10"/>
  <c r="C65" i="11"/>
  <c r="AG65" i="10"/>
  <c r="AG70" i="10" s="1"/>
  <c r="AH65" i="10"/>
  <c r="AH70" i="10" s="1"/>
  <c r="AI65" i="10"/>
  <c r="AI70" i="10" s="1"/>
  <c r="AJ65" i="10"/>
  <c r="AJ70" i="10" s="1"/>
  <c r="AJ48" i="10" s="1"/>
  <c r="AJ52" i="10" s="1"/>
  <c r="AL65" i="10"/>
  <c r="AL70" i="10" s="1"/>
  <c r="AK65" i="10"/>
  <c r="AK70" i="10" s="1"/>
  <c r="BE65" i="10"/>
  <c r="BF65" i="10"/>
  <c r="BF70" i="10" s="1"/>
  <c r="BG65" i="10"/>
  <c r="BG70" i="10" s="1"/>
  <c r="BH65" i="10"/>
  <c r="BH70" i="10" s="1"/>
  <c r="BI65" i="10"/>
  <c r="BI70" i="10" s="1"/>
  <c r="BI48" i="10" s="1"/>
  <c r="BI52" i="10" s="1"/>
  <c r="BJ65" i="10"/>
  <c r="BJ70" i="10" s="1"/>
  <c r="BK65" i="10"/>
  <c r="BK70" i="10" s="1"/>
  <c r="BL65" i="10"/>
  <c r="BL70" i="10" s="1"/>
  <c r="BM65" i="10"/>
  <c r="BM70" i="10" s="1"/>
  <c r="BN65" i="10"/>
  <c r="BN70" i="10" s="1"/>
  <c r="BO65" i="10"/>
  <c r="BO70" i="10" s="1"/>
  <c r="BP65" i="10"/>
  <c r="BP70" i="10" s="1"/>
  <c r="BQ65" i="10"/>
  <c r="BQ70" i="10" s="1"/>
  <c r="BR65" i="10"/>
  <c r="BR70" i="10" s="1"/>
  <c r="BS65" i="10"/>
  <c r="BS70" i="10" s="1"/>
  <c r="BT65" i="10"/>
  <c r="BT70" i="10" s="1"/>
  <c r="BU65" i="10"/>
  <c r="BU70" i="10" s="1"/>
  <c r="BV65" i="10"/>
  <c r="BV70" i="10" s="1"/>
  <c r="BW65" i="10"/>
  <c r="BW70" i="10" s="1"/>
  <c r="BW48" i="10" s="1"/>
  <c r="BW52" i="10" s="1"/>
  <c r="BX65" i="10"/>
  <c r="BX70" i="10" s="1"/>
  <c r="BY65" i="10"/>
  <c r="BY70" i="10" s="1"/>
  <c r="BZ65" i="10"/>
  <c r="BZ70" i="10" s="1"/>
  <c r="CB65" i="10"/>
  <c r="CB70" i="10" s="1"/>
  <c r="CA65" i="10"/>
  <c r="CA70" i="10" s="1"/>
  <c r="CA48" i="10" s="1"/>
  <c r="CA52" i="10" s="1"/>
  <c r="AX65" i="10"/>
  <c r="AX70" i="10" s="1"/>
  <c r="BC65" i="10"/>
  <c r="BC70" i="10" s="1"/>
  <c r="AW65" i="10"/>
  <c r="AW70" i="10" s="1"/>
  <c r="AZ65" i="10"/>
  <c r="AZ70" i="10" s="1"/>
  <c r="BB65" i="10"/>
  <c r="BB70" i="10" s="1"/>
  <c r="BA65" i="10"/>
  <c r="BA70" i="10" s="1"/>
  <c r="AY65" i="10"/>
  <c r="AY70" i="10" s="1"/>
  <c r="AU65" i="10"/>
  <c r="AU70" i="10" s="1"/>
  <c r="AV65" i="10"/>
  <c r="AV70" i="10" s="1"/>
  <c r="AT65" i="10"/>
  <c r="AT70" i="10" s="1"/>
  <c r="BD65" i="10"/>
  <c r="BD70" i="10" s="1"/>
  <c r="C70" i="10"/>
  <c r="C70" i="11" s="1"/>
  <c r="AP65" i="10"/>
  <c r="AP70" i="10" s="1"/>
  <c r="AN65" i="10"/>
  <c r="AN70" i="10" s="1"/>
  <c r="AM65" i="10"/>
  <c r="AO65" i="10"/>
  <c r="AO70" i="10" s="1"/>
  <c r="AS65" i="10"/>
  <c r="AR65" i="10"/>
  <c r="AR70" i="10" s="1"/>
  <c r="AQ65" i="10"/>
  <c r="AQ70" i="10" s="1"/>
  <c r="H37" i="2"/>
  <c r="G37" i="2"/>
  <c r="E37" i="2"/>
  <c r="F37" i="2"/>
  <c r="F76" i="2"/>
  <c r="G76" i="2"/>
  <c r="G26" i="22"/>
  <c r="H26" i="22"/>
  <c r="I26" i="22"/>
  <c r="F29" i="22"/>
  <c r="D39" i="2"/>
  <c r="BY48" i="10" l="1"/>
  <c r="BY52" i="10" s="1"/>
  <c r="BY72" i="10" s="1"/>
  <c r="BU48" i="10"/>
  <c r="BU52" i="10" s="1"/>
  <c r="BU72" i="10" s="1"/>
  <c r="BQ48" i="10"/>
  <c r="BQ52" i="10" s="1"/>
  <c r="BQ72" i="10" s="1"/>
  <c r="BM48" i="10"/>
  <c r="BM52" i="10" s="1"/>
  <c r="BM72" i="10" s="1"/>
  <c r="BI72" i="10"/>
  <c r="BI74" i="10"/>
  <c r="BI100" i="10" s="1"/>
  <c r="BI71" i="10"/>
  <c r="M65" i="11"/>
  <c r="BE70" i="10"/>
  <c r="AI48" i="10"/>
  <c r="AI52" i="10" s="1"/>
  <c r="AI72" i="10" s="1"/>
  <c r="CA72" i="10"/>
  <c r="CA71" i="10"/>
  <c r="CA74" i="10"/>
  <c r="BX48" i="10"/>
  <c r="BX52" i="10" s="1"/>
  <c r="BX72" i="10" s="1"/>
  <c r="BT48" i="10"/>
  <c r="BT52" i="10" s="1"/>
  <c r="BT72" i="10" s="1"/>
  <c r="BP48" i="10"/>
  <c r="BP52" i="10" s="1"/>
  <c r="BP72" i="10" s="1"/>
  <c r="BL48" i="10"/>
  <c r="BL52" i="10" s="1"/>
  <c r="BL72" i="10" s="1"/>
  <c r="BH48" i="10"/>
  <c r="BH52" i="10" s="1"/>
  <c r="BH72" i="10" s="1"/>
  <c r="AK48" i="10"/>
  <c r="AK52" i="10" s="1"/>
  <c r="AK72" i="10" s="1"/>
  <c r="AH48" i="10"/>
  <c r="AH52" i="10" s="1"/>
  <c r="AH72" i="10" s="1"/>
  <c r="CB48" i="10"/>
  <c r="CB52" i="10" s="1"/>
  <c r="CB72" i="10" s="1"/>
  <c r="BW72" i="10"/>
  <c r="BW74" i="10"/>
  <c r="BW71" i="10"/>
  <c r="BS48" i="10"/>
  <c r="BS52" i="10" s="1"/>
  <c r="BS72" i="10" s="1"/>
  <c r="BO48" i="10"/>
  <c r="BO52" i="10" s="1"/>
  <c r="BK48" i="10"/>
  <c r="BK52" i="10" s="1"/>
  <c r="BK72" i="10" s="1"/>
  <c r="BG48" i="10"/>
  <c r="BG52" i="10" s="1"/>
  <c r="AL48" i="10"/>
  <c r="AL52" i="10" s="1"/>
  <c r="AL72" i="10" s="1"/>
  <c r="AG48" i="10"/>
  <c r="AG52" i="10" s="1"/>
  <c r="BZ48" i="10"/>
  <c r="BZ52" i="10" s="1"/>
  <c r="BZ72" i="10" s="1"/>
  <c r="BV48" i="10"/>
  <c r="BV52" i="10" s="1"/>
  <c r="BR48" i="10"/>
  <c r="BR52" i="10" s="1"/>
  <c r="BR72" i="10" s="1"/>
  <c r="BN48" i="10"/>
  <c r="BN52" i="10" s="1"/>
  <c r="BJ48" i="10"/>
  <c r="BJ52" i="10" s="1"/>
  <c r="BJ72" i="10" s="1"/>
  <c r="BF48" i="10"/>
  <c r="BF52" i="10" s="1"/>
  <c r="AJ72" i="10"/>
  <c r="AJ71" i="10"/>
  <c r="AJ74" i="10"/>
  <c r="AJ100" i="10" s="1"/>
  <c r="H100" i="11"/>
  <c r="L65" i="11"/>
  <c r="K65" i="11"/>
  <c r="AR48" i="10"/>
  <c r="AR52" i="10" s="1"/>
  <c r="AR72" i="10" s="1"/>
  <c r="AN48" i="10"/>
  <c r="AN52" i="10" s="1"/>
  <c r="BD48" i="10"/>
  <c r="BD52" i="10" s="1"/>
  <c r="BD72" i="10" s="1"/>
  <c r="AY48" i="10"/>
  <c r="AY52" i="10" s="1"/>
  <c r="AW48" i="10"/>
  <c r="AW52" i="10" s="1"/>
  <c r="AW72" i="10" s="1"/>
  <c r="AQ48" i="10"/>
  <c r="AQ52" i="10" s="1"/>
  <c r="AU48" i="10"/>
  <c r="AU52" i="10" s="1"/>
  <c r="AU72" i="10" s="1"/>
  <c r="D41" i="2"/>
  <c r="G42" i="2" s="1"/>
  <c r="F39" i="2"/>
  <c r="E39" i="2"/>
  <c r="G39" i="2"/>
  <c r="H39" i="2"/>
  <c r="I29" i="22"/>
  <c r="G29" i="22"/>
  <c r="H29" i="22"/>
  <c r="F31" i="22"/>
  <c r="F53" i="22" s="1"/>
  <c r="F26" i="8"/>
  <c r="AS70" i="10"/>
  <c r="L70" i="11" s="1"/>
  <c r="AT48" i="10"/>
  <c r="AT52" i="10" s="1"/>
  <c r="AT72" i="10" s="1"/>
  <c r="BA48" i="10"/>
  <c r="BA52" i="10" s="1"/>
  <c r="BA72" i="10" s="1"/>
  <c r="BC48" i="10"/>
  <c r="BC52" i="10" s="1"/>
  <c r="AM70" i="10"/>
  <c r="K70" i="11" s="1"/>
  <c r="AZ48" i="10"/>
  <c r="AZ52" i="10" s="1"/>
  <c r="AZ72" i="10" s="1"/>
  <c r="AO48" i="10"/>
  <c r="AO52" i="10" s="1"/>
  <c r="AO72" i="10" s="1"/>
  <c r="AP48" i="10"/>
  <c r="AP52" i="10" s="1"/>
  <c r="AP72" i="10" s="1"/>
  <c r="AV48" i="10"/>
  <c r="AV52" i="10" s="1"/>
  <c r="AV72" i="10" s="1"/>
  <c r="BB48" i="10"/>
  <c r="BB52" i="10" s="1"/>
  <c r="BB72" i="10" s="1"/>
  <c r="AX48" i="10"/>
  <c r="AX52" i="10" s="1"/>
  <c r="AX72" i="10" s="1"/>
  <c r="BF71" i="10" l="1"/>
  <c r="BF74" i="10"/>
  <c r="BF100" i="10" s="1"/>
  <c r="BN71" i="10"/>
  <c r="BN74" i="10"/>
  <c r="BN100" i="10" s="1"/>
  <c r="BV71" i="10"/>
  <c r="BV74" i="10"/>
  <c r="AG71" i="10"/>
  <c r="AG74" i="10"/>
  <c r="AG100" i="10" s="1"/>
  <c r="BG74" i="10"/>
  <c r="BG100" i="10" s="1"/>
  <c r="BG71" i="10"/>
  <c r="BO71" i="10"/>
  <c r="BO74" i="10"/>
  <c r="BO100" i="10" s="1"/>
  <c r="BW131" i="10"/>
  <c r="BW123" i="10"/>
  <c r="AH74" i="10"/>
  <c r="AH100" i="10" s="1"/>
  <c r="AH71" i="10"/>
  <c r="BH74" i="10"/>
  <c r="BH100" i="10" s="1"/>
  <c r="BH71" i="10"/>
  <c r="BP71" i="10"/>
  <c r="BP74" i="10"/>
  <c r="BX71" i="10"/>
  <c r="BX74" i="10"/>
  <c r="BM74" i="10"/>
  <c r="BM100" i="10" s="1"/>
  <c r="BM71" i="10"/>
  <c r="BU71" i="10"/>
  <c r="BU74" i="10"/>
  <c r="BJ71" i="10"/>
  <c r="BJ74" i="10"/>
  <c r="BJ100" i="10" s="1"/>
  <c r="BR74" i="10"/>
  <c r="BR71" i="10"/>
  <c r="BZ74" i="10"/>
  <c r="BZ71" i="10"/>
  <c r="AL71" i="10"/>
  <c r="AL74" i="10"/>
  <c r="AL100" i="10" s="1"/>
  <c r="BK74" i="10"/>
  <c r="BK100" i="10" s="1"/>
  <c r="BK71" i="10"/>
  <c r="BS74" i="10"/>
  <c r="BS71" i="10"/>
  <c r="CA131" i="10"/>
  <c r="CA123" i="10"/>
  <c r="AI71" i="10"/>
  <c r="AI74" i="10"/>
  <c r="AI100" i="10" s="1"/>
  <c r="BF72" i="10"/>
  <c r="BN72" i="10"/>
  <c r="BV72" i="10"/>
  <c r="AG72" i="10"/>
  <c r="BG72" i="10"/>
  <c r="BO72" i="10"/>
  <c r="CB74" i="10"/>
  <c r="CB71" i="10"/>
  <c r="AK74" i="10"/>
  <c r="AK100" i="10" s="1"/>
  <c r="AK71" i="10"/>
  <c r="BL74" i="10"/>
  <c r="BL100" i="10" s="1"/>
  <c r="BL71" i="10"/>
  <c r="BT71" i="10"/>
  <c r="BT74" i="10"/>
  <c r="BE48" i="10"/>
  <c r="M70" i="11"/>
  <c r="BQ74" i="10"/>
  <c r="BQ71" i="10"/>
  <c r="BY74" i="10"/>
  <c r="BY71" i="10"/>
  <c r="AQ71" i="10"/>
  <c r="AQ74" i="10"/>
  <c r="AQ100" i="10" s="1"/>
  <c r="AY71" i="10"/>
  <c r="AY74" i="10"/>
  <c r="AY100" i="10" s="1"/>
  <c r="AN71" i="10"/>
  <c r="AN74" i="10"/>
  <c r="AN100" i="10" s="1"/>
  <c r="AX71" i="10"/>
  <c r="AX74" i="10"/>
  <c r="AX100" i="10" s="1"/>
  <c r="AV71" i="10"/>
  <c r="AV74" i="10"/>
  <c r="AV100" i="10" s="1"/>
  <c r="AO71" i="10"/>
  <c r="AO74" i="10"/>
  <c r="AO100" i="10" s="1"/>
  <c r="AM48" i="10"/>
  <c r="K48" i="11" s="1"/>
  <c r="BA71" i="10"/>
  <c r="BA74" i="10"/>
  <c r="BA100" i="10" s="1"/>
  <c r="AS48" i="10"/>
  <c r="L48" i="11" s="1"/>
  <c r="H31" i="22"/>
  <c r="F33" i="22"/>
  <c r="G31" i="22"/>
  <c r="F64" i="22"/>
  <c r="I31" i="22"/>
  <c r="H9" i="19"/>
  <c r="D42" i="2"/>
  <c r="F42" i="2"/>
  <c r="E42" i="2"/>
  <c r="AQ72" i="10"/>
  <c r="AY72" i="10"/>
  <c r="AN72" i="10"/>
  <c r="BC71" i="10"/>
  <c r="BC74" i="10"/>
  <c r="BC100" i="10" s="1"/>
  <c r="I26" i="8"/>
  <c r="G26" i="8"/>
  <c r="F29" i="8"/>
  <c r="H26" i="8"/>
  <c r="AU74" i="10"/>
  <c r="AU100" i="10" s="1"/>
  <c r="AU71" i="10"/>
  <c r="BD74" i="10"/>
  <c r="BD100" i="10" s="1"/>
  <c r="BD71" i="10"/>
  <c r="AR71" i="10"/>
  <c r="AR74" i="10"/>
  <c r="BB71" i="10"/>
  <c r="BB74" i="10"/>
  <c r="BB100" i="10" s="1"/>
  <c r="AP71" i="10"/>
  <c r="AP74" i="10"/>
  <c r="AP100" i="10" s="1"/>
  <c r="AZ71" i="10"/>
  <c r="AZ74" i="10"/>
  <c r="AZ100" i="10" s="1"/>
  <c r="BC72" i="10"/>
  <c r="AT71" i="10"/>
  <c r="AT74" i="10"/>
  <c r="AT100" i="10" s="1"/>
  <c r="AW74" i="10"/>
  <c r="AW100" i="10" s="1"/>
  <c r="AW71" i="10"/>
  <c r="BT123" i="10" l="1"/>
  <c r="BT131" i="10"/>
  <c r="BZ123" i="10"/>
  <c r="BZ131" i="10"/>
  <c r="BV123" i="10"/>
  <c r="BV131" i="10"/>
  <c r="BY123" i="10"/>
  <c r="BY131" i="10"/>
  <c r="BU123" i="10"/>
  <c r="BU131" i="10"/>
  <c r="BX131" i="10"/>
  <c r="BX123" i="10"/>
  <c r="BE52" i="10"/>
  <c r="M48" i="11"/>
  <c r="CB123" i="10"/>
  <c r="CB131" i="10"/>
  <c r="BS131" i="10"/>
  <c r="BS123" i="10"/>
  <c r="BR123" i="10"/>
  <c r="BR131" i="10"/>
  <c r="H10" i="19"/>
  <c r="H11" i="19"/>
  <c r="G29" i="8"/>
  <c r="H29" i="8"/>
  <c r="F31" i="8"/>
  <c r="F53" i="8" s="1"/>
  <c r="I29" i="8"/>
  <c r="AS52" i="10"/>
  <c r="L52" i="11" s="1"/>
  <c r="AM52" i="10"/>
  <c r="K52" i="11" s="1"/>
  <c r="H53" i="22"/>
  <c r="F61" i="22"/>
  <c r="G53" i="22"/>
  <c r="F54" i="22"/>
  <c r="H33" i="22"/>
  <c r="G33" i="22"/>
  <c r="F34" i="22"/>
  <c r="BE71" i="10" l="1"/>
  <c r="BE74" i="10"/>
  <c r="M52" i="11"/>
  <c r="BE72" i="10"/>
  <c r="K71" i="11"/>
  <c r="K72" i="11"/>
  <c r="L71" i="11"/>
  <c r="L72" i="11"/>
  <c r="F55" i="22"/>
  <c r="H54" i="22"/>
  <c r="I62" i="22"/>
  <c r="G54" i="22"/>
  <c r="I64" i="22"/>
  <c r="I63" i="22" s="1"/>
  <c r="AS71" i="10"/>
  <c r="AS74" i="10"/>
  <c r="AS72" i="10"/>
  <c r="G31" i="8"/>
  <c r="H31" i="8"/>
  <c r="I31" i="8"/>
  <c r="F33" i="8"/>
  <c r="AM71" i="10"/>
  <c r="AM74" i="10"/>
  <c r="AM72" i="10"/>
  <c r="H34" i="22"/>
  <c r="G34" i="22"/>
  <c r="F66" i="22"/>
  <c r="F50" i="22"/>
  <c r="K74" i="11" l="1"/>
  <c r="AM100" i="10"/>
  <c r="M74" i="11"/>
  <c r="BE100" i="10"/>
  <c r="L74" i="11"/>
  <c r="AS100" i="10"/>
  <c r="L100" i="11" s="1"/>
  <c r="M71" i="11"/>
  <c r="M72" i="11"/>
  <c r="F34" i="8"/>
  <c r="F50" i="8"/>
  <c r="H33" i="8"/>
  <c r="G33" i="8"/>
  <c r="F66" i="8"/>
  <c r="C142" i="10"/>
  <c r="C142" i="11" s="1"/>
  <c r="I61" i="22"/>
  <c r="F63" i="22"/>
  <c r="H53" i="8"/>
  <c r="G53" i="8"/>
  <c r="F54" i="8"/>
  <c r="F63" i="8" s="1"/>
  <c r="F61" i="8"/>
  <c r="F64" i="8"/>
  <c r="G55" i="22"/>
  <c r="H55" i="22"/>
  <c r="K51" i="2" l="1"/>
  <c r="C145" i="10"/>
  <c r="C145" i="11" s="1"/>
  <c r="F55" i="8"/>
  <c r="I62" i="8"/>
  <c r="I61" i="8" s="1"/>
  <c r="H54" i="8"/>
  <c r="G54" i="8"/>
  <c r="I64" i="8"/>
  <c r="I63" i="8" s="1"/>
  <c r="C130" i="5"/>
  <c r="C19" i="6"/>
  <c r="H34" i="8"/>
  <c r="G34" i="8"/>
  <c r="H55" i="8" l="1"/>
  <c r="G55" i="8"/>
  <c r="M150" i="10"/>
  <c r="M150" i="11" s="1"/>
  <c r="C146" i="10"/>
  <c r="C146" i="11" s="1"/>
  <c r="M179" i="10"/>
  <c r="M179" i="11" s="1"/>
  <c r="K54" i="2"/>
  <c r="M163" i="10"/>
  <c r="M163" i="11" s="1"/>
  <c r="M171" i="10"/>
  <c r="M171" i="11" s="1"/>
  <c r="E19" i="6"/>
  <c r="D19" i="6"/>
  <c r="H101" i="5"/>
  <c r="H115" i="5"/>
  <c r="H83" i="5"/>
  <c r="H96" i="5"/>
  <c r="H30" i="5"/>
  <c r="H109" i="5"/>
  <c r="H87" i="5"/>
  <c r="F130" i="5"/>
  <c r="H45" i="5"/>
  <c r="H51" i="5"/>
  <c r="H62" i="5"/>
  <c r="H95" i="5"/>
  <c r="H44" i="5"/>
  <c r="H125" i="5"/>
  <c r="H123" i="5"/>
  <c r="H57" i="5"/>
  <c r="H43" i="5"/>
  <c r="H89" i="5"/>
  <c r="H60" i="5"/>
  <c r="H112" i="5"/>
  <c r="H81" i="5"/>
  <c r="H93" i="5"/>
  <c r="H91" i="5"/>
  <c r="H37" i="5"/>
  <c r="H97" i="5"/>
  <c r="H73" i="5"/>
  <c r="H92" i="5"/>
  <c r="H64" i="5"/>
  <c r="H107" i="5"/>
  <c r="H28" i="5"/>
  <c r="H70" i="5"/>
  <c r="H74" i="5"/>
  <c r="H61" i="5"/>
  <c r="H104" i="5"/>
  <c r="H98" i="5"/>
  <c r="H19" i="5"/>
  <c r="H71" i="5"/>
  <c r="H127" i="5"/>
  <c r="H72" i="5"/>
  <c r="H90" i="5"/>
  <c r="H114" i="5"/>
  <c r="H47" i="5"/>
  <c r="H50" i="5"/>
  <c r="H79" i="5"/>
  <c r="H53" i="5"/>
  <c r="H26" i="5"/>
  <c r="H86" i="5"/>
  <c r="H126" i="5"/>
  <c r="H33" i="5"/>
  <c r="H119" i="5"/>
  <c r="H59" i="5"/>
  <c r="H99" i="5"/>
  <c r="H25" i="5"/>
  <c r="H102" i="5"/>
  <c r="H32" i="5"/>
  <c r="H63" i="5"/>
  <c r="H76" i="5"/>
  <c r="F35" i="22"/>
  <c r="H66" i="5"/>
  <c r="H103" i="5"/>
  <c r="H85" i="5"/>
  <c r="H75" i="5"/>
  <c r="H124" i="5"/>
  <c r="H108" i="5"/>
  <c r="H94" i="5"/>
  <c r="H24" i="5"/>
  <c r="H46" i="5"/>
  <c r="H36" i="5"/>
  <c r="H34" i="5"/>
  <c r="H82" i="5"/>
  <c r="H68" i="5"/>
  <c r="H80" i="5"/>
  <c r="H40" i="5"/>
  <c r="H122" i="5"/>
  <c r="H39" i="5"/>
  <c r="H29" i="5"/>
  <c r="H48" i="5"/>
  <c r="H78" i="5"/>
  <c r="H58" i="5"/>
  <c r="H38" i="5"/>
  <c r="H105" i="5"/>
  <c r="H31" i="5"/>
  <c r="H41" i="5"/>
  <c r="H77" i="5"/>
  <c r="H42" i="5"/>
  <c r="H52" i="5"/>
  <c r="H88" i="5"/>
  <c r="H106" i="5"/>
  <c r="H113" i="5"/>
  <c r="H54" i="5"/>
  <c r="H100" i="5"/>
  <c r="H65" i="5"/>
  <c r="H84" i="5"/>
  <c r="G130" i="5"/>
  <c r="D43" i="2"/>
  <c r="H67" i="5"/>
  <c r="H69" i="5"/>
  <c r="C158" i="10" l="1"/>
  <c r="C158" i="11" s="1"/>
  <c r="K55" i="2"/>
  <c r="H35" i="22"/>
  <c r="G35" i="22"/>
  <c r="I49" i="22"/>
  <c r="I65" i="22"/>
  <c r="F65" i="22"/>
  <c r="F49" i="22"/>
  <c r="H130" i="5"/>
  <c r="F111" i="10"/>
  <c r="F111" i="11" s="1"/>
  <c r="F35" i="8"/>
  <c r="H8" i="5"/>
  <c r="M26" i="2"/>
  <c r="H7" i="5"/>
  <c r="F43" i="2"/>
  <c r="E43" i="2"/>
  <c r="D45" i="2"/>
  <c r="H23" i="5"/>
  <c r="M44" i="2"/>
  <c r="K44" i="2"/>
  <c r="G43" i="2"/>
  <c r="K43" i="2"/>
  <c r="I50" i="22"/>
  <c r="I66" i="22"/>
  <c r="F62" i="22"/>
  <c r="I50" i="8"/>
  <c r="I66" i="8"/>
  <c r="I65" i="8"/>
  <c r="I49" i="8"/>
  <c r="F62" i="8"/>
  <c r="C156" i="10"/>
  <c r="C156" i="11" s="1"/>
  <c r="C147" i="10"/>
  <c r="AR100" i="10" s="1"/>
  <c r="C118" i="5" l="1"/>
  <c r="F118" i="5" s="1"/>
  <c r="K39" i="2"/>
  <c r="BP100" i="10"/>
  <c r="G100" i="10" s="1"/>
  <c r="C147" i="11"/>
  <c r="M53" i="2"/>
  <c r="N179" i="10"/>
  <c r="N179" i="11" s="1"/>
  <c r="N163" i="10"/>
  <c r="N163" i="11" s="1"/>
  <c r="M51" i="2"/>
  <c r="N171" i="10"/>
  <c r="N171" i="11" s="1"/>
  <c r="F38" i="8"/>
  <c r="H42" i="2"/>
  <c r="C7" i="6"/>
  <c r="F38" i="22"/>
  <c r="I46" i="8"/>
  <c r="I45" i="8" s="1"/>
  <c r="K23" i="2"/>
  <c r="M43" i="2"/>
  <c r="I46" i="22"/>
  <c r="I45" i="22" s="1"/>
  <c r="H43" i="2"/>
  <c r="E119" i="10"/>
  <c r="E119" i="11" s="1"/>
  <c r="K40" i="2"/>
  <c r="M40" i="2"/>
  <c r="K42" i="2"/>
  <c r="C162" i="10"/>
  <c r="C162" i="11" s="1"/>
  <c r="K56" i="2"/>
  <c r="H35" i="8"/>
  <c r="G35" i="8"/>
  <c r="F65" i="8"/>
  <c r="F49" i="8"/>
  <c r="C20" i="6" l="1"/>
  <c r="D20" i="6" s="1"/>
  <c r="G118" i="5"/>
  <c r="E118" i="5"/>
  <c r="E128" i="5" s="1"/>
  <c r="H118" i="5"/>
  <c r="G100" i="11"/>
  <c r="C154" i="10"/>
  <c r="C154" i="11" s="1"/>
  <c r="M100" i="11"/>
  <c r="K100" i="11"/>
  <c r="F119" i="10"/>
  <c r="F119" i="11" s="1"/>
  <c r="D121" i="10"/>
  <c r="D121" i="11" s="1"/>
  <c r="D7" i="6"/>
  <c r="E7" i="6"/>
  <c r="C31" i="6"/>
  <c r="C30" i="6"/>
  <c r="F39" i="22"/>
  <c r="M41" i="2"/>
  <c r="M39" i="2"/>
  <c r="M42" i="2"/>
  <c r="F39" i="8"/>
  <c r="K41" i="2"/>
  <c r="M57" i="2"/>
  <c r="G38" i="22"/>
  <c r="F46" i="22"/>
  <c r="H38" i="22"/>
  <c r="F45" i="22"/>
  <c r="F48" i="22"/>
  <c r="F45" i="8"/>
  <c r="H38" i="8"/>
  <c r="G38" i="8"/>
  <c r="F46" i="8"/>
  <c r="F48" i="8"/>
  <c r="E20" i="6" l="1"/>
  <c r="C152" i="10"/>
  <c r="C152" i="11" s="1"/>
  <c r="C120" i="5"/>
  <c r="C38" i="6"/>
  <c r="K171" i="10"/>
  <c r="K171" i="11" s="1"/>
  <c r="K179" i="10"/>
  <c r="K179" i="11" s="1"/>
  <c r="M49" i="2"/>
  <c r="L179" i="10"/>
  <c r="L179" i="11" s="1"/>
  <c r="K150" i="10"/>
  <c r="K150" i="11" s="1"/>
  <c r="K163" i="10"/>
  <c r="K163" i="11" s="1"/>
  <c r="H39" i="8"/>
  <c r="G39" i="8"/>
  <c r="F40" i="8"/>
  <c r="I48" i="8"/>
  <c r="I47" i="8" s="1"/>
  <c r="F47" i="8"/>
  <c r="F40" i="22"/>
  <c r="H39" i="22"/>
  <c r="G39" i="22"/>
  <c r="I48" i="22"/>
  <c r="I47" i="22" s="1"/>
  <c r="F47" i="22"/>
  <c r="C121" i="5"/>
  <c r="M28" i="2"/>
  <c r="C21" i="6" l="1"/>
  <c r="C22" i="6" s="1"/>
  <c r="E126" i="10"/>
  <c r="E126" i="11" s="1"/>
  <c r="H121" i="5"/>
  <c r="G121" i="5"/>
  <c r="F121" i="5"/>
  <c r="H120" i="5"/>
  <c r="G120" i="5"/>
  <c r="C128" i="5"/>
  <c r="F120" i="5"/>
  <c r="G40" i="8"/>
  <c r="H40" i="8"/>
  <c r="I179" i="10"/>
  <c r="I179" i="11" s="1"/>
  <c r="I138" i="10"/>
  <c r="I138" i="11" s="1"/>
  <c r="I163" i="10"/>
  <c r="I163" i="11" s="1"/>
  <c r="I150" i="10"/>
  <c r="I150" i="11" s="1"/>
  <c r="I171" i="10"/>
  <c r="I171" i="11" s="1"/>
  <c r="M47" i="2"/>
  <c r="H40" i="22"/>
  <c r="G40" i="22"/>
  <c r="D133" i="10" l="1"/>
  <c r="D133" i="11" s="1"/>
  <c r="E21" i="6"/>
  <c r="D21" i="6"/>
  <c r="G128" i="5"/>
  <c r="F128" i="5"/>
  <c r="H128" i="5"/>
  <c r="E22" i="6"/>
  <c r="E27" i="6" s="1"/>
  <c r="D22" i="6"/>
  <c r="C27" i="6"/>
  <c r="D27" i="6" s="1"/>
  <c r="C11" i="6"/>
  <c r="E11" i="6" l="1"/>
  <c r="D11" i="6"/>
  <c r="M27" i="2"/>
  <c r="M31" i="2" s="1"/>
  <c r="M32" i="2" s="1"/>
  <c r="M33" i="2" s="1"/>
  <c r="D9" i="14"/>
  <c r="C9" i="14" s="1"/>
  <c r="E105" i="10"/>
  <c r="E105" i="11" s="1"/>
  <c r="C12" i="6"/>
  <c r="C157" i="10"/>
  <c r="C157" i="11" s="1"/>
  <c r="H106" i="10" l="1"/>
  <c r="H106" i="11" s="1"/>
  <c r="F24" i="6"/>
  <c r="D12" i="6"/>
  <c r="F18" i="6"/>
  <c r="F17" i="6"/>
  <c r="F10" i="6"/>
  <c r="F20" i="6"/>
  <c r="F9" i="6"/>
  <c r="F16" i="6"/>
  <c r="F8" i="6"/>
  <c r="F12" i="6"/>
  <c r="F15" i="6"/>
  <c r="E12" i="6"/>
  <c r="F19" i="6"/>
  <c r="F7" i="6"/>
  <c r="F21" i="6"/>
  <c r="F22" i="6"/>
  <c r="H105" i="10"/>
  <c r="H105" i="11" s="1"/>
  <c r="F105" i="10"/>
  <c r="F105" i="11" s="1"/>
  <c r="C133" i="10"/>
  <c r="C133" i="11" s="1"/>
  <c r="F11" i="6"/>
  <c r="M52" i="2"/>
  <c r="C10" i="14"/>
  <c r="C142" i="14"/>
  <c r="H15" i="14"/>
  <c r="H109" i="11" l="1"/>
  <c r="H107" i="11"/>
  <c r="I105" i="11" s="1"/>
  <c r="H108" i="10"/>
  <c r="H148" i="14"/>
  <c r="I148" i="14" s="1"/>
  <c r="I15" i="14"/>
  <c r="J15" i="14" s="1"/>
  <c r="H17" i="14"/>
  <c r="I17" i="14" s="1"/>
  <c r="H16" i="14"/>
  <c r="I16" i="14" s="1"/>
  <c r="H18" i="14"/>
  <c r="I18" i="14" s="1"/>
  <c r="C143" i="14"/>
  <c r="I106" i="10"/>
  <c r="H107" i="10"/>
  <c r="H108" i="11" l="1"/>
  <c r="J17" i="14"/>
  <c r="I108" i="10"/>
  <c r="J18" i="14"/>
  <c r="J106" i="10"/>
  <c r="K106" i="10" s="1"/>
  <c r="L106" i="10" s="1"/>
  <c r="I105" i="10"/>
  <c r="H112" i="10"/>
  <c r="H149" i="14"/>
  <c r="I149" i="14" s="1"/>
  <c r="H151" i="14"/>
  <c r="I151" i="14" s="1"/>
  <c r="H150" i="14"/>
  <c r="I150" i="14" s="1"/>
  <c r="J16" i="14"/>
  <c r="H111" i="10"/>
  <c r="H111" i="11" s="1"/>
  <c r="H112" i="11" l="1"/>
  <c r="H113" i="11" s="1"/>
  <c r="J108" i="10"/>
  <c r="K108" i="10"/>
  <c r="L108" i="10"/>
  <c r="I107" i="10"/>
  <c r="M106" i="10"/>
  <c r="M108" i="10" s="1"/>
  <c r="H113" i="10"/>
  <c r="H119" i="10" s="1"/>
  <c r="H120" i="10" l="1"/>
  <c r="I111" i="10"/>
  <c r="N106" i="10"/>
  <c r="I112" i="10"/>
  <c r="J105" i="10"/>
  <c r="H120" i="11" l="1"/>
  <c r="H124" i="11" s="1" a="1"/>
  <c r="H124" i="11" s="1"/>
  <c r="H130" i="10"/>
  <c r="I113" i="10"/>
  <c r="I119" i="10" s="1"/>
  <c r="I120" i="10" s="1"/>
  <c r="H124" i="10"/>
  <c r="I122" i="10" s="1"/>
  <c r="N108" i="10"/>
  <c r="H121" i="10"/>
  <c r="O106" i="10"/>
  <c r="J107" i="10"/>
  <c r="H130" i="11" l="1"/>
  <c r="H119" i="11"/>
  <c r="H121" i="11" s="1"/>
  <c r="J111" i="10"/>
  <c r="J112" i="10"/>
  <c r="K105" i="10"/>
  <c r="F159" i="14"/>
  <c r="F56" i="14" s="1"/>
  <c r="I121" i="10"/>
  <c r="O108" i="10"/>
  <c r="P106" i="10"/>
  <c r="I131" i="10"/>
  <c r="I123" i="10"/>
  <c r="J113" i="10" l="1"/>
  <c r="J119" i="10" s="1"/>
  <c r="J120" i="10" s="1"/>
  <c r="P108" i="10"/>
  <c r="F160" i="14"/>
  <c r="K107" i="10"/>
  <c r="I124" i="10"/>
  <c r="J122" i="10" s="1"/>
  <c r="I130" i="10"/>
  <c r="Q106" i="10"/>
  <c r="K111" i="10" l="1"/>
  <c r="G159" i="14"/>
  <c r="F117" i="14"/>
  <c r="F155" i="14" s="1"/>
  <c r="F181" i="14"/>
  <c r="F167" i="14"/>
  <c r="F135" i="14" s="1"/>
  <c r="F168" i="14"/>
  <c r="F172" i="14" s="1"/>
  <c r="R106" i="10"/>
  <c r="Q108" i="10"/>
  <c r="J131" i="10"/>
  <c r="J123" i="10"/>
  <c r="F57" i="14"/>
  <c r="L105" i="10"/>
  <c r="K112" i="10"/>
  <c r="J121" i="10"/>
  <c r="J130" i="10" l="1"/>
  <c r="F70" i="14"/>
  <c r="F67" i="14"/>
  <c r="F66" i="14"/>
  <c r="F46" i="14" s="1"/>
  <c r="F82" i="14"/>
  <c r="F72" i="14"/>
  <c r="F170" i="14"/>
  <c r="F124" i="14"/>
  <c r="F169" i="14"/>
  <c r="L107" i="10"/>
  <c r="S106" i="10"/>
  <c r="R108" i="10"/>
  <c r="F182" i="14"/>
  <c r="F173" i="14"/>
  <c r="F174" i="14" s="1"/>
  <c r="K113" i="10"/>
  <c r="K119" i="10" s="1"/>
  <c r="J124" i="10"/>
  <c r="K122" i="10" s="1"/>
  <c r="H159" i="14" l="1"/>
  <c r="G156" i="14" s="1"/>
  <c r="G160" i="14" s="1"/>
  <c r="G118" i="14" s="1"/>
  <c r="F175" i="14"/>
  <c r="F183" i="14" s="1"/>
  <c r="K120" i="10"/>
  <c r="F83" i="14"/>
  <c r="F73" i="14"/>
  <c r="T106" i="10"/>
  <c r="S108" i="10"/>
  <c r="K123" i="10"/>
  <c r="K131" i="10"/>
  <c r="L112" i="10"/>
  <c r="M105" i="10"/>
  <c r="F194" i="14"/>
  <c r="L111" i="10"/>
  <c r="F68" i="14"/>
  <c r="G63" i="14" s="1"/>
  <c r="F35" i="14"/>
  <c r="F69" i="14"/>
  <c r="K121" i="10" l="1"/>
  <c r="F187" i="14"/>
  <c r="F197" i="14" s="1"/>
  <c r="F184" i="14"/>
  <c r="F185" i="14"/>
  <c r="U106" i="10"/>
  <c r="T108" i="10"/>
  <c r="I108" i="11" s="1"/>
  <c r="G154" i="14"/>
  <c r="G65" i="14"/>
  <c r="L113" i="10"/>
  <c r="L119" i="10" s="1"/>
  <c r="G117" i="14"/>
  <c r="G155" i="14" s="1"/>
  <c r="K130" i="10"/>
  <c r="M107" i="10"/>
  <c r="F195" i="14"/>
  <c r="F201" i="14"/>
  <c r="F196" i="14"/>
  <c r="K124" i="10"/>
  <c r="L122" i="10" s="1"/>
  <c r="F75" i="14"/>
  <c r="F95" i="14"/>
  <c r="M111" i="10" l="1"/>
  <c r="G179" i="14"/>
  <c r="G165" i="14"/>
  <c r="F76" i="14"/>
  <c r="F84" i="14" s="1"/>
  <c r="L131" i="10"/>
  <c r="L123" i="10"/>
  <c r="I159" i="14"/>
  <c r="F96" i="14"/>
  <c r="F97" i="14"/>
  <c r="F102" i="14"/>
  <c r="L120" i="10"/>
  <c r="M112" i="10"/>
  <c r="N105" i="10"/>
  <c r="V106" i="10"/>
  <c r="U108" i="10"/>
  <c r="F188" i="14"/>
  <c r="L130" i="10" l="1"/>
  <c r="J159" i="14" s="1"/>
  <c r="I156" i="14" s="1"/>
  <c r="I160" i="14" s="1"/>
  <c r="W106" i="10"/>
  <c r="V108" i="10"/>
  <c r="G181" i="14"/>
  <c r="G186" i="14"/>
  <c r="N107" i="10"/>
  <c r="L121" i="10"/>
  <c r="F189" i="14"/>
  <c r="F88" i="14"/>
  <c r="F98" i="14" s="1"/>
  <c r="F85" i="14"/>
  <c r="G80" i="14" s="1"/>
  <c r="F86" i="14"/>
  <c r="H156" i="14"/>
  <c r="H160" i="14" s="1"/>
  <c r="L124" i="10"/>
  <c r="M122" i="10" s="1"/>
  <c r="G167" i="14"/>
  <c r="G166" i="14"/>
  <c r="G180" i="14"/>
  <c r="G171" i="14"/>
  <c r="M113" i="10"/>
  <c r="M119" i="10" s="1"/>
  <c r="M120" i="10" s="1"/>
  <c r="F190" i="14" l="1"/>
  <c r="F198" i="14" s="1"/>
  <c r="O105" i="10"/>
  <c r="M121" i="10"/>
  <c r="G168" i="14"/>
  <c r="G169" i="14" s="1"/>
  <c r="F89" i="14"/>
  <c r="N111" i="10"/>
  <c r="N112" i="10" s="1"/>
  <c r="M131" i="10"/>
  <c r="M123" i="10"/>
  <c r="X106" i="10"/>
  <c r="W108" i="10"/>
  <c r="H118" i="14"/>
  <c r="H117" i="14" s="1"/>
  <c r="H155" i="14" s="1"/>
  <c r="G81" i="14"/>
  <c r="G87" i="14"/>
  <c r="G124" i="14"/>
  <c r="G135" i="14"/>
  <c r="M130" i="10" l="1"/>
  <c r="K159" i="14" s="1"/>
  <c r="F202" i="14"/>
  <c r="F200" i="14"/>
  <c r="F199" i="14"/>
  <c r="Y106" i="10"/>
  <c r="X108" i="10"/>
  <c r="H154" i="14"/>
  <c r="N113" i="10"/>
  <c r="N119" i="10" s="1"/>
  <c r="O107" i="10"/>
  <c r="I118" i="14"/>
  <c r="M124" i="10"/>
  <c r="N122" i="10" s="1"/>
  <c r="F90" i="14"/>
  <c r="G172" i="14"/>
  <c r="G170" i="14"/>
  <c r="F91" i="14" l="1"/>
  <c r="F99" i="14" s="1"/>
  <c r="F203" i="14"/>
  <c r="O111" i="10"/>
  <c r="O112" i="10" s="1"/>
  <c r="N131" i="10"/>
  <c r="N123" i="10"/>
  <c r="P105" i="10"/>
  <c r="I154" i="14"/>
  <c r="I117" i="14"/>
  <c r="I155" i="14" s="1"/>
  <c r="Z106" i="10"/>
  <c r="Y108" i="10"/>
  <c r="H165" i="14"/>
  <c r="G182" i="14"/>
  <c r="G173" i="14"/>
  <c r="N120" i="10"/>
  <c r="J156" i="14"/>
  <c r="J160" i="14" s="1"/>
  <c r="N130" i="10" l="1"/>
  <c r="L159" i="14" s="1"/>
  <c r="K156" i="14" s="1"/>
  <c r="K160" i="14" s="1"/>
  <c r="F204" i="14"/>
  <c r="F205" i="14" s="1"/>
  <c r="F209" i="14" s="1"/>
  <c r="F103" i="14"/>
  <c r="F100" i="14"/>
  <c r="F101" i="14"/>
  <c r="O113" i="10"/>
  <c r="G194" i="14"/>
  <c r="N121" i="10"/>
  <c r="N124" i="10"/>
  <c r="O122" i="10" s="1"/>
  <c r="H166" i="14"/>
  <c r="H171" i="14"/>
  <c r="H167" i="14"/>
  <c r="J118" i="14"/>
  <c r="J117" i="14" s="1"/>
  <c r="J155" i="14" s="1"/>
  <c r="G174" i="14"/>
  <c r="P107" i="10"/>
  <c r="AA106" i="10"/>
  <c r="Z108" i="10"/>
  <c r="O119" i="10" l="1"/>
  <c r="O120" i="10" s="1"/>
  <c r="O121" i="10" s="1"/>
  <c r="P111" i="10"/>
  <c r="P112" i="10" s="1"/>
  <c r="G175" i="14"/>
  <c r="G183" i="14" s="1"/>
  <c r="F104" i="14"/>
  <c r="F210" i="14"/>
  <c r="F134" i="14" s="1"/>
  <c r="F137" i="14" s="1"/>
  <c r="F123" i="14"/>
  <c r="F126" i="14" s="1"/>
  <c r="AB106" i="10"/>
  <c r="AA108" i="10"/>
  <c r="H168" i="14"/>
  <c r="H172" i="14" s="1"/>
  <c r="G196" i="14"/>
  <c r="G201" i="14"/>
  <c r="G195" i="14"/>
  <c r="J154" i="14"/>
  <c r="O123" i="10"/>
  <c r="O131" i="10"/>
  <c r="K118" i="14"/>
  <c r="H124" i="14"/>
  <c r="H135" i="14"/>
  <c r="Q105" i="10"/>
  <c r="O124" i="10" l="1"/>
  <c r="P122" i="10" s="1"/>
  <c r="P123" i="10" s="1"/>
  <c r="P113" i="10"/>
  <c r="P119" i="10" s="1"/>
  <c r="P120" i="10" s="1"/>
  <c r="P121" i="10" s="1"/>
  <c r="G187" i="14"/>
  <c r="G185" i="14"/>
  <c r="G184" i="14"/>
  <c r="H179" i="14" s="1"/>
  <c r="F211" i="14"/>
  <c r="F212" i="14" s="1"/>
  <c r="F105" i="14"/>
  <c r="F106" i="14" s="1"/>
  <c r="F110" i="14" s="1"/>
  <c r="H182" i="14"/>
  <c r="H173" i="14"/>
  <c r="H174" i="14" s="1"/>
  <c r="H175" i="14" s="1"/>
  <c r="O130" i="10"/>
  <c r="M159" i="14" s="1"/>
  <c r="Q107" i="10"/>
  <c r="K154" i="14"/>
  <c r="K117" i="14"/>
  <c r="K155" i="14" s="1"/>
  <c r="H170" i="14"/>
  <c r="AC106" i="10"/>
  <c r="AB108" i="10"/>
  <c r="H169" i="14"/>
  <c r="I165" i="14" s="1"/>
  <c r="P131" i="10" l="1"/>
  <c r="Q111" i="10"/>
  <c r="Q112" i="10" s="1"/>
  <c r="G188" i="14"/>
  <c r="G189" i="14" s="1"/>
  <c r="G197" i="14"/>
  <c r="H186" i="14"/>
  <c r="H181" i="14"/>
  <c r="H180" i="14"/>
  <c r="F111" i="14"/>
  <c r="F45" i="14" s="1"/>
  <c r="F48" i="14" s="1"/>
  <c r="F34" i="14"/>
  <c r="F37" i="14" s="1"/>
  <c r="P130" i="10"/>
  <c r="N159" i="14" s="1"/>
  <c r="M156" i="14" s="1"/>
  <c r="M160" i="14" s="1"/>
  <c r="R105" i="10"/>
  <c r="AD106" i="10"/>
  <c r="AC108" i="10"/>
  <c r="P124" i="10"/>
  <c r="Q122" i="10" s="1"/>
  <c r="I167" i="14"/>
  <c r="I166" i="14"/>
  <c r="I171" i="14"/>
  <c r="L156" i="14"/>
  <c r="L160" i="14" s="1"/>
  <c r="Q113" i="10" l="1"/>
  <c r="Q119" i="10" s="1"/>
  <c r="Q120" i="10" s="1"/>
  <c r="Q121" i="10" s="1"/>
  <c r="F112" i="14"/>
  <c r="F113" i="14" s="1"/>
  <c r="H183" i="14"/>
  <c r="G190" i="14"/>
  <c r="G198" i="14" s="1"/>
  <c r="I168" i="14"/>
  <c r="I172" i="14" s="1"/>
  <c r="I124" i="14"/>
  <c r="I135" i="14"/>
  <c r="L118" i="14"/>
  <c r="Q123" i="10"/>
  <c r="Q131" i="10"/>
  <c r="AE106" i="10"/>
  <c r="AD108" i="10"/>
  <c r="R107" i="10"/>
  <c r="I170" i="14" l="1"/>
  <c r="G202" i="14"/>
  <c r="G200" i="14"/>
  <c r="G199" i="14"/>
  <c r="H194" i="14" s="1"/>
  <c r="H185" i="14"/>
  <c r="H187" i="14"/>
  <c r="H184" i="14"/>
  <c r="I179" i="14" s="1"/>
  <c r="Q124" i="10"/>
  <c r="R122" i="10" s="1"/>
  <c r="R123" i="10" s="1"/>
  <c r="I173" i="14"/>
  <c r="I174" i="14" s="1"/>
  <c r="I175" i="14" s="1"/>
  <c r="I182" i="14"/>
  <c r="I169" i="14"/>
  <c r="J165" i="14" s="1"/>
  <c r="S105" i="10"/>
  <c r="Q130" i="10"/>
  <c r="O159" i="14" s="1"/>
  <c r="L154" i="14"/>
  <c r="R111" i="10"/>
  <c r="R112" i="10" s="1"/>
  <c r="L117" i="14"/>
  <c r="L155" i="14" s="1"/>
  <c r="M118" i="14"/>
  <c r="AF106" i="10"/>
  <c r="AE108" i="10"/>
  <c r="R113" i="10" l="1"/>
  <c r="R119" i="10" s="1"/>
  <c r="R120" i="10" s="1"/>
  <c r="R121" i="10" s="1"/>
  <c r="H196" i="14"/>
  <c r="H197" i="14"/>
  <c r="H195" i="14"/>
  <c r="H201" i="14"/>
  <c r="I181" i="14"/>
  <c r="I186" i="14"/>
  <c r="I180" i="14"/>
  <c r="I183" i="14" s="1"/>
  <c r="I187" i="14" s="1"/>
  <c r="H188" i="14"/>
  <c r="H189" i="14" s="1"/>
  <c r="G203" i="14"/>
  <c r="G204" i="14" s="1"/>
  <c r="G205" i="14" s="1"/>
  <c r="G209" i="14" s="1"/>
  <c r="R131" i="10"/>
  <c r="J171" i="14"/>
  <c r="J166" i="14"/>
  <c r="J168" i="14" s="1"/>
  <c r="J172" i="14" s="1"/>
  <c r="J182" i="14" s="1"/>
  <c r="J167" i="14"/>
  <c r="M154" i="14"/>
  <c r="M117" i="14"/>
  <c r="M155" i="14" s="1"/>
  <c r="AG106" i="10"/>
  <c r="AF108" i="10"/>
  <c r="J108" i="11" s="1"/>
  <c r="N156" i="14"/>
  <c r="N160" i="14" s="1"/>
  <c r="S107" i="10"/>
  <c r="H190" i="14" l="1"/>
  <c r="H198" i="14" s="1"/>
  <c r="H199" i="14" s="1"/>
  <c r="I194" i="14" s="1"/>
  <c r="I188" i="14"/>
  <c r="I189" i="14" s="1"/>
  <c r="I190" i="14" s="1"/>
  <c r="I184" i="14"/>
  <c r="J179" i="14" s="1"/>
  <c r="G210" i="14"/>
  <c r="G134" i="14" s="1"/>
  <c r="G137" i="14" s="1"/>
  <c r="I185" i="14"/>
  <c r="G123" i="14"/>
  <c r="G126" i="14" s="1"/>
  <c r="J170" i="14"/>
  <c r="J173" i="14"/>
  <c r="J169" i="14"/>
  <c r="K165" i="14" s="1"/>
  <c r="J124" i="14"/>
  <c r="J135" i="14"/>
  <c r="T105" i="10"/>
  <c r="S111" i="10"/>
  <c r="S112" i="10" s="1"/>
  <c r="N118" i="14"/>
  <c r="R130" i="10"/>
  <c r="P159" i="14" s="1"/>
  <c r="AH106" i="10"/>
  <c r="AG108" i="10"/>
  <c r="R124" i="10"/>
  <c r="S122" i="10" s="1"/>
  <c r="I197" i="14" l="1"/>
  <c r="I201" i="14"/>
  <c r="I195" i="14"/>
  <c r="J181" i="14"/>
  <c r="J186" i="14"/>
  <c r="J180" i="14"/>
  <c r="I196" i="14"/>
  <c r="G211" i="14"/>
  <c r="G212" i="14" s="1"/>
  <c r="H200" i="14"/>
  <c r="H202" i="14"/>
  <c r="J174" i="14"/>
  <c r="J175" i="14" s="1"/>
  <c r="S113" i="10"/>
  <c r="S119" i="10" s="1"/>
  <c r="S120" i="10" s="1"/>
  <c r="S121" i="10" s="1"/>
  <c r="K167" i="14"/>
  <c r="K166" i="14"/>
  <c r="K171" i="14"/>
  <c r="S123" i="10"/>
  <c r="S131" i="10"/>
  <c r="AI106" i="10"/>
  <c r="AH108" i="10"/>
  <c r="N154" i="14"/>
  <c r="T107" i="10"/>
  <c r="O156" i="14"/>
  <c r="O160" i="14" s="1"/>
  <c r="N117" i="14"/>
  <c r="N155" i="14" s="1"/>
  <c r="I198" i="14" l="1"/>
  <c r="I202" i="14" s="1"/>
  <c r="I203" i="14" s="1"/>
  <c r="I204" i="14" s="1"/>
  <c r="I205" i="14" s="1"/>
  <c r="I209" i="14" s="1"/>
  <c r="I123" i="14" s="1"/>
  <c r="I126" i="14" s="1"/>
  <c r="T111" i="10"/>
  <c r="T112" i="10" s="1"/>
  <c r="J183" i="14"/>
  <c r="J187" i="14" s="1"/>
  <c r="H203" i="14"/>
  <c r="H204" i="14" s="1"/>
  <c r="H205" i="14" s="1"/>
  <c r="H209" i="14" s="1"/>
  <c r="S130" i="10"/>
  <c r="Q159" i="14" s="1"/>
  <c r="P156" i="14" s="1"/>
  <c r="P160" i="14" s="1"/>
  <c r="K124" i="14"/>
  <c r="K135" i="14"/>
  <c r="K168" i="14"/>
  <c r="K172" i="14" s="1"/>
  <c r="AJ106" i="10"/>
  <c r="AI108" i="10"/>
  <c r="O118" i="14"/>
  <c r="S124" i="10"/>
  <c r="T122" i="10" s="1"/>
  <c r="U105" i="10"/>
  <c r="I199" i="14" l="1"/>
  <c r="J194" i="14" s="1"/>
  <c r="J201" i="14" s="1"/>
  <c r="I200" i="14"/>
  <c r="T113" i="10"/>
  <c r="T119" i="10" s="1"/>
  <c r="J185" i="14"/>
  <c r="J188" i="14"/>
  <c r="J189" i="14" s="1"/>
  <c r="J190" i="14" s="1"/>
  <c r="J184" i="14"/>
  <c r="K179" i="14" s="1"/>
  <c r="H210" i="14"/>
  <c r="H134" i="14" s="1"/>
  <c r="H137" i="14" s="1"/>
  <c r="H123" i="14"/>
  <c r="H126" i="14" s="1"/>
  <c r="I210" i="14"/>
  <c r="I134" i="14" s="1"/>
  <c r="I137" i="14" s="1"/>
  <c r="P118" i="14"/>
  <c r="P154" i="14" s="1"/>
  <c r="K170" i="14"/>
  <c r="K182" i="14"/>
  <c r="K173" i="14"/>
  <c r="K169" i="14"/>
  <c r="L165" i="14" s="1"/>
  <c r="O154" i="14"/>
  <c r="U107" i="10"/>
  <c r="O117" i="14"/>
  <c r="O155" i="14" s="1"/>
  <c r="AK106" i="10"/>
  <c r="AJ108" i="10"/>
  <c r="T123" i="10"/>
  <c r="T131" i="10"/>
  <c r="T120" i="10" l="1"/>
  <c r="T121" i="10" s="1"/>
  <c r="J196" i="14"/>
  <c r="J195" i="14"/>
  <c r="U111" i="10"/>
  <c r="U112" i="10" s="1"/>
  <c r="J197" i="14"/>
  <c r="H211" i="14"/>
  <c r="H212" i="14" s="1"/>
  <c r="K181" i="14"/>
  <c r="K186" i="14"/>
  <c r="K180" i="14"/>
  <c r="I211" i="14"/>
  <c r="I212" i="14" s="1"/>
  <c r="P117" i="14"/>
  <c r="P155" i="14" s="1"/>
  <c r="K174" i="14"/>
  <c r="L171" i="14"/>
  <c r="L167" i="14"/>
  <c r="L166" i="14"/>
  <c r="L168" i="14" s="1"/>
  <c r="L172" i="14" s="1"/>
  <c r="AK108" i="10"/>
  <c r="AL106" i="10"/>
  <c r="V105" i="10"/>
  <c r="T130" i="10" l="1"/>
  <c r="R159" i="14" s="1"/>
  <c r="G56" i="14" s="1"/>
  <c r="T124" i="10"/>
  <c r="U122" i="10" s="1"/>
  <c r="J198" i="14"/>
  <c r="J202" i="14" s="1"/>
  <c r="J203" i="14" s="1"/>
  <c r="J204" i="14" s="1"/>
  <c r="J205" i="14" s="1"/>
  <c r="J209" i="14" s="1"/>
  <c r="J210" i="14" s="1"/>
  <c r="J134" i="14" s="1"/>
  <c r="J137" i="14" s="1"/>
  <c r="K175" i="14"/>
  <c r="K183" i="14" s="1"/>
  <c r="L135" i="14"/>
  <c r="L124" i="14"/>
  <c r="L170" i="14"/>
  <c r="L169" i="14"/>
  <c r="M165" i="14" s="1"/>
  <c r="L173" i="14"/>
  <c r="L182" i="14"/>
  <c r="V107" i="10"/>
  <c r="U113" i="10"/>
  <c r="U119" i="10" s="1"/>
  <c r="AM106" i="10"/>
  <c r="AL108" i="10"/>
  <c r="U123" i="10" l="1"/>
  <c r="Q156" i="14"/>
  <c r="Q160" i="14" s="1"/>
  <c r="Q118" i="14" s="1"/>
  <c r="U131" i="10"/>
  <c r="J200" i="14"/>
  <c r="J199" i="14"/>
  <c r="K194" i="14" s="1"/>
  <c r="K196" i="14" s="1"/>
  <c r="J123" i="14"/>
  <c r="J126" i="14" s="1"/>
  <c r="J211" i="14"/>
  <c r="J212" i="14" s="1"/>
  <c r="K187" i="14"/>
  <c r="K184" i="14"/>
  <c r="L179" i="14" s="1"/>
  <c r="K185" i="14"/>
  <c r="L174" i="14"/>
  <c r="L175" i="14" s="1"/>
  <c r="M166" i="14"/>
  <c r="M168" i="14" s="1"/>
  <c r="M172" i="14" s="1"/>
  <c r="M182" i="14" s="1"/>
  <c r="M167" i="14"/>
  <c r="M171" i="14"/>
  <c r="U120" i="10"/>
  <c r="W105" i="10"/>
  <c r="V111" i="10"/>
  <c r="AN106" i="10"/>
  <c r="AM108" i="10"/>
  <c r="K195" i="14" l="1"/>
  <c r="K201" i="14"/>
  <c r="K188" i="14"/>
  <c r="K189" i="14" s="1"/>
  <c r="K197" i="14"/>
  <c r="L181" i="14"/>
  <c r="L186" i="14"/>
  <c r="L180" i="14"/>
  <c r="M169" i="14"/>
  <c r="N165" i="14" s="1"/>
  <c r="N167" i="14" s="1"/>
  <c r="M170" i="14"/>
  <c r="M135" i="14"/>
  <c r="M124" i="14"/>
  <c r="M173" i="14"/>
  <c r="AO106" i="10"/>
  <c r="AN108" i="10"/>
  <c r="W107" i="10"/>
  <c r="Q154" i="14"/>
  <c r="U130" i="10"/>
  <c r="U121" i="10"/>
  <c r="V112" i="10"/>
  <c r="U124" i="10"/>
  <c r="V122" i="10" s="1"/>
  <c r="Q117" i="14"/>
  <c r="Q155" i="14" s="1"/>
  <c r="N171" i="14" l="1"/>
  <c r="L183" i="14"/>
  <c r="K190" i="14"/>
  <c r="K198" i="14" s="1"/>
  <c r="N166" i="14"/>
  <c r="N168" i="14" s="1"/>
  <c r="N172" i="14" s="1"/>
  <c r="N182" i="14" s="1"/>
  <c r="M174" i="14"/>
  <c r="M175" i="14" s="1"/>
  <c r="N124" i="14"/>
  <c r="N135" i="14"/>
  <c r="V113" i="10"/>
  <c r="V119" i="10" s="1"/>
  <c r="AO108" i="10"/>
  <c r="AP106" i="10"/>
  <c r="V123" i="10"/>
  <c r="V131" i="10"/>
  <c r="S159" i="14"/>
  <c r="X105" i="10"/>
  <c r="K202" i="14" l="1"/>
  <c r="K200" i="14"/>
  <c r="K199" i="14"/>
  <c r="L194" i="14" s="1"/>
  <c r="L187" i="14"/>
  <c r="L185" i="14"/>
  <c r="L184" i="14"/>
  <c r="M179" i="14" s="1"/>
  <c r="N169" i="14"/>
  <c r="O165" i="14" s="1"/>
  <c r="N170" i="14"/>
  <c r="N173" i="14"/>
  <c r="V120" i="10"/>
  <c r="AP108" i="10"/>
  <c r="AQ106" i="10"/>
  <c r="W111" i="10"/>
  <c r="X107" i="10"/>
  <c r="R156" i="14"/>
  <c r="R160" i="14" s="1"/>
  <c r="V124" i="10" l="1"/>
  <c r="W122" i="10" s="1"/>
  <c r="L188" i="14"/>
  <c r="L189" i="14" s="1"/>
  <c r="L196" i="14"/>
  <c r="L195" i="14"/>
  <c r="L201" i="14"/>
  <c r="L197" i="14"/>
  <c r="M181" i="14"/>
  <c r="M186" i="14"/>
  <c r="M180" i="14"/>
  <c r="M183" i="14" s="1"/>
  <c r="M187" i="14" s="1"/>
  <c r="K203" i="14"/>
  <c r="K204" i="14" s="1"/>
  <c r="K205" i="14" s="1"/>
  <c r="K209" i="14" s="1"/>
  <c r="O166" i="14"/>
  <c r="O168" i="14" s="1"/>
  <c r="O172" i="14" s="1"/>
  <c r="O171" i="14"/>
  <c r="O167" i="14"/>
  <c r="O124" i="14" s="1"/>
  <c r="N174" i="14"/>
  <c r="N175" i="14" s="1"/>
  <c r="W112" i="10"/>
  <c r="W113" i="10" s="1"/>
  <c r="V130" i="10"/>
  <c r="R118" i="14"/>
  <c r="R117" i="14" s="1"/>
  <c r="R155" i="14" s="1"/>
  <c r="Y105" i="10"/>
  <c r="AR106" i="10"/>
  <c r="AQ108" i="10"/>
  <c r="V121" i="10"/>
  <c r="W123" i="10" l="1"/>
  <c r="W131" i="10"/>
  <c r="M185" i="14"/>
  <c r="M184" i="14"/>
  <c r="N179" i="14" s="1"/>
  <c r="N186" i="14" s="1"/>
  <c r="K210" i="14"/>
  <c r="K134" i="14" s="1"/>
  <c r="K137" i="14" s="1"/>
  <c r="K123" i="14"/>
  <c r="K126" i="14" s="1"/>
  <c r="M188" i="14"/>
  <c r="M189" i="14" s="1"/>
  <c r="M190" i="14" s="1"/>
  <c r="L190" i="14"/>
  <c r="L198" i="14" s="1"/>
  <c r="L202" i="14" s="1"/>
  <c r="O135" i="14"/>
  <c r="O169" i="14"/>
  <c r="P165" i="14" s="1"/>
  <c r="O173" i="14"/>
  <c r="O182" i="14"/>
  <c r="O170" i="14"/>
  <c r="T159" i="14"/>
  <c r="Y107" i="10"/>
  <c r="AR108" i="10"/>
  <c r="K108" i="11" s="1"/>
  <c r="AS106" i="10"/>
  <c r="R154" i="14"/>
  <c r="W119" i="10"/>
  <c r="X111" i="10"/>
  <c r="AS108" i="10" l="1"/>
  <c r="N181" i="14"/>
  <c r="N180" i="14"/>
  <c r="N183" i="14" s="1"/>
  <c r="L199" i="14"/>
  <c r="M194" i="14" s="1"/>
  <c r="M196" i="14" s="1"/>
  <c r="L200" i="14"/>
  <c r="L203" i="14"/>
  <c r="L204" i="14" s="1"/>
  <c r="L205" i="14" s="1"/>
  <c r="L209" i="14" s="1"/>
  <c r="K211" i="14"/>
  <c r="K212" i="14" s="1"/>
  <c r="O174" i="14"/>
  <c r="O175" i="14" s="1"/>
  <c r="P167" i="14"/>
  <c r="P171" i="14"/>
  <c r="P166" i="14"/>
  <c r="P168" i="14" s="1"/>
  <c r="P172" i="14" s="1"/>
  <c r="Z105" i="10"/>
  <c r="AT106" i="10"/>
  <c r="AT108" i="10" s="1"/>
  <c r="X112" i="10"/>
  <c r="W120" i="10"/>
  <c r="S156" i="14"/>
  <c r="S160" i="14" s="1"/>
  <c r="M197" i="14" l="1"/>
  <c r="M201" i="14"/>
  <c r="M195" i="14"/>
  <c r="L210" i="14"/>
  <c r="L134" i="14" s="1"/>
  <c r="L137" i="14" s="1"/>
  <c r="N187" i="14"/>
  <c r="N185" i="14"/>
  <c r="L123" i="14"/>
  <c r="L126" i="14" s="1"/>
  <c r="N184" i="14"/>
  <c r="O179" i="14" s="1"/>
  <c r="P169" i="14"/>
  <c r="Q165" i="14" s="1"/>
  <c r="P170" i="14"/>
  <c r="P173" i="14"/>
  <c r="P182" i="14"/>
  <c r="P135" i="14"/>
  <c r="P124" i="14"/>
  <c r="W124" i="10"/>
  <c r="X122" i="10" s="1"/>
  <c r="W130" i="10"/>
  <c r="Z107" i="10"/>
  <c r="AU106" i="10"/>
  <c r="S118" i="14"/>
  <c r="X113" i="10"/>
  <c r="W121" i="10"/>
  <c r="AU108" i="10" l="1"/>
  <c r="M198" i="14"/>
  <c r="M202" i="14" s="1"/>
  <c r="M203" i="14" s="1"/>
  <c r="M204" i="14" s="1"/>
  <c r="M205" i="14" s="1"/>
  <c r="M209" i="14" s="1"/>
  <c r="M210" i="14" s="1"/>
  <c r="M134" i="14" s="1"/>
  <c r="M137" i="14" s="1"/>
  <c r="O186" i="14"/>
  <c r="O181" i="14"/>
  <c r="O180" i="14"/>
  <c r="O183" i="14" s="1"/>
  <c r="L211" i="14"/>
  <c r="L212" i="14" s="1"/>
  <c r="N188" i="14"/>
  <c r="N189" i="14" s="1"/>
  <c r="Q167" i="14"/>
  <c r="Q135" i="14" s="1"/>
  <c r="Q166" i="14"/>
  <c r="Q168" i="14" s="1"/>
  <c r="Q172" i="14" s="1"/>
  <c r="Q171" i="14"/>
  <c r="P174" i="14"/>
  <c r="P175" i="14" s="1"/>
  <c r="U159" i="14"/>
  <c r="S154" i="14"/>
  <c r="S117" i="14"/>
  <c r="S155" i="14" s="1"/>
  <c r="X123" i="10"/>
  <c r="X131" i="10"/>
  <c r="AV106" i="10"/>
  <c r="AV108" i="10" s="1"/>
  <c r="X119" i="10"/>
  <c r="Y111" i="10"/>
  <c r="AA105" i="10"/>
  <c r="M200" i="14" l="1"/>
  <c r="M123" i="14"/>
  <c r="M126" i="14" s="1"/>
  <c r="M199" i="14"/>
  <c r="N194" i="14" s="1"/>
  <c r="M211" i="14"/>
  <c r="M212" i="14" s="1"/>
  <c r="N190" i="14"/>
  <c r="O187" i="14"/>
  <c r="O184" i="14"/>
  <c r="P179" i="14" s="1"/>
  <c r="O185" i="14"/>
  <c r="Q170" i="14"/>
  <c r="Q169" i="14"/>
  <c r="R165" i="14" s="1"/>
  <c r="R171" i="14" s="1"/>
  <c r="Q182" i="14"/>
  <c r="Q173" i="14"/>
  <c r="Q174" i="14" s="1"/>
  <c r="Q175" i="14" s="1"/>
  <c r="Q124" i="14"/>
  <c r="Y112" i="10"/>
  <c r="AA107" i="10"/>
  <c r="X120" i="10"/>
  <c r="X124" i="10" s="1"/>
  <c r="Y122" i="10" s="1"/>
  <c r="AW106" i="10"/>
  <c r="AW108" i="10" s="1"/>
  <c r="T156" i="14"/>
  <c r="T160" i="14" s="1"/>
  <c r="N201" i="14" l="1"/>
  <c r="N197" i="14"/>
  <c r="N195" i="14"/>
  <c r="N196" i="14"/>
  <c r="P186" i="14"/>
  <c r="P181" i="14"/>
  <c r="P180" i="14"/>
  <c r="O188" i="14"/>
  <c r="O189" i="14" s="1"/>
  <c r="O190" i="14" s="1"/>
  <c r="R166" i="14"/>
  <c r="R168" i="14" s="1"/>
  <c r="R172" i="14" s="1"/>
  <c r="R167" i="14"/>
  <c r="Y131" i="10"/>
  <c r="Y123" i="10"/>
  <c r="X130" i="10"/>
  <c r="X121" i="10"/>
  <c r="T118" i="14"/>
  <c r="T117" i="14" s="1"/>
  <c r="T155" i="14" s="1"/>
  <c r="AX106" i="10"/>
  <c r="Y113" i="10"/>
  <c r="AB105" i="10"/>
  <c r="AX108" i="10" l="1"/>
  <c r="N198" i="14"/>
  <c r="N200" i="14" s="1"/>
  <c r="R169" i="14"/>
  <c r="S165" i="14" s="1"/>
  <c r="S167" i="14" s="1"/>
  <c r="R170" i="14"/>
  <c r="P183" i="14"/>
  <c r="P184" i="14" s="1"/>
  <c r="Q179" i="14" s="1"/>
  <c r="R135" i="14"/>
  <c r="R124" i="14"/>
  <c r="R182" i="14"/>
  <c r="R173" i="14"/>
  <c r="R174" i="14" s="1"/>
  <c r="R175" i="14" s="1"/>
  <c r="AY106" i="10"/>
  <c r="AY108" i="10" s="1"/>
  <c r="T154" i="14"/>
  <c r="Y119" i="10"/>
  <c r="Z111" i="10"/>
  <c r="AB107" i="10"/>
  <c r="V159" i="14"/>
  <c r="S171" i="14" l="1"/>
  <c r="S166" i="14"/>
  <c r="S168" i="14" s="1"/>
  <c r="S172" i="14" s="1"/>
  <c r="N199" i="14"/>
  <c r="O194" i="14" s="1"/>
  <c r="O195" i="14" s="1"/>
  <c r="N202" i="14"/>
  <c r="N203" i="14" s="1"/>
  <c r="N204" i="14" s="1"/>
  <c r="N205" i="14" s="1"/>
  <c r="N209" i="14" s="1"/>
  <c r="N123" i="14" s="1"/>
  <c r="N126" i="14" s="1"/>
  <c r="Q181" i="14"/>
  <c r="Q186" i="14"/>
  <c r="Q180" i="14"/>
  <c r="Q183" i="14" s="1"/>
  <c r="P185" i="14"/>
  <c r="P187" i="14"/>
  <c r="U156" i="14"/>
  <c r="U160" i="14" s="1"/>
  <c r="Z112" i="10"/>
  <c r="Z113" i="10" s="1"/>
  <c r="S124" i="14"/>
  <c r="S135" i="14"/>
  <c r="Y120" i="10"/>
  <c r="AC105" i="10"/>
  <c r="AZ106" i="10"/>
  <c r="AZ108" i="10" l="1"/>
  <c r="S170" i="14"/>
  <c r="S169" i="14"/>
  <c r="T165" i="14" s="1"/>
  <c r="T167" i="14" s="1"/>
  <c r="N210" i="14"/>
  <c r="O201" i="14"/>
  <c r="O197" i="14"/>
  <c r="O198" i="14" s="1"/>
  <c r="O202" i="14" s="1"/>
  <c r="O196" i="14"/>
  <c r="Q187" i="14"/>
  <c r="Q184" i="14"/>
  <c r="R179" i="14" s="1"/>
  <c r="Q185" i="14"/>
  <c r="P188" i="14"/>
  <c r="P189" i="14" s="1"/>
  <c r="AA111" i="10"/>
  <c r="Y130" i="10"/>
  <c r="Y124" i="10"/>
  <c r="Z122" i="10" s="1"/>
  <c r="BA106" i="10"/>
  <c r="BA108" i="10" s="1"/>
  <c r="AC107" i="10"/>
  <c r="Y121" i="10"/>
  <c r="Z119" i="10" s="1"/>
  <c r="U118" i="14"/>
  <c r="U117" i="14" s="1"/>
  <c r="U155" i="14" s="1"/>
  <c r="S182" i="14"/>
  <c r="S173" i="14"/>
  <c r="T171" i="14" l="1"/>
  <c r="T166" i="14"/>
  <c r="T168" i="14" s="1"/>
  <c r="T172" i="14" s="1"/>
  <c r="T173" i="14" s="1"/>
  <c r="O200" i="14"/>
  <c r="O199" i="14"/>
  <c r="P194" i="14" s="1"/>
  <c r="P196" i="14" s="1"/>
  <c r="N134" i="14"/>
  <c r="N137" i="14" s="1"/>
  <c r="N211" i="14"/>
  <c r="N212" i="14" s="1"/>
  <c r="O203" i="14"/>
  <c r="O204" i="14" s="1"/>
  <c r="O205" i="14" s="1"/>
  <c r="O209" i="14" s="1"/>
  <c r="O123" i="14" s="1"/>
  <c r="O126" i="14" s="1"/>
  <c r="P190" i="14"/>
  <c r="R186" i="14"/>
  <c r="R181" i="14"/>
  <c r="R180" i="14"/>
  <c r="Q188" i="14"/>
  <c r="Q189" i="14" s="1"/>
  <c r="Q190" i="14" s="1"/>
  <c r="Z120" i="10"/>
  <c r="S174" i="14"/>
  <c r="S175" i="14" s="1"/>
  <c r="BB106" i="10"/>
  <c r="BB108" i="10" s="1"/>
  <c r="U154" i="14"/>
  <c r="AD105" i="10"/>
  <c r="Z123" i="10"/>
  <c r="Z131" i="10"/>
  <c r="AA112" i="10"/>
  <c r="AA113" i="10" s="1"/>
  <c r="W159" i="14"/>
  <c r="T124" i="14"/>
  <c r="T135" i="14"/>
  <c r="P201" i="14" l="1"/>
  <c r="P195" i="14"/>
  <c r="P197" i="14"/>
  <c r="Z124" i="10"/>
  <c r="AA122" i="10" s="1"/>
  <c r="AA131" i="10" s="1"/>
  <c r="O210" i="14"/>
  <c r="O134" i="14" s="1"/>
  <c r="O137" i="14" s="1"/>
  <c r="R183" i="14"/>
  <c r="T182" i="14"/>
  <c r="T174" i="14"/>
  <c r="T175" i="14" s="1"/>
  <c r="T170" i="14"/>
  <c r="T169" i="14"/>
  <c r="U165" i="14" s="1"/>
  <c r="AB111" i="10"/>
  <c r="Z130" i="10"/>
  <c r="X159" i="14" s="1"/>
  <c r="W156" i="14" s="1"/>
  <c r="W160" i="14" s="1"/>
  <c r="V156" i="14"/>
  <c r="V160" i="14" s="1"/>
  <c r="AD107" i="10"/>
  <c r="BC106" i="10"/>
  <c r="BC108" i="10" s="1"/>
  <c r="Z121" i="10"/>
  <c r="AA119" i="10" s="1"/>
  <c r="AA123" i="10" l="1"/>
  <c r="P198" i="14"/>
  <c r="P202" i="14" s="1"/>
  <c r="P203" i="14" s="1"/>
  <c r="P204" i="14" s="1"/>
  <c r="P205" i="14" s="1"/>
  <c r="P209" i="14" s="1"/>
  <c r="P123" i="14" s="1"/>
  <c r="P126" i="14" s="1"/>
  <c r="O211" i="14"/>
  <c r="O212" i="14" s="1"/>
  <c r="R185" i="14"/>
  <c r="R187" i="14"/>
  <c r="R184" i="14"/>
  <c r="S179" i="14" s="1"/>
  <c r="AA120" i="10"/>
  <c r="BD106" i="10"/>
  <c r="BD108" i="10" s="1"/>
  <c r="L108" i="11" s="1"/>
  <c r="V118" i="14"/>
  <c r="W118" i="14" s="1"/>
  <c r="AB112" i="10"/>
  <c r="AE105" i="10"/>
  <c r="U167" i="14"/>
  <c r="U166" i="14"/>
  <c r="U168" i="14" s="1"/>
  <c r="U172" i="14" s="1"/>
  <c r="U171" i="14"/>
  <c r="AA130" i="10" l="1"/>
  <c r="Y159" i="14" s="1"/>
  <c r="X156" i="14" s="1"/>
  <c r="X160" i="14" s="1"/>
  <c r="X118" i="14" s="1"/>
  <c r="X117" i="14" s="1"/>
  <c r="X155" i="14" s="1"/>
  <c r="P200" i="14"/>
  <c r="P199" i="14"/>
  <c r="Q194" i="14" s="1"/>
  <c r="AA124" i="10"/>
  <c r="AB122" i="10" s="1"/>
  <c r="AB131" i="10" s="1"/>
  <c r="S181" i="14"/>
  <c r="S186" i="14"/>
  <c r="S180" i="14"/>
  <c r="P210" i="14"/>
  <c r="P134" i="14" s="1"/>
  <c r="P137" i="14" s="1"/>
  <c r="R188" i="14"/>
  <c r="R189" i="14" s="1"/>
  <c r="R190" i="14" s="1"/>
  <c r="V117" i="14"/>
  <c r="V155" i="14" s="1"/>
  <c r="W154" i="14"/>
  <c r="W117" i="14"/>
  <c r="W155" i="14" s="1"/>
  <c r="U182" i="14"/>
  <c r="U173" i="14"/>
  <c r="U174" i="14" s="1"/>
  <c r="U175" i="14" s="1"/>
  <c r="BE106" i="10"/>
  <c r="U169" i="14"/>
  <c r="U124" i="14"/>
  <c r="U135" i="14"/>
  <c r="AB113" i="10"/>
  <c r="AE107" i="10"/>
  <c r="U170" i="14"/>
  <c r="V154" i="14"/>
  <c r="AA121" i="10"/>
  <c r="BE108" i="10" l="1"/>
  <c r="AB123" i="10"/>
  <c r="Q196" i="14"/>
  <c r="Q201" i="14"/>
  <c r="Q197" i="14"/>
  <c r="Q195" i="14"/>
  <c r="P211" i="14"/>
  <c r="P212" i="14" s="1"/>
  <c r="S183" i="14"/>
  <c r="S187" i="14" s="1"/>
  <c r="S188" i="14" s="1"/>
  <c r="BF106" i="10"/>
  <c r="BF108" i="10" s="1"/>
  <c r="AB119" i="10"/>
  <c r="AC111" i="10"/>
  <c r="V165" i="14"/>
  <c r="AF105" i="10"/>
  <c r="X154" i="14"/>
  <c r="Q198" i="14" l="1"/>
  <c r="Q202" i="14" s="1"/>
  <c r="Q203" i="14" s="1"/>
  <c r="Q204" i="14" s="1"/>
  <c r="Q205" i="14" s="1"/>
  <c r="Q209" i="14" s="1"/>
  <c r="Q123" i="14" s="1"/>
  <c r="Q126" i="14" s="1"/>
  <c r="S189" i="14"/>
  <c r="S190" i="14" s="1"/>
  <c r="S184" i="14"/>
  <c r="T179" i="14" s="1"/>
  <c r="S185" i="14"/>
  <c r="AC112" i="10"/>
  <c r="AC113" i="10" s="1"/>
  <c r="AB120" i="10"/>
  <c r="AF107" i="10"/>
  <c r="V167" i="14"/>
  <c r="V166" i="14"/>
  <c r="V168" i="14" s="1"/>
  <c r="V172" i="14" s="1"/>
  <c r="V171" i="14"/>
  <c r="BG106" i="10"/>
  <c r="BG108" i="10" l="1"/>
  <c r="Q199" i="14"/>
  <c r="R194" i="14" s="1"/>
  <c r="R195" i="14" s="1"/>
  <c r="Q200" i="14"/>
  <c r="Q210" i="14"/>
  <c r="Q134" i="14" s="1"/>
  <c r="Q137" i="14" s="1"/>
  <c r="T186" i="14"/>
  <c r="T180" i="14"/>
  <c r="T183" i="14" s="1"/>
  <c r="T187" i="14" s="1"/>
  <c r="T188" i="14" s="1"/>
  <c r="T189" i="14" s="1"/>
  <c r="T190" i="14" s="1"/>
  <c r="T181" i="14"/>
  <c r="V182" i="14"/>
  <c r="V173" i="14"/>
  <c r="V174" i="14" s="1"/>
  <c r="V175" i="14" s="1"/>
  <c r="V124" i="14"/>
  <c r="V135" i="14"/>
  <c r="AB130" i="10"/>
  <c r="Z159" i="14" s="1"/>
  <c r="AB124" i="10"/>
  <c r="AC122" i="10" s="1"/>
  <c r="BH106" i="10"/>
  <c r="BH108" i="10" s="1"/>
  <c r="V170" i="14"/>
  <c r="V169" i="14"/>
  <c r="W165" i="14" s="1"/>
  <c r="AB121" i="10"/>
  <c r="AC119" i="10" s="1"/>
  <c r="AG105" i="10"/>
  <c r="AD111" i="10"/>
  <c r="R197" i="14" l="1"/>
  <c r="R198" i="14" s="1"/>
  <c r="R202" i="14" s="1"/>
  <c r="R203" i="14" s="1"/>
  <c r="R204" i="14" s="1"/>
  <c r="R205" i="14" s="1"/>
  <c r="R209" i="14" s="1"/>
  <c r="R201" i="14"/>
  <c r="R196" i="14"/>
  <c r="Q211" i="14"/>
  <c r="Q212" i="14" s="1"/>
  <c r="T185" i="14"/>
  <c r="T184" i="14"/>
  <c r="U179" i="14" s="1"/>
  <c r="U186" i="14" s="1"/>
  <c r="AC120" i="10"/>
  <c r="AG107" i="10"/>
  <c r="Y156" i="14"/>
  <c r="Y160" i="14" s="1"/>
  <c r="AC131" i="10"/>
  <c r="AC123" i="10"/>
  <c r="BI106" i="10"/>
  <c r="AD112" i="10"/>
  <c r="AD113" i="10" s="1"/>
  <c r="W167" i="14"/>
  <c r="W171" i="14"/>
  <c r="W166" i="14"/>
  <c r="W168" i="14" s="1"/>
  <c r="W172" i="14" s="1"/>
  <c r="BI108" i="10" l="1"/>
  <c r="R200" i="14"/>
  <c r="R199" i="14"/>
  <c r="S194" i="14" s="1"/>
  <c r="S196" i="14" s="1"/>
  <c r="U181" i="14"/>
  <c r="U180" i="14"/>
  <c r="U183" i="14" s="1"/>
  <c r="U187" i="14" s="1"/>
  <c r="U188" i="14" s="1"/>
  <c r="U189" i="14" s="1"/>
  <c r="U190" i="14" s="1"/>
  <c r="R210" i="14"/>
  <c r="R134" i="14" s="1"/>
  <c r="R137" i="14" s="1"/>
  <c r="R123" i="14"/>
  <c r="R126" i="14" s="1"/>
  <c r="AC130" i="10"/>
  <c r="AA159" i="14" s="1"/>
  <c r="Z156" i="14" s="1"/>
  <c r="Z160" i="14" s="1"/>
  <c r="W182" i="14"/>
  <c r="W173" i="14"/>
  <c r="W170" i="14"/>
  <c r="W169" i="14"/>
  <c r="X165" i="14" s="1"/>
  <c r="AE111" i="10"/>
  <c r="AH105" i="10"/>
  <c r="BJ106" i="10"/>
  <c r="BJ108" i="10" s="1"/>
  <c r="Y118" i="14"/>
  <c r="W124" i="14"/>
  <c r="W135" i="14"/>
  <c r="AC124" i="10"/>
  <c r="AD122" i="10" s="1"/>
  <c r="AC121" i="10"/>
  <c r="AD119" i="10" s="1"/>
  <c r="S195" i="14" l="1"/>
  <c r="S201" i="14"/>
  <c r="S197" i="14"/>
  <c r="U185" i="14"/>
  <c r="U184" i="14"/>
  <c r="V179" i="14" s="1"/>
  <c r="V180" i="14" s="1"/>
  <c r="R211" i="14"/>
  <c r="R212" i="14" s="1"/>
  <c r="AD120" i="10"/>
  <c r="AD123" i="10"/>
  <c r="AD131" i="10"/>
  <c r="Y154" i="14"/>
  <c r="AE112" i="10"/>
  <c r="AE113" i="10" s="1"/>
  <c r="Y117" i="14"/>
  <c r="Y155" i="14" s="1"/>
  <c r="AH107" i="10"/>
  <c r="W174" i="14"/>
  <c r="W175" i="14" s="1"/>
  <c r="X167" i="14"/>
  <c r="X166" i="14"/>
  <c r="X168" i="14" s="1"/>
  <c r="X172" i="14" s="1"/>
  <c r="X171" i="14"/>
  <c r="Z118" i="14"/>
  <c r="Z117" i="14" s="1"/>
  <c r="Z155" i="14" s="1"/>
  <c r="BK106" i="10"/>
  <c r="BK108" i="10" s="1"/>
  <c r="S198" i="14" l="1"/>
  <c r="S202" i="14" s="1"/>
  <c r="S203" i="14" s="1"/>
  <c r="S204" i="14" s="1"/>
  <c r="S205" i="14" s="1"/>
  <c r="S209" i="14" s="1"/>
  <c r="S210" i="14" s="1"/>
  <c r="S134" i="14" s="1"/>
  <c r="S137" i="14" s="1"/>
  <c r="V181" i="14"/>
  <c r="V186" i="14"/>
  <c r="V183" i="14"/>
  <c r="V187" i="14" s="1"/>
  <c r="V188" i="14" s="1"/>
  <c r="V189" i="14" s="1"/>
  <c r="V190" i="14" s="1"/>
  <c r="AD130" i="10"/>
  <c r="AB159" i="14" s="1"/>
  <c r="AA156" i="14" s="1"/>
  <c r="AA160" i="14" s="1"/>
  <c r="AD124" i="10"/>
  <c r="AE122" i="10" s="1"/>
  <c r="AE131" i="10" s="1"/>
  <c r="X182" i="14"/>
  <c r="X173" i="14"/>
  <c r="X174" i="14" s="1"/>
  <c r="X175" i="14" s="1"/>
  <c r="X124" i="14"/>
  <c r="X135" i="14"/>
  <c r="X169" i="14"/>
  <c r="Y165" i="14" s="1"/>
  <c r="AF111" i="10"/>
  <c r="BL106" i="10"/>
  <c r="BL108" i="10" s="1"/>
  <c r="X170" i="14"/>
  <c r="AI105" i="10"/>
  <c r="Z154" i="14"/>
  <c r="AD121" i="10"/>
  <c r="AE119" i="10" s="1"/>
  <c r="S199" i="14" l="1"/>
  <c r="T194" i="14" s="1"/>
  <c r="S123" i="14"/>
  <c r="S126" i="14" s="1"/>
  <c r="S200" i="14"/>
  <c r="S211" i="14"/>
  <c r="S212" i="14" s="1"/>
  <c r="V185" i="14"/>
  <c r="V184" i="14"/>
  <c r="W179" i="14" s="1"/>
  <c r="AE123" i="10"/>
  <c r="AE120" i="10"/>
  <c r="AI107" i="10"/>
  <c r="BM106" i="10"/>
  <c r="BM108" i="10" s="1"/>
  <c r="Y167" i="14"/>
  <c r="Y166" i="14"/>
  <c r="Y168" i="14" s="1"/>
  <c r="Y171" i="14"/>
  <c r="AF112" i="10"/>
  <c r="AF113" i="10" s="1"/>
  <c r="AA118" i="14"/>
  <c r="AA117" i="14" s="1"/>
  <c r="AA155" i="14" s="1"/>
  <c r="T195" i="14" l="1"/>
  <c r="T197" i="14"/>
  <c r="T201" i="14"/>
  <c r="T196" i="14"/>
  <c r="AE130" i="10"/>
  <c r="AC159" i="14" s="1"/>
  <c r="AB156" i="14" s="1"/>
  <c r="AB160" i="14" s="1"/>
  <c r="W186" i="14"/>
  <c r="W181" i="14"/>
  <c r="W180" i="14"/>
  <c r="W183" i="14" s="1"/>
  <c r="W187" i="14" s="1"/>
  <c r="W188" i="14" s="1"/>
  <c r="W189" i="14" s="1"/>
  <c r="W190" i="14" s="1"/>
  <c r="AE124" i="10"/>
  <c r="AF122" i="10" s="1"/>
  <c r="AF123" i="10" s="1"/>
  <c r="Y170" i="14"/>
  <c r="Y172" i="14"/>
  <c r="Y169" i="14"/>
  <c r="Z165" i="14" s="1"/>
  <c r="AJ105" i="10"/>
  <c r="AG111" i="10"/>
  <c r="BN106" i="10"/>
  <c r="BN108" i="10" s="1"/>
  <c r="AA154" i="14"/>
  <c r="Y124" i="14"/>
  <c r="Y135" i="14"/>
  <c r="AE121" i="10"/>
  <c r="AF119" i="10" s="1"/>
  <c r="T198" i="14" l="1"/>
  <c r="T202" i="14" s="1"/>
  <c r="T203" i="14" s="1"/>
  <c r="T204" i="14" s="1"/>
  <c r="T205" i="14" s="1"/>
  <c r="T209" i="14" s="1"/>
  <c r="T210" i="14" s="1"/>
  <c r="T134" i="14" s="1"/>
  <c r="T137" i="14" s="1"/>
  <c r="W185" i="14"/>
  <c r="W184" i="14"/>
  <c r="X179" i="14" s="1"/>
  <c r="AF131" i="10"/>
  <c r="AF120" i="10"/>
  <c r="AG112" i="10"/>
  <c r="AB118" i="14"/>
  <c r="AB117" i="14" s="1"/>
  <c r="AB155" i="14" s="1"/>
  <c r="BO106" i="10"/>
  <c r="BO108" i="10" s="1"/>
  <c r="AJ107" i="10"/>
  <c r="Z167" i="14"/>
  <c r="Z171" i="14"/>
  <c r="Z166" i="14"/>
  <c r="Y182" i="14"/>
  <c r="Y173" i="14"/>
  <c r="AF130" i="10" l="1"/>
  <c r="AD159" i="14" s="1"/>
  <c r="H56" i="14" s="1"/>
  <c r="T123" i="14"/>
  <c r="T126" i="14" s="1"/>
  <c r="T200" i="14"/>
  <c r="T211" i="14"/>
  <c r="T212" i="14" s="1"/>
  <c r="T199" i="14"/>
  <c r="U194" i="14" s="1"/>
  <c r="X181" i="14"/>
  <c r="X186" i="14"/>
  <c r="X180" i="14"/>
  <c r="X183" i="14" s="1"/>
  <c r="X187" i="14" s="1"/>
  <c r="X188" i="14" s="1"/>
  <c r="X189" i="14" s="1"/>
  <c r="X190" i="14" s="1"/>
  <c r="AF124" i="10"/>
  <c r="AG122" i="10" s="1"/>
  <c r="Z168" i="14"/>
  <c r="Z172" i="14" s="1"/>
  <c r="Z173" i="14" s="1"/>
  <c r="Z124" i="14"/>
  <c r="Z135" i="14"/>
  <c r="Y174" i="14"/>
  <c r="AK105" i="10"/>
  <c r="AB154" i="14"/>
  <c r="AG113" i="10"/>
  <c r="BP106" i="10"/>
  <c r="BP108" i="10" s="1"/>
  <c r="M108" i="11" s="1"/>
  <c r="AF121" i="10"/>
  <c r="AG131" i="10" l="1"/>
  <c r="AC156" i="14"/>
  <c r="AC160" i="14" s="1"/>
  <c r="AC118" i="14" s="1"/>
  <c r="U195" i="14"/>
  <c r="U196" i="14"/>
  <c r="U201" i="14"/>
  <c r="U197" i="14"/>
  <c r="X185" i="14"/>
  <c r="AG123" i="10"/>
  <c r="X184" i="14"/>
  <c r="Y179" i="14" s="1"/>
  <c r="Z182" i="14"/>
  <c r="Y175" i="14"/>
  <c r="Z170" i="14"/>
  <c r="Z169" i="14"/>
  <c r="AA165" i="14" s="1"/>
  <c r="G53" i="14"/>
  <c r="G57" i="14" s="1"/>
  <c r="G82" i="14" s="1"/>
  <c r="AK107" i="10"/>
  <c r="BQ106" i="10"/>
  <c r="BQ108" i="10" s="1"/>
  <c r="AG119" i="10"/>
  <c r="AH111" i="10"/>
  <c r="Z174" i="14"/>
  <c r="Z175" i="14" s="1"/>
  <c r="U198" i="14" l="1"/>
  <c r="U202" i="14" s="1"/>
  <c r="U203" i="14" s="1"/>
  <c r="U204" i="14" s="1"/>
  <c r="U205" i="14" s="1"/>
  <c r="U209" i="14" s="1"/>
  <c r="U210" i="14" s="1"/>
  <c r="U134" i="14" s="1"/>
  <c r="U137" i="14" s="1"/>
  <c r="Y180" i="14"/>
  <c r="Y183" i="14" s="1"/>
  <c r="Y186" i="14"/>
  <c r="Y181" i="14"/>
  <c r="AA166" i="14"/>
  <c r="AA171" i="14"/>
  <c r="AA167" i="14"/>
  <c r="AL105" i="10"/>
  <c r="AC154" i="14"/>
  <c r="BR106" i="10"/>
  <c r="AC117" i="14"/>
  <c r="AC155" i="14" s="1"/>
  <c r="G72" i="14"/>
  <c r="G70" i="14"/>
  <c r="G66" i="14"/>
  <c r="G46" i="14" s="1"/>
  <c r="G67" i="14"/>
  <c r="AG120" i="10"/>
  <c r="AH112" i="10"/>
  <c r="AG121" i="10" l="1"/>
  <c r="U200" i="14"/>
  <c r="U199" i="14"/>
  <c r="V194" i="14" s="1"/>
  <c r="V197" i="14" s="1"/>
  <c r="U211" i="14"/>
  <c r="U212" i="14" s="1"/>
  <c r="U123" i="14"/>
  <c r="U126" i="14" s="1"/>
  <c r="Y187" i="14"/>
  <c r="Y188" i="14" s="1"/>
  <c r="Y189" i="14" s="1"/>
  <c r="Y190" i="14" s="1"/>
  <c r="Y185" i="14"/>
  <c r="Y184" i="14"/>
  <c r="Z179" i="14" s="1"/>
  <c r="Z181" i="14" s="1"/>
  <c r="AA124" i="14"/>
  <c r="AA135" i="14"/>
  <c r="AA168" i="14"/>
  <c r="AA172" i="14" s="1"/>
  <c r="G64" i="14"/>
  <c r="G83" i="14"/>
  <c r="G73" i="14"/>
  <c r="AH113" i="10"/>
  <c r="AL107" i="10"/>
  <c r="G35" i="14"/>
  <c r="G69" i="14"/>
  <c r="G68" i="14"/>
  <c r="AG130" i="10"/>
  <c r="AG124" i="10"/>
  <c r="AH122" i="10" s="1"/>
  <c r="BS106" i="10"/>
  <c r="V196" i="14" l="1"/>
  <c r="V195" i="14"/>
  <c r="V198" i="14" s="1"/>
  <c r="V202" i="14" s="1"/>
  <c r="V201" i="14"/>
  <c r="Z180" i="14"/>
  <c r="Z183" i="14" s="1"/>
  <c r="Z186" i="14"/>
  <c r="AA173" i="14"/>
  <c r="AA182" i="14"/>
  <c r="AA170" i="14"/>
  <c r="AA169" i="14"/>
  <c r="AB165" i="14" s="1"/>
  <c r="AH123" i="10"/>
  <c r="AH131" i="10"/>
  <c r="BT106" i="10"/>
  <c r="AH119" i="10"/>
  <c r="AI111" i="10"/>
  <c r="AE159" i="14"/>
  <c r="AM105" i="10"/>
  <c r="G95" i="14"/>
  <c r="G75" i="14"/>
  <c r="V203" i="14" l="1"/>
  <c r="V204" i="14" s="1"/>
  <c r="V205" i="14" s="1"/>
  <c r="V209" i="14" s="1"/>
  <c r="V123" i="14" s="1"/>
  <c r="V126" i="14" s="1"/>
  <c r="V199" i="14"/>
  <c r="W194" i="14" s="1"/>
  <c r="V200" i="14"/>
  <c r="G76" i="14"/>
  <c r="G84" i="14" s="1"/>
  <c r="Z187" i="14"/>
  <c r="Z185" i="14"/>
  <c r="Z184" i="14"/>
  <c r="AA179" i="14" s="1"/>
  <c r="AA174" i="14"/>
  <c r="AA175" i="14" s="1"/>
  <c r="AB167" i="14"/>
  <c r="AB171" i="14"/>
  <c r="AB166" i="14"/>
  <c r="AB168" i="14" s="1"/>
  <c r="AB172" i="14" s="1"/>
  <c r="AD156" i="14"/>
  <c r="AD160" i="14" s="1"/>
  <c r="G96" i="14"/>
  <c r="G102" i="14"/>
  <c r="G97" i="14"/>
  <c r="AM107" i="10"/>
  <c r="AI112" i="10"/>
  <c r="AH120" i="10"/>
  <c r="BU106" i="10"/>
  <c r="AH124" i="10" l="1"/>
  <c r="AI122" i="10" s="1"/>
  <c r="W197" i="14"/>
  <c r="W195" i="14"/>
  <c r="W201" i="14"/>
  <c r="W196" i="14"/>
  <c r="V210" i="14"/>
  <c r="V134" i="14" s="1"/>
  <c r="V137" i="14" s="1"/>
  <c r="Z188" i="14"/>
  <c r="Z189" i="14" s="1"/>
  <c r="Z190" i="14" s="1"/>
  <c r="AA181" i="14"/>
  <c r="AA186" i="14"/>
  <c r="AA180" i="14"/>
  <c r="AA183" i="14" s="1"/>
  <c r="AA187" i="14" s="1"/>
  <c r="G88" i="14"/>
  <c r="G85" i="14"/>
  <c r="G86" i="14"/>
  <c r="AB182" i="14"/>
  <c r="AB173" i="14"/>
  <c r="AB170" i="14"/>
  <c r="AB135" i="14"/>
  <c r="AB124" i="14"/>
  <c r="AB169" i="14"/>
  <c r="AC165" i="14" s="1"/>
  <c r="AD118" i="14"/>
  <c r="BV106" i="10"/>
  <c r="AH130" i="10"/>
  <c r="AH121" i="10"/>
  <c r="AI113" i="10"/>
  <c r="AN105" i="10"/>
  <c r="AI131" i="10" l="1"/>
  <c r="AI123" i="10"/>
  <c r="V211" i="14"/>
  <c r="V212" i="14" s="1"/>
  <c r="W198" i="14"/>
  <c r="W202" i="14" s="1"/>
  <c r="AA185" i="14"/>
  <c r="AA188" i="14"/>
  <c r="AA189" i="14" s="1"/>
  <c r="AA190" i="14" s="1"/>
  <c r="G89" i="14"/>
  <c r="G90" i="14" s="1"/>
  <c r="G98" i="14"/>
  <c r="AA184" i="14"/>
  <c r="AB179" i="14" s="1"/>
  <c r="AB174" i="14"/>
  <c r="AB175" i="14" s="1"/>
  <c r="AC167" i="14"/>
  <c r="AC171" i="14"/>
  <c r="AC166" i="14"/>
  <c r="AC168" i="14" s="1"/>
  <c r="AC172" i="14" s="1"/>
  <c r="BW106" i="10"/>
  <c r="AD154" i="14"/>
  <c r="AI119" i="10"/>
  <c r="AJ111" i="10"/>
  <c r="AD117" i="14"/>
  <c r="AD155" i="14" s="1"/>
  <c r="AN107" i="10"/>
  <c r="AF159" i="14"/>
  <c r="W203" i="14" l="1"/>
  <c r="W204" i="14" s="1"/>
  <c r="W205" i="14" s="1"/>
  <c r="W209" i="14" s="1"/>
  <c r="W123" i="14" s="1"/>
  <c r="W126" i="14" s="1"/>
  <c r="W199" i="14"/>
  <c r="X194" i="14" s="1"/>
  <c r="W200" i="14"/>
  <c r="AB186" i="14"/>
  <c r="AB181" i="14"/>
  <c r="AB180" i="14"/>
  <c r="AB183" i="14" s="1"/>
  <c r="G91" i="14"/>
  <c r="G99" i="14" s="1"/>
  <c r="G103" i="14" s="1"/>
  <c r="AC182" i="14"/>
  <c r="AC173" i="14"/>
  <c r="AC169" i="14"/>
  <c r="AD165" i="14" s="1"/>
  <c r="AC135" i="14"/>
  <c r="AC124" i="14"/>
  <c r="AC170" i="14"/>
  <c r="AE156" i="14"/>
  <c r="AE160" i="14" s="1"/>
  <c r="AO105" i="10"/>
  <c r="AJ112" i="10"/>
  <c r="BX106" i="10"/>
  <c r="AI120" i="10"/>
  <c r="X197" i="14" l="1"/>
  <c r="X196" i="14"/>
  <c r="X201" i="14"/>
  <c r="X195" i="14"/>
  <c r="W210" i="14"/>
  <c r="W134" i="14" s="1"/>
  <c r="W137" i="14" s="1"/>
  <c r="AB185" i="14"/>
  <c r="AB184" i="14"/>
  <c r="AC179" i="14" s="1"/>
  <c r="AB187" i="14"/>
  <c r="G101" i="14"/>
  <c r="G104" i="14"/>
  <c r="G105" i="14" s="1"/>
  <c r="G106" i="14" s="1"/>
  <c r="G110" i="14" s="1"/>
  <c r="G100" i="14"/>
  <c r="AC174" i="14"/>
  <c r="AC175" i="14" s="1"/>
  <c r="AE118" i="14"/>
  <c r="AE117" i="14" s="1"/>
  <c r="AE155" i="14" s="1"/>
  <c r="AI130" i="10"/>
  <c r="AI124" i="10"/>
  <c r="AJ122" i="10" s="1"/>
  <c r="AI121" i="10"/>
  <c r="AJ113" i="10"/>
  <c r="AD167" i="14"/>
  <c r="AD166" i="14"/>
  <c r="AD168" i="14" s="1"/>
  <c r="AD171" i="14"/>
  <c r="BY106" i="10"/>
  <c r="AO107" i="10"/>
  <c r="W211" i="14" l="1"/>
  <c r="W212" i="14" s="1"/>
  <c r="X198" i="14"/>
  <c r="X202" i="14" s="1"/>
  <c r="G111" i="14"/>
  <c r="G45" i="14" s="1"/>
  <c r="G48" i="14" s="1"/>
  <c r="G34" i="14"/>
  <c r="G37" i="14" s="1"/>
  <c r="AB188" i="14"/>
  <c r="AB189" i="14" s="1"/>
  <c r="AB190" i="14" s="1"/>
  <c r="AC186" i="14"/>
  <c r="AC181" i="14"/>
  <c r="AC180" i="14"/>
  <c r="AD172" i="14"/>
  <c r="AD170" i="14"/>
  <c r="AD169" i="14"/>
  <c r="AJ131" i="10"/>
  <c r="AJ123" i="10"/>
  <c r="AD124" i="14"/>
  <c r="AD135" i="14"/>
  <c r="AJ119" i="10"/>
  <c r="AK111" i="10"/>
  <c r="AG159" i="14"/>
  <c r="BZ106" i="10"/>
  <c r="AP105" i="10"/>
  <c r="AE154" i="14"/>
  <c r="X203" i="14" l="1"/>
  <c r="X204" i="14" s="1"/>
  <c r="X205" i="14" s="1"/>
  <c r="X209" i="14" s="1"/>
  <c r="X123" i="14" s="1"/>
  <c r="X126" i="14" s="1"/>
  <c r="X200" i="14"/>
  <c r="X199" i="14"/>
  <c r="Y194" i="14" s="1"/>
  <c r="G112" i="14"/>
  <c r="G113" i="14" s="1"/>
  <c r="AC183" i="14"/>
  <c r="AC184" i="14" s="1"/>
  <c r="AD179" i="14" s="1"/>
  <c r="AK112" i="10"/>
  <c r="AE165" i="14"/>
  <c r="AF156" i="14"/>
  <c r="AF160" i="14" s="1"/>
  <c r="CA106" i="10"/>
  <c r="AP107" i="10"/>
  <c r="AJ120" i="10"/>
  <c r="AD182" i="14"/>
  <c r="AD173" i="14"/>
  <c r="AJ124" i="10" l="1"/>
  <c r="AK122" i="10" s="1"/>
  <c r="AK123" i="10" s="1"/>
  <c r="Y201" i="14"/>
  <c r="Y197" i="14"/>
  <c r="Y196" i="14"/>
  <c r="Y195" i="14"/>
  <c r="X210" i="14"/>
  <c r="X134" i="14" s="1"/>
  <c r="X137" i="14" s="1"/>
  <c r="AD181" i="14"/>
  <c r="AD180" i="14"/>
  <c r="AD186" i="14"/>
  <c r="AC187" i="14"/>
  <c r="AC185" i="14"/>
  <c r="AQ105" i="10"/>
  <c r="CB106" i="10"/>
  <c r="AK113" i="10"/>
  <c r="AD174" i="14"/>
  <c r="AD175" i="14" s="1"/>
  <c r="AJ130" i="10"/>
  <c r="AJ121" i="10"/>
  <c r="AF118" i="14"/>
  <c r="AF117" i="14" s="1"/>
  <c r="AF155" i="14" s="1"/>
  <c r="AE167" i="14"/>
  <c r="AE166" i="14"/>
  <c r="AE171" i="14"/>
  <c r="AK131" i="10" l="1"/>
  <c r="X211" i="14"/>
  <c r="X212" i="14" s="1"/>
  <c r="Y198" i="14"/>
  <c r="Y202" i="14" s="1"/>
  <c r="AC188" i="14"/>
  <c r="AC189" i="14" s="1"/>
  <c r="AC190" i="14" s="1"/>
  <c r="AD183" i="14"/>
  <c r="AD184" i="14" s="1"/>
  <c r="AE179" i="14" s="1"/>
  <c r="AE168" i="14"/>
  <c r="AE172" i="14" s="1"/>
  <c r="AE173" i="14" s="1"/>
  <c r="AE124" i="14"/>
  <c r="AE135" i="14"/>
  <c r="AQ107" i="10"/>
  <c r="AK119" i="10"/>
  <c r="AL111" i="10"/>
  <c r="CC106" i="10"/>
  <c r="AF154" i="14"/>
  <c r="AH159" i="14"/>
  <c r="Y203" i="14" l="1"/>
  <c r="Y204" i="14" s="1"/>
  <c r="Y205" i="14" s="1"/>
  <c r="Y209" i="14" s="1"/>
  <c r="Y123" i="14" s="1"/>
  <c r="Y126" i="14" s="1"/>
  <c r="Y200" i="14"/>
  <c r="Y199" i="14"/>
  <c r="Z194" i="14" s="1"/>
  <c r="AD187" i="14"/>
  <c r="AD185" i="14"/>
  <c r="AE186" i="14"/>
  <c r="AE181" i="14"/>
  <c r="AE180" i="14"/>
  <c r="AE182" i="14"/>
  <c r="AE170" i="14"/>
  <c r="AE169" i="14"/>
  <c r="AF165" i="14" s="1"/>
  <c r="AK120" i="10"/>
  <c r="CD106" i="10"/>
  <c r="AG156" i="14"/>
  <c r="AG160" i="14" s="1"/>
  <c r="AL112" i="10"/>
  <c r="AL113" i="10" s="1"/>
  <c r="AR105" i="10"/>
  <c r="AE174" i="14"/>
  <c r="AE175" i="14" s="1"/>
  <c r="Z197" i="14" l="1"/>
  <c r="Z195" i="14"/>
  <c r="Z201" i="14"/>
  <c r="Z196" i="14"/>
  <c r="Y210" i="14"/>
  <c r="Y134" i="14" s="1"/>
  <c r="Y137" i="14" s="1"/>
  <c r="AE183" i="14"/>
  <c r="AE187" i="14" s="1"/>
  <c r="AE188" i="14" s="1"/>
  <c r="AE189" i="14" s="1"/>
  <c r="AE190" i="14" s="1"/>
  <c r="AD188" i="14"/>
  <c r="AD189" i="14" s="1"/>
  <c r="AM111" i="10"/>
  <c r="CE106" i="10"/>
  <c r="AR107" i="10"/>
  <c r="AK130" i="10"/>
  <c r="AK124" i="10"/>
  <c r="AL122" i="10" s="1"/>
  <c r="AF167" i="14"/>
  <c r="AF171" i="14"/>
  <c r="AF166" i="14"/>
  <c r="AG118" i="14"/>
  <c r="AG117" i="14" s="1"/>
  <c r="AG155" i="14" s="1"/>
  <c r="AK121" i="10"/>
  <c r="AL119" i="10" s="1"/>
  <c r="Y211" i="14" l="1"/>
  <c r="Y212" i="14" s="1"/>
  <c r="Z198" i="14"/>
  <c r="Z202" i="14" s="1"/>
  <c r="Z203" i="14" s="1"/>
  <c r="Z204" i="14" s="1"/>
  <c r="Z205" i="14" s="1"/>
  <c r="Z209" i="14" s="1"/>
  <c r="Z123" i="14" s="1"/>
  <c r="Z126" i="14" s="1"/>
  <c r="AE184" i="14"/>
  <c r="AF179" i="14" s="1"/>
  <c r="AF181" i="14" s="1"/>
  <c r="AE185" i="14"/>
  <c r="AD190" i="14"/>
  <c r="AL120" i="10"/>
  <c r="CF106" i="10"/>
  <c r="AL131" i="10"/>
  <c r="AL123" i="10"/>
  <c r="AF168" i="14"/>
  <c r="AG154" i="14"/>
  <c r="AF124" i="14"/>
  <c r="AF135" i="14"/>
  <c r="AI159" i="14"/>
  <c r="AS105" i="10"/>
  <c r="AM112" i="10"/>
  <c r="AM113" i="10" s="1"/>
  <c r="Z199" i="14" l="1"/>
  <c r="AA194" i="14" s="1"/>
  <c r="AA201" i="14" s="1"/>
  <c r="Z200" i="14"/>
  <c r="Z210" i="14"/>
  <c r="Z134" i="14" s="1"/>
  <c r="Z137" i="14" s="1"/>
  <c r="AL124" i="10"/>
  <c r="AM122" i="10" s="1"/>
  <c r="AM123" i="10" s="1"/>
  <c r="AF186" i="14"/>
  <c r="AF180" i="14"/>
  <c r="AF172" i="14"/>
  <c r="AF170" i="14"/>
  <c r="AF169" i="14"/>
  <c r="AG165" i="14" s="1"/>
  <c r="AL130" i="10"/>
  <c r="AJ159" i="14" s="1"/>
  <c r="AN111" i="10"/>
  <c r="AH156" i="14"/>
  <c r="AH160" i="14" s="1"/>
  <c r="AS107" i="10"/>
  <c r="CG106" i="10"/>
  <c r="AL121" i="10"/>
  <c r="AM119" i="10" s="1"/>
  <c r="AA196" i="14" l="1"/>
  <c r="AA197" i="14"/>
  <c r="Z211" i="14"/>
  <c r="Z212" i="14" s="1"/>
  <c r="AA195" i="14"/>
  <c r="AM131" i="10"/>
  <c r="AM120" i="10"/>
  <c r="AM130" i="10" s="1"/>
  <c r="AK159" i="14" s="1"/>
  <c r="AJ156" i="14" s="1"/>
  <c r="AJ160" i="14" s="1"/>
  <c r="AG167" i="14"/>
  <c r="AG166" i="14"/>
  <c r="AG171" i="14"/>
  <c r="AH118" i="14"/>
  <c r="AH117" i="14" s="1"/>
  <c r="AH155" i="14" s="1"/>
  <c r="AN112" i="10"/>
  <c r="AN113" i="10" s="1"/>
  <c r="CH106" i="10"/>
  <c r="AT105" i="10"/>
  <c r="AI156" i="14"/>
  <c r="AI160" i="14" s="1"/>
  <c r="AF182" i="14"/>
  <c r="AF173" i="14"/>
  <c r="AF174" i="14" s="1"/>
  <c r="AA198" i="14" l="1"/>
  <c r="AA200" i="14" s="1"/>
  <c r="AM124" i="10"/>
  <c r="AN122" i="10" s="1"/>
  <c r="AN123" i="10" s="1"/>
  <c r="AF175" i="14"/>
  <c r="AF183" i="14" s="1"/>
  <c r="AO111" i="10"/>
  <c r="CI106" i="10"/>
  <c r="AT107" i="10"/>
  <c r="AH154" i="14"/>
  <c r="AG168" i="14"/>
  <c r="AG172" i="14" s="1"/>
  <c r="AG124" i="14"/>
  <c r="AG135" i="14"/>
  <c r="AI118" i="14"/>
  <c r="AI117" i="14" s="1"/>
  <c r="AI155" i="14" s="1"/>
  <c r="AM121" i="10"/>
  <c r="AN119" i="10" s="1"/>
  <c r="AA199" i="14" l="1"/>
  <c r="AB194" i="14" s="1"/>
  <c r="AB196" i="14" s="1"/>
  <c r="AA202" i="14"/>
  <c r="AA203" i="14" s="1"/>
  <c r="AA204" i="14" s="1"/>
  <c r="AA205" i="14" s="1"/>
  <c r="AA209" i="14" s="1"/>
  <c r="AN131" i="10"/>
  <c r="AF187" i="14"/>
  <c r="AF184" i="14"/>
  <c r="AG179" i="14" s="1"/>
  <c r="AF185" i="14"/>
  <c r="AN120" i="10"/>
  <c r="AN130" i="10" s="1"/>
  <c r="AL159" i="14" s="1"/>
  <c r="CJ106" i="10"/>
  <c r="AG170" i="14"/>
  <c r="AI154" i="14"/>
  <c r="AU105" i="10"/>
  <c r="AG169" i="14"/>
  <c r="AH165" i="14" s="1"/>
  <c r="AG182" i="14"/>
  <c r="AG173" i="14"/>
  <c r="AG174" i="14" s="1"/>
  <c r="AG175" i="14" s="1"/>
  <c r="AJ118" i="14"/>
  <c r="AO112" i="10"/>
  <c r="AO113" i="10" s="1"/>
  <c r="AB201" i="14" l="1"/>
  <c r="AB197" i="14"/>
  <c r="AB195" i="14"/>
  <c r="AA210" i="14"/>
  <c r="AA134" i="14" s="1"/>
  <c r="AA137" i="14" s="1"/>
  <c r="AA123" i="14"/>
  <c r="AA126" i="14" s="1"/>
  <c r="AG186" i="14"/>
  <c r="AG180" i="14"/>
  <c r="AG183" i="14" s="1"/>
  <c r="AG187" i="14" s="1"/>
  <c r="AG181" i="14"/>
  <c r="AF188" i="14"/>
  <c r="AF189" i="14" s="1"/>
  <c r="AN124" i="10"/>
  <c r="AO122" i="10" s="1"/>
  <c r="AO131" i="10" s="1"/>
  <c r="AH167" i="14"/>
  <c r="AH171" i="14"/>
  <c r="AH166" i="14"/>
  <c r="AH168" i="14" s="1"/>
  <c r="AP111" i="10"/>
  <c r="CK106" i="10"/>
  <c r="AJ154" i="14"/>
  <c r="AJ117" i="14"/>
  <c r="AJ155" i="14" s="1"/>
  <c r="AK156" i="14"/>
  <c r="AK160" i="14" s="1"/>
  <c r="AU107" i="10"/>
  <c r="AN121" i="10"/>
  <c r="AO119" i="10" s="1"/>
  <c r="AB198" i="14" l="1"/>
  <c r="AB202" i="14" s="1"/>
  <c r="AB203" i="14" s="1"/>
  <c r="AB204" i="14" s="1"/>
  <c r="AB205" i="14" s="1"/>
  <c r="AB209" i="14" s="1"/>
  <c r="AB123" i="14" s="1"/>
  <c r="AB126" i="14" s="1"/>
  <c r="AA211" i="14"/>
  <c r="AA212" i="14" s="1"/>
  <c r="AG184" i="14"/>
  <c r="AH179" i="14" s="1"/>
  <c r="AH186" i="14" s="1"/>
  <c r="AG188" i="14"/>
  <c r="AG189" i="14" s="1"/>
  <c r="AG190" i="14" s="1"/>
  <c r="AF190" i="14"/>
  <c r="AG185" i="14"/>
  <c r="AO123" i="10"/>
  <c r="AH172" i="14"/>
  <c r="AH182" i="14" s="1"/>
  <c r="AH170" i="14"/>
  <c r="AO120" i="10"/>
  <c r="AP112" i="10"/>
  <c r="AP113" i="10" s="1"/>
  <c r="AH169" i="14"/>
  <c r="AI165" i="14" s="1"/>
  <c r="AH124" i="14"/>
  <c r="AH135" i="14"/>
  <c r="AV105" i="10"/>
  <c r="AK118" i="14"/>
  <c r="CL106" i="10"/>
  <c r="AB200" i="14" l="1"/>
  <c r="AB210" i="14"/>
  <c r="AB134" i="14" s="1"/>
  <c r="AB137" i="14" s="1"/>
  <c r="AB199" i="14"/>
  <c r="AC194" i="14" s="1"/>
  <c r="AC201" i="14" s="1"/>
  <c r="AH173" i="14"/>
  <c r="AH174" i="14" s="1"/>
  <c r="AH175" i="14" s="1"/>
  <c r="AH180" i="14"/>
  <c r="AH181" i="14"/>
  <c r="AO130" i="10"/>
  <c r="AM159" i="14" s="1"/>
  <c r="AL156" i="14" s="1"/>
  <c r="AL160" i="14" s="1"/>
  <c r="AO124" i="10"/>
  <c r="AP122" i="10" s="1"/>
  <c r="AP131" i="10" s="1"/>
  <c r="AQ111" i="10"/>
  <c r="CM106" i="10"/>
  <c r="AV107" i="10"/>
  <c r="AK154" i="14"/>
  <c r="AK117" i="14"/>
  <c r="AK155" i="14" s="1"/>
  <c r="AI171" i="14"/>
  <c r="AI167" i="14"/>
  <c r="AI166" i="14"/>
  <c r="AO121" i="10"/>
  <c r="AP119" i="10" s="1"/>
  <c r="AB211" i="14" l="1"/>
  <c r="AB212" i="14" s="1"/>
  <c r="AC195" i="14"/>
  <c r="AC196" i="14"/>
  <c r="AC197" i="14"/>
  <c r="AH183" i="14"/>
  <c r="AH187" i="14" s="1"/>
  <c r="AH188" i="14" s="1"/>
  <c r="AH189" i="14" s="1"/>
  <c r="AH190" i="14" s="1"/>
  <c r="AP123" i="10"/>
  <c r="AP120" i="10"/>
  <c r="AL118" i="14"/>
  <c r="AL117" i="14" s="1"/>
  <c r="AL155" i="14" s="1"/>
  <c r="AI168" i="14"/>
  <c r="CN106" i="10"/>
  <c r="AQ112" i="10"/>
  <c r="AI124" i="14"/>
  <c r="AI135" i="14"/>
  <c r="AW105" i="10"/>
  <c r="AC198" i="14" l="1"/>
  <c r="AC200" i="14" s="1"/>
  <c r="AH185" i="14"/>
  <c r="AH184" i="14"/>
  <c r="AI179" i="14" s="1"/>
  <c r="AI181" i="14" s="1"/>
  <c r="AP130" i="10"/>
  <c r="AN159" i="14" s="1"/>
  <c r="AM156" i="14" s="1"/>
  <c r="AM160" i="14" s="1"/>
  <c r="AP124" i="10"/>
  <c r="AQ122" i="10" s="1"/>
  <c r="AQ131" i="10" s="1"/>
  <c r="AQ113" i="10"/>
  <c r="AW107" i="10"/>
  <c r="CO106" i="10"/>
  <c r="AI172" i="14"/>
  <c r="AI170" i="14"/>
  <c r="AP121" i="10"/>
  <c r="AL154" i="14"/>
  <c r="AI169" i="14"/>
  <c r="AJ165" i="14" s="1"/>
  <c r="AC199" i="14" l="1"/>
  <c r="AD194" i="14" s="1"/>
  <c r="AD197" i="14" s="1"/>
  <c r="AC202" i="14"/>
  <c r="AC203" i="14" s="1"/>
  <c r="AC204" i="14" s="1"/>
  <c r="AC205" i="14" s="1"/>
  <c r="AC209" i="14" s="1"/>
  <c r="AC123" i="14" s="1"/>
  <c r="AC126" i="14" s="1"/>
  <c r="AI186" i="14"/>
  <c r="AI180" i="14"/>
  <c r="AQ123" i="10"/>
  <c r="AM118" i="14"/>
  <c r="AM117" i="14" s="1"/>
  <c r="AM155" i="14" s="1"/>
  <c r="AI182" i="14"/>
  <c r="AI173" i="14"/>
  <c r="AI174" i="14" s="1"/>
  <c r="AX105" i="10"/>
  <c r="CP106" i="10"/>
  <c r="AJ167" i="14"/>
  <c r="AJ171" i="14"/>
  <c r="AJ166" i="14"/>
  <c r="AJ168" i="14" s="1"/>
  <c r="AJ172" i="14" s="1"/>
  <c r="AQ119" i="10"/>
  <c r="AR111" i="10"/>
  <c r="AD196" i="14" l="1"/>
  <c r="AD195" i="14"/>
  <c r="AD198" i="14" s="1"/>
  <c r="AD202" i="14" s="1"/>
  <c r="AD203" i="14" s="1"/>
  <c r="AD204" i="14" s="1"/>
  <c r="AD205" i="14" s="1"/>
  <c r="AD209" i="14" s="1"/>
  <c r="AD123" i="14" s="1"/>
  <c r="AD126" i="14" s="1"/>
  <c r="AD201" i="14"/>
  <c r="AC210" i="14"/>
  <c r="AC134" i="14" s="1"/>
  <c r="AC137" i="14" s="1"/>
  <c r="AI175" i="14"/>
  <c r="AI183" i="14" s="1"/>
  <c r="AJ182" i="14"/>
  <c r="AJ173" i="14"/>
  <c r="AJ174" i="14" s="1"/>
  <c r="AJ175" i="14" s="1"/>
  <c r="AQ120" i="10"/>
  <c r="AJ124" i="14"/>
  <c r="AJ135" i="14"/>
  <c r="AJ170" i="14"/>
  <c r="CQ106" i="10"/>
  <c r="AJ169" i="14"/>
  <c r="AK165" i="14" s="1"/>
  <c r="AR112" i="10"/>
  <c r="AX107" i="10"/>
  <c r="AM154" i="14"/>
  <c r="AD199" i="14" l="1"/>
  <c r="AE194" i="14" s="1"/>
  <c r="AE196" i="14" s="1"/>
  <c r="AD200" i="14"/>
  <c r="AD210" i="14"/>
  <c r="AD134" i="14" s="1"/>
  <c r="AD137" i="14" s="1"/>
  <c r="AC211" i="14"/>
  <c r="AC212" i="14" s="1"/>
  <c r="AI187" i="14"/>
  <c r="AI185" i="14"/>
  <c r="AI184" i="14"/>
  <c r="AJ179" i="14" s="1"/>
  <c r="AK167" i="14"/>
  <c r="AK171" i="14"/>
  <c r="AK166" i="14"/>
  <c r="CR106" i="10"/>
  <c r="AQ130" i="10"/>
  <c r="AO159" i="14" s="1"/>
  <c r="AQ124" i="10"/>
  <c r="AR122" i="10" s="1"/>
  <c r="AR113" i="10"/>
  <c r="AY105" i="10"/>
  <c r="AQ121" i="10"/>
  <c r="AE195" i="14" l="1"/>
  <c r="AE201" i="14"/>
  <c r="AE197" i="14"/>
  <c r="AD211" i="14"/>
  <c r="AD212" i="14" s="1"/>
  <c r="AJ186" i="14"/>
  <c r="AJ181" i="14"/>
  <c r="AJ180" i="14"/>
  <c r="AJ183" i="14" s="1"/>
  <c r="AJ187" i="14" s="1"/>
  <c r="AI188" i="14"/>
  <c r="AI189" i="14" s="1"/>
  <c r="AY107" i="10"/>
  <c r="AR119" i="10"/>
  <c r="AS111" i="10"/>
  <c r="CS106" i="10"/>
  <c r="AR123" i="10"/>
  <c r="AR131" i="10"/>
  <c r="AK168" i="14"/>
  <c r="AN156" i="14"/>
  <c r="AN160" i="14" s="1"/>
  <c r="AK124" i="14"/>
  <c r="AK135" i="14"/>
  <c r="AE198" i="14" l="1"/>
  <c r="AE202" i="14" s="1"/>
  <c r="AE203" i="14" s="1"/>
  <c r="AE204" i="14" s="1"/>
  <c r="AE205" i="14" s="1"/>
  <c r="AE209" i="14" s="1"/>
  <c r="AE123" i="14" s="1"/>
  <c r="AE126" i="14" s="1"/>
  <c r="AJ185" i="14"/>
  <c r="AJ184" i="14"/>
  <c r="AK179" i="14" s="1"/>
  <c r="AK186" i="14" s="1"/>
  <c r="AI190" i="14"/>
  <c r="AJ188" i="14"/>
  <c r="AJ189" i="14" s="1"/>
  <c r="AJ190" i="14" s="1"/>
  <c r="AZ105" i="10"/>
  <c r="CT106" i="10"/>
  <c r="AN118" i="14"/>
  <c r="AK172" i="14"/>
  <c r="AK170" i="14"/>
  <c r="AS112" i="10"/>
  <c r="AR120" i="10"/>
  <c r="AK169" i="14"/>
  <c r="AL165" i="14" s="1"/>
  <c r="AR124" i="10" l="1"/>
  <c r="AS122" i="10" s="1"/>
  <c r="AE200" i="14"/>
  <c r="AE199" i="14"/>
  <c r="AF194" i="14" s="1"/>
  <c r="AF195" i="14" s="1"/>
  <c r="AE210" i="14"/>
  <c r="AE134" i="14" s="1"/>
  <c r="AE137" i="14" s="1"/>
  <c r="AS113" i="10"/>
  <c r="AT111" i="10" s="1"/>
  <c r="AK180" i="14"/>
  <c r="AK181" i="14"/>
  <c r="AR121" i="10"/>
  <c r="AN154" i="14"/>
  <c r="AL171" i="14"/>
  <c r="AL167" i="14"/>
  <c r="AL166" i="14"/>
  <c r="AK182" i="14"/>
  <c r="AK173" i="14"/>
  <c r="AK174" i="14" s="1"/>
  <c r="CU106" i="10"/>
  <c r="AN117" i="14"/>
  <c r="AN155" i="14" s="1"/>
  <c r="AZ107" i="10"/>
  <c r="AR128" i="10" l="1"/>
  <c r="AR130" i="10" s="1"/>
  <c r="AP159" i="14" s="1"/>
  <c r="AF197" i="14"/>
  <c r="AF198" i="14" s="1"/>
  <c r="AF202" i="14" s="1"/>
  <c r="AF203" i="14" s="1"/>
  <c r="AF204" i="14" s="1"/>
  <c r="AF205" i="14" s="1"/>
  <c r="AF209" i="14" s="1"/>
  <c r="AF123" i="14" s="1"/>
  <c r="AF126" i="14" s="1"/>
  <c r="AE211" i="14"/>
  <c r="AE212" i="14" s="1"/>
  <c r="AF201" i="14"/>
  <c r="AF196" i="14"/>
  <c r="AS119" i="10"/>
  <c r="AS120" i="10" s="1"/>
  <c r="AS131" i="10"/>
  <c r="AS123" i="10"/>
  <c r="AK175" i="14"/>
  <c r="AK183" i="14" s="1"/>
  <c r="AK187" i="14" s="1"/>
  <c r="AL168" i="14"/>
  <c r="AT112" i="10"/>
  <c r="CV106" i="10"/>
  <c r="BA105" i="10"/>
  <c r="AL124" i="14"/>
  <c r="AL135" i="14"/>
  <c r="AF199" i="14" l="1"/>
  <c r="AG194" i="14" s="1"/>
  <c r="AG196" i="14" s="1"/>
  <c r="AF200" i="14"/>
  <c r="AS121" i="10"/>
  <c r="AS124" i="10"/>
  <c r="AT122" i="10" s="1"/>
  <c r="AS130" i="10"/>
  <c r="AF210" i="14"/>
  <c r="AF134" i="14" s="1"/>
  <c r="AF137" i="14" s="1"/>
  <c r="AK185" i="14"/>
  <c r="AK184" i="14"/>
  <c r="AL179" i="14" s="1"/>
  <c r="AL180" i="14" s="1"/>
  <c r="AK188" i="14"/>
  <c r="AK189" i="14" s="1"/>
  <c r="BA107" i="10"/>
  <c r="CW106" i="10"/>
  <c r="I56" i="14"/>
  <c r="AO156" i="14"/>
  <c r="AO160" i="14" s="1"/>
  <c r="AL172" i="14"/>
  <c r="AL170" i="14"/>
  <c r="AT113" i="10"/>
  <c r="AL169" i="14"/>
  <c r="AM165" i="14" s="1"/>
  <c r="AG195" i="14" l="1"/>
  <c r="AG197" i="14"/>
  <c r="AG201" i="14"/>
  <c r="AT131" i="10"/>
  <c r="AT123" i="10"/>
  <c r="AQ159" i="14"/>
  <c r="J56" i="14" s="1"/>
  <c r="AF211" i="14"/>
  <c r="AF212" i="14" s="1"/>
  <c r="AL181" i="14"/>
  <c r="AL186" i="14"/>
  <c r="AK190" i="14"/>
  <c r="AM167" i="14"/>
  <c r="AM166" i="14"/>
  <c r="AM171" i="14"/>
  <c r="AL182" i="14"/>
  <c r="AL173" i="14"/>
  <c r="AL174" i="14" s="1"/>
  <c r="BB105" i="10"/>
  <c r="AT119" i="10"/>
  <c r="AU111" i="10"/>
  <c r="AO118" i="14"/>
  <c r="H53" i="14"/>
  <c r="H57" i="14" s="1"/>
  <c r="CX106" i="10"/>
  <c r="AG198" i="14" l="1"/>
  <c r="AG202" i="14" s="1"/>
  <c r="AG203" i="14" s="1"/>
  <c r="AG204" i="14" s="1"/>
  <c r="AG205" i="14" s="1"/>
  <c r="AG209" i="14" s="1"/>
  <c r="AG123" i="14" s="1"/>
  <c r="AG126" i="14" s="1"/>
  <c r="AP156" i="14"/>
  <c r="AP160" i="14" s="1"/>
  <c r="AL175" i="14"/>
  <c r="AL183" i="14" s="1"/>
  <c r="AL187" i="14" s="1"/>
  <c r="AO117" i="14"/>
  <c r="AO155" i="14" s="1"/>
  <c r="AU112" i="10"/>
  <c r="H29" i="14"/>
  <c r="BB107" i="10"/>
  <c r="CY106" i="10"/>
  <c r="AO154" i="14"/>
  <c r="AT120" i="10"/>
  <c r="AM168" i="14"/>
  <c r="AM169" i="14" s="1"/>
  <c r="AN165" i="14" s="1"/>
  <c r="AM124" i="14"/>
  <c r="AM135" i="14"/>
  <c r="AT124" i="10" l="1"/>
  <c r="AU122" i="10" s="1"/>
  <c r="AG200" i="14"/>
  <c r="AG210" i="14"/>
  <c r="AG134" i="14" s="1"/>
  <c r="AG137" i="14" s="1"/>
  <c r="AG199" i="14"/>
  <c r="AH194" i="14" s="1"/>
  <c r="AH197" i="14" s="1"/>
  <c r="AP118" i="14"/>
  <c r="I53" i="14"/>
  <c r="I57" i="14" s="1"/>
  <c r="I29" i="14" s="1"/>
  <c r="AT121" i="10"/>
  <c r="AT130" i="10"/>
  <c r="AL188" i="14"/>
  <c r="AL189" i="14" s="1"/>
  <c r="AL185" i="14"/>
  <c r="AL184" i="14"/>
  <c r="AM179" i="14" s="1"/>
  <c r="AN167" i="14"/>
  <c r="AN171" i="14"/>
  <c r="AN166" i="14"/>
  <c r="AN168" i="14" s="1"/>
  <c r="AN172" i="14" s="1"/>
  <c r="H51" i="14"/>
  <c r="BC105" i="10"/>
  <c r="AM172" i="14"/>
  <c r="AM170" i="14"/>
  <c r="CZ106" i="10"/>
  <c r="AU113" i="10"/>
  <c r="AU131" i="10" l="1"/>
  <c r="AU123" i="10"/>
  <c r="AH201" i="14"/>
  <c r="AG211" i="14"/>
  <c r="AG212" i="14" s="1"/>
  <c r="AH195" i="14"/>
  <c r="AH198" i="14" s="1"/>
  <c r="AH202" i="14" s="1"/>
  <c r="AH203" i="14" s="1"/>
  <c r="AH204" i="14" s="1"/>
  <c r="AH205" i="14" s="1"/>
  <c r="AH209" i="14" s="1"/>
  <c r="AH210" i="14" s="1"/>
  <c r="AH134" i="14" s="1"/>
  <c r="AH137" i="14" s="1"/>
  <c r="AH196" i="14"/>
  <c r="AR159" i="14"/>
  <c r="AP117" i="14"/>
  <c r="AP155" i="14" s="1"/>
  <c r="AP154" i="14"/>
  <c r="AL190" i="14"/>
  <c r="AM186" i="14"/>
  <c r="AM181" i="14"/>
  <c r="AM180" i="14"/>
  <c r="AN182" i="14"/>
  <c r="AN173" i="14"/>
  <c r="AN170" i="14"/>
  <c r="AU119" i="10"/>
  <c r="AV111" i="10"/>
  <c r="I51" i="14"/>
  <c r="DA106" i="10"/>
  <c r="BC107" i="10"/>
  <c r="AN169" i="14"/>
  <c r="AO165" i="14" s="1"/>
  <c r="AM182" i="14"/>
  <c r="AM173" i="14"/>
  <c r="AM174" i="14" s="1"/>
  <c r="AM175" i="14" s="1"/>
  <c r="H80" i="14"/>
  <c r="H72" i="14"/>
  <c r="H63" i="14"/>
  <c r="AN124" i="14"/>
  <c r="AN135" i="14"/>
  <c r="AH123" i="14" l="1"/>
  <c r="AH126" i="14" s="1"/>
  <c r="AH211" i="14"/>
  <c r="AH212" i="14" s="1"/>
  <c r="AH199" i="14"/>
  <c r="AI194" i="14" s="1"/>
  <c r="AI196" i="14" s="1"/>
  <c r="AH200" i="14"/>
  <c r="AQ156" i="14"/>
  <c r="AQ160" i="14" s="1"/>
  <c r="K56" i="14"/>
  <c r="AM183" i="14"/>
  <c r="AM187" i="14" s="1"/>
  <c r="H82" i="14"/>
  <c r="H87" i="14"/>
  <c r="H81" i="14"/>
  <c r="DB106" i="10"/>
  <c r="H66" i="14"/>
  <c r="H65" i="14"/>
  <c r="H67" i="14" s="1"/>
  <c r="H70" i="14" s="1"/>
  <c r="AV112" i="10"/>
  <c r="AN174" i="14"/>
  <c r="AN175" i="14" s="1"/>
  <c r="AO167" i="14"/>
  <c r="AO166" i="14"/>
  <c r="AO168" i="14" s="1"/>
  <c r="AO172" i="14" s="1"/>
  <c r="AO171" i="14"/>
  <c r="BD105" i="10"/>
  <c r="AU120" i="10"/>
  <c r="I72" i="14"/>
  <c r="AI195" i="14" l="1"/>
  <c r="AI201" i="14"/>
  <c r="AI197" i="14"/>
  <c r="AV113" i="10"/>
  <c r="AW111" i="10" s="1"/>
  <c r="J53" i="14"/>
  <c r="J57" i="14" s="1"/>
  <c r="AU121" i="10"/>
  <c r="AU130" i="10"/>
  <c r="AU124" i="10"/>
  <c r="AV122" i="10" s="1"/>
  <c r="AQ118" i="14"/>
  <c r="AQ154" i="14" s="1"/>
  <c r="AM188" i="14"/>
  <c r="AM189" i="14" s="1"/>
  <c r="AM185" i="14"/>
  <c r="AM184" i="14"/>
  <c r="AN179" i="14" s="1"/>
  <c r="BD107" i="10"/>
  <c r="AO182" i="14"/>
  <c r="AO173" i="14"/>
  <c r="AO174" i="14" s="1"/>
  <c r="AO175" i="14" s="1"/>
  <c r="H83" i="14"/>
  <c r="H64" i="14"/>
  <c r="H68" i="14"/>
  <c r="I63" i="14" s="1"/>
  <c r="AO124" i="14"/>
  <c r="AO135" i="14"/>
  <c r="H69" i="14"/>
  <c r="H35" i="14"/>
  <c r="H46" i="14"/>
  <c r="AO170" i="14"/>
  <c r="DC106" i="10"/>
  <c r="AO169" i="14"/>
  <c r="AP165" i="14" s="1"/>
  <c r="H73" i="14"/>
  <c r="AI198" i="14" l="1"/>
  <c r="AI202" i="14" s="1"/>
  <c r="AI203" i="14" s="1"/>
  <c r="AI204" i="14" s="1"/>
  <c r="AI205" i="14" s="1"/>
  <c r="AI209" i="14" s="1"/>
  <c r="AI123" i="14" s="1"/>
  <c r="AI126" i="14" s="1"/>
  <c r="AV119" i="10"/>
  <c r="AV120" i="10" s="1"/>
  <c r="AQ117" i="14"/>
  <c r="AQ155" i="14" s="1"/>
  <c r="AV123" i="10"/>
  <c r="AV131" i="10"/>
  <c r="J29" i="14"/>
  <c r="J51" i="14" s="1"/>
  <c r="J72" i="14" s="1"/>
  <c r="AS159" i="14"/>
  <c r="AM190" i="14"/>
  <c r="AN181" i="14"/>
  <c r="AN186" i="14"/>
  <c r="AN180" i="14"/>
  <c r="AN183" i="14" s="1"/>
  <c r="DD106" i="10"/>
  <c r="BE105" i="10"/>
  <c r="H95" i="14"/>
  <c r="H75" i="14"/>
  <c r="AP167" i="14"/>
  <c r="AP171" i="14"/>
  <c r="AP166" i="14"/>
  <c r="AP168" i="14" s="1"/>
  <c r="AP172" i="14" s="1"/>
  <c r="AW112" i="10"/>
  <c r="I66" i="14"/>
  <c r="I65" i="14"/>
  <c r="AI200" i="14" l="1"/>
  <c r="AI210" i="14"/>
  <c r="AI211" i="14" s="1"/>
  <c r="AI212" i="14" s="1"/>
  <c r="AI199" i="14"/>
  <c r="AJ194" i="14" s="1"/>
  <c r="AJ197" i="14" s="1"/>
  <c r="AV121" i="10"/>
  <c r="AR156" i="14"/>
  <c r="AR160" i="14" s="1"/>
  <c r="L56" i="14"/>
  <c r="AW113" i="10"/>
  <c r="AV124" i="10"/>
  <c r="AW122" i="10" s="1"/>
  <c r="AV130" i="10"/>
  <c r="AN185" i="14"/>
  <c r="AN187" i="14"/>
  <c r="H76" i="14"/>
  <c r="H84" i="14" s="1"/>
  <c r="AN184" i="14"/>
  <c r="AO179" i="14" s="1"/>
  <c r="AP182" i="14"/>
  <c r="AP173" i="14"/>
  <c r="AP169" i="14"/>
  <c r="AQ165" i="14" s="1"/>
  <c r="BE107" i="10"/>
  <c r="AP124" i="14"/>
  <c r="AP135" i="14"/>
  <c r="H97" i="14"/>
  <c r="H96" i="14"/>
  <c r="H102" i="14"/>
  <c r="I35" i="14"/>
  <c r="I46" i="14"/>
  <c r="DE106" i="10"/>
  <c r="I67" i="14"/>
  <c r="I70" i="14" s="1"/>
  <c r="AP170" i="14"/>
  <c r="AJ195" i="14" l="1"/>
  <c r="AJ198" i="14" s="1"/>
  <c r="AJ202" i="14" s="1"/>
  <c r="AJ203" i="14" s="1"/>
  <c r="AJ204" i="14" s="1"/>
  <c r="AJ205" i="14" s="1"/>
  <c r="AJ209" i="14" s="1"/>
  <c r="AJ210" i="14" s="1"/>
  <c r="AI134" i="14"/>
  <c r="AJ201" i="14"/>
  <c r="AJ196" i="14"/>
  <c r="AW119" i="10"/>
  <c r="AW120" i="10" s="1"/>
  <c r="AX111" i="10"/>
  <c r="AX112" i="10" s="1"/>
  <c r="AW131" i="10"/>
  <c r="AW123" i="10"/>
  <c r="AT159" i="14"/>
  <c r="K53" i="14"/>
  <c r="K57" i="14" s="1"/>
  <c r="AR118" i="14"/>
  <c r="AR154" i="14" s="1"/>
  <c r="AO181" i="14"/>
  <c r="AO186" i="14"/>
  <c r="AO180" i="14"/>
  <c r="AO183" i="14" s="1"/>
  <c r="AO187" i="14" s="1"/>
  <c r="H88" i="14"/>
  <c r="H85" i="14"/>
  <c r="I80" i="14" s="1"/>
  <c r="H86" i="14"/>
  <c r="AN188" i="14"/>
  <c r="AN189" i="14" s="1"/>
  <c r="I69" i="14"/>
  <c r="BF105" i="10"/>
  <c r="AP174" i="14"/>
  <c r="AP175" i="14" s="1"/>
  <c r="DF106" i="10"/>
  <c r="I68" i="14"/>
  <c r="J63" i="14" s="1"/>
  <c r="I83" i="14"/>
  <c r="I64" i="14"/>
  <c r="I73" i="14"/>
  <c r="AQ167" i="14"/>
  <c r="AQ166" i="14"/>
  <c r="AQ168" i="14" s="1"/>
  <c r="AQ171" i="14"/>
  <c r="AI137" i="14" l="1"/>
  <c r="AJ199" i="14"/>
  <c r="AK194" i="14" s="1"/>
  <c r="AK196" i="14" s="1"/>
  <c r="AJ200" i="14"/>
  <c r="AJ211" i="14"/>
  <c r="AJ212" i="14" s="1"/>
  <c r="AJ134" i="14"/>
  <c r="AJ137" i="14" s="1"/>
  <c r="AJ123" i="14"/>
  <c r="AJ126" i="14" s="1"/>
  <c r="AW121" i="10"/>
  <c r="AW130" i="10"/>
  <c r="AR117" i="14"/>
  <c r="AR155" i="14" s="1"/>
  <c r="AS156" i="14"/>
  <c r="AS160" i="14" s="1"/>
  <c r="M56" i="14"/>
  <c r="K29" i="14"/>
  <c r="K51" i="14" s="1"/>
  <c r="K72" i="14" s="1"/>
  <c r="AW124" i="10"/>
  <c r="AX122" i="10" s="1"/>
  <c r="AX113" i="10"/>
  <c r="AN190" i="14"/>
  <c r="AO188" i="14"/>
  <c r="AO189" i="14" s="1"/>
  <c r="AO190" i="14" s="1"/>
  <c r="AO185" i="14"/>
  <c r="I81" i="14"/>
  <c r="I82" i="14"/>
  <c r="I87" i="14"/>
  <c r="H89" i="14"/>
  <c r="H90" i="14" s="1"/>
  <c r="H98" i="14"/>
  <c r="AO184" i="14"/>
  <c r="AP179" i="14" s="1"/>
  <c r="AQ172" i="14"/>
  <c r="AQ170" i="14"/>
  <c r="AQ169" i="14"/>
  <c r="AR165" i="14" s="1"/>
  <c r="AQ124" i="14"/>
  <c r="AQ135" i="14"/>
  <c r="BF107" i="10"/>
  <c r="I75" i="14"/>
  <c r="I76" i="14" s="1"/>
  <c r="J66" i="14"/>
  <c r="J65" i="14"/>
  <c r="J67" i="14" s="1"/>
  <c r="J70" i="14" s="1"/>
  <c r="DG106" i="10"/>
  <c r="AK197" i="14" l="1"/>
  <c r="AK195" i="14"/>
  <c r="AK201" i="14"/>
  <c r="AX119" i="10"/>
  <c r="AX120" i="10" s="1"/>
  <c r="AY111" i="10"/>
  <c r="AY112" i="10" s="1"/>
  <c r="L53" i="14"/>
  <c r="L57" i="14" s="1"/>
  <c r="AS118" i="14"/>
  <c r="AS154" i="14" s="1"/>
  <c r="AU159" i="14"/>
  <c r="AX123" i="10"/>
  <c r="AX131" i="10"/>
  <c r="I84" i="14"/>
  <c r="I88" i="14" s="1"/>
  <c r="I89" i="14" s="1"/>
  <c r="I90" i="14" s="1"/>
  <c r="H91" i="14"/>
  <c r="H99" i="14" s="1"/>
  <c r="H103" i="14" s="1"/>
  <c r="AP181" i="14"/>
  <c r="AP186" i="14"/>
  <c r="AP180" i="14"/>
  <c r="J68" i="14"/>
  <c r="K63" i="14" s="1"/>
  <c r="K66" i="14" s="1"/>
  <c r="J83" i="14"/>
  <c r="J64" i="14"/>
  <c r="J35" i="14"/>
  <c r="J46" i="14"/>
  <c r="DH106" i="10"/>
  <c r="J73" i="14"/>
  <c r="BG105" i="10"/>
  <c r="AR167" i="14"/>
  <c r="AR166" i="14"/>
  <c r="AR168" i="14" s="1"/>
  <c r="AR171" i="14"/>
  <c r="J69" i="14"/>
  <c r="AQ182" i="14"/>
  <c r="AQ173" i="14"/>
  <c r="AQ174" i="14" s="1"/>
  <c r="AQ175" i="14" s="1"/>
  <c r="AK198" i="14" l="1"/>
  <c r="AK202" i="14" s="1"/>
  <c r="AK203" i="14" s="1"/>
  <c r="AK204" i="14" s="1"/>
  <c r="AK205" i="14" s="1"/>
  <c r="AK209" i="14" s="1"/>
  <c r="AK123" i="14" s="1"/>
  <c r="AK126" i="14" s="1"/>
  <c r="AX121" i="10"/>
  <c r="AX124" i="10"/>
  <c r="AY122" i="10" s="1"/>
  <c r="L29" i="14"/>
  <c r="L51" i="14" s="1"/>
  <c r="L72" i="14" s="1"/>
  <c r="AS117" i="14"/>
  <c r="AS155" i="14" s="1"/>
  <c r="AY113" i="10"/>
  <c r="AT156" i="14"/>
  <c r="AT160" i="14" s="1"/>
  <c r="N56" i="14"/>
  <c r="AX130" i="10"/>
  <c r="AV159" i="14" s="1"/>
  <c r="O56" i="14" s="1"/>
  <c r="I86" i="14"/>
  <c r="I85" i="14"/>
  <c r="J80" i="14" s="1"/>
  <c r="J87" i="14" s="1"/>
  <c r="H100" i="14"/>
  <c r="I95" i="14" s="1"/>
  <c r="I91" i="14"/>
  <c r="H101" i="14"/>
  <c r="AP183" i="14"/>
  <c r="AP187" i="14" s="1"/>
  <c r="H104" i="14"/>
  <c r="H105" i="14" s="1"/>
  <c r="H106" i="14" s="1"/>
  <c r="H110" i="14" s="1"/>
  <c r="H34" i="14" s="1"/>
  <c r="H37" i="14" s="1"/>
  <c r="K65" i="14"/>
  <c r="K67" i="14" s="1"/>
  <c r="K68" i="14" s="1"/>
  <c r="AR172" i="14"/>
  <c r="AR169" i="14"/>
  <c r="AS165" i="14" s="1"/>
  <c r="AR170" i="14"/>
  <c r="AR124" i="14"/>
  <c r="AR135" i="14"/>
  <c r="J75" i="14"/>
  <c r="J76" i="14" s="1"/>
  <c r="DI106" i="10"/>
  <c r="K35" i="14"/>
  <c r="K46" i="14"/>
  <c r="BG107" i="10"/>
  <c r="AY119" i="10" l="1"/>
  <c r="AY120" i="10" s="1"/>
  <c r="AK199" i="14"/>
  <c r="AL194" i="14" s="1"/>
  <c r="AL195" i="14" s="1"/>
  <c r="AK210" i="14"/>
  <c r="AK134" i="14" s="1"/>
  <c r="AK200" i="14"/>
  <c r="AZ111" i="10"/>
  <c r="AZ112" i="10" s="1"/>
  <c r="L63" i="14"/>
  <c r="L65" i="14" s="1"/>
  <c r="L67" i="14" s="1"/>
  <c r="L70" i="14" s="1"/>
  <c r="AU156" i="14"/>
  <c r="AU160" i="14" s="1"/>
  <c r="AT118" i="14"/>
  <c r="AT154" i="14" s="1"/>
  <c r="N53" i="14"/>
  <c r="N57" i="14" s="1"/>
  <c r="M53" i="14"/>
  <c r="M57" i="14" s="1"/>
  <c r="AY131" i="10"/>
  <c r="AY123" i="10"/>
  <c r="J81" i="14"/>
  <c r="J84" i="14" s="1"/>
  <c r="J82" i="14"/>
  <c r="I96" i="14"/>
  <c r="I98" i="14"/>
  <c r="I97" i="14"/>
  <c r="I102" i="14"/>
  <c r="AP188" i="14"/>
  <c r="AP189" i="14" s="1"/>
  <c r="AP190" i="14" s="1"/>
  <c r="AP184" i="14"/>
  <c r="AQ179" i="14" s="1"/>
  <c r="H111" i="14"/>
  <c r="H45" i="14" s="1"/>
  <c r="H48" i="14" s="1"/>
  <c r="AP185" i="14"/>
  <c r="BH105" i="10"/>
  <c r="K70" i="14"/>
  <c r="K69" i="14"/>
  <c r="DJ106" i="10"/>
  <c r="AS167" i="14"/>
  <c r="AS166" i="14"/>
  <c r="AS168" i="14" s="1"/>
  <c r="AS171" i="14"/>
  <c r="AR182" i="14"/>
  <c r="AR173" i="14"/>
  <c r="AR174" i="14" s="1"/>
  <c r="AR175" i="14" s="1"/>
  <c r="AY121" i="10" l="1"/>
  <c r="AY124" i="10"/>
  <c r="AZ122" i="10" s="1"/>
  <c r="AZ131" i="10" s="1"/>
  <c r="AK137" i="14"/>
  <c r="AK211" i="14"/>
  <c r="AK212" i="14" s="1"/>
  <c r="AL196" i="14"/>
  <c r="AL197" i="14"/>
  <c r="AL198" i="14" s="1"/>
  <c r="AL202" i="14" s="1"/>
  <c r="AL203" i="14" s="1"/>
  <c r="AL204" i="14" s="1"/>
  <c r="AL205" i="14" s="1"/>
  <c r="AL209" i="14" s="1"/>
  <c r="AL123" i="14" s="1"/>
  <c r="AL126" i="14" s="1"/>
  <c r="AL201" i="14"/>
  <c r="L66" i="14"/>
  <c r="L46" i="14" s="1"/>
  <c r="AU118" i="14"/>
  <c r="AU154" i="14" s="1"/>
  <c r="AY130" i="10"/>
  <c r="AW159" i="14" s="1"/>
  <c r="M29" i="14"/>
  <c r="M51" i="14" s="1"/>
  <c r="M72" i="14" s="1"/>
  <c r="AT117" i="14"/>
  <c r="AT155" i="14" s="1"/>
  <c r="I99" i="14"/>
  <c r="I101" i="14" s="1"/>
  <c r="J88" i="14"/>
  <c r="J86" i="14"/>
  <c r="H112" i="14"/>
  <c r="H113" i="14" s="1"/>
  <c r="AQ181" i="14"/>
  <c r="AQ186" i="14"/>
  <c r="AQ180" i="14"/>
  <c r="J85" i="14"/>
  <c r="K80" i="14" s="1"/>
  <c r="AS172" i="14"/>
  <c r="AS170" i="14"/>
  <c r="DK106" i="10"/>
  <c r="L83" i="14"/>
  <c r="L64" i="14"/>
  <c r="L73" i="14"/>
  <c r="AS169" i="14"/>
  <c r="AT165" i="14" s="1"/>
  <c r="AZ113" i="10"/>
  <c r="BH107" i="10"/>
  <c r="AS124" i="14"/>
  <c r="AS135" i="14"/>
  <c r="K83" i="14"/>
  <c r="K64" i="14"/>
  <c r="K73" i="14"/>
  <c r="AZ123" i="10" l="1"/>
  <c r="AL200" i="14"/>
  <c r="AL210" i="14"/>
  <c r="AL134" i="14" s="1"/>
  <c r="AL199" i="14"/>
  <c r="AM194" i="14" s="1"/>
  <c r="AM201" i="14" s="1"/>
  <c r="L69" i="14"/>
  <c r="L35" i="14"/>
  <c r="L68" i="14"/>
  <c r="M63" i="14" s="1"/>
  <c r="M66" i="14" s="1"/>
  <c r="AU117" i="14"/>
  <c r="AU155" i="14" s="1"/>
  <c r="AV156" i="14"/>
  <c r="AV160" i="14" s="1"/>
  <c r="P56" i="14"/>
  <c r="N29" i="14"/>
  <c r="N51" i="14" s="1"/>
  <c r="N72" i="14" s="1"/>
  <c r="I100" i="14"/>
  <c r="J95" i="14" s="1"/>
  <c r="J96" i="14" s="1"/>
  <c r="I103" i="14"/>
  <c r="I104" i="14" s="1"/>
  <c r="I105" i="14" s="1"/>
  <c r="I106" i="14" s="1"/>
  <c r="I110" i="14" s="1"/>
  <c r="I34" i="14" s="1"/>
  <c r="I37" i="14" s="1"/>
  <c r="AQ183" i="14"/>
  <c r="AQ187" i="14" s="1"/>
  <c r="J89" i="14"/>
  <c r="J90" i="14" s="1"/>
  <c r="K87" i="14"/>
  <c r="K82" i="14"/>
  <c r="K81" i="14"/>
  <c r="AZ119" i="10"/>
  <c r="BA111" i="10"/>
  <c r="AT167" i="14"/>
  <c r="AT171" i="14"/>
  <c r="AT166" i="14"/>
  <c r="BI105" i="10"/>
  <c r="DL106" i="10"/>
  <c r="L75" i="14"/>
  <c r="L76" i="14" s="1"/>
  <c r="K75" i="14"/>
  <c r="K76" i="14" s="1"/>
  <c r="AS182" i="14"/>
  <c r="AS173" i="14"/>
  <c r="AL137" i="14" l="1"/>
  <c r="AL211" i="14"/>
  <c r="AL212" i="14" s="1"/>
  <c r="AM196" i="14"/>
  <c r="AM195" i="14"/>
  <c r="AM197" i="14"/>
  <c r="M65" i="14"/>
  <c r="M67" i="14" s="1"/>
  <c r="M70" i="14" s="1"/>
  <c r="M64" i="14" s="1"/>
  <c r="P53" i="14"/>
  <c r="P57" i="14" s="1"/>
  <c r="O53" i="14"/>
  <c r="O57" i="14" s="1"/>
  <c r="O29" i="14" s="1"/>
  <c r="O51" i="14" s="1"/>
  <c r="O72" i="14" s="1"/>
  <c r="L11" i="14"/>
  <c r="AV118" i="14"/>
  <c r="AV154" i="14" s="1"/>
  <c r="J98" i="14"/>
  <c r="J102" i="14"/>
  <c r="I111" i="14"/>
  <c r="I45" i="14" s="1"/>
  <c r="I48" i="14" s="1"/>
  <c r="J97" i="14"/>
  <c r="K84" i="14"/>
  <c r="K85" i="14" s="1"/>
  <c r="L80" i="14" s="1"/>
  <c r="J91" i="14"/>
  <c r="AQ188" i="14"/>
  <c r="AQ189" i="14" s="1"/>
  <c r="AQ184" i="14"/>
  <c r="AR179" i="14" s="1"/>
  <c r="AQ185" i="14"/>
  <c r="AT168" i="14"/>
  <c r="AT172" i="14" s="1"/>
  <c r="AT173" i="14" s="1"/>
  <c r="AT124" i="14"/>
  <c r="AT135" i="14"/>
  <c r="AZ120" i="10"/>
  <c r="DM106" i="10"/>
  <c r="BA112" i="10"/>
  <c r="AS174" i="14"/>
  <c r="AS175" i="14" s="1"/>
  <c r="M35" i="14"/>
  <c r="M46" i="14"/>
  <c r="BI107" i="10"/>
  <c r="AM198" i="14" l="1"/>
  <c r="AM202" i="14" s="1"/>
  <c r="AM203" i="14" s="1"/>
  <c r="AM204" i="14" s="1"/>
  <c r="AM205" i="14" s="1"/>
  <c r="AM209" i="14" s="1"/>
  <c r="AM123" i="14" s="1"/>
  <c r="AM126" i="14" s="1"/>
  <c r="AZ121" i="10"/>
  <c r="AZ130" i="10"/>
  <c r="AX159" i="14" s="1"/>
  <c r="AW156" i="14" s="1"/>
  <c r="AW160" i="14" s="1"/>
  <c r="AZ124" i="10"/>
  <c r="BA122" i="10" s="1"/>
  <c r="AV117" i="14"/>
  <c r="AV155" i="14" s="1"/>
  <c r="P29" i="14"/>
  <c r="P51" i="14" s="1"/>
  <c r="P72" i="14" s="1"/>
  <c r="F58" i="14"/>
  <c r="F59" i="14"/>
  <c r="J99" i="14"/>
  <c r="J103" i="14" s="1"/>
  <c r="J104" i="14" s="1"/>
  <c r="J105" i="14" s="1"/>
  <c r="J106" i="14" s="1"/>
  <c r="J110" i="14" s="1"/>
  <c r="J34" i="14" s="1"/>
  <c r="J37" i="14" s="1"/>
  <c r="I112" i="14"/>
  <c r="I113" i="14" s="1"/>
  <c r="K86" i="14"/>
  <c r="M69" i="14"/>
  <c r="K88" i="14"/>
  <c r="K89" i="14" s="1"/>
  <c r="K90" i="14" s="1"/>
  <c r="K91" i="14" s="1"/>
  <c r="AT182" i="14"/>
  <c r="M83" i="14"/>
  <c r="AQ190" i="14"/>
  <c r="AT174" i="14"/>
  <c r="AT175" i="14" s="1"/>
  <c r="AR181" i="14"/>
  <c r="AR186" i="14"/>
  <c r="AR180" i="14"/>
  <c r="AR183" i="14" s="1"/>
  <c r="AR187" i="14" s="1"/>
  <c r="L81" i="14"/>
  <c r="L84" i="14" s="1"/>
  <c r="L82" i="14"/>
  <c r="L87" i="14"/>
  <c r="M73" i="14"/>
  <c r="M75" i="14" s="1"/>
  <c r="M76" i="14" s="1"/>
  <c r="AT170" i="14"/>
  <c r="AT169" i="14"/>
  <c r="AU165" i="14" s="1"/>
  <c r="M68" i="14"/>
  <c r="N63" i="14" s="1"/>
  <c r="BJ105" i="10"/>
  <c r="BA113" i="10"/>
  <c r="DN106" i="10"/>
  <c r="AM199" i="14" l="1"/>
  <c r="AN194" i="14" s="1"/>
  <c r="AN201" i="14" s="1"/>
  <c r="AM200" i="14"/>
  <c r="AM210" i="14"/>
  <c r="AM134" i="14" s="1"/>
  <c r="BA123" i="10"/>
  <c r="BA131" i="10"/>
  <c r="AW118" i="14"/>
  <c r="AW154" i="14" s="1"/>
  <c r="J101" i="14"/>
  <c r="J100" i="14"/>
  <c r="K95" i="14" s="1"/>
  <c r="K97" i="14" s="1"/>
  <c r="L85" i="14"/>
  <c r="M80" i="14" s="1"/>
  <c r="M87" i="14" s="1"/>
  <c r="L88" i="14"/>
  <c r="L86" i="14"/>
  <c r="AR185" i="14"/>
  <c r="AR188" i="14"/>
  <c r="AR189" i="14" s="1"/>
  <c r="AR190" i="14" s="1"/>
  <c r="AR184" i="14"/>
  <c r="AS179" i="14" s="1"/>
  <c r="J111" i="14"/>
  <c r="J45" i="14" s="1"/>
  <c r="J48" i="14" s="1"/>
  <c r="N66" i="14"/>
  <c r="N65" i="14"/>
  <c r="AU166" i="14"/>
  <c r="AU167" i="14"/>
  <c r="AU171" i="14"/>
  <c r="BJ107" i="10"/>
  <c r="DO106" i="10"/>
  <c r="BA119" i="10"/>
  <c r="BB111" i="10"/>
  <c r="AM137" i="14" l="1"/>
  <c r="AN196" i="14"/>
  <c r="AN195" i="14"/>
  <c r="AM211" i="14"/>
  <c r="AM212" i="14" s="1"/>
  <c r="AN197" i="14"/>
  <c r="AW117" i="14"/>
  <c r="AW155" i="14" s="1"/>
  <c r="K96" i="14"/>
  <c r="K102" i="14"/>
  <c r="K98" i="14"/>
  <c r="M81" i="14"/>
  <c r="M84" i="14" s="1"/>
  <c r="M88" i="14" s="1"/>
  <c r="M82" i="14"/>
  <c r="AS181" i="14"/>
  <c r="AS186" i="14"/>
  <c r="AS180" i="14"/>
  <c r="L89" i="14"/>
  <c r="L90" i="14" s="1"/>
  <c r="J112" i="14"/>
  <c r="J113" i="14" s="1"/>
  <c r="AU168" i="14"/>
  <c r="AU172" i="14" s="1"/>
  <c r="N67" i="14"/>
  <c r="N70" i="14" s="1"/>
  <c r="AU135" i="14"/>
  <c r="AU124" i="14"/>
  <c r="N35" i="14"/>
  <c r="N46" i="14"/>
  <c r="DP106" i="10"/>
  <c r="BB112" i="10"/>
  <c r="BA120" i="10"/>
  <c r="BK105" i="10"/>
  <c r="AN198" i="14" l="1"/>
  <c r="AN202" i="14" s="1"/>
  <c r="AN203" i="14" s="1"/>
  <c r="AN204" i="14" s="1"/>
  <c r="AN205" i="14" s="1"/>
  <c r="AN209" i="14" s="1"/>
  <c r="AN123" i="14" s="1"/>
  <c r="AN126" i="14" s="1"/>
  <c r="BB113" i="10"/>
  <c r="BC111" i="10" s="1"/>
  <c r="BA121" i="10"/>
  <c r="BA130" i="10"/>
  <c r="AY159" i="14" s="1"/>
  <c r="AX156" i="14" s="1"/>
  <c r="AX160" i="14" s="1"/>
  <c r="BA124" i="10"/>
  <c r="BB122" i="10" s="1"/>
  <c r="K99" i="14"/>
  <c r="K101" i="14" s="1"/>
  <c r="M85" i="14"/>
  <c r="N80" i="14" s="1"/>
  <c r="N87" i="14" s="1"/>
  <c r="M86" i="14"/>
  <c r="L91" i="14"/>
  <c r="AS183" i="14"/>
  <c r="AS187" i="14" s="1"/>
  <c r="M89" i="14"/>
  <c r="M90" i="14" s="1"/>
  <c r="M91" i="14" s="1"/>
  <c r="N69" i="14"/>
  <c r="AU170" i="14"/>
  <c r="N68" i="14"/>
  <c r="O63" i="14" s="1"/>
  <c r="N83" i="14"/>
  <c r="N64" i="14"/>
  <c r="N73" i="14"/>
  <c r="AU169" i="14"/>
  <c r="AV165" i="14" s="1"/>
  <c r="AU182" i="14"/>
  <c r="AU173" i="14"/>
  <c r="BK107" i="10"/>
  <c r="DQ106" i="10"/>
  <c r="AN210" i="14" l="1"/>
  <c r="AN134" i="14" s="1"/>
  <c r="AN137" i="14" s="1"/>
  <c r="AN199" i="14"/>
  <c r="AO194" i="14" s="1"/>
  <c r="AO196" i="14" s="1"/>
  <c r="AN200" i="14"/>
  <c r="BB119" i="10"/>
  <c r="BB120" i="10" s="1"/>
  <c r="AX118" i="14"/>
  <c r="AX154" i="14" s="1"/>
  <c r="BB131" i="10"/>
  <c r="BB123" i="10"/>
  <c r="K100" i="14"/>
  <c r="L95" i="14" s="1"/>
  <c r="L96" i="14" s="1"/>
  <c r="K103" i="14"/>
  <c r="K104" i="14" s="1"/>
  <c r="K105" i="14" s="1"/>
  <c r="K106" i="14" s="1"/>
  <c r="K110" i="14" s="1"/>
  <c r="K34" i="14" s="1"/>
  <c r="K37" i="14" s="1"/>
  <c r="N81" i="14"/>
  <c r="N82" i="14"/>
  <c r="AS185" i="14"/>
  <c r="AS184" i="14"/>
  <c r="AT179" i="14" s="1"/>
  <c r="AS188" i="14"/>
  <c r="AS189" i="14" s="1"/>
  <c r="AS190" i="14" s="1"/>
  <c r="AU174" i="14"/>
  <c r="AU175" i="14" s="1"/>
  <c r="N75" i="14"/>
  <c r="AV167" i="14"/>
  <c r="AV171" i="14"/>
  <c r="AV166" i="14"/>
  <c r="O66" i="14"/>
  <c r="O65" i="14"/>
  <c r="O67" i="14" s="1"/>
  <c r="O70" i="14" s="1"/>
  <c r="BL105" i="10"/>
  <c r="BC112" i="10"/>
  <c r="DR106" i="10"/>
  <c r="AN211" i="14" l="1"/>
  <c r="AN212" i="14" s="1"/>
  <c r="AO201" i="14"/>
  <c r="AO195" i="14"/>
  <c r="AO197" i="14"/>
  <c r="BB124" i="10"/>
  <c r="BC122" i="10" s="1"/>
  <c r="BC123" i="10" s="1"/>
  <c r="BB121" i="10"/>
  <c r="AX117" i="14"/>
  <c r="AX155" i="14" s="1"/>
  <c r="BC113" i="10"/>
  <c r="BD111" i="10" s="1"/>
  <c r="BB130" i="10"/>
  <c r="AZ159" i="14" s="1"/>
  <c r="AY156" i="14" s="1"/>
  <c r="AY160" i="14" s="1"/>
  <c r="L97" i="14"/>
  <c r="L98" i="14"/>
  <c r="L99" i="14" s="1"/>
  <c r="L103" i="14" s="1"/>
  <c r="L104" i="14" s="1"/>
  <c r="L105" i="14" s="1"/>
  <c r="L106" i="14" s="1"/>
  <c r="L110" i="14" s="1"/>
  <c r="L102" i="14"/>
  <c r="K111" i="14"/>
  <c r="K45" i="14" s="1"/>
  <c r="K48" i="14" s="1"/>
  <c r="AT186" i="14"/>
  <c r="AT181" i="14"/>
  <c r="AT180" i="14"/>
  <c r="AT183" i="14" s="1"/>
  <c r="AT187" i="14" s="1"/>
  <c r="N76" i="14"/>
  <c r="N84" i="14" s="1"/>
  <c r="O64" i="14"/>
  <c r="O83" i="14"/>
  <c r="AV168" i="14"/>
  <c r="O69" i="14"/>
  <c r="O35" i="14"/>
  <c r="O46" i="14"/>
  <c r="O68" i="14"/>
  <c r="P63" i="14" s="1"/>
  <c r="AV135" i="14"/>
  <c r="AV124" i="14"/>
  <c r="O73" i="14"/>
  <c r="BL107" i="10"/>
  <c r="DS106" i="10"/>
  <c r="AO198" i="14" l="1"/>
  <c r="AO202" i="14" s="1"/>
  <c r="AO203" i="14" s="1"/>
  <c r="AO204" i="14" s="1"/>
  <c r="AO205" i="14" s="1"/>
  <c r="AO209" i="14" s="1"/>
  <c r="AO210" i="14" s="1"/>
  <c r="AO134" i="14" s="1"/>
  <c r="AO137" i="14" s="1"/>
  <c r="BC131" i="10"/>
  <c r="BC119" i="10"/>
  <c r="BC120" i="10" s="1"/>
  <c r="BC130" i="10" s="1"/>
  <c r="BA159" i="14" s="1"/>
  <c r="AZ156" i="14" s="1"/>
  <c r="AZ160" i="14" s="1"/>
  <c r="AY118" i="14"/>
  <c r="AY154" i="14" s="1"/>
  <c r="K112" i="14"/>
  <c r="K113" i="14" s="1"/>
  <c r="L101" i="14"/>
  <c r="L100" i="14"/>
  <c r="M95" i="14" s="1"/>
  <c r="M98" i="14" s="1"/>
  <c r="AT185" i="14"/>
  <c r="AT188" i="14"/>
  <c r="AT189" i="14" s="1"/>
  <c r="AT190" i="14" s="1"/>
  <c r="AT184" i="14"/>
  <c r="AU179" i="14" s="1"/>
  <c r="N88" i="14"/>
  <c r="N85" i="14"/>
  <c r="O80" i="14" s="1"/>
  <c r="N86" i="14"/>
  <c r="L111" i="14"/>
  <c r="L45" i="14" s="1"/>
  <c r="L48" i="14" s="1"/>
  <c r="L34" i="14"/>
  <c r="L37" i="14" s="1"/>
  <c r="AV172" i="14"/>
  <c r="AV170" i="14"/>
  <c r="O75" i="14"/>
  <c r="O76" i="14" s="1"/>
  <c r="P65" i="14"/>
  <c r="P67" i="14" s="1"/>
  <c r="P70" i="14" s="1"/>
  <c r="P66" i="14"/>
  <c r="AV169" i="14"/>
  <c r="AW165" i="14" s="1"/>
  <c r="BM105" i="10"/>
  <c r="DT106" i="10"/>
  <c r="BD112" i="10"/>
  <c r="AO123" i="14" l="1"/>
  <c r="AO126" i="14" s="1"/>
  <c r="AO199" i="14"/>
  <c r="AP194" i="14" s="1"/>
  <c r="AP201" i="14" s="1"/>
  <c r="AO200" i="14"/>
  <c r="BC121" i="10"/>
  <c r="BC124" i="10"/>
  <c r="BD122" i="10" s="1"/>
  <c r="BD131" i="10" s="1"/>
  <c r="AY117" i="14"/>
  <c r="AY155" i="14" s="1"/>
  <c r="BD113" i="10"/>
  <c r="AZ118" i="14"/>
  <c r="AO211" i="14"/>
  <c r="AO212" i="14" s="1"/>
  <c r="M97" i="14"/>
  <c r="M102" i="14"/>
  <c r="M96" i="14"/>
  <c r="M99" i="14" s="1"/>
  <c r="L112" i="14"/>
  <c r="L113" i="14" s="1"/>
  <c r="AU186" i="14"/>
  <c r="AU181" i="14"/>
  <c r="AU180" i="14"/>
  <c r="AU183" i="14" s="1"/>
  <c r="AU187" i="14" s="1"/>
  <c r="O81" i="14"/>
  <c r="O84" i="14" s="1"/>
  <c r="O88" i="14" s="1"/>
  <c r="O87" i="14"/>
  <c r="O82" i="14"/>
  <c r="N89" i="14"/>
  <c r="N90" i="14" s="1"/>
  <c r="N91" i="14" s="1"/>
  <c r="AW167" i="14"/>
  <c r="AW166" i="14"/>
  <c r="AW171" i="14"/>
  <c r="P64" i="14"/>
  <c r="F64" i="14" s="1"/>
  <c r="P83" i="14"/>
  <c r="P35" i="14"/>
  <c r="D35" i="14" s="1"/>
  <c r="D32" i="14" s="1"/>
  <c r="P46" i="14"/>
  <c r="D46" i="14" s="1"/>
  <c r="D42" i="14" s="1"/>
  <c r="P69" i="14"/>
  <c r="E69" i="14" s="1"/>
  <c r="P73" i="14"/>
  <c r="D31" i="14"/>
  <c r="P68" i="14"/>
  <c r="AV173" i="14"/>
  <c r="AV182" i="14"/>
  <c r="BM107" i="10"/>
  <c r="DU106" i="10"/>
  <c r="AP196" i="14" l="1"/>
  <c r="AP197" i="14"/>
  <c r="AP195" i="14"/>
  <c r="BD119" i="10"/>
  <c r="BD123" i="10"/>
  <c r="BE111" i="10"/>
  <c r="BE112" i="10" s="1"/>
  <c r="AZ154" i="14"/>
  <c r="AZ117" i="14"/>
  <c r="AZ155" i="14" s="1"/>
  <c r="M101" i="14"/>
  <c r="M103" i="14"/>
  <c r="M104" i="14" s="1"/>
  <c r="M105" i="14" s="1"/>
  <c r="M106" i="14" s="1"/>
  <c r="M110" i="14" s="1"/>
  <c r="M111" i="14" s="1"/>
  <c r="M45" i="14" s="1"/>
  <c r="M48" i="14" s="1"/>
  <c r="M100" i="14"/>
  <c r="N95" i="14" s="1"/>
  <c r="N96" i="14" s="1"/>
  <c r="O89" i="14"/>
  <c r="O90" i="14" s="1"/>
  <c r="O91" i="14" s="1"/>
  <c r="AU185" i="14"/>
  <c r="AU188" i="14"/>
  <c r="AU189" i="14" s="1"/>
  <c r="O85" i="14"/>
  <c r="P80" i="14" s="1"/>
  <c r="AU184" i="14"/>
  <c r="AV179" i="14" s="1"/>
  <c r="O86" i="14"/>
  <c r="P75" i="14"/>
  <c r="P76" i="14" s="1"/>
  <c r="AW168" i="14"/>
  <c r="AV174" i="14"/>
  <c r="AV175" i="14" s="1"/>
  <c r="D41" i="14"/>
  <c r="AW124" i="14"/>
  <c r="AW135" i="14"/>
  <c r="BN105" i="10"/>
  <c r="DV106" i="10"/>
  <c r="BD120" i="10" l="1"/>
  <c r="BD130" i="10" s="1"/>
  <c r="BB159" i="14" s="1"/>
  <c r="BA156" i="14" s="1"/>
  <c r="BA160" i="14" s="1"/>
  <c r="BA118" i="14" s="1"/>
  <c r="BA154" i="14" s="1"/>
  <c r="AP198" i="14"/>
  <c r="AP199" i="14" s="1"/>
  <c r="AQ194" i="14" s="1"/>
  <c r="AQ197" i="14" s="1"/>
  <c r="BE113" i="10"/>
  <c r="M34" i="14"/>
  <c r="M37" i="14" s="1"/>
  <c r="N98" i="14"/>
  <c r="N99" i="14" s="1"/>
  <c r="N102" i="14"/>
  <c r="N97" i="14"/>
  <c r="M112" i="14"/>
  <c r="M113" i="14" s="1"/>
  <c r="AU190" i="14"/>
  <c r="AV186" i="14"/>
  <c r="AV181" i="14"/>
  <c r="AV180" i="14"/>
  <c r="AV183" i="14" s="1"/>
  <c r="AV187" i="14" s="1"/>
  <c r="P82" i="14"/>
  <c r="P81" i="14"/>
  <c r="P84" i="14" s="1"/>
  <c r="P88" i="14" s="1"/>
  <c r="P87" i="14"/>
  <c r="AW172" i="14"/>
  <c r="AW170" i="14"/>
  <c r="AW169" i="14"/>
  <c r="AX165" i="14" s="1"/>
  <c r="DW106" i="10"/>
  <c r="BN107" i="10"/>
  <c r="BD124" i="10" l="1"/>
  <c r="BE122" i="10" s="1"/>
  <c r="BD121" i="10"/>
  <c r="BE119" i="10" s="1"/>
  <c r="BE120" i="10" s="1"/>
  <c r="AP202" i="14"/>
  <c r="AP203" i="14" s="1"/>
  <c r="AP204" i="14" s="1"/>
  <c r="AP205" i="14" s="1"/>
  <c r="AP209" i="14" s="1"/>
  <c r="AP210" i="14" s="1"/>
  <c r="AP134" i="14" s="1"/>
  <c r="AP137" i="14" s="1"/>
  <c r="AQ201" i="14"/>
  <c r="AP200" i="14"/>
  <c r="AQ195" i="14"/>
  <c r="AQ198" i="14" s="1"/>
  <c r="AQ202" i="14" s="1"/>
  <c r="AQ203" i="14" s="1"/>
  <c r="AQ204" i="14" s="1"/>
  <c r="AQ205" i="14" s="1"/>
  <c r="AQ209" i="14" s="1"/>
  <c r="AQ123" i="14" s="1"/>
  <c r="AQ126" i="14" s="1"/>
  <c r="AQ196" i="14"/>
  <c r="BA117" i="14"/>
  <c r="BA155" i="14" s="1"/>
  <c r="BF111" i="10"/>
  <c r="BF112" i="10" s="1"/>
  <c r="N100" i="14"/>
  <c r="O95" i="14" s="1"/>
  <c r="O96" i="14" s="1"/>
  <c r="N103" i="14"/>
  <c r="N104" i="14" s="1"/>
  <c r="N105" i="14" s="1"/>
  <c r="N106" i="14" s="1"/>
  <c r="N110" i="14" s="1"/>
  <c r="N101" i="14"/>
  <c r="P85" i="14"/>
  <c r="AV188" i="14"/>
  <c r="AV189" i="14" s="1"/>
  <c r="AV190" i="14" s="1"/>
  <c r="P89" i="14"/>
  <c r="P90" i="14" s="1"/>
  <c r="P91" i="14" s="1"/>
  <c r="AV185" i="14"/>
  <c r="P86" i="14"/>
  <c r="E86" i="14" s="1"/>
  <c r="AV184" i="14"/>
  <c r="AW179" i="14" s="1"/>
  <c r="AW182" i="14"/>
  <c r="AW173" i="14"/>
  <c r="AX166" i="14"/>
  <c r="AX168" i="14" s="1"/>
  <c r="AX172" i="14" s="1"/>
  <c r="AX173" i="14" s="1"/>
  <c r="AX171" i="14"/>
  <c r="AX167" i="14"/>
  <c r="BO105" i="10"/>
  <c r="DX106" i="10"/>
  <c r="BE131" i="10" l="1"/>
  <c r="BE123" i="10"/>
  <c r="BE121" i="10"/>
  <c r="AP211" i="14"/>
  <c r="AP212" i="14" s="1"/>
  <c r="AP123" i="14"/>
  <c r="AP126" i="14" s="1"/>
  <c r="AQ200" i="14"/>
  <c r="AQ199" i="14"/>
  <c r="AR194" i="14" s="1"/>
  <c r="AR197" i="14" s="1"/>
  <c r="AQ210" i="14"/>
  <c r="AQ134" i="14" s="1"/>
  <c r="AQ137" i="14" s="1"/>
  <c r="O98" i="14"/>
  <c r="O99" i="14" s="1"/>
  <c r="O103" i="14" s="1"/>
  <c r="O104" i="14" s="1"/>
  <c r="O105" i="14" s="1"/>
  <c r="O106" i="14" s="1"/>
  <c r="O110" i="14" s="1"/>
  <c r="O111" i="14" s="1"/>
  <c r="O45" i="14" s="1"/>
  <c r="O102" i="14"/>
  <c r="O97" i="14"/>
  <c r="N34" i="14"/>
  <c r="N37" i="14" s="1"/>
  <c r="N111" i="14"/>
  <c r="N45" i="14" s="1"/>
  <c r="N48" i="14" s="1"/>
  <c r="AW181" i="14"/>
  <c r="AW186" i="14"/>
  <c r="AW180" i="14"/>
  <c r="AX170" i="14"/>
  <c r="AX169" i="14"/>
  <c r="AY165" i="14" s="1"/>
  <c r="AW174" i="14"/>
  <c r="AW175" i="14" s="1"/>
  <c r="AX182" i="14"/>
  <c r="AX174" i="14"/>
  <c r="AX175" i="14" s="1"/>
  <c r="AX124" i="14"/>
  <c r="AX135" i="14"/>
  <c r="DY106" i="10"/>
  <c r="BF113" i="10"/>
  <c r="BO107" i="10"/>
  <c r="BE130" i="10" l="1"/>
  <c r="BE124" i="10"/>
  <c r="BF122" i="10" s="1"/>
  <c r="AR201" i="14"/>
  <c r="AQ211" i="14"/>
  <c r="AQ212" i="14" s="1"/>
  <c r="AR195" i="14"/>
  <c r="AR198" i="14" s="1"/>
  <c r="AR202" i="14" s="1"/>
  <c r="AR203" i="14" s="1"/>
  <c r="AR204" i="14" s="1"/>
  <c r="AR205" i="14" s="1"/>
  <c r="AR209" i="14" s="1"/>
  <c r="AR123" i="14" s="1"/>
  <c r="AR126" i="14" s="1"/>
  <c r="AR196" i="14"/>
  <c r="O100" i="14"/>
  <c r="P95" i="14" s="1"/>
  <c r="P96" i="14" s="1"/>
  <c r="O34" i="14"/>
  <c r="O37" i="14" s="1"/>
  <c r="O101" i="14"/>
  <c r="N112" i="14"/>
  <c r="N113" i="14" s="1"/>
  <c r="O112" i="14"/>
  <c r="O113" i="14" s="1"/>
  <c r="AW183" i="14"/>
  <c r="O48" i="14"/>
  <c r="AY171" i="14"/>
  <c r="AY167" i="14"/>
  <c r="AY166" i="14"/>
  <c r="AY168" i="14" s="1"/>
  <c r="AY172" i="14" s="1"/>
  <c r="AY182" i="14" s="1"/>
  <c r="BF119" i="10"/>
  <c r="BG111" i="10"/>
  <c r="BP105" i="10"/>
  <c r="DZ106" i="10"/>
  <c r="BC159" i="14" l="1"/>
  <c r="BB156" i="14" s="1"/>
  <c r="BB160" i="14" s="1"/>
  <c r="BB118" i="14" s="1"/>
  <c r="BB154" i="14" s="1"/>
  <c r="BF131" i="10"/>
  <c r="BF123" i="10"/>
  <c r="AR200" i="14"/>
  <c r="AR199" i="14"/>
  <c r="AS194" i="14" s="1"/>
  <c r="AS196" i="14" s="1"/>
  <c r="AR210" i="14"/>
  <c r="AR134" i="14" s="1"/>
  <c r="AR137" i="14" s="1"/>
  <c r="P98" i="14"/>
  <c r="P99" i="14" s="1"/>
  <c r="P102" i="14"/>
  <c r="P97" i="14"/>
  <c r="AW185" i="14"/>
  <c r="AW187" i="14"/>
  <c r="AW184" i="14"/>
  <c r="AX179" i="14" s="1"/>
  <c r="AY170" i="14"/>
  <c r="AY169" i="14"/>
  <c r="AZ165" i="14" s="1"/>
  <c r="AY173" i="14"/>
  <c r="AY124" i="14"/>
  <c r="AY135" i="14"/>
  <c r="BP107" i="10"/>
  <c r="EA106" i="10"/>
  <c r="BG112" i="10"/>
  <c r="BF120" i="10"/>
  <c r="BB117" i="14" l="1"/>
  <c r="BB155" i="14" s="1"/>
  <c r="AS201" i="14"/>
  <c r="AS195" i="14"/>
  <c r="AS197" i="14"/>
  <c r="BF121" i="10"/>
  <c r="BF130" i="10"/>
  <c r="BF124" i="10"/>
  <c r="BG122" i="10" s="1"/>
  <c r="AR211" i="14"/>
  <c r="AR212" i="14" s="1"/>
  <c r="P103" i="14"/>
  <c r="P104" i="14" s="1"/>
  <c r="P105" i="14" s="1"/>
  <c r="P106" i="14" s="1"/>
  <c r="P110" i="14" s="1"/>
  <c r="P34" i="14" s="1"/>
  <c r="P100" i="14"/>
  <c r="P101" i="14"/>
  <c r="E101" i="14" s="1"/>
  <c r="AX186" i="14"/>
  <c r="AX181" i="14"/>
  <c r="AX180" i="14"/>
  <c r="AX183" i="14" s="1"/>
  <c r="AW188" i="14"/>
  <c r="AW189" i="14" s="1"/>
  <c r="AY174" i="14"/>
  <c r="AY175" i="14" s="1"/>
  <c r="AZ166" i="14"/>
  <c r="AZ168" i="14" s="1"/>
  <c r="AZ172" i="14" s="1"/>
  <c r="AZ182" i="14" s="1"/>
  <c r="AZ171" i="14"/>
  <c r="AZ167" i="14"/>
  <c r="BQ105" i="10"/>
  <c r="BG113" i="10"/>
  <c r="EB106" i="10"/>
  <c r="AS198" i="14" l="1"/>
  <c r="AS200" i="14" s="1"/>
  <c r="BG123" i="10"/>
  <c r="BG131" i="10"/>
  <c r="BD159" i="14"/>
  <c r="BC156" i="14" s="1"/>
  <c r="BC160" i="14" s="1"/>
  <c r="P111" i="14"/>
  <c r="P45" i="14" s="1"/>
  <c r="P48" i="14" s="1"/>
  <c r="AW190" i="14"/>
  <c r="AX185" i="14"/>
  <c r="AX187" i="14"/>
  <c r="P37" i="14"/>
  <c r="D37" i="14" s="1"/>
  <c r="D33" i="14"/>
  <c r="AX184" i="14"/>
  <c r="AY179" i="14" s="1"/>
  <c r="AZ170" i="14"/>
  <c r="AZ169" i="14"/>
  <c r="BA165" i="14" s="1"/>
  <c r="AZ135" i="14"/>
  <c r="AZ124" i="14"/>
  <c r="AZ173" i="14"/>
  <c r="EC106" i="10"/>
  <c r="BG119" i="10"/>
  <c r="BH111" i="10"/>
  <c r="BQ107" i="10"/>
  <c r="AS202" i="14" l="1"/>
  <c r="AS203" i="14" s="1"/>
  <c r="AS204" i="14" s="1"/>
  <c r="AS205" i="14" s="1"/>
  <c r="AS209" i="14" s="1"/>
  <c r="AS123" i="14" s="1"/>
  <c r="AS126" i="14" s="1"/>
  <c r="AS199" i="14"/>
  <c r="AT194" i="14" s="1"/>
  <c r="AT197" i="14" s="1"/>
  <c r="BC118" i="14"/>
  <c r="BC154" i="14" s="1"/>
  <c r="P112" i="14"/>
  <c r="P113" i="14" s="1"/>
  <c r="D49" i="14"/>
  <c r="D48" i="14"/>
  <c r="AY186" i="14"/>
  <c r="AY181" i="14"/>
  <c r="AY180" i="14"/>
  <c r="AX188" i="14"/>
  <c r="AX189" i="14" s="1"/>
  <c r="AX190" i="14" s="1"/>
  <c r="D43" i="14"/>
  <c r="D34" i="14"/>
  <c r="AZ174" i="14"/>
  <c r="AZ175" i="14" s="1"/>
  <c r="BA166" i="14"/>
  <c r="BA168" i="14" s="1"/>
  <c r="BA172" i="14" s="1"/>
  <c r="BA167" i="14"/>
  <c r="BA171" i="14"/>
  <c r="ED106" i="10"/>
  <c r="BH112" i="10"/>
  <c r="BR105" i="10"/>
  <c r="BG120" i="10"/>
  <c r="AT201" i="14" l="1"/>
  <c r="AT196" i="14"/>
  <c r="AT195" i="14"/>
  <c r="AT198" i="14" s="1"/>
  <c r="AT202" i="14" s="1"/>
  <c r="AT203" i="14" s="1"/>
  <c r="AT204" i="14" s="1"/>
  <c r="AT205" i="14" s="1"/>
  <c r="AT209" i="14" s="1"/>
  <c r="AT123" i="14" s="1"/>
  <c r="AT126" i="14" s="1"/>
  <c r="AS210" i="14"/>
  <c r="AS211" i="14" s="1"/>
  <c r="AS212" i="14" s="1"/>
  <c r="BG121" i="10"/>
  <c r="BG130" i="10"/>
  <c r="BG124" i="10"/>
  <c r="BH122" i="10" s="1"/>
  <c r="BH113" i="10"/>
  <c r="BC117" i="14"/>
  <c r="BC155" i="14" s="1"/>
  <c r="D36" i="14"/>
  <c r="D38" i="14"/>
  <c r="AY183" i="14"/>
  <c r="D44" i="14"/>
  <c r="D45" i="14" s="1"/>
  <c r="D47" i="14" s="1"/>
  <c r="BA182" i="14"/>
  <c r="BA173" i="14"/>
  <c r="BA174" i="14" s="1"/>
  <c r="BA175" i="14" s="1"/>
  <c r="BA170" i="14"/>
  <c r="BA124" i="14"/>
  <c r="BA135" i="14"/>
  <c r="BA169" i="14"/>
  <c r="BB165" i="14" s="1"/>
  <c r="EE106" i="10"/>
  <c r="BR107" i="10"/>
  <c r="AS134" i="14" l="1"/>
  <c r="AS137" i="14" s="1"/>
  <c r="AT199" i="14"/>
  <c r="AU194" i="14" s="1"/>
  <c r="AU197" i="14" s="1"/>
  <c r="AT210" i="14"/>
  <c r="AT134" i="14" s="1"/>
  <c r="AT137" i="14" s="1"/>
  <c r="AT200" i="14"/>
  <c r="BH119" i="10"/>
  <c r="BH120" i="10" s="1"/>
  <c r="BH123" i="10"/>
  <c r="BH131" i="10"/>
  <c r="BE159" i="14"/>
  <c r="BD156" i="14" s="1"/>
  <c r="BD160" i="14" s="1"/>
  <c r="BI111" i="10"/>
  <c r="BI112" i="10" s="1"/>
  <c r="AY185" i="14"/>
  <c r="AY187" i="14"/>
  <c r="L10" i="14"/>
  <c r="L9" i="14" s="1"/>
  <c r="AY184" i="14"/>
  <c r="AZ179" i="14" s="1"/>
  <c r="BB171" i="14"/>
  <c r="BB166" i="14"/>
  <c r="BB168" i="14" s="1"/>
  <c r="BB172" i="14" s="1"/>
  <c r="BB182" i="14" s="1"/>
  <c r="BB167" i="14"/>
  <c r="EF106" i="10"/>
  <c r="BS105" i="10"/>
  <c r="AU195" i="14" l="1"/>
  <c r="AU198" i="14" s="1"/>
  <c r="AU202" i="14" s="1"/>
  <c r="AU203" i="14" s="1"/>
  <c r="AU204" i="14" s="1"/>
  <c r="AU205" i="14" s="1"/>
  <c r="AU209" i="14" s="1"/>
  <c r="AU123" i="14" s="1"/>
  <c r="AU126" i="14" s="1"/>
  <c r="AU201" i="14"/>
  <c r="AT211" i="14"/>
  <c r="AT212" i="14" s="1"/>
  <c r="AU196" i="14"/>
  <c r="BH121" i="10"/>
  <c r="BI113" i="10"/>
  <c r="BD118" i="14"/>
  <c r="BD154" i="14" s="1"/>
  <c r="BH124" i="10"/>
  <c r="BI122" i="10" s="1"/>
  <c r="BH130" i="10"/>
  <c r="AZ186" i="14"/>
  <c r="AZ181" i="14"/>
  <c r="AZ180" i="14"/>
  <c r="AZ183" i="14" s="1"/>
  <c r="AZ187" i="14" s="1"/>
  <c r="AY188" i="14"/>
  <c r="AY189" i="14" s="1"/>
  <c r="AY190" i="14" s="1"/>
  <c r="BB169" i="14"/>
  <c r="BC165" i="14" s="1"/>
  <c r="BC166" i="14" s="1"/>
  <c r="BB170" i="14"/>
  <c r="BB124" i="14"/>
  <c r="BB135" i="14"/>
  <c r="BB173" i="14"/>
  <c r="EG106" i="10"/>
  <c r="BS107" i="10"/>
  <c r="AU199" i="14" l="1"/>
  <c r="AV194" i="14" s="1"/>
  <c r="AV201" i="14" s="1"/>
  <c r="AU210" i="14"/>
  <c r="AU134" i="14" s="1"/>
  <c r="AU137" i="14" s="1"/>
  <c r="AU200" i="14"/>
  <c r="BI119" i="10"/>
  <c r="BI120" i="10" s="1"/>
  <c r="BI121" i="10" s="1"/>
  <c r="BJ111" i="10"/>
  <c r="BJ112" i="10" s="1"/>
  <c r="BD117" i="14"/>
  <c r="BD155" i="14" s="1"/>
  <c r="BF159" i="14"/>
  <c r="BI131" i="10"/>
  <c r="BI123" i="10"/>
  <c r="AZ188" i="14"/>
  <c r="AZ189" i="14" s="1"/>
  <c r="AZ190" i="14" s="1"/>
  <c r="AZ185" i="14"/>
  <c r="AZ184" i="14"/>
  <c r="BA179" i="14" s="1"/>
  <c r="BC171" i="14"/>
  <c r="BC167" i="14"/>
  <c r="BC124" i="14" s="1"/>
  <c r="BC168" i="14"/>
  <c r="BC172" i="14" s="1"/>
  <c r="BC173" i="14" s="1"/>
  <c r="BB174" i="14"/>
  <c r="BB175" i="14" s="1"/>
  <c r="EH106" i="10"/>
  <c r="BT105" i="10"/>
  <c r="AV197" i="14" l="1"/>
  <c r="AV195" i="14"/>
  <c r="AV196" i="14"/>
  <c r="AU211" i="14"/>
  <c r="AU212" i="14" s="1"/>
  <c r="BJ113" i="10"/>
  <c r="BK111" i="10" s="1"/>
  <c r="BE156" i="14"/>
  <c r="BE160" i="14" s="1"/>
  <c r="BI124" i="10"/>
  <c r="BJ122" i="10" s="1"/>
  <c r="BI130" i="10"/>
  <c r="BC135" i="14"/>
  <c r="BA181" i="14"/>
  <c r="BA186" i="14"/>
  <c r="BA180" i="14"/>
  <c r="BA183" i="14" s="1"/>
  <c r="BC182" i="14"/>
  <c r="BC174" i="14"/>
  <c r="BC175" i="14" s="1"/>
  <c r="BC169" i="14"/>
  <c r="BD165" i="14" s="1"/>
  <c r="BC170" i="14"/>
  <c r="EI106" i="10"/>
  <c r="BT107" i="10"/>
  <c r="BJ119" i="10" l="1"/>
  <c r="BJ120" i="10" s="1"/>
  <c r="BJ121" i="10" s="1"/>
  <c r="AV198" i="14"/>
  <c r="AV202" i="14" s="1"/>
  <c r="AV203" i="14" s="1"/>
  <c r="AV204" i="14" s="1"/>
  <c r="AV205" i="14" s="1"/>
  <c r="AV209" i="14" s="1"/>
  <c r="AV210" i="14" s="1"/>
  <c r="AV134" i="14" s="1"/>
  <c r="AV137" i="14" s="1"/>
  <c r="BG159" i="14"/>
  <c r="BF156" i="14" s="1"/>
  <c r="BF160" i="14" s="1"/>
  <c r="BE118" i="14"/>
  <c r="BE154" i="14" s="1"/>
  <c r="BJ123" i="10"/>
  <c r="BJ131" i="10"/>
  <c r="BA187" i="14"/>
  <c r="BA185" i="14"/>
  <c r="BA184" i="14"/>
  <c r="BB179" i="14" s="1"/>
  <c r="BD171" i="14"/>
  <c r="BD166" i="14"/>
  <c r="BD167" i="14"/>
  <c r="EJ106" i="10"/>
  <c r="BK112" i="10"/>
  <c r="BU105" i="10"/>
  <c r="BJ124" i="10" l="1"/>
  <c r="BK122" i="10" s="1"/>
  <c r="BK123" i="10" s="1"/>
  <c r="I106" i="11"/>
  <c r="I107" i="11" s="1"/>
  <c r="J105" i="11" s="1"/>
  <c r="J106" i="11"/>
  <c r="K106" i="11"/>
  <c r="L106" i="11"/>
  <c r="M106" i="11"/>
  <c r="AV123" i="14"/>
  <c r="AV126" i="14" s="1"/>
  <c r="AV211" i="14"/>
  <c r="AV212" i="14" s="1"/>
  <c r="AV200" i="14"/>
  <c r="AV199" i="14"/>
  <c r="AW194" i="14" s="1"/>
  <c r="AW197" i="14" s="1"/>
  <c r="BF118" i="14"/>
  <c r="BF154" i="14" s="1"/>
  <c r="BE117" i="14"/>
  <c r="BE155" i="14" s="1"/>
  <c r="BJ130" i="10"/>
  <c r="BH159" i="14" s="1"/>
  <c r="BG156" i="14" s="1"/>
  <c r="BG160" i="14" s="1"/>
  <c r="BA188" i="14"/>
  <c r="BA189" i="14" s="1"/>
  <c r="BA190" i="14" s="1"/>
  <c r="BB181" i="14"/>
  <c r="BB186" i="14"/>
  <c r="BB180" i="14"/>
  <c r="BD124" i="14"/>
  <c r="BD135" i="14"/>
  <c r="BD168" i="14"/>
  <c r="BD172" i="14" s="1"/>
  <c r="BU107" i="10"/>
  <c r="BK113" i="10"/>
  <c r="BK131" i="10" l="1"/>
  <c r="J107" i="11"/>
  <c r="K105" i="11" s="1"/>
  <c r="K107" i="11" s="1"/>
  <c r="L105" i="11" s="1"/>
  <c r="L107" i="11" s="1"/>
  <c r="M105" i="11" s="1"/>
  <c r="M107" i="11" s="1"/>
  <c r="N105" i="11" s="1"/>
  <c r="N107" i="11" s="1"/>
  <c r="O105" i="11" s="1"/>
  <c r="O107" i="11" s="1"/>
  <c r="P105" i="11" s="1"/>
  <c r="P107" i="11" s="1"/>
  <c r="Q105" i="11" s="1"/>
  <c r="Q107" i="11" s="1"/>
  <c r="R105" i="11" s="1"/>
  <c r="R107" i="11" s="1"/>
  <c r="AW201" i="14"/>
  <c r="AW196" i="14"/>
  <c r="AW195" i="14"/>
  <c r="AW198" i="14" s="1"/>
  <c r="AW202" i="14" s="1"/>
  <c r="AW203" i="14" s="1"/>
  <c r="AW204" i="14" s="1"/>
  <c r="AW205" i="14" s="1"/>
  <c r="AW209" i="14" s="1"/>
  <c r="AW210" i="14" s="1"/>
  <c r="AW134" i="14" s="1"/>
  <c r="AW137" i="14" s="1"/>
  <c r="BF117" i="14"/>
  <c r="BF155" i="14" s="1"/>
  <c r="BG118" i="14"/>
  <c r="BG154" i="14" s="1"/>
  <c r="BB183" i="14"/>
  <c r="BB187" i="14" s="1"/>
  <c r="BD182" i="14"/>
  <c r="BD173" i="14"/>
  <c r="BD170" i="14"/>
  <c r="BD169" i="14"/>
  <c r="BE165" i="14" s="1"/>
  <c r="BV105" i="10"/>
  <c r="BK119" i="10"/>
  <c r="BL111" i="10"/>
  <c r="AW199" i="14" l="1"/>
  <c r="AX194" i="14" s="1"/>
  <c r="AX201" i="14" s="1"/>
  <c r="AW211" i="14"/>
  <c r="AW212" i="14" s="1"/>
  <c r="AW200" i="14"/>
  <c r="AW123" i="14"/>
  <c r="AW126" i="14" s="1"/>
  <c r="BG117" i="14"/>
  <c r="BG155" i="14" s="1"/>
  <c r="BB188" i="14"/>
  <c r="BB189" i="14" s="1"/>
  <c r="BB190" i="14" s="1"/>
  <c r="BB185" i="14"/>
  <c r="BB184" i="14"/>
  <c r="BC179" i="14" s="1"/>
  <c r="BD174" i="14"/>
  <c r="BD175" i="14" s="1"/>
  <c r="BE171" i="14"/>
  <c r="BE166" i="14"/>
  <c r="BE168" i="14" s="1"/>
  <c r="BE167" i="14"/>
  <c r="BK120" i="10"/>
  <c r="BV107" i="10"/>
  <c r="BL112" i="10"/>
  <c r="AX196" i="14" l="1"/>
  <c r="AX197" i="14"/>
  <c r="AX195" i="14"/>
  <c r="BL113" i="10"/>
  <c r="BM111" i="10" s="1"/>
  <c r="BK121" i="10"/>
  <c r="BK130" i="10"/>
  <c r="BI159" i="14" s="1"/>
  <c r="BH156" i="14" s="1"/>
  <c r="BH160" i="14" s="1"/>
  <c r="BK124" i="10"/>
  <c r="BL122" i="10" s="1"/>
  <c r="BC181" i="14"/>
  <c r="BC186" i="14"/>
  <c r="BC180" i="14"/>
  <c r="BC183" i="14" s="1"/>
  <c r="BC187" i="14" s="1"/>
  <c r="BE172" i="14"/>
  <c r="BE169" i="14"/>
  <c r="BF165" i="14" s="1"/>
  <c r="BE135" i="14"/>
  <c r="BE124" i="14"/>
  <c r="BE170" i="14"/>
  <c r="BW105" i="10"/>
  <c r="AX198" i="14" l="1"/>
  <c r="AX202" i="14" s="1"/>
  <c r="AX203" i="14" s="1"/>
  <c r="AX204" i="14" s="1"/>
  <c r="AX205" i="14" s="1"/>
  <c r="AX209" i="14" s="1"/>
  <c r="AX210" i="14" s="1"/>
  <c r="AX134" i="14" s="1"/>
  <c r="AX137" i="14" s="1"/>
  <c r="BL119" i="10"/>
  <c r="BL120" i="10" s="1"/>
  <c r="BH118" i="14"/>
  <c r="BH154" i="14" s="1"/>
  <c r="BL131" i="10"/>
  <c r="BL123" i="10"/>
  <c r="BC185" i="14"/>
  <c r="BC188" i="14"/>
  <c r="BC184" i="14"/>
  <c r="BD179" i="14" s="1"/>
  <c r="BF166" i="14"/>
  <c r="BF168" i="14" s="1"/>
  <c r="BF172" i="14" s="1"/>
  <c r="BF167" i="14"/>
  <c r="BF171" i="14"/>
  <c r="BE182" i="14"/>
  <c r="BE173" i="14"/>
  <c r="BW107" i="10"/>
  <c r="BM112" i="10"/>
  <c r="AX199" i="14" l="1"/>
  <c r="AY194" i="14" s="1"/>
  <c r="AY196" i="14" s="1"/>
  <c r="AX211" i="14"/>
  <c r="AX212" i="14" s="1"/>
  <c r="AX123" i="14"/>
  <c r="AX126" i="14" s="1"/>
  <c r="AX200" i="14"/>
  <c r="BL124" i="10"/>
  <c r="BM122" i="10" s="1"/>
  <c r="BM131" i="10" s="1"/>
  <c r="BH117" i="14"/>
  <c r="BH155" i="14" s="1"/>
  <c r="BL121" i="10"/>
  <c r="BL130" i="10"/>
  <c r="BJ159" i="14" s="1"/>
  <c r="BI156" i="14" s="1"/>
  <c r="BI160" i="14" s="1"/>
  <c r="BD181" i="14"/>
  <c r="BD186" i="14"/>
  <c r="BD180" i="14"/>
  <c r="BD183" i="14" s="1"/>
  <c r="BD187" i="14" s="1"/>
  <c r="BD188" i="14" s="1"/>
  <c r="BD189" i="14" s="1"/>
  <c r="BD190" i="14" s="1"/>
  <c r="BC189" i="14"/>
  <c r="BC190" i="14" s="1"/>
  <c r="BE174" i="14"/>
  <c r="BE175" i="14" s="1"/>
  <c r="BF170" i="14"/>
  <c r="BF169" i="14"/>
  <c r="BG165" i="14" s="1"/>
  <c r="BF135" i="14"/>
  <c r="BF124" i="14"/>
  <c r="BF173" i="14"/>
  <c r="BF182" i="14"/>
  <c r="BM113" i="10"/>
  <c r="BX105" i="10"/>
  <c r="AY195" i="14" l="1"/>
  <c r="AY197" i="14"/>
  <c r="AY201" i="14"/>
  <c r="BM123" i="10"/>
  <c r="BI118" i="14"/>
  <c r="BI154" i="14" s="1"/>
  <c r="BD184" i="14"/>
  <c r="BE179" i="14" s="1"/>
  <c r="BE186" i="14" s="1"/>
  <c r="BD185" i="14"/>
  <c r="BG166" i="14"/>
  <c r="BG168" i="14" s="1"/>
  <c r="BG172" i="14" s="1"/>
  <c r="BG171" i="14"/>
  <c r="BG167" i="14"/>
  <c r="BF174" i="14"/>
  <c r="BF175" i="14" s="1"/>
  <c r="BM119" i="10"/>
  <c r="BN111" i="10"/>
  <c r="BX107" i="10"/>
  <c r="AY198" i="14" l="1"/>
  <c r="AY202" i="14" s="1"/>
  <c r="AY203" i="14" s="1"/>
  <c r="AY204" i="14" s="1"/>
  <c r="AY205" i="14" s="1"/>
  <c r="AY209" i="14" s="1"/>
  <c r="AY210" i="14" s="1"/>
  <c r="AY134" i="14" s="1"/>
  <c r="AY137" i="14" s="1"/>
  <c r="BI117" i="14"/>
  <c r="BI155" i="14" s="1"/>
  <c r="BE180" i="14"/>
  <c r="BE183" i="14" s="1"/>
  <c r="BE187" i="14" s="1"/>
  <c r="BE181" i="14"/>
  <c r="BG170" i="14"/>
  <c r="BG182" i="14"/>
  <c r="BG173" i="14"/>
  <c r="BG174" i="14" s="1"/>
  <c r="BG175" i="14" s="1"/>
  <c r="BG169" i="14"/>
  <c r="BH165" i="14" s="1"/>
  <c r="BG124" i="14"/>
  <c r="BG135" i="14"/>
  <c r="BM120" i="10"/>
  <c r="BY105" i="10"/>
  <c r="BN112" i="10"/>
  <c r="AY200" i="14" l="1"/>
  <c r="AY199" i="14"/>
  <c r="AZ194" i="14" s="1"/>
  <c r="AZ201" i="14" s="1"/>
  <c r="AY211" i="14"/>
  <c r="AY212" i="14" s="1"/>
  <c r="AY123" i="14"/>
  <c r="AY126" i="14" s="1"/>
  <c r="BM121" i="10"/>
  <c r="BM130" i="10"/>
  <c r="BK159" i="14" s="1"/>
  <c r="BJ156" i="14" s="1"/>
  <c r="BJ160" i="14" s="1"/>
  <c r="BM124" i="10"/>
  <c r="BN122" i="10" s="1"/>
  <c r="BE188" i="14"/>
  <c r="BE189" i="14" s="1"/>
  <c r="BE190" i="14" s="1"/>
  <c r="BE185" i="14"/>
  <c r="BE184" i="14"/>
  <c r="BF179" i="14" s="1"/>
  <c r="BH167" i="14"/>
  <c r="BH166" i="14"/>
  <c r="BH168" i="14" s="1"/>
  <c r="BH171" i="14"/>
  <c r="BY107" i="10"/>
  <c r="BN113" i="10"/>
  <c r="AZ196" i="14" l="1"/>
  <c r="AZ195" i="14"/>
  <c r="AZ197" i="14"/>
  <c r="BN123" i="10"/>
  <c r="BN131" i="10"/>
  <c r="BJ118" i="14"/>
  <c r="BJ154" i="14" s="1"/>
  <c r="BF186" i="14"/>
  <c r="BF181" i="14"/>
  <c r="BF180" i="14"/>
  <c r="BF183" i="14" s="1"/>
  <c r="BF187" i="14" s="1"/>
  <c r="BH172" i="14"/>
  <c r="BH170" i="14"/>
  <c r="BH169" i="14"/>
  <c r="BI165" i="14" s="1"/>
  <c r="BH124" i="14"/>
  <c r="BH135" i="14"/>
  <c r="BN119" i="10"/>
  <c r="BO111" i="10"/>
  <c r="BZ105" i="10"/>
  <c r="AZ198" i="14" l="1"/>
  <c r="AZ202" i="14" s="1"/>
  <c r="AZ203" i="14" s="1"/>
  <c r="AZ204" i="14" s="1"/>
  <c r="AZ205" i="14" s="1"/>
  <c r="AZ209" i="14" s="1"/>
  <c r="AZ210" i="14" s="1"/>
  <c r="AZ134" i="14" s="1"/>
  <c r="AZ137" i="14" s="1"/>
  <c r="BJ117" i="14"/>
  <c r="BJ155" i="14" s="1"/>
  <c r="BF188" i="14"/>
  <c r="BF189" i="14" s="1"/>
  <c r="BF190" i="14" s="1"/>
  <c r="BF185" i="14"/>
  <c r="BF184" i="14"/>
  <c r="BG179" i="14" s="1"/>
  <c r="BH182" i="14"/>
  <c r="BH173" i="14"/>
  <c r="BI171" i="14"/>
  <c r="BI167" i="14"/>
  <c r="BI166" i="14"/>
  <c r="BI168" i="14" s="1"/>
  <c r="BI172" i="14" s="1"/>
  <c r="BZ107" i="10"/>
  <c r="BN120" i="10"/>
  <c r="BO112" i="10"/>
  <c r="AZ123" i="14" l="1"/>
  <c r="AZ126" i="14" s="1"/>
  <c r="AZ211" i="14"/>
  <c r="AZ212" i="14" s="1"/>
  <c r="AZ200" i="14"/>
  <c r="AZ199" i="14"/>
  <c r="BA194" i="14" s="1"/>
  <c r="BA197" i="14" s="1"/>
  <c r="BN121" i="10"/>
  <c r="BN130" i="10"/>
  <c r="BL159" i="14" s="1"/>
  <c r="BN124" i="10"/>
  <c r="BO122" i="10" s="1"/>
  <c r="BG186" i="14"/>
  <c r="BG181" i="14"/>
  <c r="BG180" i="14"/>
  <c r="BG183" i="14" s="1"/>
  <c r="BI170" i="14"/>
  <c r="BH174" i="14"/>
  <c r="BH175" i="14" s="1"/>
  <c r="BI182" i="14"/>
  <c r="BI173" i="14"/>
  <c r="BI135" i="14"/>
  <c r="BI124" i="14"/>
  <c r="BI169" i="14"/>
  <c r="BJ165" i="14" s="1"/>
  <c r="CA105" i="10"/>
  <c r="BO113" i="10"/>
  <c r="BA201" i="14" l="1"/>
  <c r="BA195" i="14"/>
  <c r="BA198" i="14" s="1"/>
  <c r="BA202" i="14" s="1"/>
  <c r="BA203" i="14" s="1"/>
  <c r="BA204" i="14" s="1"/>
  <c r="BA205" i="14" s="1"/>
  <c r="BA209" i="14" s="1"/>
  <c r="BA123" i="14" s="1"/>
  <c r="BA126" i="14" s="1"/>
  <c r="BA196" i="14"/>
  <c r="BO131" i="10"/>
  <c r="BO123" i="10"/>
  <c r="BK156" i="14"/>
  <c r="BK160" i="14" s="1"/>
  <c r="BG187" i="14"/>
  <c r="BG185" i="14"/>
  <c r="BG184" i="14"/>
  <c r="BH179" i="14" s="1"/>
  <c r="BJ166" i="14"/>
  <c r="BJ168" i="14" s="1"/>
  <c r="BJ172" i="14" s="1"/>
  <c r="BJ182" i="14" s="1"/>
  <c r="BJ167" i="14"/>
  <c r="BJ171" i="14"/>
  <c r="BI174" i="14"/>
  <c r="BI175" i="14" s="1"/>
  <c r="CA107" i="10"/>
  <c r="BO119" i="10"/>
  <c r="BP111" i="10"/>
  <c r="BA199" i="14" l="1"/>
  <c r="BB194" i="14" s="1"/>
  <c r="BB195" i="14" s="1"/>
  <c r="BA200" i="14"/>
  <c r="BA210" i="14"/>
  <c r="BA211" i="14" s="1"/>
  <c r="BA212" i="14" s="1"/>
  <c r="BK118" i="14"/>
  <c r="BK154" i="14" s="1"/>
  <c r="BH181" i="14"/>
  <c r="BH186" i="14"/>
  <c r="BH180" i="14"/>
  <c r="BG188" i="14"/>
  <c r="BG189" i="14" s="1"/>
  <c r="BG190" i="14" s="1"/>
  <c r="BJ169" i="14"/>
  <c r="BJ170" i="14"/>
  <c r="BJ173" i="14"/>
  <c r="BJ124" i="14"/>
  <c r="BJ135" i="14"/>
  <c r="BO120" i="10"/>
  <c r="BO124" i="10" s="1"/>
  <c r="BP122" i="10" s="1"/>
  <c r="BP112" i="10"/>
  <c r="CB105" i="10"/>
  <c r="BB201" i="14" l="1"/>
  <c r="BB197" i="14"/>
  <c r="BB198" i="14" s="1"/>
  <c r="BB202" i="14" s="1"/>
  <c r="BB203" i="14" s="1"/>
  <c r="BB204" i="14" s="1"/>
  <c r="BB205" i="14" s="1"/>
  <c r="BB209" i="14" s="1"/>
  <c r="BB123" i="14" s="1"/>
  <c r="BB126" i="14" s="1"/>
  <c r="BA134" i="14"/>
  <c r="BA137" i="14" s="1"/>
  <c r="BB196" i="14"/>
  <c r="BK165" i="14"/>
  <c r="BK171" i="14" s="1"/>
  <c r="BK117" i="14"/>
  <c r="BK155" i="14" s="1"/>
  <c r="BP131" i="10"/>
  <c r="BP123" i="10"/>
  <c r="BO121" i="10"/>
  <c r="BO130" i="10"/>
  <c r="BM159" i="14" s="1"/>
  <c r="BL156" i="14" s="1"/>
  <c r="BL160" i="14" s="1"/>
  <c r="BH183" i="14"/>
  <c r="BH187" i="14" s="1"/>
  <c r="BH188" i="14" s="1"/>
  <c r="BH189" i="14" s="1"/>
  <c r="BH190" i="14" s="1"/>
  <c r="BJ174" i="14"/>
  <c r="BJ175" i="14" s="1"/>
  <c r="CB107" i="10"/>
  <c r="BP113" i="10"/>
  <c r="BB210" i="14" l="1"/>
  <c r="BB134" i="14" s="1"/>
  <c r="BB137" i="14" s="1"/>
  <c r="BB199" i="14"/>
  <c r="BC194" i="14" s="1"/>
  <c r="BC197" i="14" s="1"/>
  <c r="BB200" i="14"/>
  <c r="BK167" i="14"/>
  <c r="BK135" i="14" s="1"/>
  <c r="BK166" i="14"/>
  <c r="BK168" i="14" s="1"/>
  <c r="BK172" i="14" s="1"/>
  <c r="BK182" i="14" s="1"/>
  <c r="BL118" i="14"/>
  <c r="BL154" i="14" s="1"/>
  <c r="BH185" i="14"/>
  <c r="BH184" i="14"/>
  <c r="BI179" i="14" s="1"/>
  <c r="CC105" i="10"/>
  <c r="BP119" i="10"/>
  <c r="BQ111" i="10"/>
  <c r="BB211" i="14" l="1"/>
  <c r="BB212" i="14" s="1"/>
  <c r="BC195" i="14"/>
  <c r="BC198" i="14" s="1"/>
  <c r="BC202" i="14" s="1"/>
  <c r="BC203" i="14" s="1"/>
  <c r="BC204" i="14" s="1"/>
  <c r="BC205" i="14" s="1"/>
  <c r="BC209" i="14" s="1"/>
  <c r="BC196" i="14"/>
  <c r="BC201" i="14"/>
  <c r="BK124" i="14"/>
  <c r="BL117" i="14"/>
  <c r="BL155" i="14" s="1"/>
  <c r="BK169" i="14"/>
  <c r="BL165" i="14" s="1"/>
  <c r="BL171" i="14" s="1"/>
  <c r="BK173" i="14"/>
  <c r="BK174" i="14" s="1"/>
  <c r="BK175" i="14" s="1"/>
  <c r="BK170" i="14"/>
  <c r="BI181" i="14"/>
  <c r="BI186" i="14"/>
  <c r="BI180" i="14"/>
  <c r="BI183" i="14" s="1"/>
  <c r="CC107" i="10"/>
  <c r="BQ112" i="10"/>
  <c r="BP120" i="10"/>
  <c r="BC200" i="14" l="1"/>
  <c r="BC199" i="14"/>
  <c r="BD194" i="14" s="1"/>
  <c r="BD201" i="14" s="1"/>
  <c r="BC210" i="14"/>
  <c r="BC134" i="14" s="1"/>
  <c r="BC137" i="14" s="1"/>
  <c r="BC123" i="14"/>
  <c r="BC126" i="14" s="1"/>
  <c r="BL167" i="14"/>
  <c r="BL124" i="14" s="1"/>
  <c r="BL166" i="14"/>
  <c r="BL168" i="14" s="1"/>
  <c r="BL172" i="14" s="1"/>
  <c r="BL173" i="14" s="1"/>
  <c r="BL174" i="14" s="1"/>
  <c r="BL175" i="14" s="1"/>
  <c r="BP121" i="10"/>
  <c r="BP124" i="10"/>
  <c r="BQ113" i="10"/>
  <c r="BI184" i="14"/>
  <c r="BJ179" i="14" s="1"/>
  <c r="BJ186" i="14" s="1"/>
  <c r="BI187" i="14"/>
  <c r="BI188" i="14" s="1"/>
  <c r="BI189" i="14" s="1"/>
  <c r="BI190" i="14" s="1"/>
  <c r="BI185" i="14"/>
  <c r="CD105" i="10"/>
  <c r="BD197" i="14" l="1"/>
  <c r="BD195" i="14"/>
  <c r="BD196" i="14"/>
  <c r="BQ122" i="10"/>
  <c r="BP128" i="10"/>
  <c r="BC211" i="14"/>
  <c r="BC212" i="14" s="1"/>
  <c r="BL135" i="14"/>
  <c r="BL182" i="14"/>
  <c r="BQ119" i="10"/>
  <c r="BQ120" i="10" s="1"/>
  <c r="BL170" i="14"/>
  <c r="BL169" i="14"/>
  <c r="BR111" i="10"/>
  <c r="BR112" i="10" s="1"/>
  <c r="BJ180" i="14"/>
  <c r="BJ183" i="14" s="1"/>
  <c r="BJ187" i="14" s="1"/>
  <c r="BJ188" i="14" s="1"/>
  <c r="BJ189" i="14" s="1"/>
  <c r="BJ190" i="14" s="1"/>
  <c r="BJ181" i="14"/>
  <c r="CD107" i="10"/>
  <c r="I122" i="11" l="1"/>
  <c r="I131" i="11" s="1"/>
  <c r="J122" i="11"/>
  <c r="J131" i="11" s="1"/>
  <c r="L122" i="11"/>
  <c r="L131" i="11" s="1"/>
  <c r="M122" i="11"/>
  <c r="M131" i="11" s="1"/>
  <c r="K122" i="11"/>
  <c r="K131" i="11" s="1"/>
  <c r="BQ131" i="10"/>
  <c r="C161" i="10" s="1" a="1"/>
  <c r="C161" i="10" s="1"/>
  <c r="C161" i="11" s="1"/>
  <c r="BD198" i="14"/>
  <c r="BD199" i="14" s="1"/>
  <c r="BE194" i="14" s="1"/>
  <c r="BE197" i="14" s="1"/>
  <c r="BQ123" i="10"/>
  <c r="BP130" i="10"/>
  <c r="BN159" i="14" s="1"/>
  <c r="BM156" i="14" s="1"/>
  <c r="BM160" i="14" s="1"/>
  <c r="BM118" i="14" s="1"/>
  <c r="BM154" i="14" s="1"/>
  <c r="BM165" i="14" s="1"/>
  <c r="BM167" i="14" s="1"/>
  <c r="BM135" i="14" s="1"/>
  <c r="BQ124" i="10"/>
  <c r="BQ128" i="10" s="1"/>
  <c r="BJ184" i="14"/>
  <c r="BK179" i="14" s="1"/>
  <c r="BK181" i="14" s="1"/>
  <c r="BJ185" i="14"/>
  <c r="BQ121" i="10"/>
  <c r="CE105" i="10"/>
  <c r="BR113" i="10"/>
  <c r="I123" i="11" l="1"/>
  <c r="J123" i="11"/>
  <c r="L123" i="11"/>
  <c r="M123" i="11"/>
  <c r="K123" i="11"/>
  <c r="E121" i="10"/>
  <c r="E121" i="11" s="1"/>
  <c r="M56" i="2"/>
  <c r="BE201" i="14"/>
  <c r="BD202" i="14"/>
  <c r="BD203" i="14" s="1"/>
  <c r="BD204" i="14" s="1"/>
  <c r="BD205" i="14" s="1"/>
  <c r="BD209" i="14" s="1"/>
  <c r="BD123" i="14" s="1"/>
  <c r="BD126" i="14" s="1"/>
  <c r="BD200" i="14"/>
  <c r="BE196" i="14"/>
  <c r="BE195" i="14"/>
  <c r="BE198" i="14" s="1"/>
  <c r="BE202" i="14" s="1"/>
  <c r="BE203" i="14" s="1"/>
  <c r="BE204" i="14" s="1"/>
  <c r="BE205" i="14" s="1"/>
  <c r="BE209" i="14" s="1"/>
  <c r="BE123" i="14" s="1"/>
  <c r="BE126" i="14" s="1"/>
  <c r="BM117" i="14"/>
  <c r="BM155" i="14" s="1"/>
  <c r="BM124" i="14"/>
  <c r="BM171" i="14"/>
  <c r="C148" i="10"/>
  <c r="C148" i="11" s="1"/>
  <c r="BQ130" i="10"/>
  <c r="C163" i="10" s="1" a="1"/>
  <c r="C163" i="10" s="1"/>
  <c r="BK180" i="14"/>
  <c r="BK183" i="14" s="1"/>
  <c r="BK187" i="14" s="1"/>
  <c r="BK188" i="14" s="1"/>
  <c r="BK189" i="14" s="1"/>
  <c r="BK190" i="14" s="1"/>
  <c r="BK186" i="14"/>
  <c r="BR119" i="10"/>
  <c r="BS111" i="10"/>
  <c r="CE107" i="10"/>
  <c r="C163" i="11" l="1"/>
  <c r="M58" i="2"/>
  <c r="G130" i="10"/>
  <c r="G130" i="11" s="1"/>
  <c r="C155" i="10"/>
  <c r="I130" i="11"/>
  <c r="J130" i="11"/>
  <c r="K130" i="11"/>
  <c r="L130" i="11"/>
  <c r="M130" i="11"/>
  <c r="BD210" i="14"/>
  <c r="BD134" i="14" s="1"/>
  <c r="BD137" i="14" s="1"/>
  <c r="BE200" i="14"/>
  <c r="BE199" i="14"/>
  <c r="BF194" i="14" s="1"/>
  <c r="BF201" i="14" s="1"/>
  <c r="BE210" i="14"/>
  <c r="BE134" i="14" s="1"/>
  <c r="BE137" i="14" s="1"/>
  <c r="BM166" i="14"/>
  <c r="BM168" i="14" s="1"/>
  <c r="BM172" i="14" s="1"/>
  <c r="BM182" i="14" s="1"/>
  <c r="BO159" i="14"/>
  <c r="C149" i="10"/>
  <c r="C149" i="11" s="1"/>
  <c r="K57" i="2"/>
  <c r="BK184" i="14"/>
  <c r="BL179" i="14" s="1"/>
  <c r="BL180" i="14" s="1"/>
  <c r="BL183" i="14" s="1"/>
  <c r="BL187" i="14" s="1"/>
  <c r="BK185" i="14"/>
  <c r="CF105" i="10"/>
  <c r="BR120" i="10"/>
  <c r="BS112" i="10"/>
  <c r="BS113" i="10" s="1"/>
  <c r="C155" i="11" l="1"/>
  <c r="L163" i="10"/>
  <c r="L163" i="11" s="1"/>
  <c r="L171" i="10"/>
  <c r="L171" i="11" s="1"/>
  <c r="M50" i="2"/>
  <c r="L150" i="10"/>
  <c r="L150" i="11" s="1"/>
  <c r="BD211" i="14"/>
  <c r="BD212" i="14" s="1"/>
  <c r="BF195" i="14"/>
  <c r="BF197" i="14"/>
  <c r="BE211" i="14"/>
  <c r="BE212" i="14" s="1"/>
  <c r="BF196" i="14"/>
  <c r="BM170" i="14"/>
  <c r="BM173" i="14"/>
  <c r="BM174" i="14" s="1"/>
  <c r="BM175" i="14" s="1"/>
  <c r="BM169" i="14"/>
  <c r="C153" i="10"/>
  <c r="C153" i="11" s="1"/>
  <c r="K58" i="2"/>
  <c r="BN156" i="14"/>
  <c r="BN160" i="14" s="1"/>
  <c r="BO156" i="14"/>
  <c r="BO160" i="14" s="1"/>
  <c r="L142" i="14"/>
  <c r="BL181" i="14"/>
  <c r="BL185" i="14" s="1"/>
  <c r="BL188" i="14"/>
  <c r="BL189" i="14" s="1"/>
  <c r="BL190" i="14" s="1"/>
  <c r="BL186" i="14"/>
  <c r="BT111" i="10"/>
  <c r="CF107" i="10"/>
  <c r="BR121" i="10"/>
  <c r="BS119" i="10" s="1"/>
  <c r="BF198" i="14" l="1"/>
  <c r="BF202" i="14" s="1"/>
  <c r="BF203" i="14" s="1"/>
  <c r="BF204" i="14" s="1"/>
  <c r="BF205" i="14" s="1"/>
  <c r="BF209" i="14" s="1"/>
  <c r="BF123" i="14" s="1"/>
  <c r="BF126" i="14" s="1"/>
  <c r="D11" i="14"/>
  <c r="D144" i="14"/>
  <c r="BN118" i="14"/>
  <c r="BN117" i="14" s="1"/>
  <c r="BN155" i="14" s="1"/>
  <c r="J138" i="10"/>
  <c r="J138" i="11" s="1"/>
  <c r="J171" i="10"/>
  <c r="J171" i="11" s="1"/>
  <c r="J179" i="10"/>
  <c r="J179" i="11" s="1"/>
  <c r="J150" i="10"/>
  <c r="J150" i="11" s="1"/>
  <c r="M48" i="2"/>
  <c r="J163" i="10"/>
  <c r="J163" i="11" s="1"/>
  <c r="BL184" i="14"/>
  <c r="BM179" i="14" s="1"/>
  <c r="BM186" i="14" s="1"/>
  <c r="BS120" i="10"/>
  <c r="CG105" i="10"/>
  <c r="BT112" i="10"/>
  <c r="BT113" i="10" s="1"/>
  <c r="BF200" i="14" l="1"/>
  <c r="BF199" i="14"/>
  <c r="BG194" i="14" s="1"/>
  <c r="BG201" i="14" s="1"/>
  <c r="BF210" i="14"/>
  <c r="BF134" i="14" s="1"/>
  <c r="BF137" i="14" s="1"/>
  <c r="BN154" i="14"/>
  <c r="BN165" i="14" s="1"/>
  <c r="BO118" i="14"/>
  <c r="D143" i="14"/>
  <c r="D142" i="14"/>
  <c r="BM181" i="14"/>
  <c r="BM180" i="14"/>
  <c r="BM183" i="14" s="1"/>
  <c r="BM187" i="14" s="1"/>
  <c r="BM188" i="14" s="1"/>
  <c r="BM189" i="14" s="1"/>
  <c r="BM190" i="14" s="1"/>
  <c r="BU111" i="10"/>
  <c r="CG107" i="10"/>
  <c r="BS121" i="10"/>
  <c r="BT119" i="10" s="1"/>
  <c r="BG196" i="14" l="1"/>
  <c r="BF211" i="14"/>
  <c r="BF212" i="14" s="1"/>
  <c r="BG195" i="14"/>
  <c r="BG197" i="14"/>
  <c r="BO154" i="14"/>
  <c r="BP118" i="14"/>
  <c r="BO117" i="14"/>
  <c r="BO155" i="14" s="1"/>
  <c r="BN171" i="14"/>
  <c r="BN166" i="14"/>
  <c r="BN168" i="14" s="1"/>
  <c r="BN172" i="14" s="1"/>
  <c r="BN182" i="14" s="1"/>
  <c r="BN167" i="14"/>
  <c r="BM185" i="14"/>
  <c r="BM184" i="14"/>
  <c r="BN179" i="14" s="1"/>
  <c r="BN181" i="14" s="1"/>
  <c r="BT120" i="10"/>
  <c r="BT121" i="10" s="1"/>
  <c r="CH105" i="10"/>
  <c r="BU112" i="10"/>
  <c r="BU113" i="10" s="1"/>
  <c r="BG198" i="14" l="1"/>
  <c r="BG202" i="14" s="1"/>
  <c r="BG203" i="14" s="1"/>
  <c r="BG204" i="14" s="1"/>
  <c r="BG205" i="14" s="1"/>
  <c r="BG209" i="14" s="1"/>
  <c r="BG210" i="14" s="1"/>
  <c r="BG134" i="14" s="1"/>
  <c r="BG137" i="14" s="1"/>
  <c r="BN170" i="14"/>
  <c r="BN124" i="14"/>
  <c r="BN135" i="14"/>
  <c r="BQ118" i="14"/>
  <c r="BP154" i="14"/>
  <c r="BP117" i="14"/>
  <c r="BP155" i="14" s="1"/>
  <c r="BN173" i="14"/>
  <c r="BN174" i="14" s="1"/>
  <c r="BN175" i="14" s="1"/>
  <c r="BN169" i="14"/>
  <c r="BO165" i="14" s="1"/>
  <c r="BN186" i="14"/>
  <c r="BN180" i="14"/>
  <c r="BU119" i="10"/>
  <c r="BU120" i="10" s="1"/>
  <c r="BV111" i="10"/>
  <c r="CH107" i="10"/>
  <c r="BG199" i="14" l="1"/>
  <c r="BH194" i="14" s="1"/>
  <c r="BH201" i="14" s="1"/>
  <c r="BG200" i="14"/>
  <c r="BG211" i="14"/>
  <c r="BG212" i="14" s="1"/>
  <c r="BG123" i="14"/>
  <c r="BG126" i="14" s="1"/>
  <c r="BO166" i="14"/>
  <c r="BO168" i="14" s="1"/>
  <c r="BO172" i="14" s="1"/>
  <c r="BO182" i="14" s="1"/>
  <c r="BO171" i="14"/>
  <c r="BO167" i="14"/>
  <c r="BQ117" i="14"/>
  <c r="BQ155" i="14" s="1"/>
  <c r="BQ154" i="14"/>
  <c r="BR118" i="14"/>
  <c r="BN183" i="14"/>
  <c r="BN187" i="14" s="1"/>
  <c r="BN188" i="14" s="1"/>
  <c r="BN189" i="14" s="1"/>
  <c r="BN190" i="14" s="1"/>
  <c r="BV112" i="10"/>
  <c r="BV113" i="10" s="1"/>
  <c r="CI105" i="10"/>
  <c r="BU121" i="10"/>
  <c r="BH197" i="14" l="1"/>
  <c r="BH196" i="14"/>
  <c r="BH195" i="14"/>
  <c r="BN185" i="14"/>
  <c r="BN184" i="14"/>
  <c r="BO179" i="14" s="1"/>
  <c r="BO180" i="14" s="1"/>
  <c r="BS118" i="14"/>
  <c r="BR117" i="14"/>
  <c r="BR155" i="14" s="1"/>
  <c r="BR154" i="14"/>
  <c r="BO173" i="14"/>
  <c r="BO174" i="14" s="1"/>
  <c r="BO175" i="14" s="1"/>
  <c r="BO169" i="14"/>
  <c r="BP165" i="14" s="1"/>
  <c r="BO124" i="14"/>
  <c r="BO135" i="14"/>
  <c r="BO170" i="14"/>
  <c r="BV119" i="10"/>
  <c r="BV120" i="10" s="1"/>
  <c r="BW111" i="10"/>
  <c r="CI107" i="10"/>
  <c r="BH198" i="14" l="1"/>
  <c r="BH202" i="14" s="1"/>
  <c r="BH203" i="14" s="1"/>
  <c r="BH204" i="14" s="1"/>
  <c r="BH205" i="14" s="1"/>
  <c r="BH209" i="14" s="1"/>
  <c r="BH123" i="14" s="1"/>
  <c r="BH126" i="14" s="1"/>
  <c r="BO186" i="14"/>
  <c r="BO181" i="14"/>
  <c r="BO183" i="14"/>
  <c r="BO187" i="14" s="1"/>
  <c r="BO188" i="14" s="1"/>
  <c r="BO189" i="14" s="1"/>
  <c r="BO190" i="14" s="1"/>
  <c r="BP171" i="14"/>
  <c r="BP167" i="14"/>
  <c r="BP166" i="14"/>
  <c r="BP168" i="14" s="1"/>
  <c r="BP172" i="14" s="1"/>
  <c r="BP182" i="14" s="1"/>
  <c r="BS154" i="14"/>
  <c r="BT118" i="14"/>
  <c r="BS117" i="14"/>
  <c r="BS155" i="14" s="1"/>
  <c r="CJ105" i="10"/>
  <c r="BW112" i="10"/>
  <c r="BW113" i="10" s="1"/>
  <c r="BV121" i="10"/>
  <c r="BH200" i="14" l="1"/>
  <c r="BH199" i="14"/>
  <c r="BI194" i="14" s="1"/>
  <c r="BI196" i="14" s="1"/>
  <c r="BH210" i="14"/>
  <c r="BH134" i="14" s="1"/>
  <c r="BH137" i="14" s="1"/>
  <c r="BO184" i="14"/>
  <c r="BP179" i="14" s="1"/>
  <c r="BP181" i="14" s="1"/>
  <c r="BO185" i="14"/>
  <c r="BP170" i="14"/>
  <c r="BP173" i="14"/>
  <c r="BP174" i="14" s="1"/>
  <c r="BP175" i="14" s="1"/>
  <c r="BP135" i="14"/>
  <c r="BP124" i="14"/>
  <c r="BT117" i="14"/>
  <c r="BT155" i="14" s="1"/>
  <c r="BT154" i="14"/>
  <c r="BU118" i="14"/>
  <c r="BP169" i="14"/>
  <c r="BQ165" i="14" s="1"/>
  <c r="CJ107" i="10"/>
  <c r="BW119" i="10"/>
  <c r="BW120" i="10" s="1"/>
  <c r="BX111" i="10"/>
  <c r="BH211" i="14" l="1"/>
  <c r="BH212" i="14" s="1"/>
  <c r="BI197" i="14"/>
  <c r="BI195" i="14"/>
  <c r="BI201" i="14"/>
  <c r="BP186" i="14"/>
  <c r="BP180" i="14"/>
  <c r="BP183" i="14" s="1"/>
  <c r="BQ167" i="14"/>
  <c r="BQ166" i="14"/>
  <c r="BQ168" i="14" s="1"/>
  <c r="BQ172" i="14" s="1"/>
  <c r="BQ182" i="14" s="1"/>
  <c r="BQ171" i="14"/>
  <c r="BV118" i="14"/>
  <c r="BU117" i="14"/>
  <c r="BU155" i="14" s="1"/>
  <c r="BU154" i="14"/>
  <c r="BX112" i="10"/>
  <c r="BW121" i="10"/>
  <c r="CK105" i="10"/>
  <c r="BI198" i="14" l="1"/>
  <c r="BI202" i="14" s="1"/>
  <c r="BI203" i="14" s="1"/>
  <c r="BI204" i="14" s="1"/>
  <c r="BI205" i="14" s="1"/>
  <c r="BI209" i="14" s="1"/>
  <c r="BI123" i="14" s="1"/>
  <c r="BI126" i="14" s="1"/>
  <c r="BP187" i="14"/>
  <c r="BP188" i="14" s="1"/>
  <c r="BP189" i="14" s="1"/>
  <c r="BP190" i="14" s="1"/>
  <c r="BP184" i="14"/>
  <c r="BQ179" i="14" s="1"/>
  <c r="BQ186" i="14" s="1"/>
  <c r="BP185" i="14"/>
  <c r="BQ173" i="14"/>
  <c r="BQ174" i="14" s="1"/>
  <c r="BQ175" i="14" s="1"/>
  <c r="BQ170" i="14"/>
  <c r="BV117" i="14"/>
  <c r="BV155" i="14" s="1"/>
  <c r="BV154" i="14"/>
  <c r="BW118" i="14"/>
  <c r="BQ169" i="14"/>
  <c r="BR165" i="14" s="1"/>
  <c r="BQ124" i="14"/>
  <c r="BQ135" i="14"/>
  <c r="CK107" i="10"/>
  <c r="BX113" i="10"/>
  <c r="BI200" i="14" l="1"/>
  <c r="BI199" i="14"/>
  <c r="BJ194" i="14" s="1"/>
  <c r="BJ201" i="14" s="1"/>
  <c r="BI210" i="14"/>
  <c r="BI134" i="14" s="1"/>
  <c r="BI137" i="14" s="1"/>
  <c r="BQ181" i="14"/>
  <c r="BQ180" i="14"/>
  <c r="BQ183" i="14" s="1"/>
  <c r="BQ187" i="14" s="1"/>
  <c r="BQ188" i="14" s="1"/>
  <c r="BQ189" i="14" s="1"/>
  <c r="BQ190" i="14" s="1"/>
  <c r="BX118" i="14"/>
  <c r="BW154" i="14"/>
  <c r="BW117" i="14"/>
  <c r="BW155" i="14" s="1"/>
  <c r="BR167" i="14"/>
  <c r="BR166" i="14"/>
  <c r="BR168" i="14" s="1"/>
  <c r="BR172" i="14" s="1"/>
  <c r="BR182" i="14" s="1"/>
  <c r="BR171" i="14"/>
  <c r="CL105" i="10"/>
  <c r="BX119" i="10"/>
  <c r="BY111" i="10"/>
  <c r="BI211" i="14" l="1"/>
  <c r="BI212" i="14" s="1"/>
  <c r="BJ195" i="14"/>
  <c r="BJ196" i="14"/>
  <c r="BJ197" i="14"/>
  <c r="BQ184" i="14"/>
  <c r="BR179" i="14" s="1"/>
  <c r="BR186" i="14" s="1"/>
  <c r="BQ185" i="14"/>
  <c r="BR173" i="14"/>
  <c r="BR174" i="14" s="1"/>
  <c r="BR175" i="14" s="1"/>
  <c r="BR124" i="14"/>
  <c r="BR135" i="14"/>
  <c r="BR169" i="14"/>
  <c r="BS165" i="14" s="1"/>
  <c r="BR170" i="14"/>
  <c r="BX117" i="14"/>
  <c r="BX155" i="14" s="1"/>
  <c r="BX154" i="14"/>
  <c r="BY118" i="14"/>
  <c r="CL107" i="10"/>
  <c r="BX120" i="10"/>
  <c r="BX121" i="10" s="1"/>
  <c r="BY112" i="10"/>
  <c r="BJ198" i="14" l="1"/>
  <c r="BJ202" i="14" s="1"/>
  <c r="BJ203" i="14" s="1"/>
  <c r="BJ204" i="14" s="1"/>
  <c r="BJ205" i="14" s="1"/>
  <c r="BJ209" i="14" s="1"/>
  <c r="BJ123" i="14" s="1"/>
  <c r="BJ126" i="14" s="1"/>
  <c r="BR180" i="14"/>
  <c r="BR183" i="14" s="1"/>
  <c r="BR187" i="14" s="1"/>
  <c r="BR188" i="14" s="1"/>
  <c r="BR189" i="14" s="1"/>
  <c r="BR190" i="14" s="1"/>
  <c r="BR181" i="14"/>
  <c r="BZ118" i="14"/>
  <c r="BY117" i="14"/>
  <c r="BY155" i="14" s="1"/>
  <c r="BY154" i="14"/>
  <c r="BS166" i="14"/>
  <c r="BS168" i="14" s="1"/>
  <c r="BS171" i="14"/>
  <c r="BS167" i="14"/>
  <c r="CM105" i="10"/>
  <c r="BY113" i="10"/>
  <c r="BJ199" i="14" l="1"/>
  <c r="BK194" i="14" s="1"/>
  <c r="BK197" i="14" s="1"/>
  <c r="BJ210" i="14"/>
  <c r="BJ134" i="14" s="1"/>
  <c r="BJ137" i="14" s="1"/>
  <c r="BJ200" i="14"/>
  <c r="BR184" i="14"/>
  <c r="BS179" i="14" s="1"/>
  <c r="BS181" i="14" s="1"/>
  <c r="BR185" i="14"/>
  <c r="BS172" i="14"/>
  <c r="BS170" i="14"/>
  <c r="BS169" i="14"/>
  <c r="BT165" i="14" s="1"/>
  <c r="BS135" i="14"/>
  <c r="BS124" i="14"/>
  <c r="BZ117" i="14"/>
  <c r="BZ155" i="14" s="1"/>
  <c r="BZ154" i="14"/>
  <c r="CA118" i="14"/>
  <c r="CM107" i="10"/>
  <c r="BY119" i="10"/>
  <c r="BZ111" i="10"/>
  <c r="BK195" i="14" l="1"/>
  <c r="BK198" i="14" s="1"/>
  <c r="BK202" i="14" s="1"/>
  <c r="BK203" i="14" s="1"/>
  <c r="BK204" i="14" s="1"/>
  <c r="BK205" i="14" s="1"/>
  <c r="BK209" i="14" s="1"/>
  <c r="BK210" i="14" s="1"/>
  <c r="BK134" i="14" s="1"/>
  <c r="BK137" i="14" s="1"/>
  <c r="BJ211" i="14"/>
  <c r="BJ212" i="14" s="1"/>
  <c r="BK201" i="14"/>
  <c r="BK196" i="14"/>
  <c r="BS180" i="14"/>
  <c r="BS186" i="14"/>
  <c r="BT167" i="14"/>
  <c r="BT171" i="14"/>
  <c r="BT166" i="14"/>
  <c r="BT168" i="14" s="1"/>
  <c r="BT172" i="14" s="1"/>
  <c r="CA154" i="14"/>
  <c r="CA117" i="14"/>
  <c r="CA155" i="14" s="1"/>
  <c r="CB118" i="14"/>
  <c r="BS182" i="14"/>
  <c r="BS173" i="14"/>
  <c r="BS174" i="14" s="1"/>
  <c r="BS175" i="14" s="1"/>
  <c r="CN105" i="10"/>
  <c r="BY120" i="10"/>
  <c r="BY121" i="10" s="1"/>
  <c r="BZ112" i="10"/>
  <c r="BZ113" i="10" s="1"/>
  <c r="BK199" i="14" l="1"/>
  <c r="BL194" i="14" s="1"/>
  <c r="BL201" i="14" s="1"/>
  <c r="BK211" i="14"/>
  <c r="BK212" i="14" s="1"/>
  <c r="BK123" i="14"/>
  <c r="BK126" i="14" s="1"/>
  <c r="BK200" i="14"/>
  <c r="BT182" i="14"/>
  <c r="BS183" i="14"/>
  <c r="BS187" i="14" s="1"/>
  <c r="BS188" i="14" s="1"/>
  <c r="BS189" i="14" s="1"/>
  <c r="BS190" i="14" s="1"/>
  <c r="BT173" i="14"/>
  <c r="BT174" i="14" s="1"/>
  <c r="BT175" i="14" s="1"/>
  <c r="CC118" i="14"/>
  <c r="CB117" i="14"/>
  <c r="CB155" i="14" s="1"/>
  <c r="CB154" i="14"/>
  <c r="BT169" i="14"/>
  <c r="BU165" i="14" s="1"/>
  <c r="BT170" i="14"/>
  <c r="BT124" i="14"/>
  <c r="BT135" i="14"/>
  <c r="CN107" i="10"/>
  <c r="BZ119" i="10"/>
  <c r="BZ120" i="10" s="1"/>
  <c r="CA111" i="10"/>
  <c r="BL197" i="14" l="1"/>
  <c r="BL195" i="14"/>
  <c r="BL196" i="14"/>
  <c r="BS185" i="14"/>
  <c r="BS184" i="14"/>
  <c r="BT179" i="14" s="1"/>
  <c r="BT181" i="14" s="1"/>
  <c r="CC117" i="14"/>
  <c r="CC155" i="14" s="1"/>
  <c r="CD118" i="14"/>
  <c r="CC154" i="14"/>
  <c r="BU171" i="14"/>
  <c r="BU166" i="14"/>
  <c r="BU168" i="14" s="1"/>
  <c r="BU172" i="14" s="1"/>
  <c r="BU182" i="14" s="1"/>
  <c r="BU167" i="14"/>
  <c r="CO105" i="10"/>
  <c r="CA112" i="10"/>
  <c r="BZ121" i="10"/>
  <c r="BL198" i="14" l="1"/>
  <c r="BL202" i="14" s="1"/>
  <c r="BL203" i="14" s="1"/>
  <c r="BL204" i="14" s="1"/>
  <c r="BL205" i="14" s="1"/>
  <c r="BL209" i="14" s="1"/>
  <c r="BL123" i="14" s="1"/>
  <c r="BL126" i="14" s="1"/>
  <c r="BT186" i="14"/>
  <c r="BT180" i="14"/>
  <c r="BT183" i="14" s="1"/>
  <c r="BT184" i="14" s="1"/>
  <c r="BU179" i="14" s="1"/>
  <c r="BU170" i="14"/>
  <c r="BU173" i="14"/>
  <c r="BU174" i="14" s="1"/>
  <c r="BU175" i="14" s="1"/>
  <c r="BU169" i="14"/>
  <c r="BV165" i="14" s="1"/>
  <c r="CD117" i="14"/>
  <c r="CD155" i="14" s="1"/>
  <c r="CE118" i="14"/>
  <c r="CD154" i="14"/>
  <c r="BU135" i="14"/>
  <c r="BU124" i="14"/>
  <c r="CO107" i="10"/>
  <c r="CA113" i="10"/>
  <c r="BL199" i="14" l="1"/>
  <c r="BM194" i="14" s="1"/>
  <c r="BM195" i="14" s="1"/>
  <c r="BL210" i="14"/>
  <c r="BL134" i="14" s="1"/>
  <c r="BL137" i="14" s="1"/>
  <c r="BL200" i="14"/>
  <c r="CF118" i="14"/>
  <c r="CE154" i="14"/>
  <c r="CE117" i="14"/>
  <c r="CE155" i="14" s="1"/>
  <c r="BU186" i="14"/>
  <c r="BU181" i="14"/>
  <c r="BU180" i="14"/>
  <c r="BV167" i="14"/>
  <c r="BV166" i="14"/>
  <c r="BV168" i="14" s="1"/>
  <c r="BV172" i="14" s="1"/>
  <c r="BV182" i="14" s="1"/>
  <c r="BV171" i="14"/>
  <c r="BT187" i="14"/>
  <c r="BT188" i="14" s="1"/>
  <c r="BT189" i="14" s="1"/>
  <c r="BT190" i="14" s="1"/>
  <c r="BT185" i="14"/>
  <c r="CP105" i="10"/>
  <c r="CA119" i="10"/>
  <c r="CB111" i="10"/>
  <c r="BM201" i="14" l="1"/>
  <c r="BL211" i="14"/>
  <c r="BL212" i="14" s="1"/>
  <c r="BM197" i="14"/>
  <c r="BM198" i="14" s="1"/>
  <c r="BM202" i="14" s="1"/>
  <c r="BM203" i="14" s="1"/>
  <c r="BM204" i="14" s="1"/>
  <c r="BM205" i="14" s="1"/>
  <c r="BM209" i="14" s="1"/>
  <c r="BM210" i="14" s="1"/>
  <c r="BM134" i="14" s="1"/>
  <c r="BM137" i="14" s="1"/>
  <c r="BM196" i="14"/>
  <c r="BV173" i="14"/>
  <c r="BV174" i="14" s="1"/>
  <c r="BV175" i="14" s="1"/>
  <c r="BV170" i="14"/>
  <c r="BV124" i="14"/>
  <c r="BV135" i="14"/>
  <c r="BV169" i="14"/>
  <c r="BW165" i="14" s="1"/>
  <c r="BU183" i="14"/>
  <c r="BU187" i="14" s="1"/>
  <c r="BU188" i="14" s="1"/>
  <c r="BU189" i="14" s="1"/>
  <c r="BU190" i="14" s="1"/>
  <c r="CF154" i="14"/>
  <c r="CF117" i="14"/>
  <c r="CF155" i="14" s="1"/>
  <c r="CG118" i="14"/>
  <c r="CB112" i="10"/>
  <c r="CB113" i="10" s="1"/>
  <c r="CA120" i="10"/>
  <c r="CA121" i="10" s="1"/>
  <c r="CP107" i="10"/>
  <c r="BM200" i="14" l="1"/>
  <c r="BM199" i="14"/>
  <c r="BN194" i="14" s="1"/>
  <c r="BN201" i="14" s="1"/>
  <c r="BM211" i="14"/>
  <c r="BM212" i="14" s="1"/>
  <c r="BM123" i="14"/>
  <c r="BM126" i="14" s="1"/>
  <c r="BU184" i="14"/>
  <c r="BV179" i="14" s="1"/>
  <c r="BV186" i="14" s="1"/>
  <c r="BU185" i="14"/>
  <c r="BW166" i="14"/>
  <c r="BW168" i="14" s="1"/>
  <c r="BW172" i="14" s="1"/>
  <c r="BW182" i="14" s="1"/>
  <c r="BW167" i="14"/>
  <c r="BW171" i="14"/>
  <c r="CG117" i="14"/>
  <c r="CG155" i="14" s="1"/>
  <c r="CG154" i="14"/>
  <c r="CH118" i="14"/>
  <c r="CQ105" i="10"/>
  <c r="CB119" i="10"/>
  <c r="CC111" i="10"/>
  <c r="BN196" i="14" l="1"/>
  <c r="BN195" i="14"/>
  <c r="BN197" i="14"/>
  <c r="BV181" i="14"/>
  <c r="BV180" i="14"/>
  <c r="BV183" i="14" s="1"/>
  <c r="BV187" i="14" s="1"/>
  <c r="BV188" i="14" s="1"/>
  <c r="BV189" i="14" s="1"/>
  <c r="BV190" i="14" s="1"/>
  <c r="BW170" i="14"/>
  <c r="BW173" i="14"/>
  <c r="BW174" i="14" s="1"/>
  <c r="BW175" i="14" s="1"/>
  <c r="BW169" i="14"/>
  <c r="BX165" i="14" s="1"/>
  <c r="CI118" i="14"/>
  <c r="CH117" i="14"/>
  <c r="CH155" i="14" s="1"/>
  <c r="CH154" i="14"/>
  <c r="BW124" i="14"/>
  <c r="BW135" i="14"/>
  <c r="CB120" i="10"/>
  <c r="CC112" i="10"/>
  <c r="CC113" i="10" s="1"/>
  <c r="CQ107" i="10"/>
  <c r="BN198" i="14" l="1"/>
  <c r="BN200" i="14" s="1"/>
  <c r="CB121" i="10"/>
  <c r="CC119" i="10" s="1"/>
  <c r="CI154" i="14"/>
  <c r="CJ118" i="14"/>
  <c r="CI117" i="14"/>
  <c r="CI155" i="14" s="1"/>
  <c r="BV185" i="14"/>
  <c r="BV184" i="14"/>
  <c r="BW179" i="14" s="1"/>
  <c r="BX166" i="14"/>
  <c r="BX168" i="14" s="1"/>
  <c r="BX172" i="14" s="1"/>
  <c r="BX182" i="14" s="1"/>
  <c r="BX167" i="14"/>
  <c r="BX171" i="14"/>
  <c r="CD111" i="10"/>
  <c r="CR105" i="10"/>
  <c r="BN202" i="14" l="1"/>
  <c r="BN203" i="14" s="1"/>
  <c r="BN204" i="14" s="1"/>
  <c r="BN205" i="14" s="1"/>
  <c r="BN209" i="14" s="1"/>
  <c r="BN123" i="14" s="1"/>
  <c r="BN126" i="14" s="1"/>
  <c r="BN199" i="14"/>
  <c r="BO194" i="14" s="1"/>
  <c r="BO201" i="14" s="1"/>
  <c r="BX170" i="14"/>
  <c r="BX173" i="14"/>
  <c r="BX174" i="14" s="1"/>
  <c r="BX175" i="14" s="1"/>
  <c r="BX124" i="14"/>
  <c r="BX135" i="14"/>
  <c r="CK118" i="14"/>
  <c r="CJ117" i="14"/>
  <c r="CJ155" i="14" s="1"/>
  <c r="CJ154" i="14"/>
  <c r="BX169" i="14"/>
  <c r="BY165" i="14" s="1"/>
  <c r="BW181" i="14"/>
  <c r="BW180" i="14"/>
  <c r="BW183" i="14" s="1"/>
  <c r="BW187" i="14" s="1"/>
  <c r="BW188" i="14" s="1"/>
  <c r="BW189" i="14" s="1"/>
  <c r="BW190" i="14" s="1"/>
  <c r="BW186" i="14"/>
  <c r="CR107" i="10"/>
  <c r="CC120" i="10"/>
  <c r="CD112" i="10"/>
  <c r="CD113" i="10" s="1"/>
  <c r="BO196" i="14" l="1"/>
  <c r="BO197" i="14"/>
  <c r="BO195" i="14"/>
  <c r="BN210" i="14"/>
  <c r="BN134" i="14" s="1"/>
  <c r="BN137" i="14" s="1"/>
  <c r="BW184" i="14"/>
  <c r="BX179" i="14" s="1"/>
  <c r="CK154" i="14"/>
  <c r="CL118" i="14"/>
  <c r="CK117" i="14"/>
  <c r="CK155" i="14" s="1"/>
  <c r="BW185" i="14"/>
  <c r="BY166" i="14"/>
  <c r="BY168" i="14" s="1"/>
  <c r="BY172" i="14" s="1"/>
  <c r="BY171" i="14"/>
  <c r="BY167" i="14"/>
  <c r="CS105" i="10"/>
  <c r="CE111" i="10"/>
  <c r="CC121" i="10"/>
  <c r="CD119" i="10" s="1"/>
  <c r="BO198" i="14" l="1"/>
  <c r="BO202" i="14" s="1"/>
  <c r="BO203" i="14" s="1"/>
  <c r="BO204" i="14" s="1"/>
  <c r="BO205" i="14" s="1"/>
  <c r="BO209" i="14" s="1"/>
  <c r="BO210" i="14" s="1"/>
  <c r="BO134" i="14" s="1"/>
  <c r="BO137" i="14" s="1"/>
  <c r="BN211" i="14"/>
  <c r="BN212" i="14" s="1"/>
  <c r="BY182" i="14"/>
  <c r="BY173" i="14"/>
  <c r="BY174" i="14" s="1"/>
  <c r="BY175" i="14" s="1"/>
  <c r="BY124" i="14"/>
  <c r="BY135" i="14"/>
  <c r="BY169" i="14"/>
  <c r="BZ165" i="14" s="1"/>
  <c r="CM118" i="14"/>
  <c r="CL117" i="14"/>
  <c r="CL155" i="14" s="1"/>
  <c r="CL154" i="14"/>
  <c r="BY170" i="14"/>
  <c r="BX181" i="14"/>
  <c r="BX186" i="14"/>
  <c r="BX180" i="14"/>
  <c r="BX183" i="14" s="1"/>
  <c r="BX187" i="14" s="1"/>
  <c r="BX188" i="14" s="1"/>
  <c r="BX189" i="14" s="1"/>
  <c r="BX190" i="14" s="1"/>
  <c r="CD120" i="10"/>
  <c r="CE112" i="10"/>
  <c r="CS107" i="10"/>
  <c r="BO200" i="14" l="1"/>
  <c r="BO199" i="14"/>
  <c r="BP194" i="14" s="1"/>
  <c r="BP195" i="14" s="1"/>
  <c r="BO123" i="14"/>
  <c r="BO126" i="14" s="1"/>
  <c r="BO211" i="14"/>
  <c r="BO212" i="14" s="1"/>
  <c r="BX185" i="14"/>
  <c r="BX184" i="14"/>
  <c r="BY179" i="14" s="1"/>
  <c r="BY186" i="14" s="1"/>
  <c r="CM154" i="14"/>
  <c r="CN118" i="14"/>
  <c r="CM117" i="14"/>
  <c r="CM155" i="14" s="1"/>
  <c r="BZ167" i="14"/>
  <c r="BZ171" i="14"/>
  <c r="BZ166" i="14"/>
  <c r="BZ168" i="14" s="1"/>
  <c r="BZ172" i="14" s="1"/>
  <c r="CT105" i="10"/>
  <c r="CE113" i="10"/>
  <c r="CD121" i="10"/>
  <c r="BP201" i="14" l="1"/>
  <c r="BP197" i="14"/>
  <c r="BP198" i="14" s="1"/>
  <c r="BP202" i="14" s="1"/>
  <c r="BP203" i="14" s="1"/>
  <c r="BP204" i="14" s="1"/>
  <c r="BP205" i="14" s="1"/>
  <c r="BP209" i="14" s="1"/>
  <c r="BP123" i="14" s="1"/>
  <c r="BP126" i="14" s="1"/>
  <c r="BP196" i="14"/>
  <c r="BY181" i="14"/>
  <c r="BY180" i="14"/>
  <c r="BY183" i="14" s="1"/>
  <c r="BY187" i="14" s="1"/>
  <c r="BY188" i="14" s="1"/>
  <c r="BY189" i="14" s="1"/>
  <c r="BY190" i="14" s="1"/>
  <c r="BZ169" i="14"/>
  <c r="CA165" i="14" s="1"/>
  <c r="CA167" i="14" s="1"/>
  <c r="CO118" i="14"/>
  <c r="CN154" i="14"/>
  <c r="CN117" i="14"/>
  <c r="CN155" i="14" s="1"/>
  <c r="BZ135" i="14"/>
  <c r="BZ124" i="14"/>
  <c r="BZ173" i="14"/>
  <c r="BZ174" i="14" s="1"/>
  <c r="BZ175" i="14" s="1"/>
  <c r="BZ182" i="14"/>
  <c r="BZ170" i="14"/>
  <c r="CT107" i="10"/>
  <c r="CE119" i="10"/>
  <c r="CF111" i="10"/>
  <c r="BP200" i="14" l="1"/>
  <c r="BP199" i="14"/>
  <c r="BQ194" i="14" s="1"/>
  <c r="BQ195" i="14" s="1"/>
  <c r="BP210" i="14"/>
  <c r="BP134" i="14" s="1"/>
  <c r="BP137" i="14" s="1"/>
  <c r="CA166" i="14"/>
  <c r="CA168" i="14" s="1"/>
  <c r="CA172" i="14" s="1"/>
  <c r="CA171" i="14"/>
  <c r="BY185" i="14"/>
  <c r="BY184" i="14"/>
  <c r="BZ179" i="14" s="1"/>
  <c r="BZ186" i="14" s="1"/>
  <c r="CA135" i="14"/>
  <c r="CA124" i="14"/>
  <c r="CO117" i="14"/>
  <c r="CO155" i="14" s="1"/>
  <c r="CO154" i="14"/>
  <c r="CP118" i="14"/>
  <c r="CU105" i="10"/>
  <c r="CF112" i="10"/>
  <c r="CF113" i="10" s="1"/>
  <c r="CE120" i="10"/>
  <c r="CE121" i="10" s="1"/>
  <c r="BQ197" i="14" l="1"/>
  <c r="BQ198" i="14" s="1"/>
  <c r="BQ202" i="14" s="1"/>
  <c r="BQ203" i="14" s="1"/>
  <c r="BQ204" i="14" s="1"/>
  <c r="BQ205" i="14" s="1"/>
  <c r="BQ209" i="14" s="1"/>
  <c r="BQ210" i="14" s="1"/>
  <c r="BQ134" i="14" s="1"/>
  <c r="BQ137" i="14" s="1"/>
  <c r="BQ201" i="14"/>
  <c r="BQ196" i="14"/>
  <c r="BP211" i="14"/>
  <c r="BP212" i="14" s="1"/>
  <c r="BZ180" i="14"/>
  <c r="BZ183" i="14" s="1"/>
  <c r="BZ187" i="14" s="1"/>
  <c r="BZ188" i="14" s="1"/>
  <c r="BZ181" i="14"/>
  <c r="CA169" i="14"/>
  <c r="CB165" i="14" s="1"/>
  <c r="CA182" i="14"/>
  <c r="CA173" i="14"/>
  <c r="CA174" i="14" s="1"/>
  <c r="CA175" i="14" s="1"/>
  <c r="CA170" i="14"/>
  <c r="CP154" i="14"/>
  <c r="CP117" i="14"/>
  <c r="CP155" i="14" s="1"/>
  <c r="CQ118" i="14"/>
  <c r="CF119" i="10"/>
  <c r="CG111" i="10"/>
  <c r="CU107" i="10"/>
  <c r="BQ200" i="14" l="1"/>
  <c r="BQ123" i="14"/>
  <c r="BQ126" i="14" s="1"/>
  <c r="BQ199" i="14"/>
  <c r="BR194" i="14" s="1"/>
  <c r="BR201" i="14" s="1"/>
  <c r="BQ211" i="14"/>
  <c r="BQ212" i="14" s="1"/>
  <c r="BZ184" i="14"/>
  <c r="CA179" i="14" s="1"/>
  <c r="CA186" i="14" s="1"/>
  <c r="BZ185" i="14"/>
  <c r="CQ154" i="14"/>
  <c r="CR118" i="14"/>
  <c r="CQ117" i="14"/>
  <c r="CQ155" i="14" s="1"/>
  <c r="CB167" i="14"/>
  <c r="CB171" i="14"/>
  <c r="CB166" i="14"/>
  <c r="CB168" i="14" s="1"/>
  <c r="CB172" i="14" s="1"/>
  <c r="CB182" i="14" s="1"/>
  <c r="BZ189" i="14"/>
  <c r="BZ190" i="14" s="1"/>
  <c r="CV105" i="10"/>
  <c r="CF120" i="10"/>
  <c r="CF121" i="10" s="1"/>
  <c r="CG112" i="10"/>
  <c r="BR195" i="14" l="1"/>
  <c r="BR196" i="14"/>
  <c r="BR197" i="14"/>
  <c r="CA181" i="14"/>
  <c r="CA180" i="14"/>
  <c r="CA183" i="14" s="1"/>
  <c r="CB169" i="14"/>
  <c r="CC165" i="14" s="1"/>
  <c r="CB135" i="14"/>
  <c r="CB124" i="14"/>
  <c r="CB173" i="14"/>
  <c r="CB174" i="14" s="1"/>
  <c r="CB175" i="14" s="1"/>
  <c r="CS118" i="14"/>
  <c r="CR117" i="14"/>
  <c r="CR155" i="14" s="1"/>
  <c r="CR154" i="14"/>
  <c r="CB170" i="14"/>
  <c r="CG113" i="10"/>
  <c r="CV107" i="10"/>
  <c r="BR198" i="14" l="1"/>
  <c r="BR202" i="14" s="1"/>
  <c r="BR203" i="14" s="1"/>
  <c r="BR204" i="14" s="1"/>
  <c r="BR205" i="14" s="1"/>
  <c r="BR209" i="14" s="1"/>
  <c r="BR123" i="14" s="1"/>
  <c r="BR126" i="14" s="1"/>
  <c r="CA184" i="14"/>
  <c r="CB179" i="14" s="1"/>
  <c r="CB181" i="14" s="1"/>
  <c r="CA185" i="14"/>
  <c r="CA187" i="14"/>
  <c r="CA188" i="14" s="1"/>
  <c r="CA189" i="14" s="1"/>
  <c r="CA190" i="14" s="1"/>
  <c r="CS154" i="14"/>
  <c r="CS117" i="14"/>
  <c r="CS155" i="14" s="1"/>
  <c r="CT118" i="14"/>
  <c r="CC166" i="14"/>
  <c r="CC168" i="14" s="1"/>
  <c r="CC172" i="14" s="1"/>
  <c r="CC182" i="14" s="1"/>
  <c r="CC171" i="14"/>
  <c r="CC167" i="14"/>
  <c r="CG119" i="10"/>
  <c r="CH111" i="10"/>
  <c r="CW105" i="10"/>
  <c r="BR210" i="14" l="1"/>
  <c r="BR134" i="14" s="1"/>
  <c r="BR137" i="14" s="1"/>
  <c r="BR199" i="14"/>
  <c r="BS194" i="14" s="1"/>
  <c r="BS195" i="14" s="1"/>
  <c r="BR200" i="14"/>
  <c r="CB186" i="14"/>
  <c r="CB180" i="14"/>
  <c r="CB183" i="14" s="1"/>
  <c r="CB187" i="14" s="1"/>
  <c r="CB188" i="14" s="1"/>
  <c r="CB189" i="14" s="1"/>
  <c r="CB190" i="14" s="1"/>
  <c r="CC170" i="14"/>
  <c r="CC124" i="14"/>
  <c r="CC135" i="14"/>
  <c r="CT117" i="14"/>
  <c r="CT155" i="14" s="1"/>
  <c r="CU118" i="14"/>
  <c r="CT154" i="14"/>
  <c r="CC169" i="14"/>
  <c r="CD165" i="14" s="1"/>
  <c r="CC173" i="14"/>
  <c r="CC174" i="14" s="1"/>
  <c r="CC175" i="14" s="1"/>
  <c r="CG120" i="10"/>
  <c r="CG121" i="10" s="1"/>
  <c r="CH112" i="10"/>
  <c r="CW107" i="10"/>
  <c r="BR211" i="14" l="1"/>
  <c r="BR212" i="14" s="1"/>
  <c r="BS201" i="14"/>
  <c r="BS197" i="14"/>
  <c r="BS198" i="14" s="1"/>
  <c r="BS202" i="14" s="1"/>
  <c r="BS203" i="14" s="1"/>
  <c r="BS204" i="14" s="1"/>
  <c r="BS205" i="14" s="1"/>
  <c r="BS209" i="14" s="1"/>
  <c r="BS123" i="14" s="1"/>
  <c r="BS126" i="14" s="1"/>
  <c r="BS196" i="14"/>
  <c r="CB184" i="14"/>
  <c r="CC179" i="14" s="1"/>
  <c r="CC181" i="14" s="1"/>
  <c r="CB185" i="14"/>
  <c r="CU154" i="14"/>
  <c r="CV118" i="14"/>
  <c r="CU117" i="14"/>
  <c r="CU155" i="14" s="1"/>
  <c r="CD171" i="14"/>
  <c r="CD167" i="14"/>
  <c r="CD166" i="14"/>
  <c r="CD168" i="14" s="1"/>
  <c r="CD172" i="14" s="1"/>
  <c r="CD173" i="14" s="1"/>
  <c r="CH113" i="10"/>
  <c r="CX105" i="10"/>
  <c r="BS200" i="14" l="1"/>
  <c r="BS199" i="14"/>
  <c r="BT194" i="14" s="1"/>
  <c r="BT197" i="14" s="1"/>
  <c r="BS210" i="14"/>
  <c r="BS134" i="14" s="1"/>
  <c r="BS137" i="14" s="1"/>
  <c r="CC186" i="14"/>
  <c r="CC180" i="14"/>
  <c r="CC183" i="14" s="1"/>
  <c r="CC187" i="14" s="1"/>
  <c r="CC188" i="14" s="1"/>
  <c r="CC189" i="14" s="1"/>
  <c r="CC190" i="14" s="1"/>
  <c r="CD169" i="14"/>
  <c r="CE165" i="14" s="1"/>
  <c r="CE171" i="14" s="1"/>
  <c r="CD182" i="14"/>
  <c r="CD174" i="14"/>
  <c r="CD175" i="14" s="1"/>
  <c r="CV117" i="14"/>
  <c r="CV155" i="14" s="1"/>
  <c r="CW118" i="14"/>
  <c r="CV154" i="14"/>
  <c r="CD170" i="14"/>
  <c r="CD124" i="14"/>
  <c r="CD135" i="14"/>
  <c r="CX107" i="10"/>
  <c r="CH119" i="10"/>
  <c r="CI111" i="10"/>
  <c r="BT196" i="14" l="1"/>
  <c r="BS211" i="14"/>
  <c r="BS212" i="14" s="1"/>
  <c r="BT201" i="14"/>
  <c r="BT195" i="14"/>
  <c r="BT198" i="14" s="1"/>
  <c r="BT202" i="14" s="1"/>
  <c r="BT203" i="14" s="1"/>
  <c r="BT204" i="14" s="1"/>
  <c r="BT205" i="14" s="1"/>
  <c r="BT209" i="14" s="1"/>
  <c r="BT123" i="14" s="1"/>
  <c r="BT126" i="14" s="1"/>
  <c r="CC185" i="14"/>
  <c r="CC184" i="14"/>
  <c r="CD179" i="14" s="1"/>
  <c r="CD180" i="14" s="1"/>
  <c r="CD183" i="14" s="1"/>
  <c r="CD187" i="14" s="1"/>
  <c r="CE167" i="14"/>
  <c r="CE124" i="14" s="1"/>
  <c r="CE166" i="14"/>
  <c r="CE168" i="14" s="1"/>
  <c r="CE172" i="14" s="1"/>
  <c r="CW117" i="14"/>
  <c r="CW155" i="14" s="1"/>
  <c r="CW154" i="14"/>
  <c r="CX118" i="14"/>
  <c r="CI112" i="10"/>
  <c r="CY105" i="10"/>
  <c r="CH120" i="10"/>
  <c r="CH121" i="10" s="1"/>
  <c r="BT199" i="14" l="1"/>
  <c r="BU194" i="14" s="1"/>
  <c r="BU196" i="14" s="1"/>
  <c r="BT200" i="14"/>
  <c r="BT210" i="14"/>
  <c r="BT134" i="14" s="1"/>
  <c r="BT137" i="14" s="1"/>
  <c r="CD181" i="14"/>
  <c r="CD184" i="14" s="1"/>
  <c r="CE179" i="14" s="1"/>
  <c r="CE186" i="14" s="1"/>
  <c r="CD186" i="14"/>
  <c r="CE135" i="14"/>
  <c r="CE182" i="14"/>
  <c r="CE173" i="14"/>
  <c r="CE174" i="14" s="1"/>
  <c r="CE175" i="14" s="1"/>
  <c r="CE170" i="14"/>
  <c r="CX117" i="14"/>
  <c r="CX155" i="14" s="1"/>
  <c r="CX154" i="14"/>
  <c r="CY118" i="14"/>
  <c r="CE169" i="14"/>
  <c r="CF165" i="14" s="1"/>
  <c r="CD188" i="14"/>
  <c r="CD189" i="14" s="1"/>
  <c r="CD190" i="14" s="1"/>
  <c r="CY107" i="10"/>
  <c r="CI113" i="10"/>
  <c r="BU201" i="14" l="1"/>
  <c r="BT211" i="14"/>
  <c r="BT212" i="14" s="1"/>
  <c r="BU195" i="14"/>
  <c r="BU197" i="14"/>
  <c r="CD185" i="14"/>
  <c r="CF167" i="14"/>
  <c r="CF166" i="14"/>
  <c r="CF168" i="14" s="1"/>
  <c r="CF172" i="14" s="1"/>
  <c r="CF171" i="14"/>
  <c r="CY154" i="14"/>
  <c r="CY117" i="14"/>
  <c r="CY155" i="14" s="1"/>
  <c r="CZ118" i="14"/>
  <c r="CE180" i="14"/>
  <c r="CE183" i="14" s="1"/>
  <c r="CE187" i="14" s="1"/>
  <c r="CE188" i="14" s="1"/>
  <c r="CE189" i="14" s="1"/>
  <c r="CE190" i="14" s="1"/>
  <c r="CE181" i="14"/>
  <c r="CZ105" i="10"/>
  <c r="CI119" i="10"/>
  <c r="CJ111" i="10"/>
  <c r="BU198" i="14" l="1"/>
  <c r="BU202" i="14" s="1"/>
  <c r="BU203" i="14" s="1"/>
  <c r="BU204" i="14" s="1"/>
  <c r="BU205" i="14" s="1"/>
  <c r="BU209" i="14" s="1"/>
  <c r="BU210" i="14" s="1"/>
  <c r="CF169" i="14"/>
  <c r="CG165" i="14" s="1"/>
  <c r="CG167" i="14" s="1"/>
  <c r="DA118" i="14"/>
  <c r="CZ154" i="14"/>
  <c r="CZ117" i="14"/>
  <c r="CZ155" i="14" s="1"/>
  <c r="CF124" i="14"/>
  <c r="CF135" i="14"/>
  <c r="CF170" i="14"/>
  <c r="CF173" i="14"/>
  <c r="CF174" i="14" s="1"/>
  <c r="CF175" i="14" s="1"/>
  <c r="CF182" i="14"/>
  <c r="CE185" i="14"/>
  <c r="CE184" i="14"/>
  <c r="CF179" i="14" s="1"/>
  <c r="CF186" i="14" s="1"/>
  <c r="CJ112" i="10"/>
  <c r="CI120" i="10"/>
  <c r="CI121" i="10" s="1"/>
  <c r="CZ107" i="10"/>
  <c r="BU211" i="14" l="1"/>
  <c r="BU212" i="14" s="1"/>
  <c r="BU123" i="14"/>
  <c r="BU126" i="14" s="1"/>
  <c r="BU200" i="14"/>
  <c r="BU134" i="14"/>
  <c r="BU137" i="14" s="1"/>
  <c r="BU199" i="14"/>
  <c r="BV194" i="14" s="1"/>
  <c r="BV195" i="14" s="1"/>
  <c r="CG171" i="14"/>
  <c r="CG166" i="14"/>
  <c r="CG168" i="14" s="1"/>
  <c r="CG169" i="14" s="1"/>
  <c r="CH165" i="14" s="1"/>
  <c r="CG124" i="14"/>
  <c r="CG135" i="14"/>
  <c r="DA154" i="14"/>
  <c r="DA117" i="14"/>
  <c r="DA155" i="14" s="1"/>
  <c r="DB118" i="14"/>
  <c r="CF181" i="14"/>
  <c r="CF180" i="14"/>
  <c r="CF183" i="14" s="1"/>
  <c r="CF187" i="14" s="1"/>
  <c r="CF188" i="14" s="1"/>
  <c r="CF189" i="14" s="1"/>
  <c r="CF190" i="14" s="1"/>
  <c r="DA105" i="10"/>
  <c r="CJ113" i="10"/>
  <c r="BV197" i="14" l="1"/>
  <c r="BV198" i="14" s="1"/>
  <c r="BV202" i="14" s="1"/>
  <c r="BV203" i="14" s="1"/>
  <c r="BV204" i="14" s="1"/>
  <c r="BV205" i="14" s="1"/>
  <c r="BV209" i="14" s="1"/>
  <c r="BV210" i="14" s="1"/>
  <c r="BV134" i="14" s="1"/>
  <c r="BV137" i="14" s="1"/>
  <c r="BV196" i="14"/>
  <c r="BV201" i="14"/>
  <c r="CH171" i="14"/>
  <c r="CH166" i="14"/>
  <c r="CH167" i="14"/>
  <c r="DB154" i="14"/>
  <c r="DC118" i="14"/>
  <c r="DB117" i="14"/>
  <c r="DB155" i="14" s="1"/>
  <c r="CG172" i="14"/>
  <c r="CG170" i="14"/>
  <c r="CF185" i="14"/>
  <c r="CF184" i="14"/>
  <c r="CG179" i="14" s="1"/>
  <c r="CG180" i="14" s="1"/>
  <c r="DA107" i="10"/>
  <c r="CJ119" i="10"/>
  <c r="CK111" i="10"/>
  <c r="BV200" i="14" l="1"/>
  <c r="BV123" i="14"/>
  <c r="BV126" i="14" s="1"/>
  <c r="BV199" i="14"/>
  <c r="BW194" i="14" s="1"/>
  <c r="BW196" i="14" s="1"/>
  <c r="BV211" i="14"/>
  <c r="BV212" i="14" s="1"/>
  <c r="CG182" i="14"/>
  <c r="CG173" i="14"/>
  <c r="CG174" i="14" s="1"/>
  <c r="CG175" i="14" s="1"/>
  <c r="CH124" i="14"/>
  <c r="CH135" i="14"/>
  <c r="CH168" i="14"/>
  <c r="CH172" i="14" s="1"/>
  <c r="DC154" i="14"/>
  <c r="DD118" i="14"/>
  <c r="DC117" i="14"/>
  <c r="DC155" i="14" s="1"/>
  <c r="CG181" i="14"/>
  <c r="CG186" i="14"/>
  <c r="CJ120" i="10"/>
  <c r="CJ121" i="10" s="1"/>
  <c r="DB105" i="10"/>
  <c r="CK112" i="10"/>
  <c r="BW197" i="14" l="1"/>
  <c r="BW201" i="14"/>
  <c r="BW195" i="14"/>
  <c r="CG183" i="14"/>
  <c r="CG187" i="14" s="1"/>
  <c r="CG188" i="14" s="1"/>
  <c r="CG189" i="14" s="1"/>
  <c r="CG190" i="14" s="1"/>
  <c r="CH182" i="14"/>
  <c r="CH173" i="14"/>
  <c r="CH174" i="14" s="1"/>
  <c r="CH175" i="14" s="1"/>
  <c r="CH170" i="14"/>
  <c r="DE118" i="14"/>
  <c r="DD117" i="14"/>
  <c r="DD155" i="14" s="1"/>
  <c r="DD154" i="14"/>
  <c r="CH169" i="14"/>
  <c r="CI165" i="14" s="1"/>
  <c r="CK113" i="10"/>
  <c r="DB107" i="10"/>
  <c r="BW198" i="14" l="1"/>
  <c r="BW202" i="14" s="1"/>
  <c r="BW203" i="14" s="1"/>
  <c r="BW204" i="14" s="1"/>
  <c r="BW205" i="14" s="1"/>
  <c r="BW209" i="14" s="1"/>
  <c r="BW210" i="14" s="1"/>
  <c r="BW134" i="14" s="1"/>
  <c r="BW137" i="14" s="1"/>
  <c r="CG184" i="14"/>
  <c r="CH179" i="14" s="1"/>
  <c r="CH186" i="14" s="1"/>
  <c r="CG185" i="14"/>
  <c r="DE117" i="14"/>
  <c r="DE155" i="14" s="1"/>
  <c r="DE154" i="14"/>
  <c r="DF118" i="14"/>
  <c r="CI171" i="14"/>
  <c r="CI167" i="14"/>
  <c r="CI166" i="14"/>
  <c r="CI168" i="14" s="1"/>
  <c r="CI172" i="14" s="1"/>
  <c r="CK119" i="10"/>
  <c r="CL111" i="10"/>
  <c r="DC105" i="10"/>
  <c r="BW200" i="14" l="1"/>
  <c r="BW199" i="14"/>
  <c r="BX194" i="14" s="1"/>
  <c r="BX196" i="14" s="1"/>
  <c r="BW211" i="14"/>
  <c r="BW212" i="14" s="1"/>
  <c r="BW123" i="14"/>
  <c r="BW126" i="14" s="1"/>
  <c r="CH181" i="14"/>
  <c r="CH180" i="14"/>
  <c r="CH183" i="14" s="1"/>
  <c r="CH187" i="14" s="1"/>
  <c r="CH188" i="14" s="1"/>
  <c r="CH189" i="14" s="1"/>
  <c r="CH190" i="14" s="1"/>
  <c r="CI170" i="14"/>
  <c r="CI182" i="14"/>
  <c r="CI173" i="14"/>
  <c r="CI174" i="14" s="1"/>
  <c r="CI175" i="14" s="1"/>
  <c r="CI124" i="14"/>
  <c r="CI135" i="14"/>
  <c r="CI169" i="14"/>
  <c r="CJ165" i="14" s="1"/>
  <c r="DF154" i="14"/>
  <c r="DG118" i="14"/>
  <c r="DF117" i="14"/>
  <c r="DF155" i="14" s="1"/>
  <c r="CL112" i="10"/>
  <c r="CL113" i="10" s="1"/>
  <c r="DC107" i="10"/>
  <c r="CK120" i="10"/>
  <c r="CK121" i="10" s="1"/>
  <c r="BX195" i="14" l="1"/>
  <c r="BX201" i="14"/>
  <c r="BX197" i="14"/>
  <c r="CH185" i="14"/>
  <c r="CH184" i="14"/>
  <c r="CI179" i="14" s="1"/>
  <c r="CI180" i="14" s="1"/>
  <c r="CI183" i="14" s="1"/>
  <c r="DG117" i="14"/>
  <c r="DG155" i="14" s="1"/>
  <c r="DG154" i="14"/>
  <c r="DH118" i="14"/>
  <c r="CJ167" i="14"/>
  <c r="CJ171" i="14"/>
  <c r="CJ166" i="14"/>
  <c r="CJ168" i="14" s="1"/>
  <c r="CJ172" i="14" s="1"/>
  <c r="CL119" i="10"/>
  <c r="CL120" i="10" s="1"/>
  <c r="CM111" i="10"/>
  <c r="DD105" i="10"/>
  <c r="BX198" i="14" l="1"/>
  <c r="BX202" i="14" s="1"/>
  <c r="BX203" i="14" s="1"/>
  <c r="BX204" i="14" s="1"/>
  <c r="BX205" i="14" s="1"/>
  <c r="BX209" i="14" s="1"/>
  <c r="BX123" i="14" s="1"/>
  <c r="BX126" i="14" s="1"/>
  <c r="CI186" i="14"/>
  <c r="CI181" i="14"/>
  <c r="CI185" i="14" s="1"/>
  <c r="CI187" i="14"/>
  <c r="CI188" i="14" s="1"/>
  <c r="CI189" i="14" s="1"/>
  <c r="CI190" i="14" s="1"/>
  <c r="CJ182" i="14"/>
  <c r="CJ173" i="14"/>
  <c r="CJ174" i="14" s="1"/>
  <c r="CJ175" i="14" s="1"/>
  <c r="CJ124" i="14"/>
  <c r="CJ135" i="14"/>
  <c r="CJ170" i="14"/>
  <c r="DH154" i="14"/>
  <c r="DI118" i="14"/>
  <c r="DH117" i="14"/>
  <c r="DH155" i="14" s="1"/>
  <c r="CJ169" i="14"/>
  <c r="CK165" i="14" s="1"/>
  <c r="CM112" i="10"/>
  <c r="CM113" i="10" s="1"/>
  <c r="DD107" i="10"/>
  <c r="CL121" i="10"/>
  <c r="BX199" i="14" l="1"/>
  <c r="BY194" i="14" s="1"/>
  <c r="BY201" i="14" s="1"/>
  <c r="BX210" i="14"/>
  <c r="BX134" i="14" s="1"/>
  <c r="BX137" i="14" s="1"/>
  <c r="BX200" i="14"/>
  <c r="CI184" i="14"/>
  <c r="CJ179" i="14" s="1"/>
  <c r="DJ118" i="14"/>
  <c r="DI117" i="14"/>
  <c r="DI155" i="14" s="1"/>
  <c r="DI154" i="14"/>
  <c r="CK171" i="14"/>
  <c r="CK167" i="14"/>
  <c r="CK166" i="14"/>
  <c r="CM119" i="10"/>
  <c r="CM120" i="10" s="1"/>
  <c r="CN111" i="10"/>
  <c r="DE105" i="10"/>
  <c r="BY195" i="14" l="1"/>
  <c r="BY197" i="14"/>
  <c r="BX211" i="14"/>
  <c r="BX212" i="14" s="1"/>
  <c r="BY196" i="14"/>
  <c r="CJ181" i="14"/>
  <c r="CJ186" i="14"/>
  <c r="CJ180" i="14"/>
  <c r="CJ183" i="14" s="1"/>
  <c r="CJ187" i="14" s="1"/>
  <c r="CJ188" i="14" s="1"/>
  <c r="CJ189" i="14" s="1"/>
  <c r="CJ190" i="14" s="1"/>
  <c r="CK168" i="14"/>
  <c r="CK172" i="14" s="1"/>
  <c r="CK124" i="14"/>
  <c r="CK135" i="14"/>
  <c r="DJ117" i="14"/>
  <c r="DJ155" i="14" s="1"/>
  <c r="DJ154" i="14"/>
  <c r="DK118" i="14"/>
  <c r="CN112" i="10"/>
  <c r="CN113" i="10" s="1"/>
  <c r="CM121" i="10"/>
  <c r="DE107" i="10"/>
  <c r="BY198" i="14" l="1"/>
  <c r="BY202" i="14" s="1"/>
  <c r="BY203" i="14" s="1"/>
  <c r="BY204" i="14" s="1"/>
  <c r="BY205" i="14" s="1"/>
  <c r="BY209" i="14" s="1"/>
  <c r="BY123" i="14" s="1"/>
  <c r="BY126" i="14" s="1"/>
  <c r="CJ185" i="14"/>
  <c r="CJ184" i="14"/>
  <c r="CK179" i="14" s="1"/>
  <c r="CK186" i="14" s="1"/>
  <c r="CK170" i="14"/>
  <c r="CK169" i="14"/>
  <c r="CL165" i="14" s="1"/>
  <c r="CL166" i="14" s="1"/>
  <c r="CL168" i="14" s="1"/>
  <c r="CL172" i="14" s="1"/>
  <c r="DK117" i="14"/>
  <c r="DK155" i="14" s="1"/>
  <c r="DL118" i="14"/>
  <c r="DK154" i="14"/>
  <c r="CK182" i="14"/>
  <c r="CK173" i="14"/>
  <c r="CK174" i="14" s="1"/>
  <c r="CK175" i="14" s="1"/>
  <c r="DF105" i="10"/>
  <c r="CN119" i="10"/>
  <c r="CO111" i="10"/>
  <c r="BY199" i="14" l="1"/>
  <c r="BZ194" i="14" s="1"/>
  <c r="BZ201" i="14" s="1"/>
  <c r="BY200" i="14"/>
  <c r="BY210" i="14"/>
  <c r="BY134" i="14" s="1"/>
  <c r="BY137" i="14" s="1"/>
  <c r="CK180" i="14"/>
  <c r="CK183" i="14" s="1"/>
  <c r="CK181" i="14"/>
  <c r="CL167" i="14"/>
  <c r="CL169" i="14" s="1"/>
  <c r="CM165" i="14" s="1"/>
  <c r="CL171" i="14"/>
  <c r="DL154" i="14"/>
  <c r="DM118" i="14"/>
  <c r="DL117" i="14"/>
  <c r="DL155" i="14" s="1"/>
  <c r="CL182" i="14"/>
  <c r="CL173" i="14"/>
  <c r="CL174" i="14" s="1"/>
  <c r="CL175" i="14" s="1"/>
  <c r="CO112" i="10"/>
  <c r="CO113" i="10" s="1"/>
  <c r="CN120" i="10"/>
  <c r="DF107" i="10"/>
  <c r="BZ195" i="14" l="1"/>
  <c r="BZ197" i="14"/>
  <c r="BZ196" i="14"/>
  <c r="BY211" i="14"/>
  <c r="BY212" i="14" s="1"/>
  <c r="CN121" i="10"/>
  <c r="CO119" i="10" s="1"/>
  <c r="CL170" i="14"/>
  <c r="CL124" i="14"/>
  <c r="CL135" i="14"/>
  <c r="DM117" i="14"/>
  <c r="DM155" i="14" s="1"/>
  <c r="DM154" i="14"/>
  <c r="DN118" i="14"/>
  <c r="CM167" i="14"/>
  <c r="CM171" i="14"/>
  <c r="CM166" i="14"/>
  <c r="CM168" i="14" s="1"/>
  <c r="CM172" i="14" s="1"/>
  <c r="CM173" i="14" s="1"/>
  <c r="CK187" i="14"/>
  <c r="CK185" i="14"/>
  <c r="CK184" i="14"/>
  <c r="CL179" i="14" s="1"/>
  <c r="DG105" i="10"/>
  <c r="CP111" i="10"/>
  <c r="BZ198" i="14" l="1"/>
  <c r="BZ202" i="14" s="1"/>
  <c r="BZ203" i="14" s="1"/>
  <c r="BZ204" i="14" s="1"/>
  <c r="BZ205" i="14" s="1"/>
  <c r="BZ209" i="14" s="1"/>
  <c r="BZ210" i="14" s="1"/>
  <c r="BZ134" i="14" s="1"/>
  <c r="BZ137" i="14" s="1"/>
  <c r="CM169" i="14"/>
  <c r="CN165" i="14" s="1"/>
  <c r="CN166" i="14" s="1"/>
  <c r="CN168" i="14" s="1"/>
  <c r="CN172" i="14" s="1"/>
  <c r="CN182" i="14" s="1"/>
  <c r="CM170" i="14"/>
  <c r="DO118" i="14"/>
  <c r="DN117" i="14"/>
  <c r="DN155" i="14" s="1"/>
  <c r="DN154" i="14"/>
  <c r="CM124" i="14"/>
  <c r="CM135" i="14"/>
  <c r="CM182" i="14"/>
  <c r="CM174" i="14"/>
  <c r="CM175" i="14" s="1"/>
  <c r="CL186" i="14"/>
  <c r="CL181" i="14"/>
  <c r="CL180" i="14"/>
  <c r="CK188" i="14"/>
  <c r="CK189" i="14" s="1"/>
  <c r="CK190" i="14" s="1"/>
  <c r="CP112" i="10"/>
  <c r="DG107" i="10"/>
  <c r="CO120" i="10"/>
  <c r="BZ199" i="14" l="1"/>
  <c r="CA194" i="14" s="1"/>
  <c r="CA196" i="14" s="1"/>
  <c r="BZ123" i="14"/>
  <c r="BZ126" i="14" s="1"/>
  <c r="BZ200" i="14"/>
  <c r="BZ211" i="14"/>
  <c r="BZ212" i="14" s="1"/>
  <c r="CN171" i="14"/>
  <c r="CN167" i="14"/>
  <c r="CN169" i="14" s="1"/>
  <c r="CO165" i="14" s="1"/>
  <c r="DO117" i="14"/>
  <c r="DO155" i="14" s="1"/>
  <c r="DO154" i="14"/>
  <c r="DP118" i="14"/>
  <c r="CN173" i="14"/>
  <c r="CN174" i="14" s="1"/>
  <c r="CN175" i="14" s="1"/>
  <c r="CL183" i="14"/>
  <c r="CL187" i="14" s="1"/>
  <c r="CP113" i="10"/>
  <c r="DH105" i="10"/>
  <c r="CO121" i="10"/>
  <c r="CA197" i="14" l="1"/>
  <c r="CA195" i="14"/>
  <c r="CA201" i="14"/>
  <c r="CN170" i="14"/>
  <c r="CN135" i="14"/>
  <c r="CN124" i="14"/>
  <c r="CO171" i="14"/>
  <c r="CO166" i="14"/>
  <c r="CO167" i="14"/>
  <c r="DQ118" i="14"/>
  <c r="DP117" i="14"/>
  <c r="DP155" i="14" s="1"/>
  <c r="DP154" i="14"/>
  <c r="CL188" i="14"/>
  <c r="CL189" i="14" s="1"/>
  <c r="CL190" i="14" s="1"/>
  <c r="CL185" i="14"/>
  <c r="CL184" i="14"/>
  <c r="CM179" i="14" s="1"/>
  <c r="DH107" i="10"/>
  <c r="CP119" i="10"/>
  <c r="CQ111" i="10"/>
  <c r="CA198" i="14" l="1"/>
  <c r="CA202" i="14" s="1"/>
  <c r="CA203" i="14" s="1"/>
  <c r="CA204" i="14" s="1"/>
  <c r="CA205" i="14" s="1"/>
  <c r="CA209" i="14" s="1"/>
  <c r="CA210" i="14" s="1"/>
  <c r="CA134" i="14" s="1"/>
  <c r="CA137" i="14" s="1"/>
  <c r="DR118" i="14"/>
  <c r="DQ117" i="14"/>
  <c r="DQ155" i="14" s="1"/>
  <c r="DQ154" i="14"/>
  <c r="CO124" i="14"/>
  <c r="CO135" i="14"/>
  <c r="CO168" i="14"/>
  <c r="CO172" i="14" s="1"/>
  <c r="CM181" i="14"/>
  <c r="CM186" i="14"/>
  <c r="CM180" i="14"/>
  <c r="CQ112" i="10"/>
  <c r="DI105" i="10"/>
  <c r="CP120" i="10"/>
  <c r="CA211" i="14" l="1"/>
  <c r="CA212" i="14" s="1"/>
  <c r="CA123" i="14"/>
  <c r="CA126" i="14" s="1"/>
  <c r="CA199" i="14"/>
  <c r="CB194" i="14" s="1"/>
  <c r="CB196" i="14" s="1"/>
  <c r="CA200" i="14"/>
  <c r="CO169" i="14"/>
  <c r="CP165" i="14" s="1"/>
  <c r="CP167" i="14" s="1"/>
  <c r="CO170" i="14"/>
  <c r="CO182" i="14"/>
  <c r="CO173" i="14"/>
  <c r="CO174" i="14" s="1"/>
  <c r="CO175" i="14" s="1"/>
  <c r="DS118" i="14"/>
  <c r="DR154" i="14"/>
  <c r="DR117" i="14"/>
  <c r="DR155" i="14" s="1"/>
  <c r="CM183" i="14"/>
  <c r="CP121" i="10"/>
  <c r="DI107" i="10"/>
  <c r="CQ113" i="10"/>
  <c r="CB197" i="14" l="1"/>
  <c r="CB195" i="14"/>
  <c r="CB201" i="14"/>
  <c r="CP171" i="14"/>
  <c r="CP166" i="14"/>
  <c r="CP168" i="14" s="1"/>
  <c r="CP172" i="14" s="1"/>
  <c r="DS117" i="14"/>
  <c r="DS155" i="14" s="1"/>
  <c r="DS154" i="14"/>
  <c r="DT118" i="14"/>
  <c r="CP124" i="14"/>
  <c r="CP135" i="14"/>
  <c r="CM187" i="14"/>
  <c r="CM185" i="14"/>
  <c r="CM184" i="14"/>
  <c r="CN179" i="14" s="1"/>
  <c r="CQ119" i="10"/>
  <c r="CR111" i="10"/>
  <c r="DJ105" i="10"/>
  <c r="CB198" i="14" l="1"/>
  <c r="CB202" i="14" s="1"/>
  <c r="CB203" i="14" s="1"/>
  <c r="CB204" i="14" s="1"/>
  <c r="CB205" i="14" s="1"/>
  <c r="CB209" i="14" s="1"/>
  <c r="CB210" i="14" s="1"/>
  <c r="CB134" i="14" s="1"/>
  <c r="CB137" i="14" s="1"/>
  <c r="CP170" i="14"/>
  <c r="CP182" i="14"/>
  <c r="CP173" i="14"/>
  <c r="CP174" i="14" s="1"/>
  <c r="CP175" i="14" s="1"/>
  <c r="DT117" i="14"/>
  <c r="DT155" i="14" s="1"/>
  <c r="DT154" i="14"/>
  <c r="DU118" i="14"/>
  <c r="CP169" i="14"/>
  <c r="CQ165" i="14" s="1"/>
  <c r="CN181" i="14"/>
  <c r="CN186" i="14"/>
  <c r="CN180" i="14"/>
  <c r="CM188" i="14"/>
  <c r="CM189" i="14" s="1"/>
  <c r="CQ120" i="10"/>
  <c r="DJ107" i="10"/>
  <c r="CR112" i="10"/>
  <c r="CB199" i="14" l="1"/>
  <c r="CC194" i="14" s="1"/>
  <c r="CC201" i="14" s="1"/>
  <c r="CB211" i="14"/>
  <c r="CB212" i="14" s="1"/>
  <c r="CB200" i="14"/>
  <c r="CB123" i="14"/>
  <c r="CB126" i="14" s="1"/>
  <c r="CQ167" i="14"/>
  <c r="CQ166" i="14"/>
  <c r="CQ168" i="14" s="1"/>
  <c r="CQ172" i="14" s="1"/>
  <c r="CQ171" i="14"/>
  <c r="DU154" i="14"/>
  <c r="DU117" i="14"/>
  <c r="DU155" i="14" s="1"/>
  <c r="DV118" i="14"/>
  <c r="CN183" i="14"/>
  <c r="CM190" i="14"/>
  <c r="DK105" i="10"/>
  <c r="CQ121" i="10"/>
  <c r="CR113" i="10"/>
  <c r="CC197" i="14" l="1"/>
  <c r="CC195" i="14"/>
  <c r="CC196" i="14"/>
  <c r="CQ170" i="14"/>
  <c r="CQ173" i="14"/>
  <c r="CQ174" i="14" s="1"/>
  <c r="CQ175" i="14" s="1"/>
  <c r="CQ182" i="14"/>
  <c r="DV117" i="14"/>
  <c r="DV155" i="14" s="1"/>
  <c r="DV154" i="14"/>
  <c r="CQ169" i="14"/>
  <c r="CR165" i="14" s="1"/>
  <c r="CQ135" i="14"/>
  <c r="CQ124" i="14"/>
  <c r="CN185" i="14"/>
  <c r="CN187" i="14"/>
  <c r="CN188" i="14" s="1"/>
  <c r="CN189" i="14" s="1"/>
  <c r="CN190" i="14" s="1"/>
  <c r="CN184" i="14"/>
  <c r="CO179" i="14" s="1"/>
  <c r="CR119" i="10"/>
  <c r="CS111" i="10"/>
  <c r="DK107" i="10"/>
  <c r="CC198" i="14" l="1"/>
  <c r="CC202" i="14" s="1"/>
  <c r="CC203" i="14" s="1"/>
  <c r="CC204" i="14" s="1"/>
  <c r="CC205" i="14" s="1"/>
  <c r="CC209" i="14" s="1"/>
  <c r="CC123" i="14" s="1"/>
  <c r="CC126" i="14" s="1"/>
  <c r="CR166" i="14"/>
  <c r="CR168" i="14" s="1"/>
  <c r="CR172" i="14" s="1"/>
  <c r="CR182" i="14" s="1"/>
  <c r="CR167" i="14"/>
  <c r="CR171" i="14"/>
  <c r="CO181" i="14"/>
  <c r="CO186" i="14"/>
  <c r="CO180" i="14"/>
  <c r="CO183" i="14" s="1"/>
  <c r="DL105" i="10"/>
  <c r="CS112" i="10"/>
  <c r="CR120" i="10"/>
  <c r="CR121" i="10" s="1"/>
  <c r="CC200" i="14" l="1"/>
  <c r="CC210" i="14"/>
  <c r="CC134" i="14" s="1"/>
  <c r="CC137" i="14" s="1"/>
  <c r="CC199" i="14"/>
  <c r="CD194" i="14" s="1"/>
  <c r="CD196" i="14" s="1"/>
  <c r="CR173" i="14"/>
  <c r="CR174" i="14" s="1"/>
  <c r="CR175" i="14" s="1"/>
  <c r="CR169" i="14"/>
  <c r="CS165" i="14" s="1"/>
  <c r="CS167" i="14" s="1"/>
  <c r="CR170" i="14"/>
  <c r="CR124" i="14"/>
  <c r="CR135" i="14"/>
  <c r="CO187" i="14"/>
  <c r="CO188" i="14" s="1"/>
  <c r="CO189" i="14" s="1"/>
  <c r="CO190" i="14" s="1"/>
  <c r="CO185" i="14"/>
  <c r="CO184" i="14"/>
  <c r="CP179" i="14" s="1"/>
  <c r="CP181" i="14" s="1"/>
  <c r="DL107" i="10"/>
  <c r="CS113" i="10"/>
  <c r="CC211" i="14" l="1"/>
  <c r="CC212" i="14" s="1"/>
  <c r="CD201" i="14"/>
  <c r="CD195" i="14"/>
  <c r="CD197" i="14"/>
  <c r="CS171" i="14"/>
  <c r="CS166" i="14"/>
  <c r="CS168" i="14" s="1"/>
  <c r="CS172" i="14" s="1"/>
  <c r="CS124" i="14"/>
  <c r="CS135" i="14"/>
  <c r="CP186" i="14"/>
  <c r="CP180" i="14"/>
  <c r="CP183" i="14" s="1"/>
  <c r="CP187" i="14" s="1"/>
  <c r="CP188" i="14" s="1"/>
  <c r="CP189" i="14" s="1"/>
  <c r="CP190" i="14" s="1"/>
  <c r="DM105" i="10"/>
  <c r="CS119" i="10"/>
  <c r="CT111" i="10"/>
  <c r="CD198" i="14" l="1"/>
  <c r="CD202" i="14" s="1"/>
  <c r="CD203" i="14" s="1"/>
  <c r="CD204" i="14" s="1"/>
  <c r="CD205" i="14" s="1"/>
  <c r="CD209" i="14" s="1"/>
  <c r="CD123" i="14" s="1"/>
  <c r="CD126" i="14" s="1"/>
  <c r="CS170" i="14"/>
  <c r="CS169" i="14"/>
  <c r="CT165" i="14" s="1"/>
  <c r="CT166" i="14" s="1"/>
  <c r="CS173" i="14"/>
  <c r="CS174" i="14" s="1"/>
  <c r="CS175" i="14" s="1"/>
  <c r="CS182" i="14"/>
  <c r="CP185" i="14"/>
  <c r="CP184" i="14"/>
  <c r="CQ179" i="14" s="1"/>
  <c r="CQ181" i="14" s="1"/>
  <c r="CT112" i="10"/>
  <c r="CT113" i="10" s="1"/>
  <c r="DM107" i="10"/>
  <c r="CS120" i="10"/>
  <c r="CS121" i="10" s="1"/>
  <c r="CD210" i="14" l="1"/>
  <c r="CD134" i="14" s="1"/>
  <c r="CD137" i="14" s="1"/>
  <c r="CD199" i="14"/>
  <c r="CE194" i="14" s="1"/>
  <c r="CE201" i="14" s="1"/>
  <c r="CD200" i="14"/>
  <c r="CT168" i="14"/>
  <c r="CT172" i="14" s="1"/>
  <c r="CT182" i="14" s="1"/>
  <c r="CT171" i="14"/>
  <c r="CT167" i="14"/>
  <c r="CT135" i="14" s="1"/>
  <c r="CQ180" i="14"/>
  <c r="CQ183" i="14" s="1"/>
  <c r="CQ187" i="14" s="1"/>
  <c r="CQ186" i="14"/>
  <c r="CT119" i="10"/>
  <c r="CT120" i="10" s="1"/>
  <c r="CU111" i="10"/>
  <c r="DN105" i="10"/>
  <c r="CD211" i="14" l="1"/>
  <c r="CD212" i="14" s="1"/>
  <c r="CE196" i="14"/>
  <c r="CE195" i="14"/>
  <c r="CE197" i="14"/>
  <c r="CT173" i="14"/>
  <c r="CT174" i="14" s="1"/>
  <c r="CT175" i="14" s="1"/>
  <c r="CT170" i="14"/>
  <c r="CT124" i="14"/>
  <c r="CT169" i="14"/>
  <c r="CU165" i="14" s="1"/>
  <c r="CQ188" i="14"/>
  <c r="CQ189" i="14" s="1"/>
  <c r="CQ185" i="14"/>
  <c r="CQ184" i="14"/>
  <c r="CR179" i="14" s="1"/>
  <c r="CU112" i="10"/>
  <c r="DN107" i="10"/>
  <c r="CT121" i="10"/>
  <c r="CE198" i="14" l="1"/>
  <c r="CE202" i="14" s="1"/>
  <c r="CE203" i="14" s="1"/>
  <c r="CE204" i="14" s="1"/>
  <c r="CE205" i="14" s="1"/>
  <c r="CE209" i="14" s="1"/>
  <c r="CE210" i="14" s="1"/>
  <c r="CU171" i="14"/>
  <c r="CU166" i="14"/>
  <c r="CU167" i="14"/>
  <c r="CQ190" i="14"/>
  <c r="CR186" i="14"/>
  <c r="CR181" i="14"/>
  <c r="CR180" i="14"/>
  <c r="DO105" i="10"/>
  <c r="CU113" i="10"/>
  <c r="CE211" i="14" l="1"/>
  <c r="CE212" i="14" s="1"/>
  <c r="CE200" i="14"/>
  <c r="CE123" i="14"/>
  <c r="CE126" i="14" s="1"/>
  <c r="CE199" i="14"/>
  <c r="CF194" i="14" s="1"/>
  <c r="CF196" i="14" s="1"/>
  <c r="CE134" i="14"/>
  <c r="CE137" i="14" s="1"/>
  <c r="CU135" i="14"/>
  <c r="CU124" i="14"/>
  <c r="CU168" i="14"/>
  <c r="CU172" i="14" s="1"/>
  <c r="CR183" i="14"/>
  <c r="CR187" i="14" s="1"/>
  <c r="CR188" i="14" s="1"/>
  <c r="CR189" i="14" s="1"/>
  <c r="CR190" i="14" s="1"/>
  <c r="CU119" i="10"/>
  <c r="CV111" i="10"/>
  <c r="DO107" i="10"/>
  <c r="CF195" i="14" l="1"/>
  <c r="CF197" i="14"/>
  <c r="CF201" i="14"/>
  <c r="CU169" i="14"/>
  <c r="CV165" i="14" s="1"/>
  <c r="CU170" i="14"/>
  <c r="CU182" i="14"/>
  <c r="CU173" i="14"/>
  <c r="CU174" i="14" s="1"/>
  <c r="CU175" i="14" s="1"/>
  <c r="CR185" i="14"/>
  <c r="CR184" i="14"/>
  <c r="CS179" i="14" s="1"/>
  <c r="CU120" i="10"/>
  <c r="CU121" i="10" s="1"/>
  <c r="CV112" i="10"/>
  <c r="CV113" i="10" s="1"/>
  <c r="DP105" i="10"/>
  <c r="CF198" i="14" l="1"/>
  <c r="CF202" i="14" s="1"/>
  <c r="CF203" i="14" s="1"/>
  <c r="CF204" i="14" s="1"/>
  <c r="CF205" i="14" s="1"/>
  <c r="CF209" i="14" s="1"/>
  <c r="CF210" i="14" s="1"/>
  <c r="CF134" i="14" s="1"/>
  <c r="CF137" i="14" s="1"/>
  <c r="CV167" i="14"/>
  <c r="CV171" i="14"/>
  <c r="CV166" i="14"/>
  <c r="CV168" i="14" s="1"/>
  <c r="CV172" i="14" s="1"/>
  <c r="CS186" i="14"/>
  <c r="CS180" i="14"/>
  <c r="CS183" i="14" s="1"/>
  <c r="CS181" i="14"/>
  <c r="DP107" i="10"/>
  <c r="CV119" i="10"/>
  <c r="CW111" i="10"/>
  <c r="CF211" i="14" l="1"/>
  <c r="CF212" i="14" s="1"/>
  <c r="CF199" i="14"/>
  <c r="CG194" i="14" s="1"/>
  <c r="CG196" i="14" s="1"/>
  <c r="CF200" i="14"/>
  <c r="CF123" i="14"/>
  <c r="CF126" i="14" s="1"/>
  <c r="CV173" i="14"/>
  <c r="CV174" i="14" s="1"/>
  <c r="CV175" i="14" s="1"/>
  <c r="CV182" i="14"/>
  <c r="CV169" i="14"/>
  <c r="CW165" i="14" s="1"/>
  <c r="CV170" i="14"/>
  <c r="CV124" i="14"/>
  <c r="CV135" i="14"/>
  <c r="CS187" i="14"/>
  <c r="CS185" i="14"/>
  <c r="CS184" i="14"/>
  <c r="CT179" i="14" s="1"/>
  <c r="CT180" i="14" s="1"/>
  <c r="CT183" i="14" s="1"/>
  <c r="CT187" i="14" s="1"/>
  <c r="DQ105" i="10"/>
  <c r="CV120" i="10"/>
  <c r="CV121" i="10" s="1"/>
  <c r="CW112" i="10"/>
  <c r="CW113" i="10" s="1"/>
  <c r="CG197" i="14" l="1"/>
  <c r="CG195" i="14"/>
  <c r="CG201" i="14"/>
  <c r="CW167" i="14"/>
  <c r="CW166" i="14"/>
  <c r="CW168" i="14" s="1"/>
  <c r="CW172" i="14" s="1"/>
  <c r="CW171" i="14"/>
  <c r="CT181" i="14"/>
  <c r="CT185" i="14" s="1"/>
  <c r="CT186" i="14"/>
  <c r="CS188" i="14"/>
  <c r="CS189" i="14" s="1"/>
  <c r="CS190" i="14" s="1"/>
  <c r="CT188" i="14"/>
  <c r="CT189" i="14" s="1"/>
  <c r="CT190" i="14" s="1"/>
  <c r="CW119" i="10"/>
  <c r="CX111" i="10"/>
  <c r="DQ107" i="10"/>
  <c r="CG198" i="14" l="1"/>
  <c r="CG200" i="14" s="1"/>
  <c r="CW170" i="14"/>
  <c r="CW169" i="14"/>
  <c r="CX165" i="14" s="1"/>
  <c r="CW173" i="14"/>
  <c r="CW174" i="14" s="1"/>
  <c r="CW175" i="14" s="1"/>
  <c r="CW182" i="14"/>
  <c r="CW135" i="14"/>
  <c r="CW124" i="14"/>
  <c r="CT184" i="14"/>
  <c r="CU179" i="14" s="1"/>
  <c r="CU186" i="14" s="1"/>
  <c r="CX112" i="10"/>
  <c r="CX113" i="10" s="1"/>
  <c r="CW120" i="10"/>
  <c r="CW121" i="10" s="1"/>
  <c r="DR105" i="10"/>
  <c r="CG199" i="14" l="1"/>
  <c r="CH194" i="14" s="1"/>
  <c r="CH201" i="14" s="1"/>
  <c r="CG202" i="14"/>
  <c r="CG203" i="14" s="1"/>
  <c r="CG204" i="14" s="1"/>
  <c r="CG205" i="14" s="1"/>
  <c r="CG209" i="14" s="1"/>
  <c r="CG210" i="14" s="1"/>
  <c r="CG134" i="14" s="1"/>
  <c r="CG137" i="14" s="1"/>
  <c r="CX167" i="14"/>
  <c r="CX166" i="14"/>
  <c r="CX168" i="14" s="1"/>
  <c r="CX172" i="14" s="1"/>
  <c r="CX182" i="14" s="1"/>
  <c r="CX171" i="14"/>
  <c r="CU181" i="14"/>
  <c r="CU180" i="14"/>
  <c r="CU183" i="14" s="1"/>
  <c r="CX119" i="10"/>
  <c r="CX120" i="10" s="1"/>
  <c r="CY111" i="10"/>
  <c r="DR107" i="10"/>
  <c r="CH196" i="14" l="1"/>
  <c r="CG123" i="14"/>
  <c r="CG126" i="14" s="1"/>
  <c r="CG211" i="14"/>
  <c r="CG212" i="14" s="1"/>
  <c r="CH197" i="14"/>
  <c r="CH195" i="14"/>
  <c r="CX170" i="14"/>
  <c r="CX173" i="14"/>
  <c r="CX174" i="14" s="1"/>
  <c r="CX175" i="14" s="1"/>
  <c r="CX169" i="14"/>
  <c r="CY165" i="14" s="1"/>
  <c r="CX135" i="14"/>
  <c r="CX124" i="14"/>
  <c r="CU185" i="14"/>
  <c r="CU187" i="14"/>
  <c r="CU188" i="14" s="1"/>
  <c r="CU189" i="14" s="1"/>
  <c r="CU184" i="14"/>
  <c r="CV179" i="14" s="1"/>
  <c r="CV180" i="14" s="1"/>
  <c r="CX121" i="10"/>
  <c r="DS105" i="10"/>
  <c r="CY112" i="10"/>
  <c r="CH198" i="14" l="1"/>
  <c r="CH202" i="14" s="1"/>
  <c r="CH203" i="14" s="1"/>
  <c r="CH204" i="14" s="1"/>
  <c r="CH205" i="14" s="1"/>
  <c r="CH209" i="14" s="1"/>
  <c r="CH210" i="14" s="1"/>
  <c r="CH134" i="14" s="1"/>
  <c r="CH137" i="14" s="1"/>
  <c r="CY166" i="14"/>
  <c r="CY168" i="14" s="1"/>
  <c r="CY172" i="14" s="1"/>
  <c r="CY167" i="14"/>
  <c r="CY171" i="14"/>
  <c r="CV186" i="14"/>
  <c r="CV181" i="14"/>
  <c r="CU190" i="14"/>
  <c r="CV183" i="14"/>
  <c r="CV187" i="14" s="1"/>
  <c r="DS107" i="10"/>
  <c r="CY113" i="10"/>
  <c r="CH199" i="14" l="1"/>
  <c r="CI194" i="14" s="1"/>
  <c r="CI197" i="14" s="1"/>
  <c r="CH211" i="14"/>
  <c r="CH212" i="14" s="1"/>
  <c r="CH123" i="14"/>
  <c r="CH126" i="14" s="1"/>
  <c r="CH200" i="14"/>
  <c r="CY182" i="14"/>
  <c r="CY173" i="14"/>
  <c r="CY174" i="14" s="1"/>
  <c r="CY175" i="14" s="1"/>
  <c r="CY124" i="14"/>
  <c r="CY135" i="14"/>
  <c r="CY170" i="14"/>
  <c r="CY169" i="14"/>
  <c r="CZ165" i="14" s="1"/>
  <c r="CV188" i="14"/>
  <c r="CV189" i="14" s="1"/>
  <c r="CV190" i="14" s="1"/>
  <c r="CV185" i="14"/>
  <c r="CV184" i="14"/>
  <c r="CW179" i="14" s="1"/>
  <c r="CY119" i="10"/>
  <c r="CZ111" i="10"/>
  <c r="DT105" i="10"/>
  <c r="CI201" i="14" l="1"/>
  <c r="CI195" i="14"/>
  <c r="CI198" i="14" s="1"/>
  <c r="CI202" i="14" s="1"/>
  <c r="CI203" i="14" s="1"/>
  <c r="CI204" i="14" s="1"/>
  <c r="CI205" i="14" s="1"/>
  <c r="CI209" i="14" s="1"/>
  <c r="CI123" i="14" s="1"/>
  <c r="CI126" i="14" s="1"/>
  <c r="CI196" i="14"/>
  <c r="CZ167" i="14"/>
  <c r="CZ171" i="14"/>
  <c r="CZ166" i="14"/>
  <c r="CZ168" i="14" s="1"/>
  <c r="CZ172" i="14" s="1"/>
  <c r="CW186" i="14"/>
  <c r="CW181" i="14"/>
  <c r="CW180" i="14"/>
  <c r="DT107" i="10"/>
  <c r="CZ112" i="10"/>
  <c r="CY120" i="10"/>
  <c r="CY121" i="10" s="1"/>
  <c r="CI199" i="14" l="1"/>
  <c r="CJ194" i="14" s="1"/>
  <c r="CJ201" i="14" s="1"/>
  <c r="CI210" i="14"/>
  <c r="CI134" i="14" s="1"/>
  <c r="CI137" i="14" s="1"/>
  <c r="CI200" i="14"/>
  <c r="CZ169" i="14"/>
  <c r="DA165" i="14" s="1"/>
  <c r="CZ182" i="14"/>
  <c r="CZ173" i="14"/>
  <c r="CZ174" i="14" s="1"/>
  <c r="CZ175" i="14" s="1"/>
  <c r="CZ124" i="14"/>
  <c r="CZ135" i="14"/>
  <c r="CZ170" i="14"/>
  <c r="CW183" i="14"/>
  <c r="CW187" i="14" s="1"/>
  <c r="CZ113" i="10"/>
  <c r="DU105" i="10"/>
  <c r="CI211" i="14" l="1"/>
  <c r="CI212" i="14" s="1"/>
  <c r="CJ197" i="14"/>
  <c r="CJ196" i="14"/>
  <c r="CJ195" i="14"/>
  <c r="DA167" i="14"/>
  <c r="DA166" i="14"/>
  <c r="DA171" i="14"/>
  <c r="CW188" i="14"/>
  <c r="CW189" i="14" s="1"/>
  <c r="CW185" i="14"/>
  <c r="CW184" i="14"/>
  <c r="CX179" i="14" s="1"/>
  <c r="DU107" i="10"/>
  <c r="CZ119" i="10"/>
  <c r="DA111" i="10"/>
  <c r="CJ198" i="14" l="1"/>
  <c r="CJ202" i="14" s="1"/>
  <c r="CJ203" i="14" s="1"/>
  <c r="CJ204" i="14" s="1"/>
  <c r="CJ205" i="14" s="1"/>
  <c r="CJ209" i="14" s="1"/>
  <c r="CJ123" i="14" s="1"/>
  <c r="CJ126" i="14" s="1"/>
  <c r="DA168" i="14"/>
  <c r="DA172" i="14" s="1"/>
  <c r="DA135" i="14"/>
  <c r="DA124" i="14"/>
  <c r="CW190" i="14"/>
  <c r="CX181" i="14"/>
  <c r="CX186" i="14"/>
  <c r="CX180" i="14"/>
  <c r="CX183" i="14" s="1"/>
  <c r="CX187" i="14" s="1"/>
  <c r="DV105" i="10"/>
  <c r="DA112" i="10"/>
  <c r="DA113" i="10" s="1"/>
  <c r="CZ120" i="10"/>
  <c r="CJ199" i="14" l="1"/>
  <c r="CK194" i="14" s="1"/>
  <c r="CK195" i="14" s="1"/>
  <c r="CJ210" i="14"/>
  <c r="CJ134" i="14" s="1"/>
  <c r="CJ137" i="14" s="1"/>
  <c r="CJ200" i="14"/>
  <c r="CZ121" i="10"/>
  <c r="DA119" i="10" s="1"/>
  <c r="DA170" i="14"/>
  <c r="DA169" i="14"/>
  <c r="DB165" i="14" s="1"/>
  <c r="DB171" i="14" s="1"/>
  <c r="DA173" i="14"/>
  <c r="DA174" i="14" s="1"/>
  <c r="DA175" i="14" s="1"/>
  <c r="DA182" i="14"/>
  <c r="CX188" i="14"/>
  <c r="CX185" i="14"/>
  <c r="CX184" i="14"/>
  <c r="CY179" i="14" s="1"/>
  <c r="DV107" i="10"/>
  <c r="DB111" i="10"/>
  <c r="CK196" i="14" l="1"/>
  <c r="CK197" i="14"/>
  <c r="CK198" i="14" s="1"/>
  <c r="CK202" i="14" s="1"/>
  <c r="CK203" i="14" s="1"/>
  <c r="CK204" i="14" s="1"/>
  <c r="CK205" i="14" s="1"/>
  <c r="CK209" i="14" s="1"/>
  <c r="CK123" i="14" s="1"/>
  <c r="CK126" i="14" s="1"/>
  <c r="CK201" i="14"/>
  <c r="CJ211" i="14"/>
  <c r="CJ212" i="14" s="1"/>
  <c r="DB167" i="14"/>
  <c r="DB135" i="14" s="1"/>
  <c r="DB166" i="14"/>
  <c r="DB168" i="14" s="1"/>
  <c r="DB172" i="14" s="1"/>
  <c r="CY181" i="14"/>
  <c r="CY186" i="14"/>
  <c r="CY180" i="14"/>
  <c r="CX189" i="14"/>
  <c r="CX190" i="14" s="1"/>
  <c r="DW105" i="10"/>
  <c r="DB112" i="10"/>
  <c r="DA120" i="10"/>
  <c r="DA121" i="10" s="1"/>
  <c r="CK199" i="14" l="1"/>
  <c r="CL194" i="14" s="1"/>
  <c r="CL196" i="14" s="1"/>
  <c r="CK210" i="14"/>
  <c r="CK134" i="14" s="1"/>
  <c r="CK137" i="14" s="1"/>
  <c r="CK200" i="14"/>
  <c r="DB124" i="14"/>
  <c r="DB173" i="14"/>
  <c r="DB174" i="14" s="1"/>
  <c r="DB175" i="14" s="1"/>
  <c r="DB182" i="14"/>
  <c r="DB169" i="14"/>
  <c r="DC165" i="14" s="1"/>
  <c r="DB170" i="14"/>
  <c r="CY183" i="14"/>
  <c r="CY187" i="14" s="1"/>
  <c r="DB113" i="10"/>
  <c r="DW107" i="10"/>
  <c r="CK211" i="14" l="1"/>
  <c r="CK212" i="14" s="1"/>
  <c r="CL197" i="14"/>
  <c r="CL201" i="14"/>
  <c r="CL195" i="14"/>
  <c r="DC171" i="14"/>
  <c r="DC166" i="14"/>
  <c r="DC168" i="14" s="1"/>
  <c r="DC172" i="14" s="1"/>
  <c r="DC182" i="14" s="1"/>
  <c r="DC167" i="14"/>
  <c r="CY188" i="14"/>
  <c r="CY189" i="14" s="1"/>
  <c r="CY185" i="14"/>
  <c r="CY184" i="14"/>
  <c r="CZ179" i="14" s="1"/>
  <c r="DB119" i="10"/>
  <c r="DC111" i="10"/>
  <c r="DX105" i="10"/>
  <c r="CL198" i="14" l="1"/>
  <c r="CL202" i="14" s="1"/>
  <c r="CL203" i="14" s="1"/>
  <c r="CL204" i="14" s="1"/>
  <c r="CL205" i="14" s="1"/>
  <c r="CL209" i="14" s="1"/>
  <c r="CL210" i="14" s="1"/>
  <c r="CL134" i="14" s="1"/>
  <c r="CL137" i="14" s="1"/>
  <c r="DC170" i="14"/>
  <c r="DC169" i="14"/>
  <c r="DD165" i="14" s="1"/>
  <c r="DC135" i="14"/>
  <c r="DC124" i="14"/>
  <c r="DC173" i="14"/>
  <c r="DC174" i="14" s="1"/>
  <c r="DC175" i="14" s="1"/>
  <c r="CY190" i="14"/>
  <c r="CZ186" i="14"/>
  <c r="CZ181" i="14"/>
  <c r="CZ180" i="14"/>
  <c r="DX107" i="10"/>
  <c r="DC112" i="10"/>
  <c r="DC113" i="10" s="1"/>
  <c r="DB120" i="10"/>
  <c r="DB121" i="10" s="1"/>
  <c r="CL200" i="14" l="1"/>
  <c r="CL199" i="14"/>
  <c r="CM194" i="14" s="1"/>
  <c r="CM195" i="14" s="1"/>
  <c r="CL123" i="14"/>
  <c r="CL126" i="14" s="1"/>
  <c r="CL211" i="14"/>
  <c r="CL212" i="14" s="1"/>
  <c r="DD167" i="14"/>
  <c r="DD171" i="14"/>
  <c r="DD166" i="14"/>
  <c r="DD168" i="14" s="1"/>
  <c r="DD172" i="14" s="1"/>
  <c r="DD182" i="14" s="1"/>
  <c r="CZ183" i="14"/>
  <c r="DC119" i="10"/>
  <c r="DC120" i="10" s="1"/>
  <c r="DD111" i="10"/>
  <c r="DY105" i="10"/>
  <c r="CM196" i="14" l="1"/>
  <c r="CM201" i="14"/>
  <c r="CM197" i="14"/>
  <c r="CM198" i="14" s="1"/>
  <c r="CM202" i="14" s="1"/>
  <c r="CM203" i="14" s="1"/>
  <c r="CM204" i="14" s="1"/>
  <c r="CM205" i="14" s="1"/>
  <c r="CM209" i="14" s="1"/>
  <c r="CM123" i="14" s="1"/>
  <c r="CM126" i="14" s="1"/>
  <c r="DD170" i="14"/>
  <c r="DD169" i="14"/>
  <c r="DE165" i="14" s="1"/>
  <c r="DD173" i="14"/>
  <c r="DD174" i="14" s="1"/>
  <c r="DD175" i="14" s="1"/>
  <c r="DD124" i="14"/>
  <c r="DD135" i="14"/>
  <c r="CZ185" i="14"/>
  <c r="CZ187" i="14"/>
  <c r="CZ184" i="14"/>
  <c r="DA179" i="14" s="1"/>
  <c r="DD112" i="10"/>
  <c r="DY107" i="10"/>
  <c r="DC121" i="10"/>
  <c r="CM210" i="14" l="1"/>
  <c r="CM134" i="14" s="1"/>
  <c r="CM137" i="14" s="1"/>
  <c r="CM199" i="14"/>
  <c r="CN194" i="14" s="1"/>
  <c r="CN195" i="14" s="1"/>
  <c r="CM200" i="14"/>
  <c r="DE171" i="14"/>
  <c r="DE167" i="14"/>
  <c r="DE166" i="14"/>
  <c r="DE168" i="14" s="1"/>
  <c r="DE172" i="14" s="1"/>
  <c r="DE182" i="14" s="1"/>
  <c r="DA181" i="14"/>
  <c r="DA186" i="14"/>
  <c r="DA180" i="14"/>
  <c r="CZ188" i="14"/>
  <c r="CZ189" i="14" s="1"/>
  <c r="DD113" i="10"/>
  <c r="DZ105" i="10"/>
  <c r="CN201" i="14" l="1"/>
  <c r="CN197" i="14"/>
  <c r="CN198" i="14" s="1"/>
  <c r="CN202" i="14" s="1"/>
  <c r="CN203" i="14" s="1"/>
  <c r="CN204" i="14" s="1"/>
  <c r="CN205" i="14" s="1"/>
  <c r="CN209" i="14" s="1"/>
  <c r="CN123" i="14" s="1"/>
  <c r="CN126" i="14" s="1"/>
  <c r="CN196" i="14"/>
  <c r="CM211" i="14"/>
  <c r="CM212" i="14" s="1"/>
  <c r="DE173" i="14"/>
  <c r="DE174" i="14" s="1"/>
  <c r="DE175" i="14" s="1"/>
  <c r="DE169" i="14"/>
  <c r="DF165" i="14" s="1"/>
  <c r="DE124" i="14"/>
  <c r="DE135" i="14"/>
  <c r="DE170" i="14"/>
  <c r="CZ190" i="14"/>
  <c r="DA183" i="14"/>
  <c r="DD119" i="10"/>
  <c r="DE111" i="10"/>
  <c r="DZ107" i="10"/>
  <c r="CN199" i="14" l="1"/>
  <c r="CO194" i="14" s="1"/>
  <c r="CO201" i="14" s="1"/>
  <c r="CN200" i="14"/>
  <c r="CN210" i="14"/>
  <c r="CN211" i="14" s="1"/>
  <c r="CN212" i="14" s="1"/>
  <c r="DF171" i="14"/>
  <c r="DF167" i="14"/>
  <c r="DF166" i="14"/>
  <c r="DF168" i="14" s="1"/>
  <c r="DF172" i="14" s="1"/>
  <c r="DF182" i="14" s="1"/>
  <c r="DA187" i="14"/>
  <c r="DA185" i="14"/>
  <c r="DA184" i="14"/>
  <c r="DB179" i="14" s="1"/>
  <c r="EA105" i="10"/>
  <c r="DE112" i="10"/>
  <c r="DD120" i="10"/>
  <c r="DD121" i="10" s="1"/>
  <c r="CN134" i="14" l="1"/>
  <c r="CN137" i="14" s="1"/>
  <c r="CO195" i="14"/>
  <c r="CO197" i="14"/>
  <c r="CO196" i="14"/>
  <c r="DF169" i="14"/>
  <c r="DG165" i="14" s="1"/>
  <c r="DF173" i="14"/>
  <c r="DF174" i="14" s="1"/>
  <c r="DF175" i="14" s="1"/>
  <c r="DF135" i="14"/>
  <c r="DF124" i="14"/>
  <c r="DF170" i="14"/>
  <c r="DB186" i="14"/>
  <c r="DB181" i="14"/>
  <c r="DB180" i="14"/>
  <c r="DB183" i="14" s="1"/>
  <c r="DA188" i="14"/>
  <c r="DA189" i="14" s="1"/>
  <c r="DA190" i="14" s="1"/>
  <c r="DE113" i="10"/>
  <c r="EA107" i="10"/>
  <c r="CO198" i="14" l="1"/>
  <c r="CO199" i="14" s="1"/>
  <c r="CP194" i="14" s="1"/>
  <c r="CP196" i="14" s="1"/>
  <c r="DG167" i="14"/>
  <c r="DG171" i="14"/>
  <c r="DG166" i="14"/>
  <c r="DG168" i="14" s="1"/>
  <c r="DG172" i="14" s="1"/>
  <c r="DB185" i="14"/>
  <c r="DB187" i="14"/>
  <c r="DB184" i="14"/>
  <c r="DC179" i="14" s="1"/>
  <c r="EB105" i="10"/>
  <c r="DE119" i="10"/>
  <c r="DF111" i="10"/>
  <c r="CP195" i="14" l="1"/>
  <c r="CP201" i="14"/>
  <c r="CO202" i="14"/>
  <c r="CO203" i="14" s="1"/>
  <c r="CO204" i="14" s="1"/>
  <c r="CO205" i="14" s="1"/>
  <c r="CO209" i="14" s="1"/>
  <c r="CO210" i="14" s="1"/>
  <c r="CO134" i="14" s="1"/>
  <c r="CO137" i="14" s="1"/>
  <c r="CP197" i="14"/>
  <c r="CO200" i="14"/>
  <c r="DG170" i="14"/>
  <c r="DG173" i="14"/>
  <c r="DG174" i="14" s="1"/>
  <c r="DG175" i="14" s="1"/>
  <c r="DG182" i="14"/>
  <c r="DG169" i="14"/>
  <c r="DH165" i="14" s="1"/>
  <c r="DG124" i="14"/>
  <c r="DG135" i="14"/>
  <c r="DC181" i="14"/>
  <c r="DC186" i="14"/>
  <c r="DC180" i="14"/>
  <c r="DC183" i="14" s="1"/>
  <c r="DC187" i="14" s="1"/>
  <c r="DB188" i="14"/>
  <c r="DB189" i="14" s="1"/>
  <c r="DF112" i="10"/>
  <c r="DE120" i="10"/>
  <c r="DE121" i="10" s="1"/>
  <c r="EB107" i="10"/>
  <c r="CP198" i="14" l="1"/>
  <c r="CP200" i="14" s="1"/>
  <c r="CO123" i="14"/>
  <c r="CO126" i="14" s="1"/>
  <c r="CO211" i="14"/>
  <c r="CO212" i="14" s="1"/>
  <c r="DH167" i="14"/>
  <c r="DH166" i="14"/>
  <c r="DH168" i="14" s="1"/>
  <c r="DH172" i="14" s="1"/>
  <c r="DH182" i="14" s="1"/>
  <c r="DH171" i="14"/>
  <c r="DC185" i="14"/>
  <c r="DC188" i="14"/>
  <c r="DC189" i="14" s="1"/>
  <c r="DC190" i="14" s="1"/>
  <c r="DB190" i="14"/>
  <c r="DC184" i="14"/>
  <c r="DD179" i="14" s="1"/>
  <c r="EC105" i="10"/>
  <c r="DF113" i="10"/>
  <c r="CP202" i="14" l="1"/>
  <c r="CP203" i="14" s="1"/>
  <c r="CP204" i="14" s="1"/>
  <c r="CP205" i="14" s="1"/>
  <c r="CP209" i="14" s="1"/>
  <c r="CP123" i="14" s="1"/>
  <c r="CP126" i="14" s="1"/>
  <c r="CP199" i="14"/>
  <c r="CQ194" i="14" s="1"/>
  <c r="CQ195" i="14" s="1"/>
  <c r="DH173" i="14"/>
  <c r="DH174" i="14" s="1"/>
  <c r="DH175" i="14" s="1"/>
  <c r="DH169" i="14"/>
  <c r="DI165" i="14" s="1"/>
  <c r="DH170" i="14"/>
  <c r="DH124" i="14"/>
  <c r="DH135" i="14"/>
  <c r="DD181" i="14"/>
  <c r="DD186" i="14"/>
  <c r="DD180" i="14"/>
  <c r="EC107" i="10"/>
  <c r="DF119" i="10"/>
  <c r="DG111" i="10"/>
  <c r="CQ197" i="14" l="1"/>
  <c r="CQ198" i="14" s="1"/>
  <c r="CQ202" i="14" s="1"/>
  <c r="CQ203" i="14" s="1"/>
  <c r="CQ204" i="14" s="1"/>
  <c r="CQ205" i="14" s="1"/>
  <c r="CQ209" i="14" s="1"/>
  <c r="CQ123" i="14" s="1"/>
  <c r="CQ126" i="14" s="1"/>
  <c r="CP210" i="14"/>
  <c r="CP134" i="14" s="1"/>
  <c r="CP137" i="14" s="1"/>
  <c r="CQ196" i="14"/>
  <c r="CQ201" i="14"/>
  <c r="DI171" i="14"/>
  <c r="DI167" i="14"/>
  <c r="DI166" i="14"/>
  <c r="DI168" i="14" s="1"/>
  <c r="DI172" i="14" s="1"/>
  <c r="DD183" i="14"/>
  <c r="DG112" i="10"/>
  <c r="DF120" i="10"/>
  <c r="DF121" i="10" s="1"/>
  <c r="ED105" i="10"/>
  <c r="CP211" i="14" l="1"/>
  <c r="CP212" i="14" s="1"/>
  <c r="CQ200" i="14"/>
  <c r="CQ199" i="14"/>
  <c r="CR194" i="14" s="1"/>
  <c r="CR197" i="14" s="1"/>
  <c r="CQ210" i="14"/>
  <c r="CQ134" i="14" s="1"/>
  <c r="CQ137" i="14" s="1"/>
  <c r="DI169" i="14"/>
  <c r="DJ165" i="14" s="1"/>
  <c r="DI173" i="14"/>
  <c r="DI174" i="14" s="1"/>
  <c r="DI175" i="14" s="1"/>
  <c r="DI182" i="14"/>
  <c r="DI124" i="14"/>
  <c r="DI135" i="14"/>
  <c r="DI170" i="14"/>
  <c r="DD187" i="14"/>
  <c r="DD185" i="14"/>
  <c r="DD184" i="14"/>
  <c r="DE179" i="14" s="1"/>
  <c r="DG113" i="10"/>
  <c r="ED107" i="10"/>
  <c r="CR195" i="14" l="1"/>
  <c r="CR198" i="14" s="1"/>
  <c r="CR202" i="14" s="1"/>
  <c r="CR203" i="14" s="1"/>
  <c r="CR204" i="14" s="1"/>
  <c r="CR205" i="14" s="1"/>
  <c r="CR209" i="14" s="1"/>
  <c r="CR123" i="14" s="1"/>
  <c r="CR126" i="14" s="1"/>
  <c r="CR201" i="14"/>
  <c r="CR196" i="14"/>
  <c r="CQ211" i="14"/>
  <c r="CQ212" i="14" s="1"/>
  <c r="DJ167" i="14"/>
  <c r="DJ171" i="14"/>
  <c r="DJ166" i="14"/>
  <c r="DJ168" i="14" s="1"/>
  <c r="DJ172" i="14" s="1"/>
  <c r="DE186" i="14"/>
  <c r="DE181" i="14"/>
  <c r="DE180" i="14"/>
  <c r="DD188" i="14"/>
  <c r="DD189" i="14" s="1"/>
  <c r="DG119" i="10"/>
  <c r="DH111" i="10"/>
  <c r="EE105" i="10"/>
  <c r="CR200" i="14" l="1"/>
  <c r="CR199" i="14"/>
  <c r="CS194" i="14" s="1"/>
  <c r="CS196" i="14" s="1"/>
  <c r="CR210" i="14"/>
  <c r="CR134" i="14" s="1"/>
  <c r="CR137" i="14" s="1"/>
  <c r="DJ169" i="14"/>
  <c r="DK165" i="14" s="1"/>
  <c r="DJ173" i="14"/>
  <c r="DJ174" i="14" s="1"/>
  <c r="DJ175" i="14" s="1"/>
  <c r="DJ182" i="14"/>
  <c r="DJ170" i="14"/>
  <c r="DJ124" i="14"/>
  <c r="DJ135" i="14"/>
  <c r="DD190" i="14"/>
  <c r="DE183" i="14"/>
  <c r="DG120" i="10"/>
  <c r="DG121" i="10" s="1"/>
  <c r="EE107" i="10"/>
  <c r="DH112" i="10"/>
  <c r="CS197" i="14" l="1"/>
  <c r="CS201" i="14"/>
  <c r="CS195" i="14"/>
  <c r="CR211" i="14"/>
  <c r="CR212" i="14" s="1"/>
  <c r="DK167" i="14"/>
  <c r="DK166" i="14"/>
  <c r="DK168" i="14" s="1"/>
  <c r="DK171" i="14"/>
  <c r="DE187" i="14"/>
  <c r="DE185" i="14"/>
  <c r="DE184" i="14"/>
  <c r="DF179" i="14" s="1"/>
  <c r="EF105" i="10"/>
  <c r="DH113" i="10"/>
  <c r="CS198" i="14" l="1"/>
  <c r="CS202" i="14" s="1"/>
  <c r="CS203" i="14" s="1"/>
  <c r="CS204" i="14" s="1"/>
  <c r="CS205" i="14" s="1"/>
  <c r="CS209" i="14" s="1"/>
  <c r="CS123" i="14" s="1"/>
  <c r="CS126" i="14" s="1"/>
  <c r="DK170" i="14"/>
  <c r="DK169" i="14"/>
  <c r="DL165" i="14" s="1"/>
  <c r="DK172" i="14"/>
  <c r="DK135" i="14"/>
  <c r="DK124" i="14"/>
  <c r="DE188" i="14"/>
  <c r="DE189" i="14" s="1"/>
  <c r="DF181" i="14"/>
  <c r="DF186" i="14"/>
  <c r="DF180" i="14"/>
  <c r="DF183" i="14" s="1"/>
  <c r="DF187" i="14" s="1"/>
  <c r="DH119" i="10"/>
  <c r="DI111" i="10"/>
  <c r="EF107" i="10"/>
  <c r="CS199" i="14" l="1"/>
  <c r="CT194" i="14" s="1"/>
  <c r="CT195" i="14" s="1"/>
  <c r="CS210" i="14"/>
  <c r="CS134" i="14" s="1"/>
  <c r="CS137" i="14" s="1"/>
  <c r="CS200" i="14"/>
  <c r="DK173" i="14"/>
  <c r="DK174" i="14" s="1"/>
  <c r="DK175" i="14" s="1"/>
  <c r="DK182" i="14"/>
  <c r="DL167" i="14"/>
  <c r="DL166" i="14"/>
  <c r="DL168" i="14" s="1"/>
  <c r="DL172" i="14" s="1"/>
  <c r="DL182" i="14" s="1"/>
  <c r="DL171" i="14"/>
  <c r="DF188" i="14"/>
  <c r="DF189" i="14" s="1"/>
  <c r="DF190" i="14" s="1"/>
  <c r="DF185" i="14"/>
  <c r="DE190" i="14"/>
  <c r="DF184" i="14"/>
  <c r="DG179" i="14" s="1"/>
  <c r="EG105" i="10"/>
  <c r="DI112" i="10"/>
  <c r="DI113" i="10" s="1"/>
  <c r="DH120" i="10"/>
  <c r="DH121" i="10" s="1"/>
  <c r="CS211" i="14" l="1"/>
  <c r="CS212" i="14" s="1"/>
  <c r="CT197" i="14"/>
  <c r="CT198" i="14" s="1"/>
  <c r="CT202" i="14" s="1"/>
  <c r="CT203" i="14" s="1"/>
  <c r="CT204" i="14" s="1"/>
  <c r="CT205" i="14" s="1"/>
  <c r="CT209" i="14" s="1"/>
  <c r="CT123" i="14" s="1"/>
  <c r="CT126" i="14" s="1"/>
  <c r="CT196" i="14"/>
  <c r="CT201" i="14"/>
  <c r="DL173" i="14"/>
  <c r="DL174" i="14" s="1"/>
  <c r="DL175" i="14" s="1"/>
  <c r="DL169" i="14"/>
  <c r="DM165" i="14" s="1"/>
  <c r="DL124" i="14"/>
  <c r="DL135" i="14"/>
  <c r="DL170" i="14"/>
  <c r="DG181" i="14"/>
  <c r="DG186" i="14"/>
  <c r="DG180" i="14"/>
  <c r="DG183" i="14" s="1"/>
  <c r="DG187" i="14" s="1"/>
  <c r="DI119" i="10"/>
  <c r="DI120" i="10" s="1"/>
  <c r="DJ111" i="10"/>
  <c r="EG107" i="10"/>
  <c r="CT199" i="14" l="1"/>
  <c r="CU194" i="14" s="1"/>
  <c r="CU201" i="14" s="1"/>
  <c r="CT200" i="14"/>
  <c r="CT210" i="14"/>
  <c r="CT134" i="14" s="1"/>
  <c r="CT137" i="14" s="1"/>
  <c r="DM167" i="14"/>
  <c r="DM171" i="14"/>
  <c r="DM166" i="14"/>
  <c r="DM168" i="14" s="1"/>
  <c r="DG185" i="14"/>
  <c r="DG188" i="14"/>
  <c r="DG189" i="14" s="1"/>
  <c r="DG190" i="14" s="1"/>
  <c r="DG184" i="14"/>
  <c r="DH179" i="14" s="1"/>
  <c r="EH105" i="10"/>
  <c r="DJ112" i="10"/>
  <c r="DJ113" i="10" s="1"/>
  <c r="DI121" i="10"/>
  <c r="CU195" i="14" l="1"/>
  <c r="CU197" i="14"/>
  <c r="CU196" i="14"/>
  <c r="CT211" i="14"/>
  <c r="CT212" i="14" s="1"/>
  <c r="DM170" i="14"/>
  <c r="DM169" i="14"/>
  <c r="DN165" i="14" s="1"/>
  <c r="DM172" i="14"/>
  <c r="DM124" i="14"/>
  <c r="DM135" i="14"/>
  <c r="DH186" i="14"/>
  <c r="DH181" i="14"/>
  <c r="DH180" i="14"/>
  <c r="DJ119" i="10"/>
  <c r="DJ120" i="10" s="1"/>
  <c r="DK111" i="10"/>
  <c r="EH107" i="10"/>
  <c r="CU198" i="14" l="1"/>
  <c r="CU202" i="14" s="1"/>
  <c r="CU203" i="14" s="1"/>
  <c r="CU204" i="14" s="1"/>
  <c r="CU205" i="14" s="1"/>
  <c r="CU209" i="14" s="1"/>
  <c r="CU123" i="14" s="1"/>
  <c r="CU126" i="14" s="1"/>
  <c r="DM182" i="14"/>
  <c r="DM173" i="14"/>
  <c r="DM174" i="14" s="1"/>
  <c r="DM175" i="14" s="1"/>
  <c r="DN167" i="14"/>
  <c r="DN171" i="14"/>
  <c r="DN166" i="14"/>
  <c r="DN168" i="14" s="1"/>
  <c r="DN172" i="14" s="1"/>
  <c r="DN182" i="14" s="1"/>
  <c r="DH183" i="14"/>
  <c r="DJ121" i="10"/>
  <c r="DK112" i="10"/>
  <c r="EI105" i="10"/>
  <c r="CU210" i="14" l="1"/>
  <c r="CU134" i="14" s="1"/>
  <c r="CU137" i="14" s="1"/>
  <c r="CU199" i="14"/>
  <c r="CV194" i="14" s="1"/>
  <c r="CV197" i="14" s="1"/>
  <c r="CU200" i="14"/>
  <c r="DN169" i="14"/>
  <c r="DO165" i="14" s="1"/>
  <c r="DN170" i="14"/>
  <c r="DN135" i="14"/>
  <c r="DN124" i="14"/>
  <c r="DN173" i="14"/>
  <c r="DN174" i="14" s="1"/>
  <c r="DN175" i="14" s="1"/>
  <c r="DH185" i="14"/>
  <c r="DH187" i="14"/>
  <c r="DH184" i="14"/>
  <c r="DI179" i="14" s="1"/>
  <c r="DK113" i="10"/>
  <c r="EI107" i="10"/>
  <c r="CU211" i="14" l="1"/>
  <c r="CU212" i="14" s="1"/>
  <c r="CV195" i="14"/>
  <c r="CV198" i="14" s="1"/>
  <c r="CV202" i="14" s="1"/>
  <c r="CV203" i="14" s="1"/>
  <c r="CV204" i="14" s="1"/>
  <c r="CV205" i="14" s="1"/>
  <c r="CV209" i="14" s="1"/>
  <c r="CV123" i="14" s="1"/>
  <c r="CV126" i="14" s="1"/>
  <c r="CV201" i="14"/>
  <c r="CV196" i="14"/>
  <c r="DO167" i="14"/>
  <c r="DO171" i="14"/>
  <c r="DO166" i="14"/>
  <c r="DO168" i="14" s="1"/>
  <c r="DO172" i="14" s="1"/>
  <c r="DO182" i="14" s="1"/>
  <c r="DI186" i="14"/>
  <c r="DI181" i="14"/>
  <c r="DI180" i="14"/>
  <c r="DI183" i="14" s="1"/>
  <c r="DI187" i="14" s="1"/>
  <c r="DH188" i="14"/>
  <c r="DH189" i="14" s="1"/>
  <c r="DK119" i="10"/>
  <c r="DL111" i="10"/>
  <c r="EJ105" i="10"/>
  <c r="CV199" i="14" l="1"/>
  <c r="CW194" i="14" s="1"/>
  <c r="CW201" i="14" s="1"/>
  <c r="CV200" i="14"/>
  <c r="CV210" i="14"/>
  <c r="CV134" i="14" s="1"/>
  <c r="CV137" i="14" s="1"/>
  <c r="DO169" i="14"/>
  <c r="DP165" i="14" s="1"/>
  <c r="DO173" i="14"/>
  <c r="DO174" i="14" s="1"/>
  <c r="DO175" i="14" s="1"/>
  <c r="DO170" i="14"/>
  <c r="DO135" i="14"/>
  <c r="DO124" i="14"/>
  <c r="DI185" i="14"/>
  <c r="DH190" i="14"/>
  <c r="DI188" i="14"/>
  <c r="DI189" i="14" s="1"/>
  <c r="DI190" i="14" s="1"/>
  <c r="DI184" i="14"/>
  <c r="DJ179" i="14" s="1"/>
  <c r="DL112" i="10"/>
  <c r="DL113" i="10" s="1"/>
  <c r="DK120" i="10"/>
  <c r="DK121" i="10" s="1"/>
  <c r="EJ107" i="10"/>
  <c r="CW197" i="14" l="1"/>
  <c r="CW196" i="14"/>
  <c r="CW195" i="14"/>
  <c r="CV211" i="14"/>
  <c r="CV212" i="14" s="1"/>
  <c r="DP167" i="14"/>
  <c r="DP166" i="14"/>
  <c r="DP168" i="14" s="1"/>
  <c r="DP172" i="14" s="1"/>
  <c r="DP182" i="14" s="1"/>
  <c r="DP171" i="14"/>
  <c r="DJ186" i="14"/>
  <c r="DJ181" i="14"/>
  <c r="DJ180" i="14"/>
  <c r="DJ183" i="14" s="1"/>
  <c r="DJ187" i="14" s="1"/>
  <c r="DL119" i="10"/>
  <c r="DM111" i="10"/>
  <c r="CW198" i="14" l="1"/>
  <c r="CW202" i="14" s="1"/>
  <c r="CW203" i="14" s="1"/>
  <c r="CW204" i="14" s="1"/>
  <c r="CW205" i="14" s="1"/>
  <c r="CW209" i="14" s="1"/>
  <c r="CW210" i="14" s="1"/>
  <c r="CW134" i="14" s="1"/>
  <c r="CW137" i="14" s="1"/>
  <c r="DL120" i="10"/>
  <c r="DL121" i="10" s="1"/>
  <c r="DP169" i="14"/>
  <c r="DQ165" i="14" s="1"/>
  <c r="DQ167" i="14" s="1"/>
  <c r="DP170" i="14"/>
  <c r="DP173" i="14"/>
  <c r="DP174" i="14" s="1"/>
  <c r="DP175" i="14" s="1"/>
  <c r="DP124" i="14"/>
  <c r="DP135" i="14"/>
  <c r="DJ188" i="14"/>
  <c r="DJ189" i="14" s="1"/>
  <c r="DJ190" i="14" s="1"/>
  <c r="DJ185" i="14"/>
  <c r="DJ184" i="14"/>
  <c r="DK179" i="14" s="1"/>
  <c r="DM112" i="10"/>
  <c r="DM113" i="10" s="1"/>
  <c r="CW199" i="14" l="1"/>
  <c r="CX194" i="14" s="1"/>
  <c r="CX196" i="14" s="1"/>
  <c r="CW200" i="14"/>
  <c r="CW211" i="14"/>
  <c r="CW212" i="14" s="1"/>
  <c r="CW123" i="14"/>
  <c r="CW126" i="14" s="1"/>
  <c r="DQ171" i="14"/>
  <c r="DQ166" i="14"/>
  <c r="DQ168" i="14" s="1"/>
  <c r="DQ172" i="14" s="1"/>
  <c r="DQ173" i="14" s="1"/>
  <c r="DQ174" i="14" s="1"/>
  <c r="DQ175" i="14" s="1"/>
  <c r="DQ124" i="14"/>
  <c r="DQ135" i="14"/>
  <c r="DK186" i="14"/>
  <c r="DK181" i="14"/>
  <c r="DK180" i="14"/>
  <c r="DK183" i="14" s="1"/>
  <c r="DK187" i="14" s="1"/>
  <c r="DM119" i="10"/>
  <c r="DM120" i="10" s="1"/>
  <c r="DN111" i="10"/>
  <c r="CX195" i="14" l="1"/>
  <c r="CX197" i="14"/>
  <c r="CX201" i="14"/>
  <c r="DQ170" i="14"/>
  <c r="DQ182" i="14"/>
  <c r="DQ169" i="14"/>
  <c r="DR165" i="14" s="1"/>
  <c r="DR171" i="14" s="1"/>
  <c r="DK185" i="14"/>
  <c r="DK188" i="14"/>
  <c r="DK189" i="14" s="1"/>
  <c r="DK190" i="14" s="1"/>
  <c r="DK184" i="14"/>
  <c r="DL179" i="14" s="1"/>
  <c r="DM121" i="10"/>
  <c r="DN112" i="10"/>
  <c r="CX198" i="14" l="1"/>
  <c r="CX202" i="14" s="1"/>
  <c r="CX203" i="14" s="1"/>
  <c r="CX204" i="14" s="1"/>
  <c r="CX205" i="14" s="1"/>
  <c r="CX209" i="14" s="1"/>
  <c r="CX123" i="14" s="1"/>
  <c r="CX126" i="14" s="1"/>
  <c r="DR166" i="14"/>
  <c r="DR168" i="14" s="1"/>
  <c r="DR172" i="14" s="1"/>
  <c r="DR182" i="14" s="1"/>
  <c r="DR167" i="14"/>
  <c r="DR135" i="14" s="1"/>
  <c r="DL181" i="14"/>
  <c r="DL186" i="14"/>
  <c r="DL180" i="14"/>
  <c r="DL183" i="14" s="1"/>
  <c r="DL187" i="14" s="1"/>
  <c r="DN113" i="10"/>
  <c r="CX199" i="14" l="1"/>
  <c r="CY194" i="14" s="1"/>
  <c r="CY197" i="14" s="1"/>
  <c r="CX200" i="14"/>
  <c r="CX210" i="14"/>
  <c r="CX134" i="14" s="1"/>
  <c r="CX137" i="14" s="1"/>
  <c r="DR173" i="14"/>
  <c r="DR174" i="14" s="1"/>
  <c r="DR175" i="14" s="1"/>
  <c r="DR170" i="14"/>
  <c r="DR124" i="14"/>
  <c r="DR169" i="14"/>
  <c r="DS165" i="14" s="1"/>
  <c r="DS166" i="14" s="1"/>
  <c r="DS168" i="14" s="1"/>
  <c r="DS172" i="14" s="1"/>
  <c r="DS182" i="14" s="1"/>
  <c r="DL185" i="14"/>
  <c r="DL184" i="14"/>
  <c r="DM179" i="14" s="1"/>
  <c r="DM181" i="14" s="1"/>
  <c r="DL188" i="14"/>
  <c r="DL189" i="14" s="1"/>
  <c r="DL190" i="14" s="1"/>
  <c r="DN119" i="10"/>
  <c r="DO111" i="10"/>
  <c r="CY195" i="14" l="1"/>
  <c r="CY198" i="14" s="1"/>
  <c r="CY202" i="14" s="1"/>
  <c r="CY203" i="14" s="1"/>
  <c r="CY204" i="14" s="1"/>
  <c r="CY205" i="14" s="1"/>
  <c r="CY209" i="14" s="1"/>
  <c r="CY123" i="14" s="1"/>
  <c r="CY126" i="14" s="1"/>
  <c r="CY196" i="14"/>
  <c r="CY201" i="14"/>
  <c r="CX211" i="14"/>
  <c r="CX212" i="14" s="1"/>
  <c r="DS171" i="14"/>
  <c r="DS167" i="14"/>
  <c r="DS170" i="14" s="1"/>
  <c r="DS173" i="14"/>
  <c r="DS174" i="14" s="1"/>
  <c r="DS175" i="14" s="1"/>
  <c r="DM180" i="14"/>
  <c r="DM183" i="14" s="1"/>
  <c r="DM187" i="14" s="1"/>
  <c r="DM188" i="14" s="1"/>
  <c r="DM189" i="14" s="1"/>
  <c r="DM190" i="14" s="1"/>
  <c r="DM186" i="14"/>
  <c r="DO112" i="10"/>
  <c r="DN120" i="10"/>
  <c r="DN121" i="10" s="1"/>
  <c r="CY200" i="14" l="1"/>
  <c r="CY210" i="14"/>
  <c r="CY134" i="14" s="1"/>
  <c r="CY137" i="14" s="1"/>
  <c r="CY199" i="14"/>
  <c r="CZ194" i="14" s="1"/>
  <c r="CZ196" i="14" s="1"/>
  <c r="DS135" i="14"/>
  <c r="DS124" i="14"/>
  <c r="DS169" i="14"/>
  <c r="DT165" i="14" s="1"/>
  <c r="DT171" i="14" s="1"/>
  <c r="DM184" i="14"/>
  <c r="DN179" i="14" s="1"/>
  <c r="DN186" i="14" s="1"/>
  <c r="DM185" i="14"/>
  <c r="DO113" i="10"/>
  <c r="CY211" i="14" l="1"/>
  <c r="CY212" i="14" s="1"/>
  <c r="CZ195" i="14"/>
  <c r="CZ201" i="14"/>
  <c r="CZ197" i="14"/>
  <c r="DT167" i="14"/>
  <c r="DT135" i="14" s="1"/>
  <c r="DT166" i="14"/>
  <c r="DT168" i="14" s="1"/>
  <c r="DT172" i="14" s="1"/>
  <c r="DT182" i="14" s="1"/>
  <c r="DN181" i="14"/>
  <c r="DN180" i="14"/>
  <c r="DN183" i="14" s="1"/>
  <c r="DN187" i="14" s="1"/>
  <c r="DN188" i="14" s="1"/>
  <c r="DN189" i="14" s="1"/>
  <c r="DN190" i="14" s="1"/>
  <c r="DO119" i="10"/>
  <c r="DP111" i="10"/>
  <c r="CZ198" i="14" l="1"/>
  <c r="CZ202" i="14" s="1"/>
  <c r="CZ203" i="14" s="1"/>
  <c r="CZ204" i="14" s="1"/>
  <c r="CZ205" i="14" s="1"/>
  <c r="CZ209" i="14" s="1"/>
  <c r="CZ210" i="14" s="1"/>
  <c r="CZ134" i="14" s="1"/>
  <c r="CZ137" i="14" s="1"/>
  <c r="DT124" i="14"/>
  <c r="DT170" i="14"/>
  <c r="DT173" i="14"/>
  <c r="DT174" i="14" s="1"/>
  <c r="DT175" i="14" s="1"/>
  <c r="DT169" i="14"/>
  <c r="DU165" i="14" s="1"/>
  <c r="DN185" i="14"/>
  <c r="DN184" i="14"/>
  <c r="DO179" i="14" s="1"/>
  <c r="DO181" i="14" s="1"/>
  <c r="DP112" i="10"/>
  <c r="DO120" i="10"/>
  <c r="CZ200" i="14" l="1"/>
  <c r="CZ211" i="14"/>
  <c r="CZ212" i="14" s="1"/>
  <c r="CZ123" i="14"/>
  <c r="CZ126" i="14" s="1"/>
  <c r="CZ199" i="14"/>
  <c r="DA194" i="14" s="1"/>
  <c r="DA195" i="14" s="1"/>
  <c r="DU166" i="14"/>
  <c r="DU168" i="14" s="1"/>
  <c r="DU167" i="14"/>
  <c r="DU171" i="14"/>
  <c r="DO186" i="14"/>
  <c r="DO180" i="14"/>
  <c r="DO183" i="14" s="1"/>
  <c r="DO121" i="10"/>
  <c r="DP113" i="10"/>
  <c r="DA201" i="14" l="1"/>
  <c r="DA196" i="14"/>
  <c r="DA197" i="14"/>
  <c r="DA198" i="14" s="1"/>
  <c r="DA202" i="14" s="1"/>
  <c r="DA203" i="14" s="1"/>
  <c r="DA204" i="14" s="1"/>
  <c r="DA205" i="14" s="1"/>
  <c r="DA209" i="14" s="1"/>
  <c r="DA123" i="14" s="1"/>
  <c r="DA126" i="14" s="1"/>
  <c r="DU170" i="14"/>
  <c r="DU169" i="14"/>
  <c r="DV165" i="14" s="1"/>
  <c r="DV167" i="14" s="1"/>
  <c r="DU172" i="14"/>
  <c r="DU182" i="14" s="1"/>
  <c r="DU135" i="14"/>
  <c r="DU124" i="14"/>
  <c r="DO184" i="14"/>
  <c r="DP179" i="14" s="1"/>
  <c r="DP181" i="14" s="1"/>
  <c r="DO185" i="14"/>
  <c r="DO187" i="14"/>
  <c r="DO188" i="14" s="1"/>
  <c r="DO189" i="14" s="1"/>
  <c r="DO190" i="14" s="1"/>
  <c r="DP119" i="10"/>
  <c r="DQ111" i="10"/>
  <c r="DA200" i="14" l="1"/>
  <c r="DA199" i="14"/>
  <c r="DB194" i="14" s="1"/>
  <c r="DB197" i="14" s="1"/>
  <c r="DA210" i="14"/>
  <c r="DA134" i="14" s="1"/>
  <c r="DA137" i="14" s="1"/>
  <c r="DV166" i="14"/>
  <c r="D120" i="14" s="1"/>
  <c r="D130" i="14" s="1"/>
  <c r="DV171" i="14"/>
  <c r="DU173" i="14"/>
  <c r="DU174" i="14" s="1"/>
  <c r="DU175" i="14" s="1"/>
  <c r="DV124" i="14"/>
  <c r="D124" i="14" s="1"/>
  <c r="D121" i="14" s="1"/>
  <c r="DV135" i="14"/>
  <c r="D135" i="14" s="1"/>
  <c r="D131" i="14" s="1"/>
  <c r="DP180" i="14"/>
  <c r="DP183" i="14" s="1"/>
  <c r="DP187" i="14" s="1"/>
  <c r="DP188" i="14" s="1"/>
  <c r="DP189" i="14" s="1"/>
  <c r="DP190" i="14" s="1"/>
  <c r="DP186" i="14"/>
  <c r="DQ112" i="10"/>
  <c r="DP120" i="10"/>
  <c r="DP121" i="10" s="1"/>
  <c r="DB195" i="14" l="1"/>
  <c r="DB198" i="14" s="1"/>
  <c r="DB202" i="14" s="1"/>
  <c r="DB203" i="14" s="1"/>
  <c r="DB204" i="14" s="1"/>
  <c r="DB205" i="14" s="1"/>
  <c r="DB209" i="14" s="1"/>
  <c r="DB123" i="14" s="1"/>
  <c r="DB126" i="14" s="1"/>
  <c r="DA211" i="14"/>
  <c r="DA212" i="14" s="1"/>
  <c r="DB201" i="14"/>
  <c r="DB196" i="14"/>
  <c r="DV168" i="14"/>
  <c r="DV170" i="14" s="1"/>
  <c r="E170" i="14" s="1"/>
  <c r="DP184" i="14"/>
  <c r="DQ179" i="14" s="1"/>
  <c r="DQ180" i="14" s="1"/>
  <c r="DP185" i="14"/>
  <c r="DQ113" i="10"/>
  <c r="DB199" i="14" l="1"/>
  <c r="DC194" i="14" s="1"/>
  <c r="DC196" i="14" s="1"/>
  <c r="DB210" i="14"/>
  <c r="DB134" i="14" s="1"/>
  <c r="DB137" i="14" s="1"/>
  <c r="DB200" i="14"/>
  <c r="DV169" i="14"/>
  <c r="DV172" i="14"/>
  <c r="DV182" i="14" s="1"/>
  <c r="DQ186" i="14"/>
  <c r="DQ181" i="14"/>
  <c r="DQ183" i="14"/>
  <c r="DQ187" i="14" s="1"/>
  <c r="DQ119" i="10"/>
  <c r="DR111" i="10"/>
  <c r="DC195" i="14" l="1"/>
  <c r="DC201" i="14"/>
  <c r="DC197" i="14"/>
  <c r="DB211" i="14"/>
  <c r="DB212" i="14" s="1"/>
  <c r="DV173" i="14"/>
  <c r="DV174" i="14" s="1"/>
  <c r="DV175" i="14" s="1"/>
  <c r="DQ185" i="14"/>
  <c r="DQ188" i="14"/>
  <c r="DQ189" i="14" s="1"/>
  <c r="DQ190" i="14" s="1"/>
  <c r="DQ184" i="14"/>
  <c r="DR179" i="14" s="1"/>
  <c r="DR112" i="10"/>
  <c r="DQ120" i="10"/>
  <c r="DQ121" i="10" s="1"/>
  <c r="DC198" i="14" l="1"/>
  <c r="DC202" i="14" s="1"/>
  <c r="DC203" i="14" s="1"/>
  <c r="DC204" i="14" s="1"/>
  <c r="DC205" i="14" s="1"/>
  <c r="DC209" i="14" s="1"/>
  <c r="DC123" i="14" s="1"/>
  <c r="DC126" i="14" s="1"/>
  <c r="DR181" i="14"/>
  <c r="DR186" i="14"/>
  <c r="DR180" i="14"/>
  <c r="DR183" i="14" s="1"/>
  <c r="DR187" i="14" s="1"/>
  <c r="DR113" i="10"/>
  <c r="DC199" i="14" l="1"/>
  <c r="DD194" i="14" s="1"/>
  <c r="DD201" i="14" s="1"/>
  <c r="DC200" i="14"/>
  <c r="DC210" i="14"/>
  <c r="DC134" i="14" s="1"/>
  <c r="DC137" i="14" s="1"/>
  <c r="DR185" i="14"/>
  <c r="DR188" i="14"/>
  <c r="DR189" i="14" s="1"/>
  <c r="DR190" i="14" s="1"/>
  <c r="DR184" i="14"/>
  <c r="DS179" i="14" s="1"/>
  <c r="DR119" i="10"/>
  <c r="DS111" i="10"/>
  <c r="DD195" i="14" l="1"/>
  <c r="DD196" i="14"/>
  <c r="DD197" i="14"/>
  <c r="DC211" i="14"/>
  <c r="DC212" i="14" s="1"/>
  <c r="DS186" i="14"/>
  <c r="DS181" i="14"/>
  <c r="DS180" i="14"/>
  <c r="DS183" i="14" s="1"/>
  <c r="DS187" i="14" s="1"/>
  <c r="DS112" i="10"/>
  <c r="DR120" i="10"/>
  <c r="DR121" i="10" s="1"/>
  <c r="DD198" i="14" l="1"/>
  <c r="DD202" i="14" s="1"/>
  <c r="DD203" i="14" s="1"/>
  <c r="DD204" i="14" s="1"/>
  <c r="DD205" i="14" s="1"/>
  <c r="DD209" i="14" s="1"/>
  <c r="DD123" i="14" s="1"/>
  <c r="DD126" i="14" s="1"/>
  <c r="DS185" i="14"/>
  <c r="DS188" i="14"/>
  <c r="DS189" i="14" s="1"/>
  <c r="DS190" i="14" s="1"/>
  <c r="DS184" i="14"/>
  <c r="DT179" i="14" s="1"/>
  <c r="DS113" i="10"/>
  <c r="DD200" i="14" l="1"/>
  <c r="DD199" i="14"/>
  <c r="DE194" i="14" s="1"/>
  <c r="DE197" i="14" s="1"/>
  <c r="DD210" i="14"/>
  <c r="DD134" i="14" s="1"/>
  <c r="DD137" i="14" s="1"/>
  <c r="DT186" i="14"/>
  <c r="DT181" i="14"/>
  <c r="DT180" i="14"/>
  <c r="DT183" i="14" s="1"/>
  <c r="DS119" i="10"/>
  <c r="DT111" i="10"/>
  <c r="DE195" i="14" l="1"/>
  <c r="DE198" i="14" s="1"/>
  <c r="DE202" i="14" s="1"/>
  <c r="DE203" i="14" s="1"/>
  <c r="DE204" i="14" s="1"/>
  <c r="DE205" i="14" s="1"/>
  <c r="DE209" i="14" s="1"/>
  <c r="DE123" i="14" s="1"/>
  <c r="DE126" i="14" s="1"/>
  <c r="DE196" i="14"/>
  <c r="DE201" i="14"/>
  <c r="DD211" i="14"/>
  <c r="DD212" i="14" s="1"/>
  <c r="DT184" i="14"/>
  <c r="DU179" i="14" s="1"/>
  <c r="DU181" i="14" s="1"/>
  <c r="DT185" i="14"/>
  <c r="DT187" i="14"/>
  <c r="DT112" i="10"/>
  <c r="DS120" i="10"/>
  <c r="DS121" i="10" s="1"/>
  <c r="DE210" i="14" l="1"/>
  <c r="DE134" i="14" s="1"/>
  <c r="DE137" i="14" s="1"/>
  <c r="DE199" i="14"/>
  <c r="DF194" i="14" s="1"/>
  <c r="DF197" i="14" s="1"/>
  <c r="DE200" i="14"/>
  <c r="DU180" i="14"/>
  <c r="DU183" i="14" s="1"/>
  <c r="DU185" i="14" s="1"/>
  <c r="DU186" i="14"/>
  <c r="DT188" i="14"/>
  <c r="DT189" i="14" s="1"/>
  <c r="DT190" i="14" s="1"/>
  <c r="DT113" i="10"/>
  <c r="DF196" i="14" l="1"/>
  <c r="DF195" i="14"/>
  <c r="DF198" i="14" s="1"/>
  <c r="DF202" i="14" s="1"/>
  <c r="DF203" i="14" s="1"/>
  <c r="DF204" i="14" s="1"/>
  <c r="DF205" i="14" s="1"/>
  <c r="DF209" i="14" s="1"/>
  <c r="DF210" i="14" s="1"/>
  <c r="DF134" i="14" s="1"/>
  <c r="DF137" i="14" s="1"/>
  <c r="DE211" i="14"/>
  <c r="DE212" i="14" s="1"/>
  <c r="DF201" i="14"/>
  <c r="DU187" i="14"/>
  <c r="DU188" i="14" s="1"/>
  <c r="DU189" i="14" s="1"/>
  <c r="DU190" i="14" s="1"/>
  <c r="DU184" i="14"/>
  <c r="DV179" i="14" s="1"/>
  <c r="DV180" i="14" s="1"/>
  <c r="DT119" i="10"/>
  <c r="DU111" i="10"/>
  <c r="DF123" i="14" l="1"/>
  <c r="DF126" i="14" s="1"/>
  <c r="DF199" i="14"/>
  <c r="DG194" i="14" s="1"/>
  <c r="DG197" i="14" s="1"/>
  <c r="DF211" i="14"/>
  <c r="DF212" i="14" s="1"/>
  <c r="DF200" i="14"/>
  <c r="DV181" i="14"/>
  <c r="DV186" i="14"/>
  <c r="DV183" i="14"/>
  <c r="DU112" i="10"/>
  <c r="DT120" i="10"/>
  <c r="DT121" i="10" s="1"/>
  <c r="DG195" i="14" l="1"/>
  <c r="DG198" i="14" s="1"/>
  <c r="DG202" i="14" s="1"/>
  <c r="DG203" i="14" s="1"/>
  <c r="DG204" i="14" s="1"/>
  <c r="DG205" i="14" s="1"/>
  <c r="DG209" i="14" s="1"/>
  <c r="DG210" i="14" s="1"/>
  <c r="DG134" i="14" s="1"/>
  <c r="DG137" i="14" s="1"/>
  <c r="DG201" i="14"/>
  <c r="DG196" i="14"/>
  <c r="DV185" i="14"/>
  <c r="E185" i="14" s="1"/>
  <c r="DV187" i="14"/>
  <c r="DV188" i="14" s="1"/>
  <c r="DV189" i="14" s="1"/>
  <c r="DV190" i="14" s="1"/>
  <c r="DV184" i="14"/>
  <c r="DU113" i="10"/>
  <c r="DG199" i="14" l="1"/>
  <c r="DH194" i="14" s="1"/>
  <c r="DH197" i="14" s="1"/>
  <c r="DG123" i="14"/>
  <c r="DG126" i="14" s="1"/>
  <c r="DG211" i="14"/>
  <c r="DG212" i="14" s="1"/>
  <c r="DG200" i="14"/>
  <c r="DU119" i="10"/>
  <c r="DV111" i="10"/>
  <c r="DH201" i="14" l="1"/>
  <c r="DH196" i="14"/>
  <c r="DH195" i="14"/>
  <c r="DH198" i="14" s="1"/>
  <c r="DH202" i="14" s="1"/>
  <c r="DH203" i="14" s="1"/>
  <c r="DV112" i="10"/>
  <c r="DU120" i="10"/>
  <c r="DU121" i="10" s="1"/>
  <c r="DH199" i="14" l="1"/>
  <c r="DI194" i="14" s="1"/>
  <c r="DI195" i="14" s="1"/>
  <c r="DH204" i="14"/>
  <c r="DH205" i="14" s="1"/>
  <c r="DH209" i="14" s="1"/>
  <c r="DH123" i="14" s="1"/>
  <c r="DH126" i="14" s="1"/>
  <c r="DH200" i="14"/>
  <c r="DV113" i="10"/>
  <c r="DI196" i="14" l="1"/>
  <c r="DI197" i="14"/>
  <c r="DI198" i="14" s="1"/>
  <c r="DI202" i="14" s="1"/>
  <c r="DI203" i="14" s="1"/>
  <c r="DI204" i="14" s="1"/>
  <c r="DI205" i="14" s="1"/>
  <c r="DI209" i="14" s="1"/>
  <c r="DI123" i="14" s="1"/>
  <c r="DI126" i="14" s="1"/>
  <c r="DI201" i="14"/>
  <c r="DH210" i="14"/>
  <c r="DH134" i="14" s="1"/>
  <c r="DH137" i="14" s="1"/>
  <c r="DV119" i="10"/>
  <c r="DW111" i="10"/>
  <c r="DI200" i="14" l="1"/>
  <c r="DI199" i="14"/>
  <c r="DJ194" i="14" s="1"/>
  <c r="DJ197" i="14" s="1"/>
  <c r="DI210" i="14"/>
  <c r="DI134" i="14" s="1"/>
  <c r="DI137" i="14" s="1"/>
  <c r="DH211" i="14"/>
  <c r="DH212" i="14" s="1"/>
  <c r="DW112" i="10"/>
  <c r="DV120" i="10"/>
  <c r="DV121" i="10" s="1"/>
  <c r="DI211" i="14" l="1"/>
  <c r="DI212" i="14" s="1"/>
  <c r="DJ201" i="14"/>
  <c r="DJ195" i="14"/>
  <c r="DJ198" i="14" s="1"/>
  <c r="DJ202" i="14" s="1"/>
  <c r="DJ203" i="14" s="1"/>
  <c r="DJ204" i="14" s="1"/>
  <c r="DJ205" i="14" s="1"/>
  <c r="DJ209" i="14" s="1"/>
  <c r="DJ210" i="14" s="1"/>
  <c r="DJ134" i="14" s="1"/>
  <c r="DJ137" i="14" s="1"/>
  <c r="DJ196" i="14"/>
  <c r="DW113" i="10"/>
  <c r="DJ200" i="14" l="1"/>
  <c r="DJ123" i="14"/>
  <c r="DJ126" i="14" s="1"/>
  <c r="DJ211" i="14"/>
  <c r="DJ212" i="14" s="1"/>
  <c r="DJ199" i="14"/>
  <c r="DK194" i="14" s="1"/>
  <c r="DK196" i="14" s="1"/>
  <c r="DW119" i="10"/>
  <c r="DX111" i="10"/>
  <c r="DK201" i="14" l="1"/>
  <c r="DK195" i="14"/>
  <c r="DK197" i="14"/>
  <c r="DX112" i="10"/>
  <c r="DW120" i="10"/>
  <c r="DW121" i="10" s="1"/>
  <c r="DK198" i="14" l="1"/>
  <c r="DK202" i="14" s="1"/>
  <c r="DK203" i="14" s="1"/>
  <c r="DK204" i="14" s="1"/>
  <c r="DK205" i="14" s="1"/>
  <c r="DK209" i="14" s="1"/>
  <c r="DK123" i="14" s="1"/>
  <c r="DK126" i="14" s="1"/>
  <c r="DX113" i="10"/>
  <c r="DK199" i="14" l="1"/>
  <c r="DL194" i="14" s="1"/>
  <c r="DL201" i="14" s="1"/>
  <c r="DK200" i="14"/>
  <c r="DK210" i="14"/>
  <c r="DK134" i="14" s="1"/>
  <c r="DK137" i="14" s="1"/>
  <c r="DX119" i="10"/>
  <c r="DY111" i="10"/>
  <c r="DL195" i="14" l="1"/>
  <c r="DL196" i="14"/>
  <c r="DL197" i="14"/>
  <c r="DK211" i="14"/>
  <c r="DK212" i="14" s="1"/>
  <c r="DY112" i="10"/>
  <c r="DX120" i="10"/>
  <c r="DL198" i="14" l="1"/>
  <c r="DL200" i="14" s="1"/>
  <c r="DX121" i="10"/>
  <c r="DY113" i="10"/>
  <c r="DL199" i="14" l="1"/>
  <c r="DM194" i="14" s="1"/>
  <c r="DM196" i="14" s="1"/>
  <c r="DL202" i="14"/>
  <c r="DL203" i="14" s="1"/>
  <c r="DL204" i="14" s="1"/>
  <c r="DL205" i="14" s="1"/>
  <c r="DL209" i="14" s="1"/>
  <c r="DL123" i="14" s="1"/>
  <c r="DL126" i="14" s="1"/>
  <c r="DY119" i="10"/>
  <c r="DZ111" i="10"/>
  <c r="DM195" i="14" l="1"/>
  <c r="DM201" i="14"/>
  <c r="DM197" i="14"/>
  <c r="DL210" i="14"/>
  <c r="DL211" i="14" s="1"/>
  <c r="DL212" i="14" s="1"/>
  <c r="DZ112" i="10"/>
  <c r="DY120" i="10"/>
  <c r="DY121" i="10" s="1"/>
  <c r="DM198" i="14" l="1"/>
  <c r="DM202" i="14" s="1"/>
  <c r="DM203" i="14" s="1"/>
  <c r="DM204" i="14" s="1"/>
  <c r="DM205" i="14" s="1"/>
  <c r="DM209" i="14" s="1"/>
  <c r="DM210" i="14" s="1"/>
  <c r="DM134" i="14" s="1"/>
  <c r="DM137" i="14" s="1"/>
  <c r="DL134" i="14"/>
  <c r="DL137" i="14" s="1"/>
  <c r="DZ113" i="10"/>
  <c r="DM200" i="14" l="1"/>
  <c r="DM199" i="14"/>
  <c r="DN194" i="14" s="1"/>
  <c r="DN196" i="14" s="1"/>
  <c r="DM123" i="14"/>
  <c r="DM126" i="14" s="1"/>
  <c r="DM211" i="14"/>
  <c r="DM212" i="14" s="1"/>
  <c r="DZ119" i="10"/>
  <c r="EA111" i="10"/>
  <c r="DN195" i="14" l="1"/>
  <c r="DN197" i="14"/>
  <c r="DN201" i="14"/>
  <c r="EA112" i="10"/>
  <c r="DZ120" i="10"/>
  <c r="DZ121" i="10" s="1"/>
  <c r="DN198" i="14" l="1"/>
  <c r="DN200" i="14" s="1"/>
  <c r="EA113" i="10"/>
  <c r="DN199" i="14" l="1"/>
  <c r="DO194" i="14" s="1"/>
  <c r="DO201" i="14" s="1"/>
  <c r="DN202" i="14"/>
  <c r="DN203" i="14" s="1"/>
  <c r="DN204" i="14" s="1"/>
  <c r="DN205" i="14" s="1"/>
  <c r="DN209" i="14" s="1"/>
  <c r="DN123" i="14" s="1"/>
  <c r="DN126" i="14" s="1"/>
  <c r="EA119" i="10"/>
  <c r="EB111" i="10"/>
  <c r="DO196" i="14" l="1"/>
  <c r="DO195" i="14"/>
  <c r="DO197" i="14"/>
  <c r="DN210" i="14"/>
  <c r="DN134" i="14" s="1"/>
  <c r="DN137" i="14" s="1"/>
  <c r="EB112" i="10"/>
  <c r="EA120" i="10"/>
  <c r="EA121" i="10" s="1"/>
  <c r="DO198" i="14" l="1"/>
  <c r="DO202" i="14" s="1"/>
  <c r="DO203" i="14" s="1"/>
  <c r="DO204" i="14" s="1"/>
  <c r="DO205" i="14" s="1"/>
  <c r="DO209" i="14" s="1"/>
  <c r="DO123" i="14" s="1"/>
  <c r="DO126" i="14" s="1"/>
  <c r="DN211" i="14"/>
  <c r="DN212" i="14" s="1"/>
  <c r="EB113" i="10"/>
  <c r="DO200" i="14" l="1"/>
  <c r="DO210" i="14"/>
  <c r="DO134" i="14" s="1"/>
  <c r="DO137" i="14" s="1"/>
  <c r="DO199" i="14"/>
  <c r="DP194" i="14" s="1"/>
  <c r="DP197" i="14" s="1"/>
  <c r="EB119" i="10"/>
  <c r="EC111" i="10"/>
  <c r="DO211" i="14" l="1"/>
  <c r="DO212" i="14" s="1"/>
  <c r="DP196" i="14"/>
  <c r="DP201" i="14"/>
  <c r="DP195" i="14"/>
  <c r="DP198" i="14" s="1"/>
  <c r="DP202" i="14" s="1"/>
  <c r="DP203" i="14" s="1"/>
  <c r="DP204" i="14" s="1"/>
  <c r="DP205" i="14" s="1"/>
  <c r="DP209" i="14" s="1"/>
  <c r="DP210" i="14" s="1"/>
  <c r="DP134" i="14" s="1"/>
  <c r="DP137" i="14" s="1"/>
  <c r="EC112" i="10"/>
  <c r="EB120" i="10"/>
  <c r="EB121" i="10" s="1"/>
  <c r="DP200" i="14" l="1"/>
  <c r="DP211" i="14"/>
  <c r="DP212" i="14" s="1"/>
  <c r="DP199" i="14"/>
  <c r="DQ194" i="14" s="1"/>
  <c r="DQ196" i="14" s="1"/>
  <c r="DP123" i="14"/>
  <c r="DP126" i="14" s="1"/>
  <c r="EC113" i="10"/>
  <c r="DQ195" i="14" l="1"/>
  <c r="DQ201" i="14"/>
  <c r="DQ197" i="14"/>
  <c r="EC119" i="10"/>
  <c r="ED111" i="10"/>
  <c r="DQ198" i="14" l="1"/>
  <c r="DQ202" i="14" s="1"/>
  <c r="DQ203" i="14" s="1"/>
  <c r="DQ204" i="14" s="1"/>
  <c r="DQ205" i="14" s="1"/>
  <c r="DQ209" i="14" s="1"/>
  <c r="DQ210" i="14" s="1"/>
  <c r="DQ134" i="14" s="1"/>
  <c r="DQ137" i="14" s="1"/>
  <c r="ED112" i="10"/>
  <c r="EC120" i="10"/>
  <c r="EC121" i="10" s="1"/>
  <c r="DQ200" i="14" l="1"/>
  <c r="DQ211" i="14"/>
  <c r="DQ212" i="14" s="1"/>
  <c r="DQ123" i="14"/>
  <c r="DQ126" i="14" s="1"/>
  <c r="DQ199" i="14"/>
  <c r="DR194" i="14" s="1"/>
  <c r="DR197" i="14" s="1"/>
  <c r="ED113" i="10"/>
  <c r="DR201" i="14" l="1"/>
  <c r="DR195" i="14"/>
  <c r="DR198" i="14" s="1"/>
  <c r="DR202" i="14" s="1"/>
  <c r="DR203" i="14" s="1"/>
  <c r="DR204" i="14" s="1"/>
  <c r="DR205" i="14" s="1"/>
  <c r="DR209" i="14" s="1"/>
  <c r="DR210" i="14" s="1"/>
  <c r="DR134" i="14" s="1"/>
  <c r="DR137" i="14" s="1"/>
  <c r="DR196" i="14"/>
  <c r="ED119" i="10"/>
  <c r="EE111" i="10"/>
  <c r="DR199" i="14" l="1"/>
  <c r="DS194" i="14" s="1"/>
  <c r="DS201" i="14" s="1"/>
  <c r="DR200" i="14"/>
  <c r="DR123" i="14"/>
  <c r="DR126" i="14" s="1"/>
  <c r="DR211" i="14"/>
  <c r="DR212" i="14" s="1"/>
  <c r="EE112" i="10"/>
  <c r="ED120" i="10"/>
  <c r="ED121" i="10" s="1"/>
  <c r="DS197" i="14" l="1"/>
  <c r="DS195" i="14"/>
  <c r="DS196" i="14"/>
  <c r="EE113" i="10"/>
  <c r="DS198" i="14" l="1"/>
  <c r="DS202" i="14" s="1"/>
  <c r="DS203" i="14" s="1"/>
  <c r="DS204" i="14" s="1"/>
  <c r="DS205" i="14" s="1"/>
  <c r="DS209" i="14" s="1"/>
  <c r="DS123" i="14" s="1"/>
  <c r="DS126" i="14" s="1"/>
  <c r="EE119" i="10"/>
  <c r="EF111" i="10"/>
  <c r="DS200" i="14" l="1"/>
  <c r="DS210" i="14"/>
  <c r="DS134" i="14" s="1"/>
  <c r="DS137" i="14" s="1"/>
  <c r="DS199" i="14"/>
  <c r="DT194" i="14" s="1"/>
  <c r="DT197" i="14" s="1"/>
  <c r="EF112" i="10"/>
  <c r="EE120" i="10"/>
  <c r="EE121" i="10" s="1"/>
  <c r="DT195" i="14" l="1"/>
  <c r="DT198" i="14" s="1"/>
  <c r="DT202" i="14" s="1"/>
  <c r="DT203" i="14" s="1"/>
  <c r="DT204" i="14" s="1"/>
  <c r="DT205" i="14" s="1"/>
  <c r="DT209" i="14" s="1"/>
  <c r="DT210" i="14" s="1"/>
  <c r="DT134" i="14" s="1"/>
  <c r="DT137" i="14" s="1"/>
  <c r="DS211" i="14"/>
  <c r="DS212" i="14" s="1"/>
  <c r="DT196" i="14"/>
  <c r="DT201" i="14"/>
  <c r="EF113" i="10"/>
  <c r="DT123" i="14" l="1"/>
  <c r="DT126" i="14" s="1"/>
  <c r="DT211" i="14"/>
  <c r="DT212" i="14" s="1"/>
  <c r="DT199" i="14"/>
  <c r="DU194" i="14" s="1"/>
  <c r="DU197" i="14" s="1"/>
  <c r="DT200" i="14"/>
  <c r="EF119" i="10"/>
  <c r="EG111" i="10"/>
  <c r="DU196" i="14" l="1"/>
  <c r="DU195" i="14"/>
  <c r="DU198" i="14" s="1"/>
  <c r="DU202" i="14" s="1"/>
  <c r="DU203" i="14" s="1"/>
  <c r="DU204" i="14" s="1"/>
  <c r="DU205" i="14" s="1"/>
  <c r="DU209" i="14" s="1"/>
  <c r="DU210" i="14" s="1"/>
  <c r="DU134" i="14" s="1"/>
  <c r="DU137" i="14" s="1"/>
  <c r="DU201" i="14"/>
  <c r="EG112" i="10"/>
  <c r="EF120" i="10"/>
  <c r="EF121" i="10" s="1"/>
  <c r="DU200" i="14" l="1"/>
  <c r="DU123" i="14"/>
  <c r="DU126" i="14" s="1"/>
  <c r="DU211" i="14"/>
  <c r="DU212" i="14" s="1"/>
  <c r="DU199" i="14"/>
  <c r="DV194" i="14" s="1"/>
  <c r="DV201" i="14" s="1"/>
  <c r="EG113" i="10"/>
  <c r="DV197" i="14" l="1"/>
  <c r="DV195" i="14"/>
  <c r="DV196" i="14"/>
  <c r="EG119" i="10"/>
  <c r="EH111" i="10"/>
  <c r="DV198" i="14" l="1"/>
  <c r="DV202" i="14" s="1"/>
  <c r="DV203" i="14" s="1"/>
  <c r="DV204" i="14" s="1"/>
  <c r="DV205" i="14" s="1"/>
  <c r="DV209" i="14" s="1"/>
  <c r="DV123" i="14" s="1"/>
  <c r="D122" i="14" s="1"/>
  <c r="D132" i="14" s="1"/>
  <c r="EH112" i="10"/>
  <c r="EG120" i="10"/>
  <c r="EG121" i="10" s="1"/>
  <c r="DV126" i="14" l="1"/>
  <c r="D126" i="14" s="1"/>
  <c r="DV210" i="14"/>
  <c r="DV134" i="14" s="1"/>
  <c r="DV199" i="14"/>
  <c r="D123" i="14"/>
  <c r="D125" i="14" s="1"/>
  <c r="DV200" i="14"/>
  <c r="E200" i="14" s="1"/>
  <c r="EH113" i="10"/>
  <c r="DV137" i="14" l="1"/>
  <c r="D133" i="14"/>
  <c r="D134" i="14" s="1"/>
  <c r="D136" i="14" s="1"/>
  <c r="L141" i="14" s="1"/>
  <c r="L140" i="14" s="1"/>
  <c r="D127" i="14"/>
  <c r="DV211" i="14"/>
  <c r="DV212" i="14" s="1"/>
  <c r="EH119" i="10"/>
  <c r="EI111" i="10"/>
  <c r="D138" i="14" l="1"/>
  <c r="D137" i="14"/>
  <c r="EI112" i="10"/>
  <c r="EH120" i="10"/>
  <c r="EH121" i="10" s="1"/>
  <c r="EI113" i="10" l="1"/>
  <c r="EI119" i="10" l="1"/>
  <c r="EJ111" i="10"/>
  <c r="EJ112" i="10" l="1"/>
  <c r="EI120" i="10"/>
  <c r="EI121" i="10" s="1"/>
  <c r="EJ113" i="10" l="1"/>
  <c r="EJ119" i="10" s="1"/>
  <c r="EJ120" i="10" l="1"/>
  <c r="I120" i="11" l="1"/>
  <c r="J120" i="11"/>
  <c r="L120" i="11"/>
  <c r="M120" i="11"/>
  <c r="K120" i="11"/>
  <c r="EJ121" i="10"/>
  <c r="M124" i="11" l="1" a="1"/>
  <c r="M124" i="11" s="1"/>
  <c r="L124" i="11" a="1"/>
  <c r="L124" i="11" s="1"/>
  <c r="I124" i="11" a="1"/>
  <c r="I124" i="11" s="1"/>
  <c r="K124" i="11" a="1"/>
  <c r="K124" i="11" s="1"/>
  <c r="J124" i="11" a="1"/>
  <c r="J124" i="11" s="1"/>
  <c r="I119" i="11"/>
  <c r="I121" i="11" s="1"/>
  <c r="J119" i="11" s="1"/>
  <c r="J121" i="11" s="1"/>
  <c r="K119" i="11" s="1"/>
  <c r="K121" i="11" s="1"/>
  <c r="M119" i="11"/>
  <c r="M121" i="11" s="1"/>
  <c r="N119" i="11"/>
  <c r="N121" i="11" s="1"/>
  <c r="L119" i="11"/>
  <c r="L121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RAW</author>
  </authors>
  <commentList>
    <comment ref="E112" authorId="0" shapeId="0" xr:uid="{68ACE38E-B6A0-4B55-926B-9F02CB966D5A}">
      <text>
        <r>
          <rPr>
            <sz val="12"/>
            <color indexed="81"/>
            <rFont val="Tahoma"/>
            <family val="2"/>
          </rPr>
          <t>Changed Accrued Return line to just pick up Debt Service and ignore NOI. And Made it so return based on $5.5mm outflow in month 0 as is more likely.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<sst xmlns="http://schemas.openxmlformats.org/spreadsheetml/2006/main" count="1639" uniqueCount="719">
  <si>
    <t>NRSF</t>
  </si>
  <si>
    <t># OF UNITS</t>
  </si>
  <si>
    <t>Rate</t>
  </si>
  <si>
    <t>5 mile</t>
  </si>
  <si>
    <t>Median Age</t>
  </si>
  <si>
    <t>Owner Occ. Households</t>
  </si>
  <si>
    <t>Renter Occ. Households</t>
  </si>
  <si>
    <t>Avg. HH Size</t>
  </si>
  <si>
    <t>HH Income (Average)</t>
  </si>
  <si>
    <t>HH Income (Median)</t>
  </si>
  <si>
    <t>Median Home Value</t>
  </si>
  <si>
    <t>Loan Assumptions</t>
  </si>
  <si>
    <t>Loan Amount:</t>
  </si>
  <si>
    <t>Spread:</t>
  </si>
  <si>
    <t>Treasury/SOFR:</t>
  </si>
  <si>
    <t>Interest Rate</t>
  </si>
  <si>
    <t>Max LTC:</t>
  </si>
  <si>
    <t>Amortization Term:</t>
  </si>
  <si>
    <t>Cost</t>
  </si>
  <si>
    <t>Constant</t>
  </si>
  <si>
    <t>Equity</t>
  </si>
  <si>
    <t>Property Assumptions</t>
  </si>
  <si>
    <t>Project Schedule</t>
  </si>
  <si>
    <t>Date</t>
  </si>
  <si>
    <t>LTV</t>
  </si>
  <si>
    <t>Monthly Payment:</t>
  </si>
  <si>
    <t>Valuation Cap Rate:</t>
  </si>
  <si>
    <t>Start of Construction</t>
  </si>
  <si>
    <t>LTC</t>
  </si>
  <si>
    <t>Annual Payment:</t>
  </si>
  <si>
    <t>Vacancy:</t>
  </si>
  <si>
    <t>Construction Timeline</t>
  </si>
  <si>
    <t>DCR on NOI</t>
  </si>
  <si>
    <t>Balance Due @ Maturity:</t>
  </si>
  <si>
    <t>Concessions/Bad Debt:</t>
  </si>
  <si>
    <t xml:space="preserve">Grand  Opening </t>
  </si>
  <si>
    <t>Debt Yield on NOI</t>
  </si>
  <si>
    <t xml:space="preserve">Breakeven % </t>
  </si>
  <si>
    <t>Rent Growth:</t>
  </si>
  <si>
    <t>Units leased per month</t>
  </si>
  <si>
    <t xml:space="preserve">Return on Cost </t>
  </si>
  <si>
    <t>Loan Per Unit</t>
  </si>
  <si>
    <t>Expense Growth:</t>
  </si>
  <si>
    <t>Sale Date</t>
  </si>
  <si>
    <t>Unlevered IRR</t>
  </si>
  <si>
    <t>Cost Per Unit</t>
  </si>
  <si>
    <t>Term:</t>
  </si>
  <si>
    <t>Annual Payment</t>
  </si>
  <si>
    <t>Return on Cost</t>
  </si>
  <si>
    <t>Stabilized Proforma - Untrended Rents</t>
  </si>
  <si>
    <t>Property Basics</t>
  </si>
  <si>
    <t>Income</t>
  </si>
  <si>
    <t>$/Unit</t>
  </si>
  <si>
    <t>$/Unit/Mo</t>
  </si>
  <si>
    <t>$/SF</t>
  </si>
  <si>
    <t>% of EGI</t>
  </si>
  <si>
    <t>Property Name</t>
  </si>
  <si>
    <t>Property Type</t>
  </si>
  <si>
    <t>Multifamily</t>
  </si>
  <si>
    <t>Potential Rental Income</t>
  </si>
  <si>
    <t>Street</t>
  </si>
  <si>
    <t>Class</t>
  </si>
  <si>
    <t>A</t>
  </si>
  <si>
    <t>City, ZIP</t>
  </si>
  <si>
    <t># of Buildings</t>
  </si>
  <si>
    <t>Adjusted Rental Income</t>
  </si>
  <si>
    <t># of of Stories</t>
  </si>
  <si>
    <t># of of Units</t>
  </si>
  <si>
    <t xml:space="preserve">Average Unit SF </t>
  </si>
  <si>
    <t>Net Rental Income</t>
  </si>
  <si>
    <t>Density</t>
  </si>
  <si>
    <t>Other Income</t>
  </si>
  <si>
    <t>Washer Dryer Rentals</t>
  </si>
  <si>
    <t>Site Area</t>
  </si>
  <si>
    <t>Internet Income</t>
  </si>
  <si>
    <t>Laundry Room</t>
  </si>
  <si>
    <t xml:space="preserve">Zoning </t>
  </si>
  <si>
    <t>DSP</t>
  </si>
  <si>
    <t>Effective Gross Income</t>
  </si>
  <si>
    <t>Per Unit</t>
  </si>
  <si>
    <t>Net Operating Income</t>
  </si>
  <si>
    <t>Value</t>
  </si>
  <si>
    <t>Actual Cap</t>
  </si>
  <si>
    <t>Rounded Valuation:</t>
  </si>
  <si>
    <t>Development Cost</t>
  </si>
  <si>
    <t>Loan Amount</t>
  </si>
  <si>
    <t>LTC%</t>
  </si>
  <si>
    <t>Item</t>
  </si>
  <si>
    <t>Annual $</t>
  </si>
  <si>
    <t>Per Unit (Mo.)</t>
  </si>
  <si>
    <t>Per NRSF</t>
  </si>
  <si>
    <t>Repairs and Maintenance</t>
  </si>
  <si>
    <t>Security</t>
  </si>
  <si>
    <t>Landscaping</t>
  </si>
  <si>
    <t>Administrative</t>
  </si>
  <si>
    <t>Advertising/Marketing</t>
  </si>
  <si>
    <t>Payroll</t>
  </si>
  <si>
    <t>Utilities</t>
  </si>
  <si>
    <t>Property Insurance</t>
  </si>
  <si>
    <t>Property Management</t>
  </si>
  <si>
    <t>Real Estate Taxes</t>
  </si>
  <si>
    <t>Replacement Reserves</t>
  </si>
  <si>
    <t>Total Operating Expenses</t>
  </si>
  <si>
    <t>Amortization</t>
  </si>
  <si>
    <t>Market Data</t>
  </si>
  <si>
    <t>Market</t>
  </si>
  <si>
    <t xml:space="preserve">Asset Type </t>
  </si>
  <si>
    <t>Vacancy</t>
  </si>
  <si>
    <t>Rent ($/Unit)</t>
  </si>
  <si>
    <t>Rent Growth YOY</t>
  </si>
  <si>
    <t>Market Cap Rate</t>
  </si>
  <si>
    <t>Submarket Cap Rate</t>
  </si>
  <si>
    <t>Inventory (# of Units)</t>
  </si>
  <si>
    <t>Under Construction (SF)</t>
  </si>
  <si>
    <t>T-12 Net Absorption (SF)</t>
  </si>
  <si>
    <t>12 Mo. Sales Volume ($)</t>
  </si>
  <si>
    <t>CAGR</t>
  </si>
  <si>
    <t>INCOME</t>
  </si>
  <si>
    <t>ADJUSTED RENTAL INCOME</t>
  </si>
  <si>
    <t>EFFECTIVE GROSS INCOME</t>
  </si>
  <si>
    <t>NET OPERATING INCOME</t>
  </si>
  <si>
    <t>LOAN AMOUNT</t>
  </si>
  <si>
    <t>ITEM</t>
  </si>
  <si>
    <t>TOTAL OPERATING EXPENSES</t>
  </si>
  <si>
    <t>% MIX</t>
  </si>
  <si>
    <t>TYPE</t>
  </si>
  <si>
    <t># of UNITS</t>
  </si>
  <si>
    <t>UNIT SF</t>
  </si>
  <si>
    <t>TOTAL SF</t>
  </si>
  <si>
    <t>TOTAL ANNUAL MARKET RENT</t>
  </si>
  <si>
    <t>1 Bed 1 Bath</t>
  </si>
  <si>
    <t>2 Bed 2 Bath</t>
  </si>
  <si>
    <t>Type (#BD/#BA)</t>
  </si>
  <si>
    <t>TOTALS / AVERAGES:</t>
  </si>
  <si>
    <t>OTHER INCOME DETAIL</t>
  </si>
  <si>
    <t>$/UNIT /YEAR</t>
  </si>
  <si>
    <t>$/Year</t>
  </si>
  <si>
    <t>$/Mo.</t>
  </si>
  <si>
    <t>Per SF/Unit Per Mo</t>
  </si>
  <si>
    <t>Storage Spaces</t>
  </si>
  <si>
    <t>Amenities</t>
  </si>
  <si>
    <t>Common Areas</t>
  </si>
  <si>
    <t>Circulation</t>
  </si>
  <si>
    <t>Parking Structure</t>
  </si>
  <si>
    <t>TOTAL OTHER INCOME</t>
  </si>
  <si>
    <t>CONCESSIONS</t>
  </si>
  <si>
    <t>% Concessions</t>
  </si>
  <si>
    <t>Total Amount</t>
  </si>
  <si>
    <t>Per (NRSF)</t>
  </si>
  <si>
    <t>% of Cost</t>
  </si>
  <si>
    <t>Land Costs</t>
  </si>
  <si>
    <t>Already Spent</t>
  </si>
  <si>
    <t>To Spend</t>
  </si>
  <si>
    <t>Purchase Price</t>
  </si>
  <si>
    <t>Land Purchase Price</t>
  </si>
  <si>
    <t>Land Broker Fee Paid</t>
  </si>
  <si>
    <t>Title and Closing Costs</t>
  </si>
  <si>
    <t>Land Mitigation Credits</t>
  </si>
  <si>
    <t>Recording/Transfer Tax</t>
  </si>
  <si>
    <t>Other Land Acq Closing Costs</t>
  </si>
  <si>
    <t>Closing Costs</t>
  </si>
  <si>
    <t>Misc. Assumed Price Reduction</t>
  </si>
  <si>
    <t>Misc. Ground Lease Holding Cost</t>
  </si>
  <si>
    <t>Carry Cost during hold period (before construction)</t>
  </si>
  <si>
    <t>Subtotal Land Costs</t>
  </si>
  <si>
    <t>Soft Costs</t>
  </si>
  <si>
    <t>Entitlements</t>
  </si>
  <si>
    <t>Planning &amp; Entitlements</t>
  </si>
  <si>
    <t>Entitlement Consultant</t>
  </si>
  <si>
    <t>Community Engagement</t>
  </si>
  <si>
    <t>Legal Fees</t>
  </si>
  <si>
    <t>Design Consultants</t>
  </si>
  <si>
    <t>Architect - Design</t>
  </si>
  <si>
    <t>Architect - CDs</t>
  </si>
  <si>
    <t>Landscape Architect</t>
  </si>
  <si>
    <t>Civil Engineer</t>
  </si>
  <si>
    <t>Structural Engineer</t>
  </si>
  <si>
    <t>MEP Engineer</t>
  </si>
  <si>
    <t>Sustainability Consultant</t>
  </si>
  <si>
    <t>CC YARD Fee (AB 1600)</t>
  </si>
  <si>
    <t>City Hall (AB 1600)</t>
  </si>
  <si>
    <t>Rec &amp; Parks (AB 1600)</t>
  </si>
  <si>
    <t>Police (AB 1600)</t>
  </si>
  <si>
    <t>Fire (AB 1600)</t>
  </si>
  <si>
    <t>Library (AB 1600)</t>
  </si>
  <si>
    <t>Traffic (AB 1600)</t>
  </si>
  <si>
    <t>School Districts</t>
  </si>
  <si>
    <t>Water Connection</t>
  </si>
  <si>
    <t>Wastewater Connection</t>
  </si>
  <si>
    <t>State Water Connection</t>
  </si>
  <si>
    <t>Parks Dev Tax (Quimby)</t>
  </si>
  <si>
    <t>Miscellaneous</t>
  </si>
  <si>
    <t>Property Tax Reserve</t>
  </si>
  <si>
    <t>OCIP Insurance</t>
  </si>
  <si>
    <t>Commercial Leasing Commissions</t>
  </si>
  <si>
    <t>Coningency</t>
  </si>
  <si>
    <t>Subtotal Soft Costs</t>
  </si>
  <si>
    <t>Hard Costs</t>
  </si>
  <si>
    <t>Subototal Hard Costs</t>
  </si>
  <si>
    <t>OH/Profit/Fees</t>
  </si>
  <si>
    <t>G.C. Fee (Profit / Overhead)</t>
  </si>
  <si>
    <t>Acquistion Fee</t>
  </si>
  <si>
    <t>Developer Fee</t>
  </si>
  <si>
    <t>Subtotal OH/Profit/Fees</t>
  </si>
  <si>
    <t>Financing Costs</t>
  </si>
  <si>
    <t>Senior Interest Reserve</t>
  </si>
  <si>
    <t>Mezz Interest Reserve</t>
  </si>
  <si>
    <t>Subtotal Financing Costs</t>
  </si>
  <si>
    <t>NOTES</t>
  </si>
  <si>
    <t>Notes:</t>
  </si>
  <si>
    <t>Sources:</t>
  </si>
  <si>
    <t>Amount</t>
  </si>
  <si>
    <t>Per SF</t>
  </si>
  <si>
    <t>% of Total</t>
  </si>
  <si>
    <t>Loan</t>
  </si>
  <si>
    <t xml:space="preserve">Pref </t>
  </si>
  <si>
    <t>JV Equity</t>
  </si>
  <si>
    <t>Borrower Equity</t>
  </si>
  <si>
    <t>Total Sources:</t>
  </si>
  <si>
    <t>Uses:</t>
  </si>
  <si>
    <t>Interest Reserve</t>
  </si>
  <si>
    <t>Total Uses:</t>
  </si>
  <si>
    <t>Refundable electrical deposit</t>
  </si>
  <si>
    <t>Pre-Stabilization Income</t>
  </si>
  <si>
    <t>Net Uses</t>
  </si>
  <si>
    <t>Financing Cost Detail:</t>
  </si>
  <si>
    <t>Lender Origination Fee</t>
  </si>
  <si>
    <t>Inspection / Draw Fees</t>
  </si>
  <si>
    <t>Title Insurance</t>
  </si>
  <si>
    <t>Appraisal</t>
  </si>
  <si>
    <t>Processing Fee</t>
  </si>
  <si>
    <t>Total Financing Costs:</t>
  </si>
  <si>
    <t>Notes/Questions:</t>
  </si>
  <si>
    <t>Annual</t>
  </si>
  <si>
    <t>Rental Income</t>
  </si>
  <si>
    <t>Less: Vacancy</t>
  </si>
  <si>
    <t>OPERATING EXPENSES</t>
  </si>
  <si>
    <t>Value at CAP Rate of:</t>
  </si>
  <si>
    <t>Monthly Payment</t>
  </si>
  <si>
    <t>RATIOS</t>
  </si>
  <si>
    <t>MONTHLY PAYMENT:</t>
  </si>
  <si>
    <t>ANNUAL PAYMENT:</t>
  </si>
  <si>
    <t>BREAKEVEN PCTG:</t>
  </si>
  <si>
    <t>DEBT YIELD ON NOI</t>
  </si>
  <si>
    <t>BREAKEVEN AMOUNT:</t>
  </si>
  <si>
    <t>GROSS RENT MUTIPLIER</t>
  </si>
  <si>
    <t>RETURN ON COST:</t>
  </si>
  <si>
    <t>NOTES/QUESTIONS:</t>
  </si>
  <si>
    <t>Project Cost</t>
  </si>
  <si>
    <t>Total Units</t>
  </si>
  <si>
    <t>Stabilized Occupancy:</t>
  </si>
  <si>
    <t>Opening</t>
  </si>
  <si>
    <t>Debt Service</t>
  </si>
  <si>
    <t xml:space="preserve">Grand </t>
  </si>
  <si>
    <t>Avenier Projections</t>
  </si>
  <si>
    <t>Absorption Schedule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</si>
  <si>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</si>
  <si>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</si>
  <si>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</si>
  <si>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</si>
  <si>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</si>
  <si>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</si>
  <si>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</si>
  <si>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</si>
  <si>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</si>
  <si>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</si>
  <si>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</si>
  <si>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</si>
  <si>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</si>
  <si>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</si>
  <si>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</si>
  <si>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</si>
  <si>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</si>
  <si>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</si>
  <si>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</si>
  <si>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LEASE UP</t>
  </si>
  <si>
    <t>Units Leased - End of Month:</t>
  </si>
  <si>
    <t>Occupancy Rate:</t>
  </si>
  <si>
    <t>No. Units Leased per Month:</t>
  </si>
  <si>
    <t>Grand Opening</t>
  </si>
  <si>
    <t>Sale Month</t>
  </si>
  <si>
    <t>Sale Year</t>
  </si>
  <si>
    <t>Year</t>
  </si>
  <si>
    <t>Month</t>
  </si>
  <si>
    <t>Occ. %</t>
  </si>
  <si>
    <t>Occ. Units</t>
  </si>
  <si>
    <t>Unit Type</t>
  </si>
  <si>
    <t># Units</t>
  </si>
  <si>
    <t>SF</t>
  </si>
  <si>
    <t>Rent/SF/Mo</t>
  </si>
  <si>
    <t>Monthly Rent</t>
  </si>
  <si>
    <t>Rent Growth</t>
  </si>
  <si>
    <t>TOTALS:</t>
  </si>
  <si>
    <t>Monthly Income</t>
  </si>
  <si>
    <t>Annual Income</t>
  </si>
  <si>
    <t xml:space="preserve">   Add: Expense Reimbuirsement</t>
  </si>
  <si>
    <t>Expense Inflation p.a.</t>
  </si>
  <si>
    <t>Occ. Dependent?</t>
  </si>
  <si>
    <t>Expense Growth</t>
  </si>
  <si>
    <t>YES</t>
  </si>
  <si>
    <t>Less: Total Expenses</t>
  </si>
  <si>
    <t>mgmt. fee % of EGI:</t>
  </si>
  <si>
    <t>Steepness</t>
  </si>
  <si>
    <t>Construction Spend Curve:</t>
  </si>
  <si>
    <t>Bldg 1 Spend Curve:</t>
  </si>
  <si>
    <t>Bldg 2 Spend Curve:</t>
  </si>
  <si>
    <t>Bldg 3 Spend Curve:</t>
  </si>
  <si>
    <t>Construction Periods</t>
  </si>
  <si>
    <t>Totals</t>
  </si>
  <si>
    <t>Start Date</t>
  </si>
  <si>
    <t>Periods</t>
  </si>
  <si>
    <t>Starting Month</t>
  </si>
  <si>
    <t>(DO NOT EDIT)</t>
  </si>
  <si>
    <t>IRR:</t>
  </si>
  <si>
    <t>Total Equity</t>
  </si>
  <si>
    <t>Balance BOM</t>
  </si>
  <si>
    <t>Draw</t>
  </si>
  <si>
    <t>Balance EOM</t>
  </si>
  <si>
    <t>Cumulative Drawn</t>
  </si>
  <si>
    <t>Available for Construction</t>
  </si>
  <si>
    <t>Construction Loan</t>
  </si>
  <si>
    <t>Total C. Loan</t>
  </si>
  <si>
    <t>Total Debt Repayment</t>
  </si>
  <si>
    <t>Check:</t>
  </si>
  <si>
    <t>Total Sources</t>
  </si>
  <si>
    <t>Total Uses</t>
  </si>
  <si>
    <t>Exit Assumptions</t>
  </si>
  <si>
    <t>Cap Rate Sensitivity</t>
  </si>
  <si>
    <t>Vacancy Sensitivity</t>
  </si>
  <si>
    <t>Assumed Sale Month</t>
  </si>
  <si>
    <t>Exit Cap Rate</t>
  </si>
  <si>
    <t>Cost of Sale</t>
  </si>
  <si>
    <t>NOI capped</t>
  </si>
  <si>
    <t>FL-12</t>
  </si>
  <si>
    <t>NOI (12 months after sale)</t>
  </si>
  <si>
    <t>Sale Summary</t>
  </si>
  <si>
    <t>Gross Sale Proceeds</t>
  </si>
  <si>
    <t>Expense Growth Sensitivity</t>
  </si>
  <si>
    <t>Less: Cost of Sale</t>
  </si>
  <si>
    <t>Net sale Proceeds</t>
  </si>
  <si>
    <t>Less: Debt Repayment</t>
  </si>
  <si>
    <t>Borrower Cash Flow</t>
  </si>
  <si>
    <t>IRR Matrix</t>
  </si>
  <si>
    <t>Return Metrics</t>
  </si>
  <si>
    <t>Levered IRR</t>
  </si>
  <si>
    <t>Rent Growth Sensitivity</t>
  </si>
  <si>
    <t>Unlevered EMx</t>
  </si>
  <si>
    <t>Levered EMx</t>
  </si>
  <si>
    <t>Return on Equity</t>
  </si>
  <si>
    <t>Risk Metrics</t>
  </si>
  <si>
    <t>DCR @ Sale</t>
  </si>
  <si>
    <t>Debt Yield @ Sale</t>
  </si>
  <si>
    <t>Breakeven Month</t>
  </si>
  <si>
    <t>Period</t>
  </si>
  <si>
    <t>Steep</t>
  </si>
  <si>
    <t>BACKEND SETTINGS</t>
  </si>
  <si>
    <t>INVESTMENT PERIOD CASH FLOWS</t>
  </si>
  <si>
    <t>Example</t>
  </si>
  <si>
    <t>S-Curve Steepness</t>
  </si>
  <si>
    <t>Check Unique</t>
  </si>
  <si>
    <t>Unique</t>
  </si>
  <si>
    <t>Start</t>
  </si>
  <si>
    <t>End</t>
  </si>
  <si>
    <t>Mo</t>
  </si>
  <si>
    <t>Type</t>
  </si>
  <si>
    <t>Std</t>
  </si>
  <si>
    <t>S-Curve</t>
  </si>
  <si>
    <t>1 (Flat)</t>
  </si>
  <si>
    <t>Sensitivity Metrics</t>
  </si>
  <si>
    <t>Inc. Growth</t>
  </si>
  <si>
    <t>Rental Growth Begin</t>
  </si>
  <si>
    <t>Promote Structure Method</t>
  </si>
  <si>
    <t>IRR</t>
  </si>
  <si>
    <t>Return of Capital</t>
  </si>
  <si>
    <t>Pari Passu</t>
  </si>
  <si>
    <t>Month 1 Date</t>
  </si>
  <si>
    <t>Equity Contributions</t>
  </si>
  <si>
    <t>%</t>
  </si>
  <si>
    <t>Sponsor</t>
  </si>
  <si>
    <t>Error Check:</t>
  </si>
  <si>
    <t>LP Investors</t>
  </si>
  <si>
    <t>Profit Dist.:</t>
  </si>
  <si>
    <t>Net BTCF:</t>
  </si>
  <si>
    <t>Promote Structure Incentive Breakdown</t>
  </si>
  <si>
    <t>Distribution as %</t>
  </si>
  <si>
    <t>Sponsor %</t>
  </si>
  <si>
    <t>LP %</t>
  </si>
  <si>
    <t>Notes</t>
  </si>
  <si>
    <t>Hurdle 1 (Preferred Return)</t>
  </si>
  <si>
    <t>Equity Multiple</t>
  </si>
  <si>
    <t>Pref</t>
  </si>
  <si>
    <t>Sponsor Promote</t>
  </si>
  <si>
    <t>Hurdle 2</t>
  </si>
  <si>
    <t>Hurdle 3</t>
  </si>
  <si>
    <t>Hurdle 4</t>
  </si>
  <si>
    <t>Monthly Hurdle Rate Calculation Method</t>
  </si>
  <si>
    <t>XIRR()</t>
  </si>
  <si>
    <t>*Sponsor will get promote % of LPs Original contribution %</t>
  </si>
  <si>
    <t>Sponsor Fees</t>
  </si>
  <si>
    <t>Calculated on</t>
  </si>
  <si>
    <t>Fee Amount</t>
  </si>
  <si>
    <t>Frequency</t>
  </si>
  <si>
    <t>Sponsor Asset Mgmt Fee (Monthly)</t>
  </si>
  <si>
    <t>Monthly</t>
  </si>
  <si>
    <t>Sponsor Acquisition Fee</t>
  </si>
  <si>
    <t>Once at Analysis Start</t>
  </si>
  <si>
    <t>Sponsor Disposition Fee</t>
  </si>
  <si>
    <t>Once at Analysis End</t>
  </si>
  <si>
    <t>PARTNERSHIP LEVEL RETURNS ANNUAL - EQUITY WATERFALL</t>
  </si>
  <si>
    <t>Summary of Investor Level Returns</t>
  </si>
  <si>
    <t>Year 0</t>
  </si>
  <si>
    <t>Limited Partner (LP) Returns</t>
  </si>
  <si>
    <t>Preferred Return</t>
  </si>
  <si>
    <t>Excess Cash Flow</t>
  </si>
  <si>
    <t>Total LP Distributions</t>
  </si>
  <si>
    <t>Total LP Contributions</t>
  </si>
  <si>
    <t>Total LP Profit</t>
  </si>
  <si>
    <t>LP IRR</t>
  </si>
  <si>
    <t>LP Equity Multiple</t>
  </si>
  <si>
    <t>Sponsor Returns</t>
  </si>
  <si>
    <t>Promote</t>
  </si>
  <si>
    <t>Total Sponsor Distributions</t>
  </si>
  <si>
    <t>Total Sponsor Contributions</t>
  </si>
  <si>
    <t>Total Sponsor Profit</t>
  </si>
  <si>
    <t>Sponsor IRR</t>
  </si>
  <si>
    <t>Sponsor Equity Multiple</t>
  </si>
  <si>
    <t>Property Net Cash Flow For Distribution</t>
  </si>
  <si>
    <t>AUM</t>
  </si>
  <si>
    <t>Sponsor Asset Management Fee</t>
  </si>
  <si>
    <t>Gross Property Levered Before Tax Cash Flow</t>
  </si>
  <si>
    <t>Net Property Levered Before Tax Cash Flow</t>
  </si>
  <si>
    <t>Property Levered IRR (Net of Sponsor Fees)</t>
  </si>
  <si>
    <t>Property Equity Multiple (Net of Sponsor Fees)</t>
  </si>
  <si>
    <t>Return of Capital &amp; Hurdle 1 (Preferred Return)</t>
  </si>
  <si>
    <t>Return Threshold - Up to:</t>
  </si>
  <si>
    <t>Beginning Balance (LP Capital Account)</t>
  </si>
  <si>
    <t>LP Return of Capital</t>
  </si>
  <si>
    <t>Req'd Return by LP to hit Hurdle 1</t>
  </si>
  <si>
    <t>Contributions from LP</t>
  </si>
  <si>
    <t>Distributions to LP (Hurdle 1)</t>
  </si>
  <si>
    <t>Ending Balance (LP Capital Account)</t>
  </si>
  <si>
    <t>Distribution to LP</t>
  </si>
  <si>
    <t>Contributions from Sponsor</t>
  </si>
  <si>
    <t>Distribution to Sponsor</t>
  </si>
  <si>
    <t>Cash Flow Remaining</t>
  </si>
  <si>
    <t>Req'd Return by LP to hit Hurdle 2</t>
  </si>
  <si>
    <t>Prior Distributions</t>
  </si>
  <si>
    <t>.</t>
  </si>
  <si>
    <t>Req'd Return by LP to hit Hurdle 3</t>
  </si>
  <si>
    <t>Return Threshold - Greater than:</t>
  </si>
  <si>
    <t>Month ending</t>
  </si>
  <si>
    <t>Promote Structure</t>
  </si>
  <si>
    <t>Incentive Breakdown</t>
  </si>
  <si>
    <t>LP</t>
  </si>
  <si>
    <t>Net Cash Flow For Distribution</t>
  </si>
  <si>
    <t>Month Ending</t>
  </si>
  <si>
    <t>Levered Cash Flow</t>
  </si>
  <si>
    <t>Hurdle 1</t>
  </si>
  <si>
    <t>LP Req'd Return</t>
  </si>
  <si>
    <t>Req'd Return by LP (Pref)</t>
  </si>
  <si>
    <t>N/A</t>
  </si>
  <si>
    <t>STUDIO</t>
  </si>
  <si>
    <t>PROJECT NAME</t>
  </si>
  <si>
    <t>DIST. (MI.) FROM SUB</t>
  </si>
  <si>
    <t xml:space="preserve">   COMMENTS              </t>
  </si>
  <si>
    <t>SITE DENSITY</t>
  </si>
  <si>
    <t>NO. UNITS</t>
  </si>
  <si>
    <t># STORIES</t>
  </si>
  <si>
    <t>AVG. UNIT SF</t>
  </si>
  <si>
    <t>RENT/SF</t>
  </si>
  <si>
    <t>SUBJECT</t>
  </si>
  <si>
    <t>NA</t>
  </si>
  <si>
    <t>SALE COMPARABLES</t>
  </si>
  <si>
    <t>MAP KEY</t>
  </si>
  <si>
    <t>DISTANCE</t>
  </si>
  <si>
    <t>OCC.</t>
  </si>
  <si>
    <t>Value/Sales Price</t>
  </si>
  <si>
    <t>Age</t>
  </si>
  <si>
    <t>Seller</t>
  </si>
  <si>
    <t>COMMENTS</t>
  </si>
  <si>
    <t xml:space="preserve">ADDRESS                        </t>
  </si>
  <si>
    <t>YR. BUILT / RENOVATED</t>
  </si>
  <si>
    <t>Price/UNIT</t>
  </si>
  <si>
    <t xml:space="preserve">Buyer </t>
  </si>
  <si>
    <t>CoStar Rating</t>
  </si>
  <si>
    <t>Transaction Date</t>
  </si>
  <si>
    <t>Price/PSF</t>
  </si>
  <si>
    <t>Market Conditions</t>
  </si>
  <si>
    <t>Finishes</t>
  </si>
  <si>
    <t>Acreage</t>
  </si>
  <si>
    <t>Cap Rate</t>
  </si>
  <si>
    <t>Location</t>
  </si>
  <si>
    <t>Concessions</t>
  </si>
  <si>
    <t xml:space="preserve">Subject </t>
  </si>
  <si>
    <t>TOTAL UNITS</t>
  </si>
  <si>
    <t>TOTAL SALES</t>
  </si>
  <si>
    <t>TOTAL SQ FT</t>
  </si>
  <si>
    <t>AVERAGE PER SQ FT</t>
  </si>
  <si>
    <t>AVERAGE</t>
  </si>
  <si>
    <t>AVERAGE PER UNIT</t>
  </si>
  <si>
    <t>City Fees</t>
  </si>
  <si>
    <t>Preferred Equity</t>
  </si>
  <si>
    <t>Return on Cost no Land Lift</t>
  </si>
  <si>
    <t>RETURN ON COST NO LAND LIFT:</t>
  </si>
  <si>
    <t>Operating Shortfall</t>
  </si>
  <si>
    <t>Accrued Return</t>
  </si>
  <si>
    <t>**Not included in borrowers Cash Flow model</t>
  </si>
  <si>
    <t>Perm Debt Assumptions</t>
  </si>
  <si>
    <t>PERM DEBT RATIOS</t>
  </si>
  <si>
    <t>Construction Loan Assumptions</t>
  </si>
  <si>
    <t>Interest Only</t>
  </si>
  <si>
    <t>Expense Ratio:</t>
  </si>
  <si>
    <t>Perm Conversion:</t>
  </si>
  <si>
    <t>Month 34</t>
  </si>
  <si>
    <t>Untrended Ratios</t>
  </si>
  <si>
    <t>3 YEAR CAGR</t>
  </si>
  <si>
    <t>Cumulative Return</t>
  </si>
  <si>
    <t>Contingency (5%)</t>
  </si>
  <si>
    <t>1 beds</t>
  </si>
  <si>
    <t>2 beds</t>
  </si>
  <si>
    <t>3 beds</t>
  </si>
  <si>
    <t>SITE AREA (GROSS ACRES)</t>
  </si>
  <si>
    <t>AVG SF PER UNIT</t>
  </si>
  <si>
    <t>YR. BUILT/RENOVATED</t>
  </si>
  <si>
    <t>MARKET RENT</t>
  </si>
  <si>
    <t>CLASS</t>
  </si>
  <si>
    <t>EFF. RENT</t>
  </si>
  <si>
    <t>INTERIOR FINISHES / AMENITIES</t>
  </si>
  <si>
    <t>SITE AMENITIES</t>
  </si>
  <si>
    <t>EFF RENT/SF</t>
  </si>
  <si>
    <t>(All have clubhouse &amp; pool)</t>
  </si>
  <si>
    <t>Average Occupancy - Stabilized:</t>
  </si>
  <si>
    <t>AVERAGES BY FLOOR PLAN</t>
  </si>
  <si>
    <t>Total Units Surveyed:</t>
  </si>
  <si>
    <t>Pheasant Run</t>
  </si>
  <si>
    <t>2101 N. EVERGREEN ST</t>
  </si>
  <si>
    <t>Chandler, AZ 85225</t>
  </si>
  <si>
    <t>Located in heart of Santa Barbara</t>
  </si>
  <si>
    <t>Santa Maria, CA 93454</t>
  </si>
  <si>
    <t>Studio</t>
  </si>
  <si>
    <t>Imputed Equity</t>
  </si>
  <si>
    <t>DIM Fee Estimate per Unit</t>
  </si>
  <si>
    <t>01 General Requirements</t>
  </si>
  <si>
    <t>02 Existing Conditions</t>
  </si>
  <si>
    <t>03 Concrete</t>
  </si>
  <si>
    <t>04 Masonry</t>
  </si>
  <si>
    <t>05 Metals</t>
  </si>
  <si>
    <t>06 Woods, Plastics &amp; Composites</t>
  </si>
  <si>
    <t>07 Thermal &amp; Moisture Protection</t>
  </si>
  <si>
    <t>08 Openings</t>
  </si>
  <si>
    <t>09 Finishes</t>
  </si>
  <si>
    <t>10 Specialties</t>
  </si>
  <si>
    <t>11 Equipment</t>
  </si>
  <si>
    <t>12 Furnishings</t>
  </si>
  <si>
    <t>13 Special Construction</t>
  </si>
  <si>
    <t>14 Conveyance</t>
  </si>
  <si>
    <t>21 Fire Suppression</t>
  </si>
  <si>
    <t>22 Plumbing</t>
  </si>
  <si>
    <t>23 HVAC</t>
  </si>
  <si>
    <t>26 Electrical</t>
  </si>
  <si>
    <t>27 Communications</t>
  </si>
  <si>
    <t>28 Electronic Safety &amp; Security</t>
  </si>
  <si>
    <t>31 Earthwork</t>
  </si>
  <si>
    <t>32 Exterior Improvements</t>
  </si>
  <si>
    <t>33 Utilities</t>
  </si>
  <si>
    <t>97 Change Order</t>
  </si>
  <si>
    <t>98 Wage Related</t>
  </si>
  <si>
    <t>99 Add-Ons</t>
  </si>
  <si>
    <t>Additional Podium Budget</t>
  </si>
  <si>
    <t>Land Lift</t>
  </si>
  <si>
    <t>Commmercial Operating Expenses - Untrended</t>
  </si>
  <si>
    <t>Commercial NRSF</t>
  </si>
  <si>
    <t>Per Tenant (Mo.)</t>
  </si>
  <si>
    <t>PRO-RATA SHARE</t>
  </si>
  <si>
    <t xml:space="preserve"> SUITE</t>
  </si>
  <si>
    <t>TENANT NAME</t>
  </si>
  <si>
    <t>ANNUAL RENT</t>
  </si>
  <si>
    <t>MONTHLY RENT</t>
  </si>
  <si>
    <t>ANN RENT PSF</t>
  </si>
  <si>
    <t>MO RENT PSF</t>
  </si>
  <si>
    <t>LEASE TYPE</t>
  </si>
  <si>
    <t>ORIGINAL OCCUPANCY DATE</t>
  </si>
  <si>
    <t>COMM. DATE</t>
  </si>
  <si>
    <t>TERM DATE</t>
  </si>
  <si>
    <t>LEASE TERM (Mos)</t>
  </si>
  <si>
    <t>EXPENSE REIMB. (MO)</t>
  </si>
  <si>
    <t>RENEWAL OPTIONS</t>
  </si>
  <si>
    <t>RENT INCREASES</t>
  </si>
  <si>
    <t/>
  </si>
  <si>
    <t>% OF NRSF</t>
  </si>
  <si>
    <t>LEASED TOTAL:</t>
  </si>
  <si>
    <t>VACANT TOTAL:</t>
  </si>
  <si>
    <t>Vacant</t>
  </si>
  <si>
    <t>Gross</t>
  </si>
  <si>
    <t>3% increases per year</t>
  </si>
  <si>
    <t>Potential Commercial Income</t>
  </si>
  <si>
    <t>Less: Apartment Vacancy</t>
  </si>
  <si>
    <t>Less: Commecial Vacancy</t>
  </si>
  <si>
    <t>Less: Commercial Operating Expenses</t>
  </si>
  <si>
    <t>Commercial Income</t>
  </si>
  <si>
    <t>Less: Commercial Vacancy</t>
  </si>
  <si>
    <t>Leased Income</t>
  </si>
  <si>
    <t>Multifamily Operating Expenses - Untrended</t>
  </si>
  <si>
    <t>Town Center</t>
  </si>
  <si>
    <t>Sponsor Equity</t>
  </si>
  <si>
    <t>Origination Fee</t>
  </si>
  <si>
    <t>LP Contribution:</t>
  </si>
  <si>
    <t>LP Equity</t>
  </si>
  <si>
    <t>Return of Capital:</t>
  </si>
  <si>
    <t>First LP IRR Hurdle:</t>
  </si>
  <si>
    <t>Hurdle 2:</t>
  </si>
  <si>
    <t>Hurdle 3:</t>
  </si>
  <si>
    <t>Sponsor Contribution</t>
  </si>
  <si>
    <t>LP Equity Share:</t>
  </si>
  <si>
    <t>Sponsor Equity Share</t>
  </si>
  <si>
    <t>Waterfall Method</t>
  </si>
  <si>
    <t>Promote:</t>
  </si>
  <si>
    <t>Promote Above 40%:</t>
  </si>
  <si>
    <t>Debt Placement Fee</t>
  </si>
  <si>
    <t>Equity Placement Fee</t>
  </si>
  <si>
    <t>Project Costs Ex Financing Costs</t>
  </si>
  <si>
    <t>DSCR</t>
  </si>
  <si>
    <t>Total</t>
  </si>
  <si>
    <t>Month Expensed</t>
  </si>
  <si>
    <t>Less: Multifamily Operating Expenses</t>
  </si>
  <si>
    <t>Sensitivity Analysis</t>
  </si>
  <si>
    <t>Annual Expense</t>
  </si>
  <si>
    <t>Mortgage Constant</t>
  </si>
  <si>
    <t>Preliminary Analysis - Ground Up Multifamily Development</t>
  </si>
  <si>
    <t>Unit Mix</t>
  </si>
  <si>
    <t>Rent Roll</t>
  </si>
  <si>
    <t>* Income to qualify assumes 30% of hh income spent on rent</t>
  </si>
  <si>
    <t>Project Cost Estimate</t>
  </si>
  <si>
    <t>Source &amp; Use</t>
  </si>
  <si>
    <t>Proforma - Untrended Rents</t>
  </si>
  <si>
    <t>Trended Proforma</t>
  </si>
  <si>
    <t>Gross Potential Income</t>
  </si>
  <si>
    <t>Expenses</t>
  </si>
  <si>
    <t>Development Costs</t>
  </si>
  <si>
    <t>Land Acquisition Cost</t>
  </si>
  <si>
    <t>Subtotal Land Acquisition</t>
  </si>
  <si>
    <t>Subtotal Hard Costs</t>
  </si>
  <si>
    <t>Total Development Costs</t>
  </si>
  <si>
    <t>Unlevered Cash Flow</t>
  </si>
  <si>
    <t>Sources</t>
  </si>
  <si>
    <t>Totals:</t>
  </si>
  <si>
    <t>Averages:</t>
  </si>
  <si>
    <t>Sale &amp; Returns</t>
  </si>
  <si>
    <t>Equity Waterfall</t>
  </si>
  <si>
    <t>Partnership Level Returns - Monthly</t>
  </si>
  <si>
    <t>Rent Comparables</t>
  </si>
  <si>
    <t>Submarket</t>
  </si>
  <si>
    <t>300 Town Center E</t>
  </si>
  <si>
    <t>Demographics</t>
  </si>
  <si>
    <t>ZIP: 93454</t>
  </si>
  <si>
    <t>2020 Population</t>
  </si>
  <si>
    <t>Annual Growth (2020-2025)</t>
  </si>
  <si>
    <t>Annual Growth (2025-2030)</t>
  </si>
  <si>
    <t>2025 Households</t>
  </si>
  <si>
    <t>2 mile</t>
  </si>
  <si>
    <t>10 mile</t>
  </si>
  <si>
    <t>2025 Population</t>
  </si>
  <si>
    <t>2030 Population</t>
  </si>
  <si>
    <t>Santa Barbara</t>
  </si>
  <si>
    <t>4.5% +90bp YoY</t>
  </si>
  <si>
    <t>Average Sale Price/Unit</t>
  </si>
  <si>
    <t>Santa Maria</t>
  </si>
  <si>
    <t>6.9% up 260bp YoY</t>
  </si>
  <si>
    <t>The Residences at Depot Street</t>
  </si>
  <si>
    <t>201 N Depot St</t>
  </si>
  <si>
    <t>Santa Maria, CA 93458</t>
  </si>
  <si>
    <t>&lt;1 Mile</t>
  </si>
  <si>
    <t>B</t>
  </si>
  <si>
    <t>Gateway Apartments</t>
  </si>
  <si>
    <t>101 N Broadway</t>
  </si>
  <si>
    <t>2025 Median HH Income 3 Mile Radius:</t>
  </si>
  <si>
    <t>Las Brisas</t>
  </si>
  <si>
    <t>983 W Dan Blough Dr</t>
  </si>
  <si>
    <t>Santa Maria, CA 93455</t>
  </si>
  <si>
    <t>3 Miles</t>
  </si>
  <si>
    <t>Montiavo</t>
  </si>
  <si>
    <t>2460 S Rubel Way</t>
  </si>
  <si>
    <t>2004/2012</t>
  </si>
  <si>
    <t>Parke West Apartments</t>
  </si>
  <si>
    <t>1060 Village Dr</t>
  </si>
  <si>
    <t>Orcutt, CA 93455</t>
  </si>
  <si>
    <t>Bradley Garden Apartments</t>
  </si>
  <si>
    <t>1055 Village Dr</t>
  </si>
  <si>
    <t>7 Miles</t>
  </si>
  <si>
    <t>Azure Apartment Homes</t>
  </si>
  <si>
    <t>703 E Meehan St</t>
  </si>
  <si>
    <t>Sierra Sands Apartments</t>
  </si>
  <si>
    <t>327 Plaza Dr</t>
  </si>
  <si>
    <t>Elements Apartments</t>
  </si>
  <si>
    <t>3517 Mercury Dr</t>
  </si>
  <si>
    <t>5 Miles</t>
  </si>
  <si>
    <t>Santa Maria Studios</t>
  </si>
  <si>
    <t>2660 Santa Maria Way</t>
  </si>
  <si>
    <t>Concession</t>
  </si>
  <si>
    <t>Sale Comparables</t>
  </si>
  <si>
    <t>Hancock Terrace Apartments</t>
  </si>
  <si>
    <t>534 E Boone St</t>
  </si>
  <si>
    <t>2 Miles</t>
  </si>
  <si>
    <t>Market/Affordable</t>
  </si>
  <si>
    <t>Mixed Income</t>
  </si>
  <si>
    <t>La Vista Apartments</t>
  </si>
  <si>
    <t>740 S Western Ave</t>
  </si>
  <si>
    <t>12/34/2024</t>
  </si>
  <si>
    <t>1979/2011</t>
  </si>
  <si>
    <t>Harvest Lofts</t>
  </si>
  <si>
    <t>845 Madonna Rd</t>
  </si>
  <si>
    <t>San Luis Obispo, CA 93405</t>
  </si>
  <si>
    <t>15 Miles</t>
  </si>
  <si>
    <t>In Lease-up</t>
  </si>
  <si>
    <t>Average Cap Rate</t>
  </si>
  <si>
    <t>HH INCOME TO QUALIFY*</t>
  </si>
  <si>
    <t>Multifamily Unit Mix</t>
  </si>
  <si>
    <t>Retail Rent Roll</t>
  </si>
  <si>
    <t>Trended Proforma (5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</si>
</sst>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_);&quot;($&quot;#,##0\)"/>
    <numFmt numFmtId="165" formatCode="_(* #,##0_);_(* \(#,##0\);_(* \-??_);_(@_)"/>
    <numFmt numFmtId="166" formatCode="0.00&quot; acres&quot;"/>
    <numFmt numFmtId="167" formatCode="0.0"/>
    <numFmt numFmtId="168" formatCode="\$#,##0"/>
    <numFmt numFmtId="169" formatCode="[$-409]mmm\-yy"/>
    <numFmt numFmtId="170" formatCode="_(* #,##0_);_(* \(#,##0\);_(* &quot;-&quot;??_);_(@_)"/>
    <numFmt numFmtId="171" formatCode="&quot;$&quot;#,##0.00"/>
    <numFmt numFmtId="172" formatCode="0.0%"/>
    <numFmt numFmtId="173" formatCode="&quot;$&quot;#,##0"/>
    <numFmt numFmtId="174" formatCode="[&lt;=9999999]###\-####;\(###&quot;) &quot;###\-####"/>
    <numFmt numFmtId="175" formatCode="&quot;Month &quot;0"/>
    <numFmt numFmtId="176" formatCode="0.00&quot;x&quot;"/>
    <numFmt numFmtId="177" formatCode="_(\$* #,##0_);_(\$* \(#,##0\);_(\$* \-??_);_(@_)"/>
    <numFmt numFmtId="178" formatCode="General\ &quot;Years&quot;"/>
    <numFmt numFmtId="179" formatCode="&quot;Month&quot;\ 0"/>
    <numFmt numFmtId="180" formatCode="#,##0.0_);\(#,##0.0\)"/>
    <numFmt numFmtId="181" formatCode="00\ &quot; Months&quot;"/>
    <numFmt numFmtId="182" formatCode="00\ &quot;Units&quot;"/>
    <numFmt numFmtId="183" formatCode="\$#,##0.00_);&quot;($&quot;#,##0.00\)"/>
    <numFmt numFmtId="184" formatCode="\$#,##0.00"/>
    <numFmt numFmtId="185" formatCode="0.000%"/>
    <numFmt numFmtId="186" formatCode="\$#,##0_);[Red]&quot;($&quot;#,##0\)"/>
    <numFmt numFmtId="187" formatCode="0.000000%"/>
    <numFmt numFmtId="188" formatCode="0.000000000000"/>
    <numFmt numFmtId="189" formatCode="_(* #,##0.00_);_(* \(#,##0.00\);_(* \-??_);_(@_)"/>
    <numFmt numFmtId="190" formatCode="_(\$* #,##0.00_);_(\$* \(#,##0.00\);_(\$* \-??_);_(@_)"/>
    <numFmt numFmtId="191" formatCode="\$#,##0.0_);&quot;($&quot;#,##0.0\)"/>
    <numFmt numFmtId="192" formatCode="_([$$-409]* #,##0_);_([$$-409]* \(#,##0\);_([$$-409]* \-??_);_(@_)"/>
    <numFmt numFmtId="193" formatCode="_([$$-409]* #,##0.00_);_([$$-409]* \(#,##0.00\);_([$$-409]* &quot;-&quot;??_);_(@_)"/>
    <numFmt numFmtId="194" formatCode="_([$$-409]* #,##0_);_([$$-409]* \(#,##0\);_([$$-409]* &quot;-&quot;??_);_(@_)"/>
    <numFmt numFmtId="195" formatCode="\$#,##0.00_);[Red]&quot;($&quot;#,##0.00\)"/>
    <numFmt numFmtId="196" formatCode="_(&quot;$&quot;* #,##0_);_(&quot;$&quot;* \(#,##0\);_(&quot;$&quot;* &quot;-&quot;??_);_(@_)"/>
    <numFmt numFmtId="197" formatCode="0_);\(0\)"/>
    <numFmt numFmtId="198" formatCode="\$#,##0.0_);[Red]&quot;($&quot;#,##0.0\)"/>
    <numFmt numFmtId="199" formatCode="0.0000%"/>
    <numFmt numFmtId="200" formatCode="_(* #,##0.000_);_(* \(#,##0.000\);_(* \-??_);_(@_)"/>
    <numFmt numFmtId="201" formatCode="#,##0.000;[Red]#,##0.000"/>
    <numFmt numFmtId="202" formatCode="_(\$* #,##0_);[Red]_(\$* \(#,##0\);_(\$* \-??_);_(@_)\ "/>
    <numFmt numFmtId="203" formatCode="_(\$* #,##0.00_);[Red]_(\$* \(#,##0.00\);_(\$* \-??_);_(@_)\ "/>
    <numFmt numFmtId="204" formatCode="_(\$* #,##0_);_(\$* \(#,##0\);_(\$* \-_);_(@_)"/>
    <numFmt numFmtId="205" formatCode="_(\$* #,##0.00_);[Black]_(\$* \(#,##0.00\);_(\$* \-??_);_(@_)\ "/>
    <numFmt numFmtId="206" formatCode="[$$-409]#,##0;[Red]\-[$$-409]#,##0"/>
    <numFmt numFmtId="207" formatCode="mm/dd/yy"/>
    <numFmt numFmtId="208" formatCode="0&quot;  units&quot;"/>
    <numFmt numFmtId="209" formatCode="m/d/yy"/>
    <numFmt numFmtId="210" formatCode="[$-409]mmmm\-yyyy"/>
    <numFmt numFmtId="211" formatCode="&quot;Month &quot;00"/>
    <numFmt numFmtId="212" formatCode="&quot;Year&quot;\ 0"/>
    <numFmt numFmtId="213" formatCode="&quot;Yr.&quot;\ 0"/>
    <numFmt numFmtId="214" formatCode="&quot;Mo.&quot;\ 0"/>
    <numFmt numFmtId="215" formatCode="#,##0.0000"/>
    <numFmt numFmtId="216" formatCode="000\ &quot;SF&quot;"/>
    <numFmt numFmtId="217" formatCode="#,#00\ &quot;Units&quot;"/>
    <numFmt numFmtId="218" formatCode="00,000\ &quot;SF&quot;"/>
    <numFmt numFmtId="219" formatCode="#,#00\ &quot;SF&quot;"/>
    <numFmt numFmtId="220" formatCode="&quot;$&quot;#,##0.00\ &quot;/SF&quot;"/>
    <numFmt numFmtId="221" formatCode="&quot;$&quot;#,##0\ &quot;/Unit&quot;"/>
    <numFmt numFmtId="222" formatCode="####\ &quot;Mo.&quot;"/>
    <numFmt numFmtId="223" formatCode="_(&quot;$&quot;* #,##0.000_);_(&quot;$&quot;* \(#,##0.000\);_(&quot;$&quot;* &quot;-&quot;??_);_(@_)"/>
    <numFmt numFmtId="224" formatCode="&quot;Month &quot;0\ "/>
    <numFmt numFmtId="225" formatCode="&quot;Cap Rate&quot;"/>
    <numFmt numFmtId="226" formatCode="&quot;Unlevered IRR&quot;"/>
    <numFmt numFmtId="227" formatCode="&quot;Levered IRR&quot;"/>
    <numFmt numFmtId="228" formatCode="&quot;Unlevered EMx&quot;"/>
    <numFmt numFmtId="229" formatCode="&quot;Levered EMx&quot;"/>
    <numFmt numFmtId="230" formatCode="&quot;Property Value&quot;"/>
    <numFmt numFmtId="231" formatCode="&quot;Vacancy&quot;"/>
    <numFmt numFmtId="232" formatCode="&quot;Return on Cost&quot;"/>
    <numFmt numFmtId="233" formatCode="0.00&quot; x&quot;"/>
    <numFmt numFmtId="234" formatCode="&quot;Expense Growth&quot;"/>
    <numFmt numFmtId="235" formatCode="&quot;Sale Date&quot;"/>
    <numFmt numFmtId="236" formatCode="&quot;Rent Growth&quot;"/>
    <numFmt numFmtId="237" formatCode="0.00000%"/>
    <numFmt numFmtId="238" formatCode="0\ &quot;(Steep)&quot;"/>
    <numFmt numFmtId="239" formatCode="0\ \(\F\l\a\t\)"/>
    <numFmt numFmtId="240" formatCode="&quot;Net Rentable Area: &quot;\ #,##0\ &quot;SF&quot;"/>
    <numFmt numFmtId="241" formatCode="0.000&quot;MM&quot;"/>
    <numFmt numFmtId="242" formatCode="&quot; Up to &quot;0.0%\ \I\R\R&quot; to LP&quot;"/>
    <numFmt numFmtId="243" formatCode="&quot;&gt;&quot;\ 0.00&quot;X EM to LP&quot;"/>
    <numFmt numFmtId="244" formatCode="&quot;&gt;&quot;\ 0.0%\ \I\R\R&quot; to LP&quot;"/>
    <numFmt numFmtId="245" formatCode="&quot; up to &quot;0.0%\ \I\R\R&quot; to LP&quot;"/>
    <numFmt numFmtId="246" formatCode="[$-409]d\-mmm\-yy"/>
    <numFmt numFmtId="247" formatCode="0.00&quot;X&quot;"/>
    <numFmt numFmtId="248" formatCode="&quot;IRR Error Check -&quot;\ 0.0%"/>
    <numFmt numFmtId="249" formatCode="#,##0.000&quot;MM&quot;"/>
    <numFmt numFmtId="250" formatCode="&quot;&gt;&quot;\ 0.0&quot;X EMx to LP&quot;"/>
    <numFmt numFmtId="251" formatCode="&quot;LP Check -&quot;\ 0.0%\ &quot;IRR&quot;"/>
    <numFmt numFmtId="252" formatCode="#,##0&quot; sf&quot;"/>
    <numFmt numFmtId="253" formatCode="0&quot; units&quot;"/>
    <numFmt numFmtId="254" formatCode="0&quot; stories&quot;"/>
    <numFmt numFmtId="255" formatCode="0.0&quot; miles&quot;"/>
    <numFmt numFmtId="256" formatCode="0.00&quot; units/acre&quot;"/>
    <numFmt numFmtId="257" formatCode="&quot;$&quot;#,#00&quot;/unit&quot;"/>
    <numFmt numFmtId="258" formatCode="&quot;$&quot;#,###&quot;/unit/mo&quot;"/>
    <numFmt numFmtId="259" formatCode="&quot;$&quot;#,##0.00&quot;/sf&quot;"/>
    <numFmt numFmtId="260" formatCode="#,##0&quot; units&quot;"/>
    <numFmt numFmtId="261" formatCode="#,##0&quot; sq ft/unit&quot;"/>
    <numFmt numFmtId="262" formatCode="00\ &quot;Years&quot;"/>
    <numFmt numFmtId="263" formatCode="&quot;Month&quot;\ ##"/>
    <numFmt numFmtId="264" formatCode="0&quot; units/acre&quot;"/>
    <numFmt numFmtId="265" formatCode="&quot;$689 - $730&quot;"/>
    <numFmt numFmtId="266" formatCode="&quot;$779 - $839&quot;"/>
    <numFmt numFmtId="267" formatCode="#,##0_)&quot; TOTAL UNITS&quot;;\(#,##0\)"/>
    <numFmt numFmtId="268" formatCode="#,##0_)&quot; OCCUPIED UNITS&quot;;\(#,##0\)"/>
    <numFmt numFmtId="269" formatCode="#,##0_)&quot; VACANT UNITS&quot;;\(#,##0\)"/>
  </numFmts>
  <fonts count="14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B050"/>
      <name val="Calibri"/>
      <family val="2"/>
    </font>
    <font>
      <u/>
      <sz val="11"/>
      <color theme="1"/>
      <name val="Calibri"/>
      <family val="2"/>
    </font>
    <font>
      <sz val="12"/>
      <color theme="1"/>
      <name val="Arial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sz val="11"/>
      <color rgb="FF0000CC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sz val="11"/>
      <color rgb="FF0C0C0C"/>
      <name val="Calibri"/>
      <family val="2"/>
    </font>
    <font>
      <b/>
      <sz val="11"/>
      <color rgb="FF0C0C0C"/>
      <name val="Calibri"/>
      <family val="2"/>
    </font>
    <font>
      <u/>
      <sz val="11"/>
      <color rgb="FF17365D"/>
      <name val="Calibri"/>
      <family val="2"/>
    </font>
    <font>
      <u/>
      <sz val="11"/>
      <color rgb="FF17365D"/>
      <name val="Calibri"/>
      <family val="2"/>
    </font>
    <font>
      <u/>
      <sz val="11"/>
      <color rgb="FF17365D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rgb="FF17365D"/>
      <name val="Calibri"/>
      <family val="2"/>
    </font>
    <font>
      <u/>
      <sz val="11"/>
      <color rgb="FF17365D"/>
      <name val="Calibri"/>
      <family val="2"/>
    </font>
    <font>
      <u/>
      <sz val="11"/>
      <color rgb="FF17365D"/>
      <name val="Calibri"/>
      <family val="2"/>
    </font>
    <font>
      <b/>
      <u/>
      <sz val="11"/>
      <color theme="1"/>
      <name val="Calibri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Arial"/>
      <family val="2"/>
    </font>
    <font>
      <sz val="9"/>
      <color theme="1"/>
      <name val="Calibri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4"/>
      <name val="Arial"/>
      <family val="2"/>
    </font>
    <font>
      <b/>
      <i/>
      <sz val="11"/>
      <color theme="1"/>
      <name val="Times New Roman"/>
      <family val="1"/>
    </font>
    <font>
      <i/>
      <sz val="11"/>
      <color rgb="FFA5A5A5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A5A5A5"/>
      <name val="Calibri"/>
      <family val="2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0"/>
      <name val="Calibri"/>
      <family val="2"/>
    </font>
    <font>
      <b/>
      <u/>
      <sz val="11"/>
      <color theme="1"/>
      <name val="Calibri"/>
      <family val="2"/>
    </font>
    <font>
      <b/>
      <sz val="11"/>
      <color rgb="FF00B050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i/>
      <sz val="11"/>
      <color rgb="FF0000CC"/>
      <name val="Calibri"/>
      <family val="2"/>
    </font>
    <font>
      <i/>
      <sz val="11"/>
      <color rgb="FF00B050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rgb="FFC00000"/>
      <name val="Calibri"/>
      <family val="2"/>
    </font>
    <font>
      <u/>
      <sz val="11"/>
      <color rgb="FFC00000"/>
      <name val="Calibri"/>
      <family val="2"/>
    </font>
    <font>
      <sz val="11"/>
      <color theme="6"/>
      <name val="Calibri"/>
      <family val="2"/>
    </font>
    <font>
      <b/>
      <u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7E007E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  <scheme val="major"/>
    </font>
    <font>
      <i/>
      <sz val="11"/>
      <color rgb="FFA5A5A5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rgb="FFA5A5A5"/>
      <name val="Calibri"/>
      <family val="2"/>
      <scheme val="major"/>
    </font>
    <font>
      <sz val="11"/>
      <color rgb="FF0000FF"/>
      <name val="Calibri"/>
      <family val="2"/>
    </font>
    <font>
      <b/>
      <sz val="11"/>
      <name val="Calibri"/>
      <family val="2"/>
    </font>
    <font>
      <sz val="12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Arial"/>
      <family val="1"/>
      <charset val="204"/>
    </font>
    <font>
      <b/>
      <i/>
      <sz val="11"/>
      <color theme="3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 tint="-4.9989318521683403E-2"/>
      <name val="Arial"/>
      <family val="2"/>
    </font>
    <font>
      <sz val="12"/>
      <name val="Arial"/>
      <family val="2"/>
    </font>
    <font>
      <vertAlign val="superscript"/>
      <sz val="11"/>
      <color theme="0" tint="-0.34998626667073579"/>
      <name val="Arial"/>
      <family val="2"/>
    </font>
    <font>
      <b/>
      <sz val="11"/>
      <color rgb="FF9B0303"/>
      <name val="Cambria"/>
      <family val="1"/>
    </font>
    <font>
      <b/>
      <sz val="11"/>
      <color theme="0"/>
      <name val="Calibri"/>
      <family val="2"/>
      <scheme val="major"/>
    </font>
    <font>
      <sz val="11"/>
      <color rgb="FFFBABAB"/>
      <name val="Calibri"/>
      <family val="2"/>
    </font>
    <font>
      <sz val="11"/>
      <color theme="5"/>
      <name val="Calibri"/>
      <family val="2"/>
    </font>
    <font>
      <u/>
      <sz val="11"/>
      <name val="Calibri"/>
      <family val="2"/>
    </font>
    <font>
      <sz val="16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Calibri"/>
      <family val="2"/>
      <scheme val="major"/>
    </font>
    <font>
      <sz val="11"/>
      <color rgb="FF0000CC"/>
      <name val="Calibri"/>
      <family val="2"/>
      <scheme val="major"/>
    </font>
    <font>
      <sz val="11"/>
      <color rgb="FF0000FF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sz val="11"/>
      <color rgb="FF548DD4"/>
      <name val="Calibri"/>
      <family val="2"/>
      <scheme val="major"/>
    </font>
    <font>
      <b/>
      <sz val="11"/>
      <name val="Calibri"/>
      <family val="2"/>
      <scheme val="major"/>
    </font>
    <font>
      <b/>
      <sz val="12"/>
      <color theme="0"/>
      <name val="Calibri"/>
      <family val="2"/>
      <scheme val="major"/>
    </font>
    <font>
      <sz val="12"/>
      <color theme="0"/>
      <name val="Calibri"/>
      <family val="2"/>
      <scheme val="major"/>
    </font>
    <font>
      <b/>
      <sz val="12"/>
      <color theme="0" tint="-4.9989318521683403E-2"/>
      <name val="Calibri"/>
      <family val="2"/>
      <scheme val="major"/>
    </font>
    <font>
      <sz val="11"/>
      <color theme="0"/>
      <name val="Calibri"/>
      <family val="2"/>
      <scheme val="major"/>
    </font>
    <font>
      <sz val="16"/>
      <name val="Times New Roman"/>
      <family val="1"/>
    </font>
    <font>
      <sz val="11"/>
      <color rgb="FFFF0000"/>
      <name val="Calibri"/>
      <family val="2"/>
      <scheme val="major"/>
    </font>
    <font>
      <b/>
      <sz val="11"/>
      <color rgb="FFFF0000"/>
      <name val="Calibri"/>
      <family val="2"/>
      <scheme val="major"/>
    </font>
    <font>
      <sz val="10"/>
      <color theme="1"/>
      <name val="Calibri"/>
      <family val="2"/>
      <scheme val="major"/>
    </font>
    <font>
      <i/>
      <sz val="10"/>
      <color theme="1"/>
      <name val="Calibri"/>
      <family val="2"/>
      <scheme val="major"/>
    </font>
    <font>
      <sz val="11"/>
      <color rgb="FFFFFFFF"/>
      <name val="Calibri"/>
      <family val="2"/>
      <scheme val="major"/>
    </font>
    <font>
      <b/>
      <sz val="10"/>
      <color theme="1"/>
      <name val="Calibri"/>
      <family val="2"/>
      <scheme val="major"/>
    </font>
    <font>
      <b/>
      <sz val="10"/>
      <color theme="0"/>
      <name val="Calibri"/>
      <family val="2"/>
      <scheme val="major"/>
    </font>
    <font>
      <sz val="11"/>
      <color rgb="FF00800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sz val="11"/>
      <color rgb="FF00B050"/>
      <name val="Calibri"/>
      <family val="2"/>
      <scheme val="major"/>
    </font>
    <font>
      <sz val="14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18365C"/>
        <bgColor rgb="FF18365C"/>
      </patternFill>
    </fill>
    <fill>
      <patternFill patternType="solid">
        <fgColor rgb="FFEEECE1"/>
        <bgColor rgb="FFEEECE1"/>
      </patternFill>
    </fill>
    <fill>
      <patternFill patternType="solid">
        <fgColor rgb="FFFFFF00"/>
        <bgColor rgb="FFFFFF00"/>
      </patternFill>
    </fill>
    <fill>
      <patternFill patternType="solid">
        <fgColor rgb="FF16365C"/>
        <bgColor rgb="FF16365C"/>
      </patternFill>
    </fill>
    <fill>
      <patternFill patternType="solid">
        <fgColor rgb="FFF2F2F2"/>
        <bgColor rgb="FFF2F2F2"/>
      </patternFill>
    </fill>
    <fill>
      <patternFill patternType="solid">
        <fgColor rgb="FF244061"/>
        <bgColor rgb="FF244061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  <fill>
      <patternFill patternType="solid">
        <fgColor rgb="FFDBE5F1"/>
        <bgColor rgb="FFDBE5F1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theme="5"/>
        <bgColor theme="5"/>
      </patternFill>
    </fill>
    <fill>
      <patternFill patternType="solid">
        <fgColor rgb="FFF2DBDB"/>
        <bgColor rgb="FFF2DBDB"/>
      </patternFill>
    </fill>
    <fill>
      <patternFill patternType="solid">
        <fgColor rgb="FFE5DFEC"/>
        <bgColor rgb="FFE5DFE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0" tint="-0.34998626667073579"/>
        <bgColor indexed="64"/>
      </patternFill>
    </fill>
  </fills>
  <borders count="3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rgb="FFBFBFBF"/>
      </bottom>
      <diagonal/>
    </border>
    <border>
      <left/>
      <right style="thin">
        <color theme="1"/>
      </right>
      <top/>
      <bottom style="thin">
        <color rgb="FFBFBFBF"/>
      </bottom>
      <diagonal/>
    </border>
    <border>
      <left style="thin">
        <color theme="1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CCC1DA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244061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thin">
        <color rgb="FFBFBFBF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theme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dotted">
        <color indexed="64"/>
      </left>
      <right style="dotted">
        <color indexed="64"/>
      </right>
      <top/>
      <bottom style="dotted">
        <color theme="0" tint="-0.14996795556505021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indexed="64"/>
      </left>
      <right style="medium">
        <color indexed="64"/>
      </right>
      <top/>
      <bottom style="dotted">
        <color theme="0" tint="-0.14996795556505021"/>
      </bottom>
      <diagonal/>
    </border>
    <border>
      <left style="medium">
        <color indexed="64"/>
      </left>
      <right style="dotted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indexed="64"/>
      </left>
      <right style="medium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indexed="64"/>
      </left>
      <right style="dotted">
        <color indexed="64"/>
      </right>
      <top style="dotted">
        <color theme="0" tint="-0.149967955565050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theme="0" tint="-0.1499679555650502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dotted">
        <color indexed="64"/>
      </left>
      <right style="dotted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64"/>
      </left>
      <right style="dotted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dotted">
        <color indexed="64"/>
      </right>
      <top/>
      <bottom style="thin">
        <color theme="0" tint="-0.24994659260841701"/>
      </bottom>
      <diagonal/>
    </border>
    <border>
      <left style="dotted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dotted">
        <color indexed="64"/>
      </left>
      <right style="dotted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dotted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64"/>
      </left>
      <right/>
      <top/>
      <bottom style="thin">
        <color theme="0" tint="-0.24994659260841701"/>
      </bottom>
      <diagonal/>
    </border>
    <border>
      <left style="dotted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theme="0" tint="-0.24994659260841701"/>
      </bottom>
      <diagonal/>
    </border>
    <border>
      <left style="dotted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auto="1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3"/>
      </bottom>
      <diagonal/>
    </border>
    <border>
      <left style="dotted">
        <color indexed="64"/>
      </left>
      <right style="medium">
        <color indexed="64"/>
      </right>
      <top/>
      <bottom style="medium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theme="1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medium">
        <color theme="1"/>
      </right>
      <top style="medium">
        <color theme="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medium">
        <color theme="1"/>
      </right>
      <top/>
      <bottom/>
      <diagonal/>
    </border>
    <border diagonalUp="1" diagonalDown="1">
      <left style="dotted">
        <color theme="0" tint="-0.14996795556505021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 style="dotted">
        <color theme="0" tint="-0.14993743705557422"/>
      </diagonal>
    </border>
    <border diagonalUp="1" diagonalDown="1">
      <left style="dotted">
        <color theme="0" tint="-0.14996795556505021"/>
      </left>
      <right style="dotted">
        <color theme="0" tint="-0.14996795556505021"/>
      </right>
      <top style="dotted">
        <color theme="0" tint="-0.14993743705557422"/>
      </top>
      <bottom style="medium">
        <color theme="3" tint="-0.24994659260841701"/>
      </bottom>
      <diagonal style="dotted">
        <color theme="0" tint="-0.14993743705557422"/>
      </diagonal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3743705557422"/>
      </top>
      <bottom style="medium">
        <color theme="3" tint="-0.24994659260841701"/>
      </bottom>
      <diagonal/>
    </border>
    <border>
      <left style="dotted">
        <color theme="0" tint="-0.14996795556505021"/>
      </left>
      <right style="medium">
        <color theme="1"/>
      </right>
      <top/>
      <bottom style="medium">
        <color theme="3" tint="-0.24994659260841701"/>
      </bottom>
      <diagonal/>
    </border>
    <border>
      <left style="dotted">
        <color theme="1"/>
      </left>
      <right style="dotted">
        <color theme="1"/>
      </right>
      <top style="medium">
        <color theme="3" tint="-0.24994659260841701"/>
      </top>
      <bottom style="dotted">
        <color theme="0" tint="-0.34998626667073579"/>
      </bottom>
      <diagonal/>
    </border>
    <border>
      <left/>
      <right style="medium">
        <color theme="1"/>
      </right>
      <top style="medium">
        <color theme="3" tint="-0.24994659260841701"/>
      </top>
      <bottom/>
      <diagonal/>
    </border>
    <border>
      <left style="dotted">
        <color theme="1"/>
      </left>
      <right style="dotted">
        <color theme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1"/>
      </left>
      <right style="dotted">
        <color theme="1"/>
      </right>
      <top style="dotted">
        <color theme="0" tint="-0.34998626667073579"/>
      </top>
      <bottom style="medium">
        <color theme="1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dotted">
        <color theme="0" tint="-0.14996795556505021"/>
      </bottom>
      <diagonal/>
    </border>
    <border>
      <left/>
      <right style="medium">
        <color theme="1"/>
      </right>
      <top/>
      <bottom style="dotted">
        <color theme="0" tint="-0.14996795556505021"/>
      </bottom>
      <diagonal/>
    </border>
    <border>
      <left style="dotted">
        <color theme="1"/>
      </left>
      <right style="dotted">
        <color theme="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1"/>
      </left>
      <right style="dotted">
        <color theme="1"/>
      </right>
      <top style="dotted">
        <color theme="0" tint="-0.14996795556505021"/>
      </top>
      <bottom/>
      <diagonal/>
    </border>
    <border>
      <left/>
      <right style="medium">
        <color theme="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1"/>
      </left>
      <right style="dotted">
        <color theme="1"/>
      </right>
      <top style="dotted">
        <color theme="0" tint="-0.14996795556505021"/>
      </top>
      <bottom style="thin">
        <color theme="1"/>
      </bottom>
      <diagonal/>
    </border>
    <border>
      <left/>
      <right style="medium">
        <color theme="1"/>
      </right>
      <top style="dotted">
        <color theme="0" tint="-0.14996795556505021"/>
      </top>
      <bottom style="thin">
        <color theme="1"/>
      </bottom>
      <diagonal/>
    </border>
    <border>
      <left style="dotted">
        <color theme="1"/>
      </left>
      <right style="dotted">
        <color theme="1"/>
      </right>
      <top/>
      <bottom style="dotted">
        <color theme="0" tint="-0.14996795556505021"/>
      </bottom>
      <diagonal/>
    </border>
    <border>
      <left style="dotted">
        <color theme="1"/>
      </left>
      <right style="dotted">
        <color theme="1"/>
      </right>
      <top/>
      <bottom style="medium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14996795556505021"/>
      </bottom>
      <diagonal/>
    </border>
    <border>
      <left/>
      <right style="medium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medium">
        <color indexed="64"/>
      </right>
      <top style="dotted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theme="0" tint="-0.2499465926084170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dotted">
        <color indexed="64"/>
      </right>
      <top/>
      <bottom style="thin">
        <color theme="0" tint="-0.24994659260841701"/>
      </bottom>
      <diagonal/>
    </border>
    <border>
      <left style="dotted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dotted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tted">
        <color indexed="64"/>
      </right>
      <top style="thin">
        <color theme="0" tint="-0.24994659260841701"/>
      </top>
      <bottom/>
      <diagonal/>
    </border>
    <border>
      <left style="dotted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dotted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3" tint="-0.24994659260841701"/>
      </bottom>
      <diagonal/>
    </border>
    <border>
      <left style="medium">
        <color theme="1"/>
      </left>
      <right/>
      <top style="medium">
        <color theme="3" tint="-0.2499465926084170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/>
      <bottom style="dotted">
        <color theme="0" tint="-0.14996795556505021"/>
      </bottom>
      <diagonal/>
    </border>
    <border>
      <left style="medium">
        <color theme="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theme="1"/>
      </left>
      <right/>
      <top style="dotted">
        <color theme="0" tint="-0.14996795556505021"/>
      </top>
      <bottom style="thin">
        <color theme="1"/>
      </bottom>
      <diagonal/>
    </border>
    <border>
      <left style="medium">
        <color theme="1"/>
      </left>
      <right/>
      <top style="dotted">
        <color theme="0" tint="-0.14996795556505021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dotted">
        <color theme="0" tint="-0.14996795556505021"/>
      </right>
      <top style="medium">
        <color theme="1"/>
      </top>
      <bottom style="dotted">
        <color theme="0" tint="-0.14993743705557422"/>
      </bottom>
      <diagonal/>
    </border>
    <border>
      <left/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6795556505021"/>
      </right>
      <top style="dotted">
        <color theme="0" tint="-0.14993743705557422"/>
      </top>
      <bottom style="medium">
        <color theme="3" tint="-0.24994659260841701"/>
      </bottom>
      <diagonal/>
    </border>
    <border>
      <left/>
      <right style="dotted">
        <color theme="1"/>
      </right>
      <top style="medium">
        <color theme="3" tint="-0.24994659260841701"/>
      </top>
      <bottom style="dotted">
        <color theme="0" tint="-0.34998626667073579"/>
      </bottom>
      <diagonal/>
    </border>
    <border>
      <left/>
      <right style="dotted">
        <color theme="1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1"/>
      </right>
      <top style="dotted">
        <color theme="0" tint="-0.34998626667073579"/>
      </top>
      <bottom style="medium">
        <color theme="1"/>
      </bottom>
      <diagonal/>
    </border>
    <border>
      <left/>
      <right style="dotted">
        <color theme="1"/>
      </right>
      <top style="thin">
        <color theme="1"/>
      </top>
      <bottom style="dotted">
        <color theme="0" tint="-0.14996795556505021"/>
      </bottom>
      <diagonal/>
    </border>
    <border>
      <left/>
      <right style="dotted">
        <color theme="1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dotted">
        <color theme="1"/>
      </right>
      <top style="dotted">
        <color theme="0" tint="-0.14996795556505021"/>
      </top>
      <bottom style="thin">
        <color theme="1"/>
      </bottom>
      <diagonal/>
    </border>
    <border>
      <left/>
      <right style="dotted">
        <color theme="1"/>
      </right>
      <top/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/>
      <right style="dotted">
        <color theme="1"/>
      </right>
      <top/>
      <bottom style="medium">
        <color indexed="64"/>
      </bottom>
      <diagonal/>
    </border>
    <border>
      <left style="thin">
        <color indexed="64"/>
      </left>
      <right style="dotted">
        <color theme="0" tint="-0.14996795556505021"/>
      </right>
      <top style="thin">
        <color indexed="64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indexed="64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thin">
        <color indexed="64"/>
      </right>
      <top style="thin">
        <color indexed="64"/>
      </top>
      <bottom style="dotted">
        <color theme="0" tint="-0.14993743705557422"/>
      </bottom>
      <diagonal/>
    </border>
    <border>
      <left style="thin">
        <color indexed="64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thin">
        <color indexed="64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6795556505021"/>
      </left>
      <right style="thin">
        <color indexed="64"/>
      </right>
      <top style="dotted">
        <color theme="0" tint="-0.14993743705557422"/>
      </top>
      <bottom style="medium">
        <color theme="3" tint="-0.24994659260841701"/>
      </bottom>
      <diagonal/>
    </border>
    <border>
      <left style="thin">
        <color indexed="64"/>
      </left>
      <right style="dotted">
        <color theme="1"/>
      </right>
      <top style="medium">
        <color theme="3" tint="-0.24994659260841701"/>
      </top>
      <bottom style="dotted">
        <color theme="0" tint="-0.34998626667073579"/>
      </bottom>
      <diagonal/>
    </border>
    <border>
      <left style="dotted">
        <color theme="1"/>
      </left>
      <right style="thin">
        <color indexed="64"/>
      </right>
      <top style="medium">
        <color theme="3" tint="-0.24994659260841701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1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1"/>
      </right>
      <top style="dotted">
        <color theme="0" tint="-0.34998626667073579"/>
      </top>
      <bottom style="medium">
        <color theme="1"/>
      </bottom>
      <diagonal/>
    </border>
    <border>
      <left style="dotted">
        <color theme="1"/>
      </left>
      <right style="thin">
        <color indexed="64"/>
      </right>
      <top style="dotted">
        <color theme="0" tint="-0.34998626667073579"/>
      </top>
      <bottom style="medium">
        <color theme="1"/>
      </bottom>
      <diagonal/>
    </border>
    <border>
      <left style="thin">
        <color indexed="64"/>
      </left>
      <right style="dotted">
        <color theme="1"/>
      </right>
      <top style="thin">
        <color theme="1"/>
      </top>
      <bottom style="dotted">
        <color theme="0" tint="-0.14996795556505021"/>
      </bottom>
      <diagonal/>
    </border>
    <border>
      <left style="dotted">
        <color theme="1"/>
      </left>
      <right style="thin">
        <color indexed="64"/>
      </right>
      <top style="thin">
        <color theme="1"/>
      </top>
      <bottom style="dotted">
        <color theme="0" tint="-0.14996795556505021"/>
      </bottom>
      <diagonal/>
    </border>
    <border>
      <left style="thin">
        <color indexed="64"/>
      </left>
      <right style="dotted">
        <color theme="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1"/>
      </left>
      <right style="thin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indexed="64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dotted">
        <color theme="0" tint="-0.14996795556505021"/>
      </top>
      <bottom style="thin">
        <color theme="1"/>
      </bottom>
      <diagonal/>
    </border>
    <border>
      <left style="thin">
        <color indexed="64"/>
      </left>
      <right style="dotted">
        <color theme="1"/>
      </right>
      <top/>
      <bottom/>
      <diagonal/>
    </border>
    <border>
      <left style="thin">
        <color indexed="64"/>
      </left>
      <right style="dotted">
        <color theme="1"/>
      </right>
      <top/>
      <bottom style="dotted">
        <color theme="0" tint="-0.14996795556505021"/>
      </bottom>
      <diagonal/>
    </border>
    <border>
      <left style="dotted">
        <color theme="1"/>
      </left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dotted">
        <color theme="0" tint="-0.1499679555650502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9" fontId="12" fillId="0" borderId="0" applyFont="0" applyFill="0" applyBorder="0" applyAlignment="0" applyProtection="0"/>
    <xf numFmtId="0" fontId="9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4" fontId="111" fillId="0" borderId="0" applyFont="0" applyFill="0" applyBorder="0" applyAlignment="0" applyProtection="0"/>
    <xf numFmtId="0" fontId="112" fillId="26" borderId="0" applyNumberFormat="0" applyBorder="0" applyAlignment="0" applyProtection="0"/>
    <xf numFmtId="0" fontId="97" fillId="27" borderId="0" applyNumberFormat="0" applyBorder="0" applyAlignment="0" applyProtection="0"/>
    <xf numFmtId="0" fontId="115" fillId="0" borderId="54"/>
    <xf numFmtId="0" fontId="115" fillId="0" borderId="54"/>
    <xf numFmtId="0" fontId="115" fillId="0" borderId="54"/>
    <xf numFmtId="0" fontId="115" fillId="0" borderId="54"/>
  </cellStyleXfs>
  <cellXfs count="2044">
    <xf numFmtId="0" fontId="0" fillId="0" borderId="0" xfId="0"/>
    <xf numFmtId="0" fontId="4" fillId="0" borderId="0" xfId="0" applyFont="1" applyAlignment="1">
      <alignment horizontal="center"/>
    </xf>
    <xf numFmtId="37" fontId="6" fillId="0" borderId="0" xfId="0" applyNumberFormat="1" applyFont="1" applyAlignment="1">
      <alignment horizontal="center"/>
    </xf>
    <xf numFmtId="164" fontId="7" fillId="2" borderId="4" xfId="0" applyNumberFormat="1" applyFont="1" applyFill="1" applyBorder="1" applyAlignment="1">
      <alignment vertical="top"/>
    </xf>
    <xf numFmtId="0" fontId="9" fillId="0" borderId="7" xfId="0" applyFont="1" applyBorder="1" applyAlignment="1">
      <alignment horizontal="left" vertical="top"/>
    </xf>
    <xf numFmtId="37" fontId="9" fillId="0" borderId="8" xfId="0" applyNumberFormat="1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37" fontId="9" fillId="0" borderId="7" xfId="0" applyNumberFormat="1" applyFont="1" applyBorder="1" applyAlignment="1">
      <alignment horizontal="lef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37" fontId="9" fillId="0" borderId="0" xfId="0" applyNumberFormat="1" applyFont="1" applyAlignment="1">
      <alignment horizontal="left"/>
    </xf>
    <xf numFmtId="37" fontId="9" fillId="0" borderId="12" xfId="0" applyNumberFormat="1" applyFont="1" applyBorder="1" applyAlignment="1">
      <alignment horizontal="left"/>
    </xf>
    <xf numFmtId="164" fontId="7" fillId="2" borderId="5" xfId="0" applyNumberFormat="1" applyFont="1" applyFill="1" applyBorder="1" applyAlignment="1">
      <alignment vertical="top"/>
    </xf>
    <xf numFmtId="0" fontId="9" fillId="0" borderId="12" xfId="0" applyFont="1" applyBorder="1" applyAlignment="1">
      <alignment horizontal="left" vertical="top"/>
    </xf>
    <xf numFmtId="0" fontId="12" fillId="0" borderId="0" xfId="0" applyFont="1"/>
    <xf numFmtId="6" fontId="6" fillId="0" borderId="10" xfId="0" applyNumberFormat="1" applyFont="1" applyBorder="1"/>
    <xf numFmtId="6" fontId="6" fillId="0" borderId="14" xfId="0" applyNumberFormat="1" applyFont="1" applyBorder="1"/>
    <xf numFmtId="0" fontId="9" fillId="0" borderId="0" xfId="0" applyFont="1"/>
    <xf numFmtId="6" fontId="6" fillId="0" borderId="0" xfId="0" applyNumberFormat="1" applyFont="1"/>
    <xf numFmtId="0" fontId="16" fillId="0" borderId="0" xfId="0" applyFont="1"/>
    <xf numFmtId="37" fontId="13" fillId="0" borderId="0" xfId="0" applyNumberFormat="1" applyFont="1" applyAlignment="1">
      <alignment horizontal="left"/>
    </xf>
    <xf numFmtId="37" fontId="9" fillId="0" borderId="0" xfId="0" applyNumberFormat="1" applyFont="1" applyAlignment="1">
      <alignment horizontal="center"/>
    </xf>
    <xf numFmtId="14" fontId="10" fillId="0" borderId="0" xfId="0" applyNumberFormat="1" applyFont="1"/>
    <xf numFmtId="14" fontId="10" fillId="0" borderId="0" xfId="0" applyNumberFormat="1" applyFont="1" applyAlignment="1">
      <alignment horizontal="left"/>
    </xf>
    <xf numFmtId="164" fontId="7" fillId="0" borderId="0" xfId="0" applyNumberFormat="1" applyFont="1" applyAlignment="1">
      <alignment vertical="top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7" fillId="2" borderId="15" xfId="0" applyFont="1" applyFill="1" applyBorder="1"/>
    <xf numFmtId="0" fontId="7" fillId="4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174" fontId="6" fillId="0" borderId="0" xfId="0" applyNumberFormat="1" applyFont="1"/>
    <xf numFmtId="175" fontId="6" fillId="3" borderId="16" xfId="0" applyNumberFormat="1" applyFont="1" applyFill="1" applyBorder="1" applyAlignment="1">
      <alignment horizontal="center" vertical="center"/>
    </xf>
    <xf numFmtId="172" fontId="6" fillId="0" borderId="10" xfId="0" applyNumberFormat="1" applyFont="1" applyBorder="1" applyAlignment="1">
      <alignment horizontal="center"/>
    </xf>
    <xf numFmtId="0" fontId="20" fillId="0" borderId="0" xfId="0" applyFont="1"/>
    <xf numFmtId="10" fontId="6" fillId="3" borderId="16" xfId="0" applyNumberFormat="1" applyFont="1" applyFill="1" applyBorder="1" applyAlignment="1">
      <alignment horizontal="center" vertical="center"/>
    </xf>
    <xf numFmtId="172" fontId="6" fillId="3" borderId="16" xfId="0" applyNumberFormat="1" applyFont="1" applyFill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164" fontId="7" fillId="2" borderId="6" xfId="0" applyNumberFormat="1" applyFont="1" applyFill="1" applyBorder="1" applyAlignment="1">
      <alignment vertical="top"/>
    </xf>
    <xf numFmtId="0" fontId="9" fillId="3" borderId="22" xfId="0" applyFont="1" applyFill="1" applyBorder="1" applyAlignment="1">
      <alignment horizontal="left" vertical="center"/>
    </xf>
    <xf numFmtId="177" fontId="6" fillId="0" borderId="10" xfId="0" applyNumberFormat="1" applyFont="1" applyBorder="1"/>
    <xf numFmtId="10" fontId="21" fillId="0" borderId="10" xfId="0" applyNumberFormat="1" applyFont="1" applyBorder="1"/>
    <xf numFmtId="0" fontId="6" fillId="0" borderId="12" xfId="0" applyFont="1" applyBorder="1" applyAlignment="1">
      <alignment horizontal="left"/>
    </xf>
    <xf numFmtId="173" fontId="6" fillId="3" borderId="18" xfId="0" applyNumberFormat="1" applyFont="1" applyFill="1" applyBorder="1" applyAlignment="1">
      <alignment horizontal="center"/>
    </xf>
    <xf numFmtId="178" fontId="21" fillId="0" borderId="0" xfId="0" applyNumberFormat="1" applyFont="1"/>
    <xf numFmtId="172" fontId="6" fillId="0" borderId="0" xfId="0" applyNumberFormat="1" applyFont="1"/>
    <xf numFmtId="172" fontId="6" fillId="0" borderId="14" xfId="0" applyNumberFormat="1" applyFont="1" applyBorder="1" applyAlignment="1">
      <alignment horizontal="center"/>
    </xf>
    <xf numFmtId="178" fontId="22" fillId="0" borderId="0" xfId="0" applyNumberFormat="1" applyFont="1"/>
    <xf numFmtId="173" fontId="6" fillId="3" borderId="16" xfId="0" applyNumberFormat="1" applyFont="1" applyFill="1" applyBorder="1" applyAlignment="1">
      <alignment horizontal="center"/>
    </xf>
    <xf numFmtId="173" fontId="23" fillId="3" borderId="18" xfId="0" applyNumberFormat="1" applyFont="1" applyFill="1" applyBorder="1" applyAlignment="1">
      <alignment horizontal="center"/>
    </xf>
    <xf numFmtId="0" fontId="9" fillId="3" borderId="23" xfId="0" applyFont="1" applyFill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/>
    </xf>
    <xf numFmtId="0" fontId="7" fillId="2" borderId="4" xfId="0" applyFont="1" applyFill="1" applyBorder="1"/>
    <xf numFmtId="0" fontId="8" fillId="2" borderId="6" xfId="0" applyFont="1" applyFill="1" applyBorder="1"/>
    <xf numFmtId="0" fontId="7" fillId="2" borderId="5" xfId="0" applyFont="1" applyFill="1" applyBorder="1"/>
    <xf numFmtId="0" fontId="7" fillId="2" borderId="6" xfId="0" applyFont="1" applyFill="1" applyBorder="1" applyAlignment="1">
      <alignment horizontal="right"/>
    </xf>
    <xf numFmtId="179" fontId="6" fillId="0" borderId="14" xfId="0" applyNumberFormat="1" applyFont="1" applyBorder="1" applyAlignment="1">
      <alignment horizontal="center"/>
    </xf>
    <xf numFmtId="180" fontId="9" fillId="3" borderId="22" xfId="0" applyNumberFormat="1" applyFont="1" applyFill="1" applyBorder="1" applyAlignment="1">
      <alignment horizontal="left" vertical="center"/>
    </xf>
    <xf numFmtId="9" fontId="6" fillId="3" borderId="16" xfId="0" applyNumberFormat="1" applyFont="1" applyFill="1" applyBorder="1" applyAlignment="1">
      <alignment horizontal="right" vertical="center"/>
    </xf>
    <xf numFmtId="180" fontId="9" fillId="3" borderId="15" xfId="0" applyNumberFormat="1" applyFont="1" applyFill="1" applyBorder="1" applyAlignment="1">
      <alignment horizontal="left" vertical="center"/>
    </xf>
    <xf numFmtId="173" fontId="6" fillId="3" borderId="16" xfId="0" applyNumberFormat="1" applyFont="1" applyFill="1" applyBorder="1" applyAlignment="1">
      <alignment horizontal="right" vertical="center"/>
    </xf>
    <xf numFmtId="14" fontId="22" fillId="0" borderId="10" xfId="0" applyNumberFormat="1" applyFont="1" applyBorder="1"/>
    <xf numFmtId="181" fontId="22" fillId="0" borderId="10" xfId="0" applyNumberFormat="1" applyFont="1" applyBorder="1"/>
    <xf numFmtId="2" fontId="9" fillId="3" borderId="16" xfId="0" applyNumberFormat="1" applyFont="1" applyFill="1" applyBorder="1" applyAlignment="1">
      <alignment horizontal="right" vertical="center"/>
    </xf>
    <xf numFmtId="14" fontId="6" fillId="0" borderId="10" xfId="0" applyNumberFormat="1" applyFont="1" applyBorder="1"/>
    <xf numFmtId="172" fontId="9" fillId="3" borderId="16" xfId="0" applyNumberFormat="1" applyFont="1" applyFill="1" applyBorder="1" applyAlignment="1">
      <alignment horizontal="right" vertical="center"/>
    </xf>
    <xf numFmtId="172" fontId="6" fillId="3" borderId="16" xfId="0" applyNumberFormat="1" applyFont="1" applyFill="1" applyBorder="1" applyAlignment="1">
      <alignment horizontal="right"/>
    </xf>
    <xf numFmtId="0" fontId="13" fillId="0" borderId="0" xfId="0" applyFont="1"/>
    <xf numFmtId="182" fontId="22" fillId="0" borderId="10" xfId="0" applyNumberFormat="1" applyFont="1" applyBorder="1"/>
    <xf numFmtId="173" fontId="6" fillId="0" borderId="10" xfId="0" applyNumberFormat="1" applyFont="1" applyBorder="1" applyAlignment="1">
      <alignment horizontal="right"/>
    </xf>
    <xf numFmtId="10" fontId="21" fillId="0" borderId="14" xfId="0" applyNumberFormat="1" applyFont="1" applyBorder="1"/>
    <xf numFmtId="0" fontId="9" fillId="0" borderId="13" xfId="0" applyFont="1" applyBorder="1"/>
    <xf numFmtId="0" fontId="6" fillId="0" borderId="13" xfId="0" applyFont="1" applyBorder="1"/>
    <xf numFmtId="180" fontId="9" fillId="3" borderId="17" xfId="0" applyNumberFormat="1" applyFont="1" applyFill="1" applyBorder="1" applyAlignment="1">
      <alignment horizontal="left" vertical="center"/>
    </xf>
    <xf numFmtId="173" fontId="6" fillId="0" borderId="14" xfId="0" applyNumberFormat="1" applyFont="1" applyBorder="1" applyAlignment="1">
      <alignment horizontal="right"/>
    </xf>
    <xf numFmtId="173" fontId="6" fillId="0" borderId="0" xfId="0" applyNumberFormat="1" applyFont="1" applyAlignment="1">
      <alignment horizontal="right"/>
    </xf>
    <xf numFmtId="164" fontId="24" fillId="2" borderId="5" xfId="0" applyNumberFormat="1" applyFont="1" applyFill="1" applyBorder="1" applyAlignment="1">
      <alignment vertical="top"/>
    </xf>
    <xf numFmtId="0" fontId="24" fillId="2" borderId="5" xfId="0" applyFont="1" applyFill="1" applyBorder="1" applyAlignment="1">
      <alignment vertical="top"/>
    </xf>
    <xf numFmtId="0" fontId="24" fillId="2" borderId="6" xfId="0" applyFont="1" applyFill="1" applyBorder="1" applyAlignment="1">
      <alignment vertical="top"/>
    </xf>
    <xf numFmtId="0" fontId="6" fillId="0" borderId="11" xfId="0" applyFont="1" applyBorder="1"/>
    <xf numFmtId="37" fontId="6" fillId="0" borderId="7" xfId="0" applyNumberFormat="1" applyFont="1" applyBorder="1" applyAlignment="1">
      <alignment horizontal="left"/>
    </xf>
    <xf numFmtId="177" fontId="6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center"/>
    </xf>
    <xf numFmtId="37" fontId="6" fillId="0" borderId="12" xfId="0" applyNumberFormat="1" applyFont="1" applyBorder="1" applyAlignment="1">
      <alignment horizontal="left"/>
    </xf>
    <xf numFmtId="37" fontId="27" fillId="0" borderId="0" xfId="0" applyNumberFormat="1" applyFont="1" applyAlignment="1">
      <alignment horizontal="center"/>
    </xf>
    <xf numFmtId="172" fontId="25" fillId="0" borderId="0" xfId="0" applyNumberFormat="1" applyFont="1" applyAlignment="1">
      <alignment horizontal="center"/>
    </xf>
    <xf numFmtId="172" fontId="6" fillId="0" borderId="10" xfId="0" applyNumberFormat="1" applyFont="1" applyBorder="1"/>
    <xf numFmtId="172" fontId="23" fillId="0" borderId="0" xfId="0" applyNumberFormat="1" applyFont="1" applyAlignment="1">
      <alignment horizontal="center"/>
    </xf>
    <xf numFmtId="37" fontId="6" fillId="0" borderId="30" xfId="0" applyNumberFormat="1" applyFont="1" applyBorder="1" applyAlignment="1">
      <alignment horizontal="left"/>
    </xf>
    <xf numFmtId="172" fontId="23" fillId="0" borderId="32" xfId="0" applyNumberFormat="1" applyFont="1" applyBorder="1" applyAlignment="1">
      <alignment horizontal="center"/>
    </xf>
    <xf numFmtId="172" fontId="26" fillId="0" borderId="0" xfId="0" applyNumberFormat="1" applyFont="1" applyAlignment="1">
      <alignment horizontal="center"/>
    </xf>
    <xf numFmtId="0" fontId="6" fillId="0" borderId="33" xfId="0" applyFont="1" applyBorder="1"/>
    <xf numFmtId="164" fontId="30" fillId="0" borderId="0" xfId="0" applyNumberFormat="1" applyFont="1" applyAlignment="1">
      <alignment horizontal="center"/>
    </xf>
    <xf numFmtId="37" fontId="31" fillId="0" borderId="0" xfId="0" applyNumberFormat="1" applyFont="1" applyAlignment="1">
      <alignment horizontal="center"/>
    </xf>
    <xf numFmtId="37" fontId="32" fillId="0" borderId="34" xfId="0" applyNumberFormat="1" applyFont="1" applyBorder="1" applyAlignment="1">
      <alignment horizontal="center" wrapText="1"/>
    </xf>
    <xf numFmtId="37" fontId="9" fillId="0" borderId="33" xfId="0" applyNumberFormat="1" applyFont="1" applyBorder="1" applyAlignment="1">
      <alignment horizontal="left"/>
    </xf>
    <xf numFmtId="37" fontId="6" fillId="0" borderId="35" xfId="0" applyNumberFormat="1" applyFont="1" applyBorder="1" applyAlignment="1">
      <alignment horizontal="left"/>
    </xf>
    <xf numFmtId="177" fontId="6" fillId="0" borderId="31" xfId="0" applyNumberFormat="1" applyFont="1" applyBorder="1" applyAlignment="1">
      <alignment horizontal="right"/>
    </xf>
    <xf numFmtId="164" fontId="6" fillId="0" borderId="31" xfId="0" applyNumberFormat="1" applyFont="1" applyBorder="1" applyAlignment="1">
      <alignment horizontal="center"/>
    </xf>
    <xf numFmtId="183" fontId="6" fillId="0" borderId="31" xfId="0" applyNumberFormat="1" applyFont="1" applyBorder="1" applyAlignment="1">
      <alignment horizontal="center"/>
    </xf>
    <xf numFmtId="172" fontId="6" fillId="0" borderId="31" xfId="0" applyNumberFormat="1" applyFont="1" applyBorder="1" applyAlignment="1">
      <alignment horizontal="center"/>
    </xf>
    <xf numFmtId="172" fontId="25" fillId="0" borderId="36" xfId="0" applyNumberFormat="1" applyFont="1" applyBorder="1" applyAlignment="1">
      <alignment horizontal="center" vertical="center"/>
    </xf>
    <xf numFmtId="0" fontId="9" fillId="0" borderId="37" xfId="0" applyFont="1" applyBorder="1"/>
    <xf numFmtId="177" fontId="9" fillId="0" borderId="38" xfId="0" applyNumberFormat="1" applyFont="1" applyBorder="1" applyAlignment="1">
      <alignment horizontal="right"/>
    </xf>
    <xf numFmtId="164" fontId="9" fillId="0" borderId="38" xfId="0" applyNumberFormat="1" applyFont="1" applyBorder="1" applyAlignment="1">
      <alignment horizontal="center"/>
    </xf>
    <xf numFmtId="183" fontId="9" fillId="0" borderId="38" xfId="0" applyNumberFormat="1" applyFont="1" applyBorder="1" applyAlignment="1">
      <alignment horizontal="center"/>
    </xf>
    <xf numFmtId="172" fontId="9" fillId="0" borderId="38" xfId="0" applyNumberFormat="1" applyFont="1" applyBorder="1" applyAlignment="1">
      <alignment horizontal="center"/>
    </xf>
    <xf numFmtId="172" fontId="26" fillId="0" borderId="36" xfId="0" applyNumberFormat="1" applyFont="1" applyBorder="1" applyAlignment="1">
      <alignment horizontal="center"/>
    </xf>
    <xf numFmtId="0" fontId="9" fillId="0" borderId="33" xfId="0" applyFont="1" applyBorder="1"/>
    <xf numFmtId="177" fontId="6" fillId="0" borderId="0" xfId="0" applyNumberFormat="1" applyFont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83" fontId="6" fillId="0" borderId="39" xfId="0" applyNumberFormat="1" applyFont="1" applyBorder="1" applyAlignment="1">
      <alignment horizontal="center" vertical="center"/>
    </xf>
    <xf numFmtId="10" fontId="6" fillId="0" borderId="39" xfId="0" applyNumberFormat="1" applyFont="1" applyBorder="1" applyAlignment="1">
      <alignment horizontal="center" vertical="center"/>
    </xf>
    <xf numFmtId="172" fontId="25" fillId="0" borderId="3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left"/>
    </xf>
    <xf numFmtId="177" fontId="6" fillId="0" borderId="0" xfId="0" applyNumberFormat="1" applyFont="1" applyAlignment="1">
      <alignment horizontal="right" vertical="top"/>
    </xf>
    <xf numFmtId="184" fontId="6" fillId="0" borderId="0" xfId="0" applyNumberFormat="1" applyFont="1" applyAlignment="1">
      <alignment horizontal="center" vertical="top"/>
    </xf>
    <xf numFmtId="0" fontId="6" fillId="2" borderId="49" xfId="0" applyFont="1" applyFill="1" applyBorder="1" applyAlignment="1">
      <alignment vertical="top"/>
    </xf>
    <xf numFmtId="0" fontId="6" fillId="2" borderId="50" xfId="0" applyFont="1" applyFill="1" applyBorder="1" applyAlignment="1">
      <alignment vertical="top"/>
    </xf>
    <xf numFmtId="0" fontId="7" fillId="0" borderId="0" xfId="0" applyFont="1"/>
    <xf numFmtId="37" fontId="9" fillId="0" borderId="51" xfId="0" applyNumberFormat="1" applyFont="1" applyBorder="1" applyAlignment="1">
      <alignment horizontal="center"/>
    </xf>
    <xf numFmtId="37" fontId="6" fillId="0" borderId="8" xfId="0" applyNumberFormat="1" applyFont="1" applyBorder="1" applyAlignment="1">
      <alignment horizontal="left"/>
    </xf>
    <xf numFmtId="168" fontId="21" fillId="5" borderId="5" xfId="0" applyNumberFormat="1" applyFont="1" applyFill="1" applyBorder="1" applyAlignment="1">
      <alignment horizontal="center"/>
    </xf>
    <xf numFmtId="184" fontId="6" fillId="0" borderId="11" xfId="0" applyNumberFormat="1" applyFont="1" applyBorder="1" applyAlignment="1">
      <alignment horizontal="center"/>
    </xf>
    <xf numFmtId="37" fontId="34" fillId="0" borderId="0" xfId="0" applyNumberFormat="1" applyFont="1" applyAlignment="1">
      <alignment horizontal="center" wrapText="1"/>
    </xf>
    <xf numFmtId="168" fontId="21" fillId="5" borderId="15" xfId="0" applyNumberFormat="1" applyFont="1" applyFill="1" applyBorder="1" applyAlignment="1">
      <alignment horizontal="center"/>
    </xf>
    <xf numFmtId="184" fontId="6" fillId="0" borderId="0" xfId="0" applyNumberFormat="1" applyFont="1" applyAlignment="1">
      <alignment horizontal="center"/>
    </xf>
    <xf numFmtId="172" fontId="25" fillId="0" borderId="0" xfId="0" applyNumberFormat="1" applyFont="1" applyAlignment="1">
      <alignment horizontal="center" vertical="center"/>
    </xf>
    <xf numFmtId="183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left"/>
    </xf>
    <xf numFmtId="9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right" vertical="top"/>
    </xf>
    <xf numFmtId="10" fontId="6" fillId="0" borderId="0" xfId="0" applyNumberFormat="1" applyFont="1" applyAlignment="1">
      <alignment horizontal="center" vertical="center"/>
    </xf>
    <xf numFmtId="9" fontId="6" fillId="0" borderId="0" xfId="0" applyNumberFormat="1" applyFont="1"/>
    <xf numFmtId="9" fontId="6" fillId="0" borderId="0" xfId="0" applyNumberFormat="1" applyFont="1" applyAlignment="1">
      <alignment horizontal="center" vertical="top"/>
    </xf>
    <xf numFmtId="168" fontId="21" fillId="5" borderId="17" xfId="0" applyNumberFormat="1" applyFont="1" applyFill="1" applyBorder="1" applyAlignment="1">
      <alignment horizontal="center"/>
    </xf>
    <xf numFmtId="184" fontId="6" fillId="0" borderId="13" xfId="0" applyNumberFormat="1" applyFont="1" applyBorder="1" applyAlignment="1">
      <alignment horizontal="center"/>
    </xf>
    <xf numFmtId="185" fontId="6" fillId="0" borderId="0" xfId="0" applyNumberFormat="1" applyFont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168" fontId="9" fillId="0" borderId="13" xfId="0" applyNumberFormat="1" applyFont="1" applyBorder="1" applyAlignment="1">
      <alignment horizontal="center"/>
    </xf>
    <xf numFmtId="184" fontId="9" fillId="0" borderId="13" xfId="0" applyNumberFormat="1" applyFont="1" applyBorder="1" applyAlignment="1">
      <alignment horizontal="center"/>
    </xf>
    <xf numFmtId="172" fontId="9" fillId="0" borderId="14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184" fontId="9" fillId="0" borderId="0" xfId="0" applyNumberFormat="1" applyFont="1" applyAlignment="1">
      <alignment horizontal="center"/>
    </xf>
    <xf numFmtId="172" fontId="9" fillId="0" borderId="0" xfId="0" applyNumberFormat="1" applyFont="1" applyAlignment="1">
      <alignment horizontal="center"/>
    </xf>
    <xf numFmtId="186" fontId="6" fillId="0" borderId="0" xfId="0" applyNumberFormat="1" applyFont="1"/>
    <xf numFmtId="0" fontId="7" fillId="2" borderId="5" xfId="0" applyFont="1" applyFill="1" applyBorder="1" applyAlignment="1">
      <alignment horizontal="center" vertical="center"/>
    </xf>
    <xf numFmtId="169" fontId="7" fillId="2" borderId="5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right" vertical="center"/>
    </xf>
    <xf numFmtId="167" fontId="6" fillId="0" borderId="0" xfId="0" applyNumberFormat="1" applyFont="1"/>
    <xf numFmtId="10" fontId="6" fillId="0" borderId="10" xfId="0" applyNumberFormat="1" applyFont="1" applyBorder="1" applyAlignment="1">
      <alignment horizontal="right" vertical="center"/>
    </xf>
    <xf numFmtId="173" fontId="6" fillId="0" borderId="10" xfId="0" applyNumberFormat="1" applyFont="1" applyBorder="1" applyAlignment="1">
      <alignment horizontal="right" vertical="center"/>
    </xf>
    <xf numFmtId="187" fontId="6" fillId="0" borderId="0" xfId="0" applyNumberFormat="1" applyFont="1"/>
    <xf numFmtId="0" fontId="9" fillId="0" borderId="0" xfId="0" applyFont="1" applyAlignment="1">
      <alignment horizontal="left" vertical="center"/>
    </xf>
    <xf numFmtId="165" fontId="6" fillId="0" borderId="0" xfId="0" applyNumberFormat="1" applyFont="1"/>
    <xf numFmtId="188" fontId="6" fillId="0" borderId="0" xfId="0" applyNumberFormat="1" applyFont="1"/>
    <xf numFmtId="165" fontId="6" fillId="0" borderId="10" xfId="0" applyNumberFormat="1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35" fillId="0" borderId="0" xfId="0" applyFont="1"/>
    <xf numFmtId="37" fontId="38" fillId="0" borderId="0" xfId="0" applyNumberFormat="1" applyFont="1" applyAlignment="1">
      <alignment horizontal="center"/>
    </xf>
    <xf numFmtId="0" fontId="37" fillId="0" borderId="0" xfId="0" applyFont="1"/>
    <xf numFmtId="189" fontId="6" fillId="0" borderId="0" xfId="0" applyNumberFormat="1" applyFont="1"/>
    <xf numFmtId="0" fontId="42" fillId="0" borderId="0" xfId="0" applyFont="1"/>
    <xf numFmtId="37" fontId="17" fillId="0" borderId="0" xfId="0" applyNumberFormat="1" applyFont="1"/>
    <xf numFmtId="14" fontId="37" fillId="0" borderId="0" xfId="0" applyNumberFormat="1" applyFont="1" applyAlignment="1">
      <alignment horizontal="right"/>
    </xf>
    <xf numFmtId="14" fontId="43" fillId="0" borderId="0" xfId="0" applyNumberFormat="1" applyFont="1" applyAlignment="1">
      <alignment horizontal="left"/>
    </xf>
    <xf numFmtId="37" fontId="44" fillId="2" borderId="4" xfId="0" applyNumberFormat="1" applyFont="1" applyFill="1" applyBorder="1" applyAlignment="1">
      <alignment horizontal="left"/>
    </xf>
    <xf numFmtId="37" fontId="44" fillId="2" borderId="5" xfId="0" applyNumberFormat="1" applyFont="1" applyFill="1" applyBorder="1" applyAlignment="1">
      <alignment horizontal="left"/>
    </xf>
    <xf numFmtId="4" fontId="45" fillId="2" borderId="5" xfId="0" applyNumberFormat="1" applyFont="1" applyFill="1" applyBorder="1" applyAlignment="1">
      <alignment horizontal="right"/>
    </xf>
    <xf numFmtId="37" fontId="44" fillId="2" borderId="5" xfId="0" applyNumberFormat="1" applyFont="1" applyFill="1" applyBorder="1" applyAlignment="1">
      <alignment horizontal="center"/>
    </xf>
    <xf numFmtId="164" fontId="6" fillId="0" borderId="0" xfId="0" applyNumberFormat="1" applyFont="1"/>
    <xf numFmtId="191" fontId="6" fillId="0" borderId="0" xfId="0" applyNumberFormat="1" applyFont="1"/>
    <xf numFmtId="183" fontId="6" fillId="0" borderId="0" xfId="0" applyNumberFormat="1" applyFont="1"/>
    <xf numFmtId="164" fontId="38" fillId="0" borderId="0" xfId="0" applyNumberFormat="1" applyFont="1" applyAlignment="1">
      <alignment horizontal="right"/>
    </xf>
    <xf numFmtId="164" fontId="38" fillId="0" borderId="0" xfId="0" applyNumberFormat="1" applyFont="1"/>
    <xf numFmtId="0" fontId="37" fillId="0" borderId="0" xfId="0" applyFont="1" applyAlignment="1">
      <alignment horizontal="right"/>
    </xf>
    <xf numFmtId="164" fontId="46" fillId="0" borderId="0" xfId="0" applyNumberFormat="1" applyFont="1" applyAlignment="1">
      <alignment horizontal="center"/>
    </xf>
    <xf numFmtId="190" fontId="37" fillId="0" borderId="0" xfId="0" applyNumberFormat="1" applyFont="1"/>
    <xf numFmtId="164" fontId="6" fillId="0" borderId="0" xfId="0" applyNumberFormat="1" applyFont="1" applyAlignment="1">
      <alignment vertical="top"/>
    </xf>
    <xf numFmtId="0" fontId="37" fillId="0" borderId="0" xfId="0" applyFont="1" applyAlignment="1">
      <alignment horizontal="left"/>
    </xf>
    <xf numFmtId="193" fontId="37" fillId="0" borderId="0" xfId="0" applyNumberFormat="1" applyFont="1"/>
    <xf numFmtId="37" fontId="38" fillId="0" borderId="0" xfId="0" applyNumberFormat="1" applyFont="1" applyAlignment="1">
      <alignment horizontal="left"/>
    </xf>
    <xf numFmtId="0" fontId="37" fillId="0" borderId="0" xfId="0" applyFont="1" applyAlignment="1">
      <alignment horizontal="center"/>
    </xf>
    <xf numFmtId="14" fontId="6" fillId="0" borderId="0" xfId="0" applyNumberFormat="1" applyFont="1"/>
    <xf numFmtId="164" fontId="37" fillId="0" borderId="0" xfId="0" applyNumberFormat="1" applyFont="1"/>
    <xf numFmtId="0" fontId="37" fillId="0" borderId="13" xfId="0" applyFont="1" applyBorder="1" applyAlignment="1">
      <alignment horizontal="left"/>
    </xf>
    <xf numFmtId="0" fontId="37" fillId="0" borderId="13" xfId="0" applyFont="1" applyBorder="1"/>
    <xf numFmtId="10" fontId="37" fillId="0" borderId="13" xfId="0" applyNumberFormat="1" applyFont="1" applyBorder="1"/>
    <xf numFmtId="10" fontId="6" fillId="0" borderId="0" xfId="0" applyNumberFormat="1" applyFont="1"/>
    <xf numFmtId="1" fontId="6" fillId="0" borderId="0" xfId="0" applyNumberFormat="1" applyFont="1"/>
    <xf numFmtId="196" fontId="6" fillId="0" borderId="0" xfId="0" applyNumberFormat="1" applyFont="1"/>
    <xf numFmtId="0" fontId="4" fillId="0" borderId="0" xfId="0" applyFont="1" applyAlignment="1">
      <alignment horizontal="center" vertical="top"/>
    </xf>
    <xf numFmtId="37" fontId="47" fillId="0" borderId="0" xfId="0" applyNumberFormat="1" applyFont="1" applyAlignment="1">
      <alignment horizontal="left"/>
    </xf>
    <xf numFmtId="196" fontId="4" fillId="0" borderId="0" xfId="0" applyNumberFormat="1" applyFont="1" applyAlignment="1">
      <alignment horizontal="center" vertical="top"/>
    </xf>
    <xf numFmtId="37" fontId="6" fillId="0" borderId="0" xfId="0" applyNumberFormat="1" applyFont="1" applyAlignment="1">
      <alignment horizontal="center" vertical="top"/>
    </xf>
    <xf numFmtId="196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6" fontId="6" fillId="0" borderId="0" xfId="0" applyNumberFormat="1" applyFont="1" applyAlignment="1">
      <alignment horizontal="right"/>
    </xf>
    <xf numFmtId="173" fontId="11" fillId="0" borderId="0" xfId="0" applyNumberFormat="1" applyFont="1" applyAlignment="1">
      <alignment horizontal="right"/>
    </xf>
    <xf numFmtId="172" fontId="6" fillId="0" borderId="9" xfId="0" applyNumberFormat="1" applyFont="1" applyBorder="1" applyAlignment="1">
      <alignment horizontal="center"/>
    </xf>
    <xf numFmtId="173" fontId="41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8" fontId="6" fillId="0" borderId="0" xfId="0" applyNumberFormat="1" applyFont="1"/>
    <xf numFmtId="0" fontId="6" fillId="8" borderId="1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197" fontId="6" fillId="0" borderId="0" xfId="0" applyNumberFormat="1" applyFont="1" applyAlignment="1">
      <alignment vertical="top"/>
    </xf>
    <xf numFmtId="196" fontId="6" fillId="0" borderId="0" xfId="0" applyNumberFormat="1" applyFont="1" applyAlignment="1">
      <alignment horizontal="left" vertical="top" wrapText="1"/>
    </xf>
    <xf numFmtId="197" fontId="48" fillId="0" borderId="0" xfId="0" applyNumberFormat="1" applyFont="1" applyAlignment="1">
      <alignment vertical="top"/>
    </xf>
    <xf numFmtId="196" fontId="6" fillId="0" borderId="0" xfId="0" applyNumberFormat="1" applyFont="1" applyAlignment="1">
      <alignment horizontal="left" vertical="top"/>
    </xf>
    <xf numFmtId="0" fontId="10" fillId="0" borderId="0" xfId="0" applyFont="1"/>
    <xf numFmtId="196" fontId="6" fillId="0" borderId="0" xfId="0" applyNumberFormat="1" applyFont="1" applyAlignment="1">
      <alignment vertical="top" wrapText="1"/>
    </xf>
    <xf numFmtId="0" fontId="9" fillId="0" borderId="0" xfId="0" applyFont="1" applyAlignment="1">
      <alignment horizontal="center"/>
    </xf>
    <xf numFmtId="37" fontId="6" fillId="0" borderId="0" xfId="0" applyNumberFormat="1" applyFont="1"/>
    <xf numFmtId="14" fontId="13" fillId="3" borderId="15" xfId="0" applyNumberFormat="1" applyFont="1" applyFill="1" applyBorder="1" applyAlignment="1">
      <alignment horizontal="left"/>
    </xf>
    <xf numFmtId="37" fontId="9" fillId="3" borderId="15" xfId="0" applyNumberFormat="1" applyFont="1" applyFill="1" applyBorder="1" applyAlignment="1">
      <alignment horizontal="center"/>
    </xf>
    <xf numFmtId="0" fontId="6" fillId="3" borderId="15" xfId="0" applyFont="1" applyFill="1" applyBorder="1"/>
    <xf numFmtId="14" fontId="10" fillId="3" borderId="15" xfId="0" applyNumberFormat="1" applyFont="1" applyFill="1" applyBorder="1" applyAlignment="1">
      <alignment horizontal="right"/>
    </xf>
    <xf numFmtId="14" fontId="10" fillId="0" borderId="0" xfId="0" applyNumberFormat="1" applyFont="1" applyAlignment="1">
      <alignment horizontal="right"/>
    </xf>
    <xf numFmtId="195" fontId="6" fillId="0" borderId="0" xfId="0" applyNumberFormat="1" applyFont="1"/>
    <xf numFmtId="1" fontId="6" fillId="3" borderId="15" xfId="0" applyNumberFormat="1" applyFont="1" applyFill="1" applyBorder="1"/>
    <xf numFmtId="164" fontId="24" fillId="2" borderId="15" xfId="0" applyNumberFormat="1" applyFont="1" applyFill="1" applyBorder="1" applyAlignment="1">
      <alignment vertical="center"/>
    </xf>
    <xf numFmtId="0" fontId="24" fillId="2" borderId="15" xfId="0" applyFont="1" applyFill="1" applyBorder="1" applyAlignment="1">
      <alignment vertical="center"/>
    </xf>
    <xf numFmtId="0" fontId="24" fillId="2" borderId="15" xfId="0" applyFont="1" applyFill="1" applyBorder="1" applyAlignment="1">
      <alignment horizontal="center" vertical="center"/>
    </xf>
    <xf numFmtId="190" fontId="6" fillId="0" borderId="0" xfId="0" applyNumberFormat="1" applyFont="1"/>
    <xf numFmtId="0" fontId="9" fillId="3" borderId="15" xfId="0" applyFont="1" applyFill="1" applyBorder="1"/>
    <xf numFmtId="0" fontId="49" fillId="3" borderId="15" xfId="0" applyFont="1" applyFill="1" applyBorder="1" applyAlignment="1">
      <alignment horizontal="center"/>
    </xf>
    <xf numFmtId="0" fontId="50" fillId="3" borderId="15" xfId="0" applyFont="1" applyFill="1" applyBorder="1" applyAlignment="1">
      <alignment horizontal="right" wrapText="1"/>
    </xf>
    <xf numFmtId="198" fontId="6" fillId="0" borderId="0" xfId="0" applyNumberFormat="1" applyFont="1"/>
    <xf numFmtId="186" fontId="6" fillId="3" borderId="15" xfId="0" applyNumberFormat="1" applyFont="1" applyFill="1" applyBorder="1"/>
    <xf numFmtId="190" fontId="6" fillId="3" borderId="15" xfId="0" applyNumberFormat="1" applyFont="1" applyFill="1" applyBorder="1"/>
    <xf numFmtId="172" fontId="6" fillId="3" borderId="15" xfId="0" applyNumberFormat="1" applyFont="1" applyFill="1" applyBorder="1"/>
    <xf numFmtId="41" fontId="6" fillId="0" borderId="0" xfId="0" applyNumberFormat="1" applyFont="1"/>
    <xf numFmtId="16" fontId="6" fillId="0" borderId="0" xfId="0" applyNumberFormat="1" applyFont="1"/>
    <xf numFmtId="186" fontId="9" fillId="3" borderId="5" xfId="0" applyNumberFormat="1" applyFont="1" applyFill="1" applyBorder="1"/>
    <xf numFmtId="190" fontId="9" fillId="3" borderId="5" xfId="0" applyNumberFormat="1" applyFont="1" applyFill="1" applyBorder="1"/>
    <xf numFmtId="172" fontId="9" fillId="3" borderId="5" xfId="0" applyNumberFormat="1" applyFont="1" applyFill="1" applyBorder="1"/>
    <xf numFmtId="195" fontId="6" fillId="3" borderId="15" xfId="0" applyNumberFormat="1" applyFont="1" applyFill="1" applyBorder="1" applyAlignment="1">
      <alignment vertical="top"/>
    </xf>
    <xf numFmtId="199" fontId="6" fillId="3" borderId="15" xfId="0" applyNumberFormat="1" applyFont="1" applyFill="1" applyBorder="1"/>
    <xf numFmtId="195" fontId="6" fillId="3" borderId="15" xfId="0" applyNumberFormat="1" applyFont="1" applyFill="1" applyBorder="1"/>
    <xf numFmtId="0" fontId="6" fillId="3" borderId="15" xfId="0" applyFont="1" applyFill="1" applyBorder="1" applyAlignment="1">
      <alignment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vertical="top" wrapText="1"/>
    </xf>
    <xf numFmtId="186" fontId="9" fillId="3" borderId="15" xfId="0" applyNumberFormat="1" applyFont="1" applyFill="1" applyBorder="1"/>
    <xf numFmtId="190" fontId="9" fillId="3" borderId="15" xfId="0" applyNumberFormat="1" applyFont="1" applyFill="1" applyBorder="1"/>
    <xf numFmtId="172" fontId="9" fillId="3" borderId="15" xfId="0" applyNumberFormat="1" applyFont="1" applyFill="1" applyBorder="1"/>
    <xf numFmtId="0" fontId="6" fillId="3" borderId="17" xfId="0" applyFont="1" applyFill="1" applyBorder="1" applyAlignment="1">
      <alignment vertical="top"/>
    </xf>
    <xf numFmtId="186" fontId="6" fillId="3" borderId="17" xfId="0" applyNumberFormat="1" applyFont="1" applyFill="1" applyBorder="1" applyAlignment="1">
      <alignment vertical="top"/>
    </xf>
    <xf numFmtId="186" fontId="6" fillId="3" borderId="17" xfId="0" applyNumberFormat="1" applyFont="1" applyFill="1" applyBorder="1"/>
    <xf numFmtId="190" fontId="23" fillId="3" borderId="17" xfId="0" applyNumberFormat="1" applyFont="1" applyFill="1" applyBorder="1"/>
    <xf numFmtId="172" fontId="23" fillId="3" borderId="17" xfId="0" applyNumberFormat="1" applyFont="1" applyFill="1" applyBorder="1"/>
    <xf numFmtId="164" fontId="6" fillId="3" borderId="15" xfId="0" applyNumberFormat="1" applyFont="1" applyFill="1" applyBorder="1" applyAlignment="1">
      <alignment vertical="top"/>
    </xf>
    <xf numFmtId="172" fontId="6" fillId="3" borderId="17" xfId="0" applyNumberFormat="1" applyFont="1" applyFill="1" applyBorder="1"/>
    <xf numFmtId="186" fontId="9" fillId="3" borderId="5" xfId="0" applyNumberFormat="1" applyFont="1" applyFill="1" applyBorder="1" applyAlignment="1">
      <alignment vertical="top"/>
    </xf>
    <xf numFmtId="190" fontId="9" fillId="3" borderId="5" xfId="0" applyNumberFormat="1" applyFont="1" applyFill="1" applyBorder="1" applyAlignment="1">
      <alignment vertical="top"/>
    </xf>
    <xf numFmtId="172" fontId="6" fillId="3" borderId="15" xfId="0" applyNumberFormat="1" applyFont="1" applyFill="1" applyBorder="1" applyAlignment="1">
      <alignment vertical="top"/>
    </xf>
    <xf numFmtId="186" fontId="6" fillId="3" borderId="15" xfId="0" applyNumberFormat="1" applyFont="1" applyFill="1" applyBorder="1" applyAlignment="1">
      <alignment vertical="top"/>
    </xf>
    <xf numFmtId="10" fontId="21" fillId="8" borderId="15" xfId="0" applyNumberFormat="1" applyFont="1" applyFill="1" applyBorder="1" applyAlignment="1">
      <alignment horizontal="center"/>
    </xf>
    <xf numFmtId="200" fontId="6" fillId="3" borderId="15" xfId="0" applyNumberFormat="1" applyFont="1" applyFill="1" applyBorder="1"/>
    <xf numFmtId="201" fontId="6" fillId="3" borderId="15" xfId="0" applyNumberFormat="1" applyFont="1" applyFill="1" applyBorder="1"/>
    <xf numFmtId="10" fontId="22" fillId="8" borderId="15" xfId="0" applyNumberFormat="1" applyFont="1" applyFill="1" applyBorder="1" applyAlignment="1">
      <alignment horizontal="center"/>
    </xf>
    <xf numFmtId="186" fontId="21" fillId="3" borderId="15" xfId="0" applyNumberFormat="1" applyFont="1" applyFill="1" applyBorder="1" applyAlignment="1">
      <alignment vertical="top"/>
    </xf>
    <xf numFmtId="10" fontId="6" fillId="3" borderId="15" xfId="0" applyNumberFormat="1" applyFont="1" applyFill="1" applyBorder="1" applyAlignment="1">
      <alignment horizontal="left"/>
    </xf>
    <xf numFmtId="0" fontId="24" fillId="0" borderId="0" xfId="0" applyFont="1"/>
    <xf numFmtId="0" fontId="6" fillId="3" borderId="17" xfId="0" applyFont="1" applyFill="1" applyBorder="1"/>
    <xf numFmtId="186" fontId="9" fillId="3" borderId="15" xfId="0" applyNumberFormat="1" applyFont="1" applyFill="1" applyBorder="1" applyAlignment="1">
      <alignment vertical="top"/>
    </xf>
    <xf numFmtId="186" fontId="9" fillId="0" borderId="0" xfId="0" applyNumberFormat="1" applyFont="1"/>
    <xf numFmtId="0" fontId="24" fillId="9" borderId="15" xfId="0" applyFont="1" applyFill="1" applyBorder="1"/>
    <xf numFmtId="199" fontId="6" fillId="0" borderId="0" xfId="0" applyNumberFormat="1" applyFont="1"/>
    <xf numFmtId="165" fontId="51" fillId="0" borderId="0" xfId="0" applyNumberFormat="1" applyFont="1"/>
    <xf numFmtId="172" fontId="10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7" fillId="2" borderId="15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189" fontId="9" fillId="0" borderId="0" xfId="0" applyNumberFormat="1" applyFont="1"/>
    <xf numFmtId="1" fontId="23" fillId="0" borderId="0" xfId="0" applyNumberFormat="1" applyFont="1"/>
    <xf numFmtId="37" fontId="6" fillId="0" borderId="13" xfId="0" applyNumberFormat="1" applyFont="1" applyBorder="1" applyAlignment="1">
      <alignment horizontal="left"/>
    </xf>
    <xf numFmtId="197" fontId="48" fillId="0" borderId="13" xfId="0" applyNumberFormat="1" applyFont="1" applyBorder="1" applyAlignment="1">
      <alignment vertical="top"/>
    </xf>
    <xf numFmtId="0" fontId="10" fillId="0" borderId="13" xfId="0" applyFont="1" applyBorder="1"/>
    <xf numFmtId="202" fontId="6" fillId="0" borderId="13" xfId="0" applyNumberFormat="1" applyFont="1" applyBorder="1"/>
    <xf numFmtId="203" fontId="6" fillId="0" borderId="13" xfId="0" applyNumberFormat="1" applyFont="1" applyBorder="1"/>
    <xf numFmtId="10" fontId="6" fillId="0" borderId="13" xfId="0" applyNumberFormat="1" applyFont="1" applyBorder="1"/>
    <xf numFmtId="172" fontId="10" fillId="0" borderId="0" xfId="0" applyNumberFormat="1" applyFont="1"/>
    <xf numFmtId="204" fontId="23" fillId="0" borderId="0" xfId="0" applyNumberFormat="1" applyFont="1"/>
    <xf numFmtId="202" fontId="23" fillId="0" borderId="0" xfId="0" applyNumberFormat="1" applyFont="1"/>
    <xf numFmtId="205" fontId="23" fillId="0" borderId="0" xfId="0" applyNumberFormat="1" applyFont="1"/>
    <xf numFmtId="10" fontId="23" fillId="0" borderId="0" xfId="0" applyNumberFormat="1" applyFont="1"/>
    <xf numFmtId="172" fontId="10" fillId="0" borderId="13" xfId="0" applyNumberFormat="1" applyFont="1" applyBorder="1"/>
    <xf numFmtId="204" fontId="23" fillId="0" borderId="13" xfId="0" applyNumberFormat="1" applyFont="1" applyBorder="1"/>
    <xf numFmtId="202" fontId="23" fillId="0" borderId="13" xfId="0" applyNumberFormat="1" applyFont="1" applyBorder="1"/>
    <xf numFmtId="205" fontId="23" fillId="0" borderId="13" xfId="0" applyNumberFormat="1" applyFont="1" applyBorder="1"/>
    <xf numFmtId="10" fontId="23" fillId="0" borderId="13" xfId="0" applyNumberFormat="1" applyFont="1" applyBorder="1"/>
    <xf numFmtId="1" fontId="52" fillId="0" borderId="0" xfId="0" applyNumberFormat="1" applyFont="1"/>
    <xf numFmtId="172" fontId="13" fillId="0" borderId="0" xfId="0" applyNumberFormat="1" applyFont="1"/>
    <xf numFmtId="204" fontId="9" fillId="0" borderId="0" xfId="0" applyNumberFormat="1" applyFont="1"/>
    <xf numFmtId="202" fontId="9" fillId="0" borderId="0" xfId="0" applyNumberFormat="1" applyFont="1"/>
    <xf numFmtId="203" fontId="9" fillId="0" borderId="0" xfId="0" applyNumberFormat="1" applyFont="1"/>
    <xf numFmtId="10" fontId="9" fillId="0" borderId="0" xfId="0" applyNumberFormat="1" applyFont="1"/>
    <xf numFmtId="204" fontId="6" fillId="0" borderId="13" xfId="0" applyNumberFormat="1" applyFont="1" applyBorder="1"/>
    <xf numFmtId="204" fontId="6" fillId="0" borderId="0" xfId="0" applyNumberFormat="1" applyFont="1"/>
    <xf numFmtId="202" fontId="6" fillId="0" borderId="0" xfId="0" applyNumberFormat="1" applyFont="1"/>
    <xf numFmtId="203" fontId="6" fillId="0" borderId="0" xfId="0" applyNumberFormat="1" applyFont="1"/>
    <xf numFmtId="189" fontId="24" fillId="0" borderId="0" xfId="0" applyNumberFormat="1" applyFont="1"/>
    <xf numFmtId="190" fontId="23" fillId="0" borderId="0" xfId="0" applyNumberFormat="1" applyFont="1"/>
    <xf numFmtId="190" fontId="23" fillId="0" borderId="13" xfId="0" applyNumberFormat="1" applyFont="1" applyBorder="1"/>
    <xf numFmtId="0" fontId="23" fillId="0" borderId="0" xfId="0" applyFont="1"/>
    <xf numFmtId="204" fontId="52" fillId="0" borderId="0" xfId="0" applyNumberFormat="1" applyFont="1"/>
    <xf numFmtId="177" fontId="52" fillId="0" borderId="0" xfId="0" applyNumberFormat="1" applyFont="1"/>
    <xf numFmtId="190" fontId="52" fillId="0" borderId="0" xfId="0" applyNumberFormat="1" applyFont="1"/>
    <xf numFmtId="172" fontId="52" fillId="0" borderId="0" xfId="0" applyNumberFormat="1" applyFont="1"/>
    <xf numFmtId="0" fontId="9" fillId="0" borderId="25" xfId="0" applyFont="1" applyBorder="1"/>
    <xf numFmtId="197" fontId="48" fillId="0" borderId="25" xfId="0" applyNumberFormat="1" applyFont="1" applyBorder="1" applyAlignment="1">
      <alignment vertical="top"/>
    </xf>
    <xf numFmtId="172" fontId="10" fillId="0" borderId="25" xfId="0" applyNumberFormat="1" applyFont="1" applyBorder="1"/>
    <xf numFmtId="204" fontId="9" fillId="0" borderId="25" xfId="0" applyNumberFormat="1" applyFont="1" applyBorder="1"/>
    <xf numFmtId="186" fontId="9" fillId="0" borderId="25" xfId="0" applyNumberFormat="1" applyFont="1" applyBorder="1"/>
    <xf numFmtId="190" fontId="9" fillId="0" borderId="25" xfId="0" applyNumberFormat="1" applyFont="1" applyBorder="1"/>
    <xf numFmtId="172" fontId="9" fillId="0" borderId="25" xfId="0" applyNumberFormat="1" applyFont="1" applyBorder="1"/>
    <xf numFmtId="177" fontId="6" fillId="0" borderId="0" xfId="0" applyNumberFormat="1" applyFont="1"/>
    <xf numFmtId="190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77" fontId="9" fillId="0" borderId="0" xfId="0" applyNumberFormat="1" applyFont="1"/>
    <xf numFmtId="197" fontId="10" fillId="0" borderId="0" xfId="0" applyNumberFormat="1" applyFont="1"/>
    <xf numFmtId="10" fontId="10" fillId="0" borderId="0" xfId="0" applyNumberFormat="1" applyFont="1" applyAlignment="1">
      <alignment horizontal="center"/>
    </xf>
    <xf numFmtId="206" fontId="6" fillId="0" borderId="0" xfId="0" applyNumberFormat="1" applyFont="1"/>
    <xf numFmtId="184" fontId="9" fillId="0" borderId="0" xfId="0" applyNumberFormat="1" applyFont="1" applyAlignment="1">
      <alignment horizontal="right"/>
    </xf>
    <xf numFmtId="184" fontId="6" fillId="0" borderId="0" xfId="0" applyNumberFormat="1" applyFont="1" applyAlignment="1">
      <alignment horizontal="right"/>
    </xf>
    <xf numFmtId="9" fontId="6" fillId="0" borderId="9" xfId="0" applyNumberFormat="1" applyFont="1" applyBorder="1" applyAlignment="1">
      <alignment horizontal="center" vertical="top"/>
    </xf>
    <xf numFmtId="186" fontId="6" fillId="0" borderId="9" xfId="0" applyNumberFormat="1" applyFont="1" applyBorder="1" applyAlignment="1">
      <alignment horizontal="center"/>
    </xf>
    <xf numFmtId="9" fontId="6" fillId="0" borderId="10" xfId="0" applyNumberFormat="1" applyFont="1" applyBorder="1" applyAlignment="1">
      <alignment horizontal="center" vertical="top"/>
    </xf>
    <xf numFmtId="186" fontId="6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 vertical="top"/>
    </xf>
    <xf numFmtId="9" fontId="6" fillId="0" borderId="10" xfId="0" applyNumberFormat="1" applyFont="1" applyBorder="1" applyAlignment="1">
      <alignment horizontal="center"/>
    </xf>
    <xf numFmtId="10" fontId="6" fillId="0" borderId="10" xfId="0" applyNumberFormat="1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/>
    </xf>
    <xf numFmtId="197" fontId="53" fillId="0" borderId="0" xfId="0" applyNumberFormat="1" applyFont="1" applyAlignment="1">
      <alignment vertical="top"/>
    </xf>
    <xf numFmtId="37" fontId="55" fillId="0" borderId="0" xfId="0" applyNumberFormat="1" applyFont="1"/>
    <xf numFmtId="37" fontId="56" fillId="0" borderId="0" xfId="0" applyNumberFormat="1" applyFont="1" applyAlignment="1">
      <alignment horizontal="center"/>
    </xf>
    <xf numFmtId="0" fontId="55" fillId="0" borderId="0" xfId="0" applyFont="1"/>
    <xf numFmtId="207" fontId="9" fillId="0" borderId="0" xfId="0" applyNumberFormat="1" applyFont="1"/>
    <xf numFmtId="37" fontId="11" fillId="0" borderId="0" xfId="0" applyNumberFormat="1" applyFont="1"/>
    <xf numFmtId="37" fontId="58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left"/>
    </xf>
    <xf numFmtId="3" fontId="15" fillId="0" borderId="0" xfId="0" applyNumberFormat="1" applyFont="1" applyAlignment="1">
      <alignment horizontal="center"/>
    </xf>
    <xf numFmtId="37" fontId="55" fillId="0" borderId="0" xfId="0" applyNumberFormat="1" applyFont="1" applyAlignment="1">
      <alignment horizontal="left"/>
    </xf>
    <xf numFmtId="0" fontId="6" fillId="0" borderId="41" xfId="0" applyFont="1" applyBorder="1"/>
    <xf numFmtId="0" fontId="62" fillId="8" borderId="63" xfId="0" applyFont="1" applyFill="1" applyBorder="1" applyAlignment="1">
      <alignment horizontal="left"/>
    </xf>
    <xf numFmtId="0" fontId="9" fillId="8" borderId="15" xfId="0" applyFont="1" applyFill="1" applyBorder="1"/>
    <xf numFmtId="0" fontId="9" fillId="8" borderId="63" xfId="0" applyFont="1" applyFill="1" applyBorder="1" applyAlignment="1">
      <alignment horizontal="center"/>
    </xf>
    <xf numFmtId="0" fontId="6" fillId="8" borderId="15" xfId="0" applyFont="1" applyFill="1" applyBorder="1"/>
    <xf numFmtId="171" fontId="6" fillId="8" borderId="15" xfId="0" applyNumberFormat="1" applyFont="1" applyFill="1" applyBorder="1"/>
    <xf numFmtId="44" fontId="6" fillId="0" borderId="0" xfId="0" applyNumberFormat="1" applyFont="1"/>
    <xf numFmtId="215" fontId="6" fillId="0" borderId="0" xfId="0" applyNumberFormat="1" applyFont="1"/>
    <xf numFmtId="196" fontId="6" fillId="0" borderId="13" xfId="0" applyNumberFormat="1" applyFont="1" applyBorder="1"/>
    <xf numFmtId="173" fontId="9" fillId="8" borderId="15" xfId="0" applyNumberFormat="1" applyFont="1" applyFill="1" applyBorder="1" applyAlignment="1">
      <alignment horizontal="center"/>
    </xf>
    <xf numFmtId="0" fontId="6" fillId="8" borderId="63" xfId="0" applyFont="1" applyFill="1" applyBorder="1" applyAlignment="1">
      <alignment horizontal="left"/>
    </xf>
    <xf numFmtId="196" fontId="9" fillId="0" borderId="0" xfId="0" applyNumberFormat="1" applyFont="1"/>
    <xf numFmtId="0" fontId="6" fillId="8" borderId="17" xfId="0" applyFont="1" applyFill="1" applyBorder="1"/>
    <xf numFmtId="196" fontId="9" fillId="0" borderId="13" xfId="0" applyNumberFormat="1" applyFont="1" applyBorder="1"/>
    <xf numFmtId="172" fontId="21" fillId="8" borderId="15" xfId="0" applyNumberFormat="1" applyFont="1" applyFill="1" applyBorder="1"/>
    <xf numFmtId="44" fontId="23" fillId="0" borderId="0" xfId="0" applyNumberFormat="1" applyFont="1"/>
    <xf numFmtId="196" fontId="23" fillId="0" borderId="0" xfId="0" applyNumberFormat="1" applyFont="1"/>
    <xf numFmtId="0" fontId="6" fillId="8" borderId="15" xfId="0" applyFont="1" applyFill="1" applyBorder="1" applyAlignment="1">
      <alignment vertical="center"/>
    </xf>
    <xf numFmtId="0" fontId="9" fillId="12" borderId="65" xfId="0" applyFont="1" applyFill="1" applyBorder="1" applyAlignment="1">
      <alignment vertical="center"/>
    </xf>
    <xf numFmtId="0" fontId="6" fillId="12" borderId="66" xfId="0" applyFont="1" applyFill="1" applyBorder="1" applyAlignment="1">
      <alignment vertical="center"/>
    </xf>
    <xf numFmtId="173" fontId="6" fillId="8" borderId="15" xfId="0" applyNumberFormat="1" applyFont="1" applyFill="1" applyBorder="1"/>
    <xf numFmtId="9" fontId="6" fillId="8" borderId="15" xfId="0" applyNumberFormat="1" applyFont="1" applyFill="1" applyBorder="1"/>
    <xf numFmtId="0" fontId="6" fillId="8" borderId="63" xfId="0" applyFont="1" applyFill="1" applyBorder="1"/>
    <xf numFmtId="0" fontId="70" fillId="8" borderId="15" xfId="0" applyFont="1" applyFill="1" applyBorder="1" applyAlignment="1">
      <alignment horizontal="center"/>
    </xf>
    <xf numFmtId="37" fontId="6" fillId="8" borderId="63" xfId="0" applyNumberFormat="1" applyFont="1" applyFill="1" applyBorder="1" applyAlignment="1">
      <alignment horizontal="left"/>
    </xf>
    <xf numFmtId="172" fontId="6" fillId="0" borderId="19" xfId="0" applyNumberFormat="1" applyFont="1" applyBorder="1" applyAlignment="1">
      <alignment horizontal="center"/>
    </xf>
    <xf numFmtId="10" fontId="6" fillId="8" borderId="6" xfId="0" applyNumberFormat="1" applyFont="1" applyFill="1" applyBorder="1" applyAlignment="1">
      <alignment horizontal="center"/>
    </xf>
    <xf numFmtId="172" fontId="6" fillId="0" borderId="20" xfId="0" applyNumberFormat="1" applyFont="1" applyBorder="1" applyAlignment="1">
      <alignment horizontal="center"/>
    </xf>
    <xf numFmtId="10" fontId="6" fillId="8" borderId="16" xfId="0" applyNumberFormat="1" applyFont="1" applyFill="1" applyBorder="1" applyAlignment="1">
      <alignment horizontal="center"/>
    </xf>
    <xf numFmtId="172" fontId="6" fillId="0" borderId="21" xfId="0" applyNumberFormat="1" applyFont="1" applyBorder="1" applyAlignment="1">
      <alignment horizontal="center"/>
    </xf>
    <xf numFmtId="0" fontId="9" fillId="8" borderId="63" xfId="0" applyFont="1" applyFill="1" applyBorder="1" applyAlignment="1">
      <alignment horizontal="left"/>
    </xf>
    <xf numFmtId="0" fontId="6" fillId="8" borderId="63" xfId="0" applyFont="1" applyFill="1" applyBorder="1" applyAlignment="1">
      <alignment horizontal="right"/>
    </xf>
    <xf numFmtId="0" fontId="6" fillId="8" borderId="15" xfId="0" applyFont="1" applyFill="1" applyBorder="1" applyAlignment="1">
      <alignment horizontal="right"/>
    </xf>
    <xf numFmtId="0" fontId="6" fillId="8" borderId="67" xfId="0" applyFont="1" applyFill="1" applyBorder="1"/>
    <xf numFmtId="0" fontId="6" fillId="8" borderId="68" xfId="0" applyFont="1" applyFill="1" applyBorder="1"/>
    <xf numFmtId="0" fontId="6" fillId="0" borderId="44" xfId="0" applyFont="1" applyBorder="1"/>
    <xf numFmtId="0" fontId="6" fillId="8" borderId="15" xfId="0" applyFont="1" applyFill="1" applyBorder="1" applyAlignment="1">
      <alignment horizontal="left" vertical="center"/>
    </xf>
    <xf numFmtId="0" fontId="9" fillId="12" borderId="65" xfId="0" applyFont="1" applyFill="1" applyBorder="1" applyAlignment="1">
      <alignment horizontal="left" vertical="center"/>
    </xf>
    <xf numFmtId="0" fontId="6" fillId="12" borderId="66" xfId="0" applyFont="1" applyFill="1" applyBorder="1" applyAlignment="1">
      <alignment horizontal="left" vertical="center"/>
    </xf>
    <xf numFmtId="0" fontId="9" fillId="8" borderId="63" xfId="0" applyFont="1" applyFill="1" applyBorder="1"/>
    <xf numFmtId="0" fontId="21" fillId="0" borderId="53" xfId="0" applyFont="1" applyBorder="1" applyAlignment="1">
      <alignment horizontal="center"/>
    </xf>
    <xf numFmtId="14" fontId="15" fillId="0" borderId="53" xfId="0" applyNumberFormat="1" applyFont="1" applyBorder="1" applyAlignment="1">
      <alignment horizontal="center"/>
    </xf>
    <xf numFmtId="222" fontId="15" fillId="0" borderId="53" xfId="0" applyNumberFormat="1" applyFont="1" applyBorder="1" applyAlignment="1">
      <alignment horizontal="center"/>
    </xf>
    <xf numFmtId="0" fontId="6" fillId="8" borderId="5" xfId="0" applyFont="1" applyFill="1" applyBorder="1"/>
    <xf numFmtId="14" fontId="6" fillId="8" borderId="15" xfId="0" applyNumberFormat="1" applyFont="1" applyFill="1" applyBorder="1" applyAlignment="1">
      <alignment horizontal="center"/>
    </xf>
    <xf numFmtId="196" fontId="52" fillId="0" borderId="0" xfId="0" applyNumberFormat="1" applyFont="1"/>
    <xf numFmtId="1" fontId="21" fillId="0" borderId="53" xfId="0" applyNumberFormat="1" applyFont="1" applyBorder="1" applyAlignment="1">
      <alignment horizontal="center"/>
    </xf>
    <xf numFmtId="1" fontId="21" fillId="0" borderId="29" xfId="0" applyNumberFormat="1" applyFont="1" applyBorder="1" applyAlignment="1">
      <alignment horizontal="center"/>
    </xf>
    <xf numFmtId="169" fontId="6" fillId="8" borderId="15" xfId="0" applyNumberFormat="1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196" fontId="52" fillId="0" borderId="13" xfId="0" applyNumberFormat="1" applyFont="1" applyBorder="1"/>
    <xf numFmtId="0" fontId="15" fillId="8" borderId="15" xfId="0" applyFont="1" applyFill="1" applyBorder="1" applyAlignment="1">
      <alignment horizontal="center"/>
    </xf>
    <xf numFmtId="0" fontId="21" fillId="8" borderId="15" xfId="0" applyFont="1" applyFill="1" applyBorder="1" applyAlignment="1">
      <alignment horizontal="center"/>
    </xf>
    <xf numFmtId="14" fontId="71" fillId="8" borderId="15" xfId="0" applyNumberFormat="1" applyFont="1" applyFill="1" applyBorder="1" applyAlignment="1">
      <alignment horizontal="center"/>
    </xf>
    <xf numFmtId="1" fontId="21" fillId="0" borderId="19" xfId="0" applyNumberFormat="1" applyFont="1" applyBorder="1" applyAlignment="1">
      <alignment horizontal="center"/>
    </xf>
    <xf numFmtId="1" fontId="21" fillId="0" borderId="9" xfId="0" applyNumberFormat="1" applyFont="1" applyBorder="1" applyAlignment="1">
      <alignment horizontal="center"/>
    </xf>
    <xf numFmtId="1" fontId="21" fillId="0" borderId="21" xfId="0" applyNumberFormat="1" applyFont="1" applyBorder="1" applyAlignment="1">
      <alignment horizontal="center"/>
    </xf>
    <xf numFmtId="1" fontId="21" fillId="0" borderId="14" xfId="0" applyNumberFormat="1" applyFont="1" applyBorder="1" applyAlignment="1">
      <alignment horizontal="center"/>
    </xf>
    <xf numFmtId="9" fontId="21" fillId="8" borderId="15" xfId="0" applyNumberFormat="1" applyFont="1" applyFill="1" applyBorder="1" applyAlignment="1">
      <alignment horizontal="center"/>
    </xf>
    <xf numFmtId="0" fontId="73" fillId="8" borderId="15" xfId="0" applyFont="1" applyFill="1" applyBorder="1" applyAlignment="1">
      <alignment horizontal="center"/>
    </xf>
    <xf numFmtId="1" fontId="21" fillId="8" borderId="15" xfId="0" applyNumberFormat="1" applyFont="1" applyFill="1" applyBorder="1" applyAlignment="1">
      <alignment horizontal="center"/>
    </xf>
    <xf numFmtId="169" fontId="15" fillId="8" borderId="15" xfId="0" applyNumberFormat="1" applyFont="1" applyFill="1" applyBorder="1" applyAlignment="1">
      <alignment horizontal="center"/>
    </xf>
    <xf numFmtId="165" fontId="6" fillId="8" borderId="15" xfId="0" applyNumberFormat="1" applyFont="1" applyFill="1" applyBorder="1"/>
    <xf numFmtId="0" fontId="9" fillId="8" borderId="69" xfId="0" applyFont="1" applyFill="1" applyBorder="1" applyAlignment="1">
      <alignment vertical="center"/>
    </xf>
    <xf numFmtId="0" fontId="9" fillId="8" borderId="70" xfId="0" applyFont="1" applyFill="1" applyBorder="1" applyAlignment="1">
      <alignment vertical="center"/>
    </xf>
    <xf numFmtId="196" fontId="9" fillId="8" borderId="70" xfId="0" applyNumberFormat="1" applyFont="1" applyFill="1" applyBorder="1" applyAlignment="1">
      <alignment vertical="center"/>
    </xf>
    <xf numFmtId="185" fontId="6" fillId="12" borderId="66" xfId="0" applyNumberFormat="1" applyFont="1" applyFill="1" applyBorder="1" applyAlignment="1">
      <alignment vertical="center"/>
    </xf>
    <xf numFmtId="199" fontId="6" fillId="12" borderId="66" xfId="0" applyNumberFormat="1" applyFont="1" applyFill="1" applyBorder="1" applyAlignment="1">
      <alignment vertical="center"/>
    </xf>
    <xf numFmtId="0" fontId="9" fillId="12" borderId="66" xfId="0" applyFont="1" applyFill="1" applyBorder="1" applyAlignment="1">
      <alignment horizontal="right" vertical="center"/>
    </xf>
    <xf numFmtId="0" fontId="9" fillId="8" borderId="63" xfId="0" applyFont="1" applyFill="1" applyBorder="1" applyAlignment="1">
      <alignment horizontal="left" vertical="center"/>
    </xf>
    <xf numFmtId="0" fontId="6" fillId="8" borderId="15" xfId="0" applyFont="1" applyFill="1" applyBorder="1" applyAlignment="1">
      <alignment horizontal="center" vertical="top"/>
    </xf>
    <xf numFmtId="0" fontId="9" fillId="8" borderId="15" xfId="0" applyFont="1" applyFill="1" applyBorder="1" applyAlignment="1">
      <alignment horizontal="right" vertical="center"/>
    </xf>
    <xf numFmtId="186" fontId="6" fillId="8" borderId="15" xfId="0" applyNumberFormat="1" applyFont="1" applyFill="1" applyBorder="1"/>
    <xf numFmtId="196" fontId="6" fillId="8" borderId="15" xfId="0" applyNumberFormat="1" applyFont="1" applyFill="1" applyBorder="1"/>
    <xf numFmtId="0" fontId="75" fillId="8" borderId="63" xfId="0" applyFont="1" applyFill="1" applyBorder="1"/>
    <xf numFmtId="196" fontId="15" fillId="8" borderId="52" xfId="0" applyNumberFormat="1" applyFont="1" applyFill="1" applyBorder="1"/>
    <xf numFmtId="9" fontId="6" fillId="8" borderId="53" xfId="0" applyNumberFormat="1" applyFont="1" applyFill="1" applyBorder="1" applyAlignment="1">
      <alignment horizontal="center"/>
    </xf>
    <xf numFmtId="196" fontId="15" fillId="8" borderId="53" xfId="0" applyNumberFormat="1" applyFont="1" applyFill="1" applyBorder="1"/>
    <xf numFmtId="196" fontId="6" fillId="8" borderId="53" xfId="0" applyNumberFormat="1" applyFont="1" applyFill="1" applyBorder="1"/>
    <xf numFmtId="196" fontId="6" fillId="8" borderId="52" xfId="0" applyNumberFormat="1" applyFont="1" applyFill="1" applyBorder="1"/>
    <xf numFmtId="172" fontId="15" fillId="8" borderId="53" xfId="0" applyNumberFormat="1" applyFont="1" applyFill="1" applyBorder="1" applyAlignment="1">
      <alignment horizontal="center"/>
    </xf>
    <xf numFmtId="224" fontId="6" fillId="8" borderId="15" xfId="0" applyNumberFormat="1" applyFont="1" applyFill="1" applyBorder="1" applyAlignment="1">
      <alignment horizontal="center"/>
    </xf>
    <xf numFmtId="10" fontId="6" fillId="8" borderId="15" xfId="0" applyNumberFormat="1" applyFont="1" applyFill="1" applyBorder="1" applyAlignment="1">
      <alignment horizontal="center"/>
    </xf>
    <xf numFmtId="10" fontId="6" fillId="8" borderId="15" xfId="0" applyNumberFormat="1" applyFont="1" applyFill="1" applyBorder="1"/>
    <xf numFmtId="196" fontId="15" fillId="8" borderId="53" xfId="0" applyNumberFormat="1" applyFont="1" applyFill="1" applyBorder="1" applyAlignment="1">
      <alignment horizontal="center"/>
    </xf>
    <xf numFmtId="196" fontId="9" fillId="8" borderId="15" xfId="0" applyNumberFormat="1" applyFont="1" applyFill="1" applyBorder="1"/>
    <xf numFmtId="0" fontId="10" fillId="8" borderId="63" xfId="0" applyFont="1" applyFill="1" applyBorder="1" applyAlignment="1">
      <alignment horizontal="left"/>
    </xf>
    <xf numFmtId="0" fontId="9" fillId="8" borderId="22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196" fontId="6" fillId="8" borderId="23" xfId="0" applyNumberFormat="1" applyFont="1" applyFill="1" applyBorder="1" applyAlignment="1">
      <alignment horizontal="center"/>
    </xf>
    <xf numFmtId="196" fontId="6" fillId="0" borderId="14" xfId="0" applyNumberFormat="1" applyFont="1" applyBorder="1"/>
    <xf numFmtId="0" fontId="7" fillId="4" borderId="4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225" fontId="9" fillId="0" borderId="7" xfId="0" applyNumberFormat="1" applyFont="1" applyBorder="1" applyAlignment="1">
      <alignment horizontal="center"/>
    </xf>
    <xf numFmtId="226" fontId="9" fillId="0" borderId="0" xfId="0" applyNumberFormat="1" applyFont="1" applyAlignment="1">
      <alignment horizontal="center"/>
    </xf>
    <xf numFmtId="227" fontId="9" fillId="0" borderId="0" xfId="0" applyNumberFormat="1" applyFont="1" applyAlignment="1">
      <alignment horizontal="center"/>
    </xf>
    <xf numFmtId="228" fontId="9" fillId="0" borderId="0" xfId="0" applyNumberFormat="1" applyFont="1" applyAlignment="1">
      <alignment horizontal="center"/>
    </xf>
    <xf numFmtId="229" fontId="9" fillId="0" borderId="0" xfId="0" applyNumberFormat="1" applyFont="1" applyAlignment="1">
      <alignment horizontal="center"/>
    </xf>
    <xf numFmtId="230" fontId="9" fillId="0" borderId="10" xfId="0" applyNumberFormat="1" applyFont="1" applyBorder="1"/>
    <xf numFmtId="231" fontId="9" fillId="0" borderId="7" xfId="0" applyNumberFormat="1" applyFont="1" applyBorder="1" applyAlignment="1">
      <alignment horizontal="center"/>
    </xf>
    <xf numFmtId="230" fontId="9" fillId="0" borderId="0" xfId="0" applyNumberFormat="1" applyFont="1"/>
    <xf numFmtId="232" fontId="9" fillId="0" borderId="10" xfId="0" applyNumberFormat="1" applyFont="1" applyBorder="1"/>
    <xf numFmtId="10" fontId="6" fillId="0" borderId="7" xfId="0" applyNumberFormat="1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233" fontId="6" fillId="0" borderId="0" xfId="0" applyNumberFormat="1" applyFont="1" applyAlignment="1">
      <alignment horizontal="center"/>
    </xf>
    <xf numFmtId="10" fontId="6" fillId="0" borderId="10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172" fontId="21" fillId="3" borderId="16" xfId="0" applyNumberFormat="1" applyFont="1" applyFill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/>
    </xf>
    <xf numFmtId="10" fontId="6" fillId="0" borderId="13" xfId="0" applyNumberFormat="1" applyFont="1" applyBorder="1" applyAlignment="1">
      <alignment horizontal="center"/>
    </xf>
    <xf numFmtId="233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/>
    <xf numFmtId="10" fontId="6" fillId="0" borderId="14" xfId="0" applyNumberFormat="1" applyFont="1" applyBorder="1" applyAlignment="1">
      <alignment horizontal="center"/>
    </xf>
    <xf numFmtId="234" fontId="9" fillId="0" borderId="7" xfId="0" applyNumberFormat="1" applyFont="1" applyBorder="1" applyAlignment="1">
      <alignment horizontal="center"/>
    </xf>
    <xf numFmtId="177" fontId="6" fillId="0" borderId="14" xfId="0" applyNumberFormat="1" applyFont="1" applyBorder="1"/>
    <xf numFmtId="0" fontId="76" fillId="0" borderId="0" xfId="0" applyFont="1"/>
    <xf numFmtId="236" fontId="9" fillId="0" borderId="7" xfId="0" applyNumberFormat="1" applyFont="1" applyBorder="1" applyAlignment="1">
      <alignment horizontal="center"/>
    </xf>
    <xf numFmtId="165" fontId="9" fillId="0" borderId="0" xfId="0" applyNumberFormat="1" applyFont="1"/>
    <xf numFmtId="0" fontId="6" fillId="0" borderId="12" xfId="0" quotePrefix="1" applyFont="1" applyBorder="1" applyAlignment="1">
      <alignment horizontal="left"/>
    </xf>
    <xf numFmtId="0" fontId="6" fillId="13" borderId="68" xfId="0" applyFont="1" applyFill="1" applyBorder="1"/>
    <xf numFmtId="0" fontId="6" fillId="13" borderId="15" xfId="0" applyFont="1" applyFill="1" applyBorder="1"/>
    <xf numFmtId="0" fontId="6" fillId="14" borderId="15" xfId="0" applyFont="1" applyFill="1" applyBorder="1"/>
    <xf numFmtId="0" fontId="6" fillId="15" borderId="15" xfId="0" applyFont="1" applyFill="1" applyBorder="1"/>
    <xf numFmtId="0" fontId="24" fillId="4" borderId="66" xfId="0" applyFont="1" applyFill="1" applyBorder="1"/>
    <xf numFmtId="0" fontId="9" fillId="14" borderId="66" xfId="0" applyFont="1" applyFill="1" applyBorder="1" applyAlignment="1">
      <alignment horizontal="center"/>
    </xf>
    <xf numFmtId="0" fontId="9" fillId="15" borderId="66" xfId="0" applyFont="1" applyFill="1" applyBorder="1" applyAlignment="1">
      <alignment horizontal="center"/>
    </xf>
    <xf numFmtId="1" fontId="6" fillId="14" borderId="15" xfId="0" applyNumberFormat="1" applyFont="1" applyFill="1" applyBorder="1"/>
    <xf numFmtId="1" fontId="6" fillId="15" borderId="15" xfId="0" applyNumberFormat="1" applyFont="1" applyFill="1" applyBorder="1"/>
    <xf numFmtId="213" fontId="6" fillId="0" borderId="0" xfId="0" applyNumberFormat="1" applyFont="1"/>
    <xf numFmtId="213" fontId="6" fillId="14" borderId="15" xfId="0" applyNumberFormat="1" applyFont="1" applyFill="1" applyBorder="1"/>
    <xf numFmtId="213" fontId="6" fillId="15" borderId="15" xfId="0" applyNumberFormat="1" applyFont="1" applyFill="1" applyBorder="1"/>
    <xf numFmtId="214" fontId="6" fillId="0" borderId="0" xfId="0" applyNumberFormat="1" applyFont="1"/>
    <xf numFmtId="214" fontId="6" fillId="14" borderId="15" xfId="0" applyNumberFormat="1" applyFont="1" applyFill="1" applyBorder="1"/>
    <xf numFmtId="214" fontId="6" fillId="15" borderId="15" xfId="0" applyNumberFormat="1" applyFont="1" applyFill="1" applyBorder="1"/>
    <xf numFmtId="172" fontId="6" fillId="14" borderId="15" xfId="0" applyNumberFormat="1" applyFont="1" applyFill="1" applyBorder="1"/>
    <xf numFmtId="172" fontId="6" fillId="15" borderId="15" xfId="0" applyNumberFormat="1" applyFont="1" applyFill="1" applyBorder="1"/>
    <xf numFmtId="196" fontId="6" fillId="14" borderId="15" xfId="0" applyNumberFormat="1" applyFont="1" applyFill="1" applyBorder="1"/>
    <xf numFmtId="196" fontId="6" fillId="15" borderId="15" xfId="0" applyNumberFormat="1" applyFont="1" applyFill="1" applyBorder="1"/>
    <xf numFmtId="196" fontId="6" fillId="14" borderId="17" xfId="0" applyNumberFormat="1" applyFont="1" applyFill="1" applyBorder="1"/>
    <xf numFmtId="196" fontId="6" fillId="15" borderId="17" xfId="0" applyNumberFormat="1" applyFont="1" applyFill="1" applyBorder="1"/>
    <xf numFmtId="196" fontId="9" fillId="14" borderId="15" xfId="0" applyNumberFormat="1" applyFont="1" applyFill="1" applyBorder="1"/>
    <xf numFmtId="196" fontId="9" fillId="15" borderId="15" xfId="0" applyNumberFormat="1" applyFont="1" applyFill="1" applyBorder="1"/>
    <xf numFmtId="196" fontId="23" fillId="14" borderId="15" xfId="0" applyNumberFormat="1" applyFont="1" applyFill="1" applyBorder="1"/>
    <xf numFmtId="196" fontId="23" fillId="15" borderId="15" xfId="0" applyNumberFormat="1" applyFont="1" applyFill="1" applyBorder="1"/>
    <xf numFmtId="196" fontId="9" fillId="0" borderId="74" xfId="0" applyNumberFormat="1" applyFont="1" applyBorder="1"/>
    <xf numFmtId="196" fontId="9" fillId="14" borderId="66" xfId="0" applyNumberFormat="1" applyFont="1" applyFill="1" applyBorder="1"/>
    <xf numFmtId="196" fontId="9" fillId="15" borderId="66" xfId="0" applyNumberFormat="1" applyFont="1" applyFill="1" applyBorder="1"/>
    <xf numFmtId="44" fontId="6" fillId="14" borderId="15" xfId="0" applyNumberFormat="1" applyFont="1" applyFill="1" applyBorder="1"/>
    <xf numFmtId="44" fontId="6" fillId="15" borderId="15" xfId="0" applyNumberFormat="1" applyFont="1" applyFill="1" applyBorder="1"/>
    <xf numFmtId="9" fontId="21" fillId="8" borderId="15" xfId="0" applyNumberFormat="1" applyFont="1" applyFill="1" applyBorder="1" applyAlignment="1">
      <alignment horizontal="right"/>
    </xf>
    <xf numFmtId="9" fontId="21" fillId="14" borderId="15" xfId="0" applyNumberFormat="1" applyFont="1" applyFill="1" applyBorder="1" applyAlignment="1">
      <alignment horizontal="right"/>
    </xf>
    <xf numFmtId="9" fontId="21" fillId="15" borderId="15" xfId="0" applyNumberFormat="1" applyFont="1" applyFill="1" applyBorder="1" applyAlignment="1">
      <alignment horizontal="right"/>
    </xf>
    <xf numFmtId="0" fontId="6" fillId="14" borderId="68" xfId="0" applyFont="1" applyFill="1" applyBorder="1"/>
    <xf numFmtId="0" fontId="6" fillId="15" borderId="68" xfId="0" applyFont="1" applyFill="1" applyBorder="1"/>
    <xf numFmtId="196" fontId="52" fillId="0" borderId="74" xfId="0" applyNumberFormat="1" applyFont="1" applyBorder="1"/>
    <xf numFmtId="199" fontId="57" fillId="0" borderId="0" xfId="0" applyNumberFormat="1" applyFont="1"/>
    <xf numFmtId="199" fontId="57" fillId="14" borderId="15" xfId="0" applyNumberFormat="1" applyFont="1" applyFill="1" applyBorder="1"/>
    <xf numFmtId="199" fontId="57" fillId="15" borderId="15" xfId="0" applyNumberFormat="1" applyFont="1" applyFill="1" applyBorder="1"/>
    <xf numFmtId="196" fontId="9" fillId="14" borderId="17" xfId="0" applyNumberFormat="1" applyFont="1" applyFill="1" applyBorder="1"/>
    <xf numFmtId="196" fontId="9" fillId="15" borderId="17" xfId="0" applyNumberFormat="1" applyFont="1" applyFill="1" applyBorder="1"/>
    <xf numFmtId="196" fontId="6" fillId="6" borderId="17" xfId="0" applyNumberFormat="1" applyFont="1" applyFill="1" applyBorder="1"/>
    <xf numFmtId="196" fontId="9" fillId="0" borderId="74" xfId="0" applyNumberFormat="1" applyFont="1" applyBorder="1" applyAlignment="1">
      <alignment vertical="center"/>
    </xf>
    <xf numFmtId="196" fontId="9" fillId="14" borderId="66" xfId="0" applyNumberFormat="1" applyFont="1" applyFill="1" applyBorder="1" applyAlignment="1">
      <alignment vertical="center"/>
    </xf>
    <xf numFmtId="196" fontId="9" fillId="15" borderId="66" xfId="0" applyNumberFormat="1" applyFont="1" applyFill="1" applyBorder="1" applyAlignment="1">
      <alignment vertical="center"/>
    </xf>
    <xf numFmtId="177" fontId="6" fillId="14" borderId="15" xfId="0" applyNumberFormat="1" applyFont="1" applyFill="1" applyBorder="1"/>
    <xf numFmtId="177" fontId="6" fillId="15" borderId="15" xfId="0" applyNumberFormat="1" applyFont="1" applyFill="1" applyBorder="1"/>
    <xf numFmtId="10" fontId="6" fillId="14" borderId="15" xfId="0" applyNumberFormat="1" applyFont="1" applyFill="1" applyBorder="1"/>
    <xf numFmtId="10" fontId="6" fillId="15" borderId="15" xfId="0" applyNumberFormat="1" applyFont="1" applyFill="1" applyBorder="1"/>
    <xf numFmtId="3" fontId="6" fillId="0" borderId="0" xfId="0" applyNumberFormat="1" applyFont="1"/>
    <xf numFmtId="15" fontId="6" fillId="6" borderId="15" xfId="0" applyNumberFormat="1" applyFont="1" applyFill="1" applyBorder="1"/>
    <xf numFmtId="0" fontId="6" fillId="6" borderId="15" xfId="0" applyFont="1" applyFill="1" applyBorder="1"/>
    <xf numFmtId="0" fontId="21" fillId="6" borderId="15" xfId="0" applyFont="1" applyFill="1" applyBorder="1"/>
    <xf numFmtId="237" fontId="6" fillId="6" borderId="15" xfId="0" applyNumberFormat="1" applyFont="1" applyFill="1" applyBorder="1"/>
    <xf numFmtId="237" fontId="6" fillId="0" borderId="0" xfId="0" applyNumberFormat="1" applyFont="1"/>
    <xf numFmtId="0" fontId="24" fillId="17" borderId="15" xfId="0" applyFont="1" applyFill="1" applyBorder="1"/>
    <xf numFmtId="0" fontId="6" fillId="17" borderId="15" xfId="0" applyFont="1" applyFill="1" applyBorder="1"/>
    <xf numFmtId="0" fontId="6" fillId="18" borderId="15" xfId="0" applyFont="1" applyFill="1" applyBorder="1"/>
    <xf numFmtId="0" fontId="77" fillId="0" borderId="0" xfId="0" applyFont="1"/>
    <xf numFmtId="15" fontId="6" fillId="0" borderId="0" xfId="0" applyNumberFormat="1" applyFont="1"/>
    <xf numFmtId="238" fontId="6" fillId="0" borderId="0" xfId="0" applyNumberFormat="1" applyFont="1" applyAlignment="1">
      <alignment horizontal="right" vertical="top"/>
    </xf>
    <xf numFmtId="3" fontId="78" fillId="0" borderId="0" xfId="0" applyNumberFormat="1" applyFont="1"/>
    <xf numFmtId="0" fontId="6" fillId="19" borderId="15" xfId="0" applyFont="1" applyFill="1" applyBorder="1"/>
    <xf numFmtId="0" fontId="21" fillId="16" borderId="15" xfId="0" applyFont="1" applyFill="1" applyBorder="1"/>
    <xf numFmtId="239" fontId="6" fillId="0" borderId="0" xfId="0" applyNumberFormat="1" applyFont="1" applyAlignment="1">
      <alignment horizontal="right" vertical="top"/>
    </xf>
    <xf numFmtId="172" fontId="6" fillId="0" borderId="90" xfId="0" applyNumberFormat="1" applyFont="1" applyBorder="1" applyAlignment="1">
      <alignment horizontal="center"/>
    </xf>
    <xf numFmtId="172" fontId="6" fillId="0" borderId="92" xfId="0" applyNumberFormat="1" applyFont="1" applyBorder="1" applyAlignment="1">
      <alignment horizontal="center"/>
    </xf>
    <xf numFmtId="172" fontId="6" fillId="0" borderId="95" xfId="0" applyNumberFormat="1" applyFont="1" applyBorder="1" applyAlignment="1">
      <alignment horizontal="center"/>
    </xf>
    <xf numFmtId="186" fontId="6" fillId="3" borderId="54" xfId="0" applyNumberFormat="1" applyFont="1" applyFill="1" applyBorder="1" applyAlignment="1">
      <alignment horizontal="right" vertical="center"/>
    </xf>
    <xf numFmtId="190" fontId="6" fillId="3" borderId="54" xfId="0" applyNumberFormat="1" applyFont="1" applyFill="1" applyBorder="1" applyAlignment="1">
      <alignment horizontal="right" vertical="center"/>
    </xf>
    <xf numFmtId="172" fontId="6" fillId="3" borderId="54" xfId="0" applyNumberFormat="1" applyFont="1" applyFill="1" applyBorder="1" applyAlignment="1">
      <alignment horizontal="right" vertical="center"/>
    </xf>
    <xf numFmtId="186" fontId="6" fillId="3" borderId="94" xfId="0" applyNumberFormat="1" applyFont="1" applyFill="1" applyBorder="1" applyAlignment="1">
      <alignment horizontal="right" vertical="center"/>
    </xf>
    <xf numFmtId="190" fontId="6" fillId="3" borderId="94" xfId="0" applyNumberFormat="1" applyFont="1" applyFill="1" applyBorder="1" applyAlignment="1">
      <alignment horizontal="right" vertical="center"/>
    </xf>
    <xf numFmtId="172" fontId="6" fillId="3" borderId="94" xfId="0" applyNumberFormat="1" applyFont="1" applyFill="1" applyBorder="1" applyAlignment="1">
      <alignment horizontal="right" vertical="center"/>
    </xf>
    <xf numFmtId="0" fontId="6" fillId="20" borderId="0" xfId="0" applyFont="1" applyFill="1"/>
    <xf numFmtId="0" fontId="0" fillId="20" borderId="0" xfId="0" applyFill="1"/>
    <xf numFmtId="172" fontId="6" fillId="0" borderId="54" xfId="0" applyNumberFormat="1" applyFont="1" applyBorder="1" applyAlignment="1">
      <alignment horizontal="center"/>
    </xf>
    <xf numFmtId="9" fontId="6" fillId="0" borderId="0" xfId="1" applyFont="1"/>
    <xf numFmtId="172" fontId="6" fillId="0" borderId="0" xfId="1" applyNumberFormat="1" applyFont="1"/>
    <xf numFmtId="0" fontId="0" fillId="0" borderId="54" xfId="0" applyBorder="1"/>
    <xf numFmtId="0" fontId="6" fillId="21" borderId="13" xfId="0" applyFont="1" applyFill="1" applyBorder="1"/>
    <xf numFmtId="10" fontId="6" fillId="0" borderId="71" xfId="0" applyNumberFormat="1" applyFont="1" applyBorder="1" applyAlignment="1">
      <alignment horizontal="center" vertical="top"/>
    </xf>
    <xf numFmtId="37" fontId="9" fillId="0" borderId="22" xfId="0" applyNumberFormat="1" applyFont="1" applyBorder="1" applyAlignment="1">
      <alignment horizontal="left"/>
    </xf>
    <xf numFmtId="197" fontId="48" fillId="0" borderId="94" xfId="0" applyNumberFormat="1" applyFont="1" applyBorder="1" applyAlignment="1">
      <alignment vertical="top"/>
    </xf>
    <xf numFmtId="0" fontId="6" fillId="3" borderId="54" xfId="0" applyFont="1" applyFill="1" applyBorder="1" applyAlignment="1">
      <alignment vertical="top" wrapText="1"/>
    </xf>
    <xf numFmtId="0" fontId="6" fillId="3" borderId="54" xfId="0" applyFont="1" applyFill="1" applyBorder="1"/>
    <xf numFmtId="0" fontId="18" fillId="8" borderId="63" xfId="0" applyFont="1" applyFill="1" applyBorder="1" applyAlignment="1">
      <alignment horizontal="left"/>
    </xf>
    <xf numFmtId="6" fontId="6" fillId="0" borderId="0" xfId="0" applyNumberFormat="1" applyFont="1" applyAlignment="1">
      <alignment horizontal="center"/>
    </xf>
    <xf numFmtId="6" fontId="0" fillId="0" borderId="0" xfId="0" applyNumberFormat="1"/>
    <xf numFmtId="0" fontId="80" fillId="0" borderId="0" xfId="0" applyFont="1"/>
    <xf numFmtId="0" fontId="81" fillId="0" borderId="54" xfId="0" applyFont="1" applyBorder="1" applyAlignment="1">
      <alignment horizontal="left" vertical="top"/>
    </xf>
    <xf numFmtId="164" fontId="82" fillId="2" borderId="4" xfId="0" applyNumberFormat="1" applyFont="1" applyFill="1" applyBorder="1" applyAlignment="1">
      <alignment vertical="top"/>
    </xf>
    <xf numFmtId="0" fontId="83" fillId="0" borderId="0" xfId="0" applyFont="1"/>
    <xf numFmtId="172" fontId="80" fillId="0" borderId="0" xfId="1" applyNumberFormat="1" applyFont="1"/>
    <xf numFmtId="262" fontId="80" fillId="0" borderId="0" xfId="1" applyNumberFormat="1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262" fontId="80" fillId="0" borderId="0" xfId="1" applyNumberFormat="1" applyFont="1" applyAlignment="1">
      <alignment horizontal="right"/>
    </xf>
    <xf numFmtId="0" fontId="80" fillId="0" borderId="22" xfId="0" applyFont="1" applyBorder="1" applyAlignment="1">
      <alignment horizontal="left" vertical="top"/>
    </xf>
    <xf numFmtId="177" fontId="6" fillId="0" borderId="54" xfId="0" applyNumberFormat="1" applyFont="1" applyBorder="1"/>
    <xf numFmtId="190" fontId="6" fillId="0" borderId="54" xfId="0" applyNumberFormat="1" applyFont="1" applyBorder="1" applyAlignment="1">
      <alignment horizontal="center"/>
    </xf>
    <xf numFmtId="204" fontId="9" fillId="0" borderId="94" xfId="0" applyNumberFormat="1" applyFont="1" applyBorder="1"/>
    <xf numFmtId="177" fontId="9" fillId="0" borderId="94" xfId="0" applyNumberFormat="1" applyFont="1" applyBorder="1"/>
    <xf numFmtId="190" fontId="9" fillId="0" borderId="94" xfId="0" applyNumberFormat="1" applyFont="1" applyBorder="1" applyAlignment="1">
      <alignment horizontal="center"/>
    </xf>
    <xf numFmtId="0" fontId="9" fillId="0" borderId="54" xfId="0" applyFont="1" applyBorder="1" applyAlignment="1">
      <alignment horizontal="left" vertical="top"/>
    </xf>
    <xf numFmtId="0" fontId="6" fillId="0" borderId="54" xfId="0" applyFont="1" applyBorder="1"/>
    <xf numFmtId="2" fontId="6" fillId="0" borderId="54" xfId="0" applyNumberFormat="1" applyFont="1" applyBorder="1" applyAlignment="1">
      <alignment horizontal="center" vertical="top"/>
    </xf>
    <xf numFmtId="37" fontId="80" fillId="0" borderId="22" xfId="0" applyNumberFormat="1" applyFont="1" applyBorder="1" applyAlignment="1">
      <alignment horizontal="left"/>
    </xf>
    <xf numFmtId="189" fontId="85" fillId="0" borderId="0" xfId="0" applyNumberFormat="1" applyFont="1"/>
    <xf numFmtId="197" fontId="86" fillId="0" borderId="0" xfId="0" applyNumberFormat="1" applyFont="1" applyAlignment="1">
      <alignment vertical="top"/>
    </xf>
    <xf numFmtId="0" fontId="85" fillId="0" borderId="0" xfId="0" applyFont="1"/>
    <xf numFmtId="0" fontId="87" fillId="3" borderId="54" xfId="0" applyFont="1" applyFill="1" applyBorder="1" applyAlignment="1">
      <alignment vertical="top"/>
    </xf>
    <xf numFmtId="0" fontId="88" fillId="0" borderId="54" xfId="0" applyFont="1" applyBorder="1"/>
    <xf numFmtId="197" fontId="89" fillId="0" borderId="0" xfId="0" applyNumberFormat="1" applyFont="1" applyAlignment="1">
      <alignment vertical="top"/>
    </xf>
    <xf numFmtId="190" fontId="85" fillId="0" borderId="0" xfId="0" applyNumberFormat="1" applyFont="1"/>
    <xf numFmtId="0" fontId="6" fillId="8" borderId="73" xfId="0" applyFont="1" applyFill="1" applyBorder="1" applyAlignment="1">
      <alignment horizontal="right"/>
    </xf>
    <xf numFmtId="0" fontId="6" fillId="8" borderId="54" xfId="0" applyFont="1" applyFill="1" applyBorder="1" applyAlignment="1">
      <alignment horizontal="right"/>
    </xf>
    <xf numFmtId="9" fontId="10" fillId="8" borderId="54" xfId="0" applyNumberFormat="1" applyFont="1" applyFill="1" applyBorder="1" applyAlignment="1">
      <alignment horizontal="right"/>
    </xf>
    <xf numFmtId="0" fontId="6" fillId="0" borderId="62" xfId="0" applyFont="1" applyBorder="1"/>
    <xf numFmtId="180" fontId="9" fillId="0" borderId="22" xfId="0" applyNumberFormat="1" applyFont="1" applyBorder="1" applyAlignment="1">
      <alignment horizontal="left" vertical="center"/>
    </xf>
    <xf numFmtId="172" fontId="9" fillId="0" borderId="16" xfId="0" applyNumberFormat="1" applyFont="1" applyBorder="1" applyAlignment="1">
      <alignment horizontal="right" vertical="center"/>
    </xf>
    <xf numFmtId="180" fontId="9" fillId="22" borderId="23" xfId="0" applyNumberFormat="1" applyFont="1" applyFill="1" applyBorder="1" applyAlignment="1">
      <alignment horizontal="left" vertical="center"/>
    </xf>
    <xf numFmtId="172" fontId="9" fillId="22" borderId="18" xfId="0" applyNumberFormat="1" applyFont="1" applyFill="1" applyBorder="1" applyAlignment="1">
      <alignment horizontal="right" vertical="center"/>
    </xf>
    <xf numFmtId="0" fontId="90" fillId="0" borderId="13" xfId="0" applyFont="1" applyBorder="1" applyAlignment="1">
      <alignment horizontal="right"/>
    </xf>
    <xf numFmtId="0" fontId="80" fillId="3" borderId="23" xfId="0" applyFont="1" applyFill="1" applyBorder="1" applyAlignment="1">
      <alignment horizontal="left" vertical="center"/>
    </xf>
    <xf numFmtId="196" fontId="6" fillId="0" borderId="54" xfId="0" applyNumberFormat="1" applyFont="1" applyBorder="1"/>
    <xf numFmtId="196" fontId="6" fillId="0" borderId="94" xfId="0" applyNumberFormat="1" applyFont="1" applyBorder="1"/>
    <xf numFmtId="10" fontId="6" fillId="0" borderId="0" xfId="1" applyNumberFormat="1" applyFont="1"/>
    <xf numFmtId="37" fontId="9" fillId="0" borderId="26" xfId="0" applyNumberFormat="1" applyFont="1" applyBorder="1" applyAlignment="1">
      <alignment horizontal="left"/>
    </xf>
    <xf numFmtId="0" fontId="6" fillId="0" borderId="27" xfId="0" applyFont="1" applyBorder="1"/>
    <xf numFmtId="37" fontId="6" fillId="0" borderId="22" xfId="0" applyNumberFormat="1" applyFont="1" applyBorder="1" applyAlignment="1">
      <alignment horizontal="left"/>
    </xf>
    <xf numFmtId="177" fontId="6" fillId="0" borderId="54" xfId="0" applyNumberFormat="1" applyFont="1" applyBorder="1" applyAlignment="1">
      <alignment horizontal="right"/>
    </xf>
    <xf numFmtId="164" fontId="25" fillId="0" borderId="54" xfId="0" applyNumberFormat="1" applyFont="1" applyBorder="1" applyAlignment="1">
      <alignment horizontal="center"/>
    </xf>
    <xf numFmtId="183" fontId="25" fillId="0" borderId="54" xfId="0" applyNumberFormat="1" applyFont="1" applyBorder="1" applyAlignment="1">
      <alignment horizontal="center"/>
    </xf>
    <xf numFmtId="172" fontId="25" fillId="0" borderId="71" xfId="0" applyNumberFormat="1" applyFont="1" applyBorder="1" applyAlignment="1">
      <alignment horizontal="center"/>
    </xf>
    <xf numFmtId="37" fontId="6" fillId="0" borderId="23" xfId="0" applyNumberFormat="1" applyFont="1" applyBorder="1" applyAlignment="1">
      <alignment horizontal="left"/>
    </xf>
    <xf numFmtId="177" fontId="23" fillId="0" borderId="60" xfId="0" applyNumberFormat="1" applyFont="1" applyBorder="1" applyAlignment="1">
      <alignment horizontal="right"/>
    </xf>
    <xf numFmtId="164" fontId="23" fillId="0" borderId="60" xfId="0" applyNumberFormat="1" applyFont="1" applyBorder="1" applyAlignment="1">
      <alignment horizontal="center"/>
    </xf>
    <xf numFmtId="183" fontId="23" fillId="0" borderId="60" xfId="0" applyNumberFormat="1" applyFont="1" applyBorder="1" applyAlignment="1">
      <alignment horizontal="center"/>
    </xf>
    <xf numFmtId="172" fontId="23" fillId="0" borderId="72" xfId="0" applyNumberFormat="1" applyFont="1" applyBorder="1" applyAlignment="1">
      <alignment horizontal="center"/>
    </xf>
    <xf numFmtId="177" fontId="9" fillId="0" borderId="54" xfId="0" applyNumberFormat="1" applyFont="1" applyBorder="1" applyAlignment="1">
      <alignment horizontal="right"/>
    </xf>
    <xf numFmtId="164" fontId="26" fillId="0" borderId="54" xfId="0" applyNumberFormat="1" applyFont="1" applyBorder="1" applyAlignment="1">
      <alignment horizontal="center"/>
    </xf>
    <xf numFmtId="183" fontId="26" fillId="0" borderId="54" xfId="0" applyNumberFormat="1" applyFont="1" applyBorder="1" applyAlignment="1">
      <alignment horizontal="center"/>
    </xf>
    <xf numFmtId="172" fontId="26" fillId="0" borderId="71" xfId="0" applyNumberFormat="1" applyFont="1" applyBorder="1" applyAlignment="1">
      <alignment horizontal="center"/>
    </xf>
    <xf numFmtId="177" fontId="23" fillId="0" borderId="54" xfId="0" applyNumberFormat="1" applyFont="1" applyBorder="1" applyAlignment="1">
      <alignment horizontal="right"/>
    </xf>
    <xf numFmtId="164" fontId="23" fillId="0" borderId="54" xfId="0" applyNumberFormat="1" applyFont="1" applyBorder="1" applyAlignment="1">
      <alignment horizontal="center"/>
    </xf>
    <xf numFmtId="183" fontId="23" fillId="0" borderId="54" xfId="0" applyNumberFormat="1" applyFont="1" applyBorder="1" applyAlignment="1">
      <alignment horizontal="center"/>
    </xf>
    <xf numFmtId="172" fontId="23" fillId="0" borderId="71" xfId="0" applyNumberFormat="1" applyFont="1" applyBorder="1" applyAlignment="1">
      <alignment horizontal="center"/>
    </xf>
    <xf numFmtId="177" fontId="9" fillId="0" borderId="27" xfId="0" applyNumberFormat="1" applyFont="1" applyBorder="1" applyAlignment="1">
      <alignment horizontal="right"/>
    </xf>
    <xf numFmtId="164" fontId="26" fillId="0" borderId="27" xfId="0" applyNumberFormat="1" applyFont="1" applyBorder="1" applyAlignment="1">
      <alignment horizontal="center"/>
    </xf>
    <xf numFmtId="183" fontId="26" fillId="0" borderId="27" xfId="0" applyNumberFormat="1" applyFont="1" applyBorder="1" applyAlignment="1">
      <alignment horizontal="center"/>
    </xf>
    <xf numFmtId="172" fontId="26" fillId="0" borderId="28" xfId="0" applyNumberFormat="1" applyFont="1" applyBorder="1" applyAlignment="1">
      <alignment horizontal="center"/>
    </xf>
    <xf numFmtId="177" fontId="6" fillId="0" borderId="60" xfId="0" applyNumberFormat="1" applyFont="1" applyBorder="1" applyAlignment="1">
      <alignment horizontal="right"/>
    </xf>
    <xf numFmtId="164" fontId="25" fillId="0" borderId="60" xfId="0" applyNumberFormat="1" applyFont="1" applyBorder="1" applyAlignment="1">
      <alignment horizontal="center"/>
    </xf>
    <xf numFmtId="183" fontId="25" fillId="0" borderId="60" xfId="0" applyNumberFormat="1" applyFont="1" applyBorder="1" applyAlignment="1">
      <alignment horizontal="center"/>
    </xf>
    <xf numFmtId="172" fontId="25" fillId="0" borderId="72" xfId="0" applyNumberFormat="1" applyFont="1" applyBorder="1" applyAlignment="1">
      <alignment horizontal="center"/>
    </xf>
    <xf numFmtId="0" fontId="6" fillId="0" borderId="22" xfId="0" applyFont="1" applyBorder="1"/>
    <xf numFmtId="164" fontId="28" fillId="0" borderId="54" xfId="0" applyNumberFormat="1" applyFont="1" applyBorder="1" applyAlignment="1">
      <alignment horizontal="center"/>
    </xf>
    <xf numFmtId="37" fontId="27" fillId="0" borderId="54" xfId="0" applyNumberFormat="1" applyFont="1" applyBorder="1" applyAlignment="1">
      <alignment horizontal="center"/>
    </xf>
    <xf numFmtId="172" fontId="6" fillId="0" borderId="71" xfId="0" applyNumberFormat="1" applyFont="1" applyBorder="1"/>
    <xf numFmtId="177" fontId="23" fillId="0" borderId="85" xfId="0" applyNumberFormat="1" applyFont="1" applyBorder="1" applyAlignment="1">
      <alignment horizontal="right"/>
    </xf>
    <xf numFmtId="164" fontId="23" fillId="0" borderId="85" xfId="0" applyNumberFormat="1" applyFont="1" applyBorder="1" applyAlignment="1">
      <alignment horizontal="center"/>
    </xf>
    <xf numFmtId="183" fontId="23" fillId="0" borderId="85" xfId="0" applyNumberFormat="1" applyFont="1" applyBorder="1" applyAlignment="1">
      <alignment horizontal="center"/>
    </xf>
    <xf numFmtId="0" fontId="6" fillId="0" borderId="23" xfId="0" applyFont="1" applyBorder="1"/>
    <xf numFmtId="0" fontId="6" fillId="0" borderId="60" xfId="0" applyFont="1" applyBorder="1"/>
    <xf numFmtId="37" fontId="29" fillId="0" borderId="60" xfId="0" applyNumberFormat="1" applyFont="1" applyBorder="1" applyAlignment="1">
      <alignment horizontal="center"/>
    </xf>
    <xf numFmtId="0" fontId="6" fillId="0" borderId="72" xfId="0" applyFont="1" applyBorder="1"/>
    <xf numFmtId="37" fontId="9" fillId="0" borderId="103" xfId="0" applyNumberFormat="1" applyFont="1" applyBorder="1" applyAlignment="1">
      <alignment horizontal="left"/>
    </xf>
    <xf numFmtId="177" fontId="9" fillId="0" borderId="101" xfId="0" applyNumberFormat="1" applyFont="1" applyBorder="1" applyAlignment="1">
      <alignment horizontal="right"/>
    </xf>
    <xf numFmtId="164" fontId="9" fillId="0" borderId="101" xfId="0" applyNumberFormat="1" applyFont="1" applyBorder="1" applyAlignment="1">
      <alignment horizontal="center"/>
    </xf>
    <xf numFmtId="164" fontId="26" fillId="0" borderId="101" xfId="0" applyNumberFormat="1" applyFont="1" applyBorder="1" applyAlignment="1">
      <alignment horizontal="center"/>
    </xf>
    <xf numFmtId="183" fontId="26" fillId="0" borderId="101" xfId="0" applyNumberFormat="1" applyFont="1" applyBorder="1" applyAlignment="1">
      <alignment horizontal="center"/>
    </xf>
    <xf numFmtId="172" fontId="26" fillId="0" borderId="104" xfId="0" applyNumberFormat="1" applyFont="1" applyBorder="1" applyAlignment="1">
      <alignment horizontal="center"/>
    </xf>
    <xf numFmtId="10" fontId="6" fillId="21" borderId="14" xfId="0" applyNumberFormat="1" applyFont="1" applyFill="1" applyBorder="1" applyAlignment="1">
      <alignment horizontal="center"/>
    </xf>
    <xf numFmtId="0" fontId="80" fillId="21" borderId="12" xfId="0" applyFont="1" applyFill="1" applyBorder="1" applyAlignment="1">
      <alignment horizontal="left" vertical="top"/>
    </xf>
    <xf numFmtId="0" fontId="80" fillId="0" borderId="0" xfId="0" applyFont="1" applyAlignment="1">
      <alignment horizontal="left" indent="1"/>
    </xf>
    <xf numFmtId="0" fontId="79" fillId="8" borderId="63" xfId="0" applyFont="1" applyFill="1" applyBorder="1" applyAlignment="1">
      <alignment horizontal="left"/>
    </xf>
    <xf numFmtId="10" fontId="79" fillId="8" borderId="16" xfId="0" applyNumberFormat="1" applyFont="1" applyFill="1" applyBorder="1" applyAlignment="1">
      <alignment horizontal="center"/>
    </xf>
    <xf numFmtId="10" fontId="79" fillId="8" borderId="96" xfId="0" applyNumberFormat="1" applyFont="1" applyFill="1" applyBorder="1" applyAlignment="1">
      <alignment horizontal="center"/>
    </xf>
    <xf numFmtId="0" fontId="6" fillId="8" borderId="73" xfId="0" applyFont="1" applyFill="1" applyBorder="1" applyAlignment="1">
      <alignment horizontal="left"/>
    </xf>
    <xf numFmtId="14" fontId="6" fillId="8" borderId="54" xfId="0" applyNumberFormat="1" applyFont="1" applyFill="1" applyBorder="1" applyAlignment="1">
      <alignment horizontal="center"/>
    </xf>
    <xf numFmtId="0" fontId="6" fillId="8" borderId="102" xfId="0" applyFont="1" applyFill="1" applyBorder="1" applyAlignment="1">
      <alignment horizontal="left"/>
    </xf>
    <xf numFmtId="14" fontId="6" fillId="8" borderId="94" xfId="0" applyNumberFormat="1" applyFont="1" applyFill="1" applyBorder="1" applyAlignment="1">
      <alignment horizontal="center"/>
    </xf>
    <xf numFmtId="1" fontId="21" fillId="0" borderId="105" xfId="0" applyNumberFormat="1" applyFont="1" applyBorder="1" applyAlignment="1">
      <alignment horizontal="center"/>
    </xf>
    <xf numFmtId="0" fontId="21" fillId="0" borderId="100" xfId="0" applyFont="1" applyBorder="1" applyAlignment="1">
      <alignment horizontal="center"/>
    </xf>
    <xf numFmtId="0" fontId="72" fillId="0" borderId="100" xfId="0" applyFont="1" applyBorder="1" applyAlignment="1">
      <alignment horizontal="center"/>
    </xf>
    <xf numFmtId="0" fontId="79" fillId="8" borderId="17" xfId="0" applyFont="1" applyFill="1" applyBorder="1" applyAlignment="1">
      <alignment horizontal="center"/>
    </xf>
    <xf numFmtId="0" fontId="98" fillId="3" borderId="15" xfId="0" applyFont="1" applyFill="1" applyBorder="1" applyAlignment="1">
      <alignment horizontal="center"/>
    </xf>
    <xf numFmtId="0" fontId="7" fillId="4" borderId="88" xfId="0" applyFont="1" applyFill="1" applyBorder="1"/>
    <xf numFmtId="0" fontId="7" fillId="4" borderId="89" xfId="0" applyFont="1" applyFill="1" applyBorder="1"/>
    <xf numFmtId="0" fontId="7" fillId="4" borderId="90" xfId="0" applyFont="1" applyFill="1" applyBorder="1"/>
    <xf numFmtId="235" fontId="9" fillId="0" borderId="91" xfId="0" applyNumberFormat="1" applyFont="1" applyBorder="1" applyAlignment="1">
      <alignment horizontal="center"/>
    </xf>
    <xf numFmtId="226" fontId="9" fillId="0" borderId="54" xfId="0" applyNumberFormat="1" applyFont="1" applyBorder="1" applyAlignment="1">
      <alignment horizontal="center"/>
    </xf>
    <xf numFmtId="227" fontId="9" fillId="0" borderId="92" xfId="0" applyNumberFormat="1" applyFont="1" applyBorder="1" applyAlignment="1">
      <alignment horizontal="center"/>
    </xf>
    <xf numFmtId="10" fontId="6" fillId="0" borderId="54" xfId="0" applyNumberFormat="1" applyFont="1" applyBorder="1" applyAlignment="1">
      <alignment horizontal="center"/>
    </xf>
    <xf numFmtId="10" fontId="6" fillId="0" borderId="92" xfId="0" applyNumberFormat="1" applyFont="1" applyBorder="1" applyAlignment="1">
      <alignment horizontal="center"/>
    </xf>
    <xf numFmtId="10" fontId="6" fillId="0" borderId="94" xfId="0" applyNumberFormat="1" applyFont="1" applyBorder="1" applyAlignment="1">
      <alignment horizontal="center"/>
    </xf>
    <xf numFmtId="10" fontId="6" fillId="0" borderId="95" xfId="0" applyNumberFormat="1" applyFont="1" applyBorder="1" applyAlignment="1">
      <alignment horizontal="center"/>
    </xf>
    <xf numFmtId="232" fontId="9" fillId="0" borderId="10" xfId="0" applyNumberFormat="1" applyFont="1" applyBorder="1" applyAlignment="1">
      <alignment horizontal="center"/>
    </xf>
    <xf numFmtId="37" fontId="100" fillId="0" borderId="0" xfId="0" applyNumberFormat="1" applyFont="1" applyAlignment="1">
      <alignment horizontal="left"/>
    </xf>
    <xf numFmtId="0" fontId="95" fillId="0" borderId="0" xfId="0" applyFont="1" applyAlignment="1">
      <alignment horizontal="center" vertical="top"/>
    </xf>
    <xf numFmtId="0" fontId="96" fillId="0" borderId="0" xfId="0" applyFont="1" applyAlignment="1">
      <alignment vertical="top"/>
    </xf>
    <xf numFmtId="0" fontId="0" fillId="0" borderId="0" xfId="0" applyAlignment="1">
      <alignment vertical="top"/>
    </xf>
    <xf numFmtId="0" fontId="96" fillId="0" borderId="0" xfId="0" applyFont="1" applyAlignment="1">
      <alignment horizontal="right" vertical="top" wrapText="1"/>
    </xf>
    <xf numFmtId="0" fontId="96" fillId="0" borderId="0" xfId="0" applyFont="1"/>
    <xf numFmtId="6" fontId="0" fillId="0" borderId="0" xfId="0" applyNumberFormat="1" applyAlignment="1">
      <alignment horizontal="center" vertical="top"/>
    </xf>
    <xf numFmtId="171" fontId="0" fillId="0" borderId="0" xfId="0" applyNumberFormat="1"/>
    <xf numFmtId="253" fontId="103" fillId="0" borderId="130" xfId="0" applyNumberFormat="1" applyFont="1" applyBorder="1" applyAlignment="1">
      <alignment horizontal="center" vertical="top" wrapText="1"/>
    </xf>
    <xf numFmtId="171" fontId="103" fillId="0" borderId="139" xfId="0" applyNumberFormat="1" applyFont="1" applyBorder="1" applyAlignment="1">
      <alignment horizontal="center" vertical="top" wrapText="1"/>
    </xf>
    <xf numFmtId="197" fontId="0" fillId="0" borderId="0" xfId="0" applyNumberFormat="1" applyAlignment="1">
      <alignment horizontal="center" vertical="top"/>
    </xf>
    <xf numFmtId="171" fontId="103" fillId="0" borderId="141" xfId="0" applyNumberFormat="1" applyFont="1" applyBorder="1" applyAlignment="1">
      <alignment horizontal="center" vertical="top" wrapText="1"/>
    </xf>
    <xf numFmtId="252" fontId="103" fillId="0" borderId="145" xfId="0" applyNumberFormat="1" applyFont="1" applyBorder="1" applyAlignment="1">
      <alignment horizontal="center" vertical="top" wrapText="1"/>
    </xf>
    <xf numFmtId="173" fontId="102" fillId="0" borderId="129" xfId="0" applyNumberFormat="1" applyFont="1" applyBorder="1" applyAlignment="1">
      <alignment horizontal="center" vertical="top" wrapText="1"/>
    </xf>
    <xf numFmtId="173" fontId="0" fillId="0" borderId="0" xfId="0" applyNumberFormat="1"/>
    <xf numFmtId="0" fontId="96" fillId="0" borderId="0" xfId="0" applyFont="1" applyAlignment="1">
      <alignment vertical="top" wrapText="1"/>
    </xf>
    <xf numFmtId="0" fontId="103" fillId="0" borderId="0" xfId="0" applyFont="1" applyAlignment="1">
      <alignment horizontal="left" vertical="top" wrapText="1"/>
    </xf>
    <xf numFmtId="37" fontId="0" fillId="0" borderId="113" xfId="0" applyNumberFormat="1" applyBorder="1" applyAlignment="1">
      <alignment horizontal="center" vertical="center"/>
    </xf>
    <xf numFmtId="197" fontId="103" fillId="0" borderId="0" xfId="0" applyNumberFormat="1" applyFont="1" applyAlignment="1">
      <alignment horizontal="center" vertical="top"/>
    </xf>
    <xf numFmtId="0" fontId="96" fillId="0" borderId="113" xfId="0" applyFont="1" applyBorder="1" applyAlignment="1">
      <alignment horizontal="right"/>
    </xf>
    <xf numFmtId="0" fontId="96" fillId="0" borderId="119" xfId="0" applyFont="1" applyBorder="1" applyAlignment="1">
      <alignment horizontal="right"/>
    </xf>
    <xf numFmtId="0" fontId="95" fillId="0" borderId="113" xfId="0" applyFont="1" applyBorder="1" applyAlignment="1">
      <alignment horizontal="center" vertical="top"/>
    </xf>
    <xf numFmtId="0" fontId="95" fillId="0" borderId="125" xfId="0" applyFont="1" applyBorder="1" applyAlignment="1">
      <alignment horizontal="center" vertical="top"/>
    </xf>
    <xf numFmtId="252" fontId="96" fillId="0" borderId="150" xfId="0" applyNumberFormat="1" applyFont="1" applyBorder="1" applyAlignment="1">
      <alignment horizontal="center" vertical="top"/>
    </xf>
    <xf numFmtId="252" fontId="96" fillId="0" borderId="151" xfId="0" applyNumberFormat="1" applyFont="1" applyBorder="1" applyAlignment="1">
      <alignment horizontal="center" vertical="top"/>
    </xf>
    <xf numFmtId="252" fontId="96" fillId="0" borderId="152" xfId="0" applyNumberFormat="1" applyFont="1" applyBorder="1" applyAlignment="1">
      <alignment horizontal="center" vertical="top"/>
    </xf>
    <xf numFmtId="252" fontId="96" fillId="0" borderId="108" xfId="0" applyNumberFormat="1" applyFont="1" applyBorder="1" applyAlignment="1">
      <alignment horizontal="center" vertical="top"/>
    </xf>
    <xf numFmtId="197" fontId="0" fillId="0" borderId="0" xfId="0" applyNumberFormat="1" applyAlignment="1">
      <alignment horizontal="left" vertical="top"/>
    </xf>
    <xf numFmtId="173" fontId="96" fillId="0" borderId="153" xfId="0" applyNumberFormat="1" applyFont="1" applyBorder="1" applyAlignment="1">
      <alignment horizontal="center"/>
    </xf>
    <xf numFmtId="173" fontId="96" fillId="0" borderId="98" xfId="0" applyNumberFormat="1" applyFont="1" applyBorder="1" applyAlignment="1">
      <alignment horizontal="center"/>
    </xf>
    <xf numFmtId="173" fontId="96" fillId="0" borderId="0" xfId="0" applyNumberFormat="1" applyFont="1" applyAlignment="1">
      <alignment horizontal="center"/>
    </xf>
    <xf numFmtId="173" fontId="96" fillId="0" borderId="125" xfId="0" applyNumberFormat="1" applyFont="1" applyBorder="1" applyAlignment="1">
      <alignment horizontal="center"/>
    </xf>
    <xf numFmtId="171" fontId="0" fillId="0" borderId="154" xfId="0" applyNumberFormat="1" applyBorder="1" applyAlignment="1">
      <alignment horizontal="center"/>
    </xf>
    <xf numFmtId="171" fontId="0" fillId="0" borderId="99" xfId="0" applyNumberFormat="1" applyBorder="1" applyAlignment="1">
      <alignment horizontal="center"/>
    </xf>
    <xf numFmtId="171" fontId="0" fillId="0" borderId="94" xfId="0" applyNumberFormat="1" applyBorder="1" applyAlignment="1">
      <alignment horizontal="center"/>
    </xf>
    <xf numFmtId="171" fontId="0" fillId="0" borderId="144" xfId="0" applyNumberFormat="1" applyBorder="1" applyAlignment="1">
      <alignment horizontal="center"/>
    </xf>
    <xf numFmtId="173" fontId="0" fillId="0" borderId="153" xfId="0" applyNumberFormat="1" applyBorder="1" applyAlignment="1">
      <alignment horizontal="center"/>
    </xf>
    <xf numFmtId="173" fontId="0" fillId="0" borderId="98" xfId="0" applyNumberFormat="1" applyBorder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125" xfId="0" applyNumberFormat="1" applyBorder="1" applyAlignment="1">
      <alignment horizontal="center"/>
    </xf>
    <xf numFmtId="171" fontId="0" fillId="0" borderId="153" xfId="0" applyNumberFormat="1" applyBorder="1" applyAlignment="1">
      <alignment horizontal="center"/>
    </xf>
    <xf numFmtId="171" fontId="0" fillId="0" borderId="98" xfId="0" applyNumberFormat="1" applyBorder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125" xfId="0" applyNumberFormat="1" applyBorder="1" applyAlignment="1">
      <alignment horizontal="center"/>
    </xf>
    <xf numFmtId="197" fontId="96" fillId="0" borderId="0" xfId="0" applyNumberFormat="1" applyFont="1" applyAlignment="1">
      <alignment horizontal="left" vertical="top"/>
    </xf>
    <xf numFmtId="171" fontId="0" fillId="0" borderId="155" xfId="0" applyNumberFormat="1" applyBorder="1" applyAlignment="1">
      <alignment horizontal="center"/>
    </xf>
    <xf numFmtId="171" fontId="0" fillId="0" borderId="156" xfId="0" applyNumberFormat="1" applyBorder="1" applyAlignment="1">
      <alignment horizontal="center"/>
    </xf>
    <xf numFmtId="171" fontId="0" fillId="0" borderId="157" xfId="0" applyNumberFormat="1" applyBorder="1" applyAlignment="1">
      <alignment horizontal="center"/>
    </xf>
    <xf numFmtId="171" fontId="0" fillId="0" borderId="158" xfId="0" applyNumberFormat="1" applyBorder="1" applyAlignment="1">
      <alignment horizontal="center"/>
    </xf>
    <xf numFmtId="197" fontId="102" fillId="23" borderId="94" xfId="0" applyNumberFormat="1" applyFont="1" applyFill="1" applyBorder="1" applyAlignment="1">
      <alignment horizontal="center" vertical="top"/>
    </xf>
    <xf numFmtId="197" fontId="102" fillId="23" borderId="159" xfId="0" applyNumberFormat="1" applyFont="1" applyFill="1" applyBorder="1" applyAlignment="1">
      <alignment horizontal="center" vertical="top"/>
    </xf>
    <xf numFmtId="197" fontId="102" fillId="23" borderId="125" xfId="0" applyNumberFormat="1" applyFont="1" applyFill="1" applyBorder="1" applyAlignment="1">
      <alignment horizontal="center" vertical="top"/>
    </xf>
    <xf numFmtId="197" fontId="104" fillId="0" borderId="0" xfId="0" applyNumberFormat="1" applyFont="1" applyAlignment="1">
      <alignment horizontal="left" vertical="top"/>
    </xf>
    <xf numFmtId="173" fontId="94" fillId="0" borderId="113" xfId="0" applyNumberFormat="1" applyFont="1" applyBorder="1" applyAlignment="1">
      <alignment horizontal="center"/>
    </xf>
    <xf numFmtId="173" fontId="94" fillId="0" borderId="97" xfId="0" applyNumberFormat="1" applyFont="1" applyBorder="1" applyAlignment="1">
      <alignment horizontal="center"/>
    </xf>
    <xf numFmtId="173" fontId="94" fillId="0" borderId="0" xfId="0" applyNumberFormat="1" applyFont="1" applyAlignment="1">
      <alignment horizontal="center"/>
    </xf>
    <xf numFmtId="173" fontId="94" fillId="0" borderId="125" xfId="0" applyNumberFormat="1" applyFont="1" applyBorder="1" applyAlignment="1">
      <alignment horizontal="center"/>
    </xf>
    <xf numFmtId="171" fontId="94" fillId="0" borderId="160" xfId="0" applyNumberFormat="1" applyFont="1" applyBorder="1" applyAlignment="1">
      <alignment horizontal="center"/>
    </xf>
    <xf numFmtId="171" fontId="94" fillId="0" borderId="161" xfId="0" applyNumberFormat="1" applyFont="1" applyBorder="1" applyAlignment="1">
      <alignment horizontal="center"/>
    </xf>
    <xf numFmtId="171" fontId="94" fillId="0" borderId="162" xfId="0" applyNumberFormat="1" applyFont="1" applyBorder="1" applyAlignment="1">
      <alignment horizontal="center"/>
    </xf>
    <xf numFmtId="171" fontId="94" fillId="0" borderId="163" xfId="0" applyNumberFormat="1" applyFont="1" applyBorder="1" applyAlignment="1">
      <alignment horizontal="center"/>
    </xf>
    <xf numFmtId="173" fontId="94" fillId="0" borderId="153" xfId="0" applyNumberFormat="1" applyFont="1" applyBorder="1" applyAlignment="1">
      <alignment horizontal="center"/>
    </xf>
    <xf numFmtId="173" fontId="94" fillId="0" borderId="98" xfId="0" applyNumberFormat="1" applyFont="1" applyBorder="1" applyAlignment="1">
      <alignment horizontal="center"/>
    </xf>
    <xf numFmtId="0" fontId="93" fillId="0" borderId="0" xfId="2" applyFill="1"/>
    <xf numFmtId="171" fontId="94" fillId="0" borderId="153" xfId="0" applyNumberFormat="1" applyFont="1" applyBorder="1" applyAlignment="1">
      <alignment horizontal="center"/>
    </xf>
    <xf numFmtId="171" fontId="94" fillId="0" borderId="99" xfId="0" applyNumberFormat="1" applyFont="1" applyBorder="1" applyAlignment="1">
      <alignment horizontal="center"/>
    </xf>
    <xf numFmtId="171" fontId="94" fillId="0" borderId="94" xfId="0" applyNumberFormat="1" applyFont="1" applyBorder="1" applyAlignment="1">
      <alignment horizontal="center"/>
    </xf>
    <xf numFmtId="171" fontId="94" fillId="0" borderId="144" xfId="0" applyNumberFormat="1" applyFont="1" applyBorder="1" applyAlignment="1">
      <alignment horizontal="center"/>
    </xf>
    <xf numFmtId="0" fontId="105" fillId="0" borderId="0" xfId="0" applyFont="1"/>
    <xf numFmtId="197" fontId="96" fillId="0" borderId="152" xfId="0" applyNumberFormat="1" applyFont="1" applyBorder="1" applyAlignment="1">
      <alignment horizontal="right" vertical="top"/>
    </xf>
    <xf numFmtId="1" fontId="102" fillId="0" borderId="150" xfId="3" applyNumberFormat="1" applyFont="1" applyFill="1" applyBorder="1" applyAlignment="1">
      <alignment horizontal="center"/>
    </xf>
    <xf numFmtId="1" fontId="102" fillId="0" borderId="151" xfId="3" applyNumberFormat="1" applyFont="1" applyFill="1" applyBorder="1" applyAlignment="1">
      <alignment horizontal="center"/>
    </xf>
    <xf numFmtId="1" fontId="102" fillId="0" borderId="152" xfId="3" applyNumberFormat="1" applyFont="1" applyFill="1" applyBorder="1" applyAlignment="1">
      <alignment horizontal="center"/>
    </xf>
    <xf numFmtId="1" fontId="102" fillId="0" borderId="108" xfId="3" applyNumberFormat="1" applyFont="1" applyFill="1" applyBorder="1" applyAlignment="1">
      <alignment horizontal="center"/>
    </xf>
    <xf numFmtId="173" fontId="102" fillId="0" borderId="153" xfId="0" applyNumberFormat="1" applyFont="1" applyBorder="1" applyAlignment="1">
      <alignment horizontal="center"/>
    </xf>
    <xf numFmtId="173" fontId="102" fillId="0" borderId="98" xfId="0" applyNumberFormat="1" applyFont="1" applyBorder="1" applyAlignment="1">
      <alignment horizontal="center"/>
    </xf>
    <xf numFmtId="173" fontId="102" fillId="0" borderId="0" xfId="0" applyNumberFormat="1" applyFont="1" applyAlignment="1">
      <alignment horizontal="center"/>
    </xf>
    <xf numFmtId="173" fontId="102" fillId="0" borderId="125" xfId="0" applyNumberFormat="1" applyFont="1" applyBorder="1" applyAlignment="1">
      <alignment horizontal="center"/>
    </xf>
    <xf numFmtId="197" fontId="0" fillId="0" borderId="157" xfId="0" applyNumberFormat="1" applyBorder="1" applyAlignment="1">
      <alignment horizontal="left" vertical="top"/>
    </xf>
    <xf numFmtId="171" fontId="102" fillId="0" borderId="155" xfId="0" applyNumberFormat="1" applyFont="1" applyBorder="1" applyAlignment="1">
      <alignment horizontal="center"/>
    </xf>
    <xf numFmtId="171" fontId="102" fillId="0" borderId="156" xfId="0" applyNumberFormat="1" applyFont="1" applyBorder="1" applyAlignment="1">
      <alignment horizontal="center"/>
    </xf>
    <xf numFmtId="171" fontId="102" fillId="0" borderId="157" xfId="0" applyNumberFormat="1" applyFont="1" applyBorder="1" applyAlignment="1">
      <alignment horizontal="center"/>
    </xf>
    <xf numFmtId="171" fontId="102" fillId="0" borderId="158" xfId="0" applyNumberFormat="1" applyFont="1" applyBorder="1" applyAlignment="1">
      <alignment horizontal="center"/>
    </xf>
    <xf numFmtId="3" fontId="106" fillId="0" borderId="0" xfId="0" applyNumberFormat="1" applyFont="1" applyAlignment="1">
      <alignment horizontal="left" vertical="top"/>
    </xf>
    <xf numFmtId="197" fontId="103" fillId="0" borderId="164" xfId="0" applyNumberFormat="1" applyFont="1" applyBorder="1" applyAlignment="1">
      <alignment horizontal="right" vertical="top"/>
    </xf>
    <xf numFmtId="173" fontId="102" fillId="0" borderId="164" xfId="0" applyNumberFormat="1" applyFont="1" applyBorder="1" applyAlignment="1">
      <alignment horizontal="center"/>
    </xf>
    <xf numFmtId="173" fontId="102" fillId="0" borderId="165" xfId="0" applyNumberFormat="1" applyFont="1" applyBorder="1" applyAlignment="1">
      <alignment horizontal="center"/>
    </xf>
    <xf numFmtId="0" fontId="105" fillId="0" borderId="0" xfId="0" applyFont="1" applyAlignment="1">
      <alignment vertical="top" wrapText="1"/>
    </xf>
    <xf numFmtId="171" fontId="102" fillId="0" borderId="164" xfId="0" applyNumberFormat="1" applyFont="1" applyBorder="1" applyAlignment="1">
      <alignment horizontal="center"/>
    </xf>
    <xf numFmtId="0" fontId="107" fillId="0" borderId="152" xfId="0" applyFont="1" applyBorder="1"/>
    <xf numFmtId="173" fontId="107" fillId="0" borderId="152" xfId="0" applyNumberFormat="1" applyFont="1" applyBorder="1"/>
    <xf numFmtId="173" fontId="107" fillId="0" borderId="108" xfId="0" applyNumberFormat="1" applyFont="1" applyBorder="1"/>
    <xf numFmtId="0" fontId="107" fillId="0" borderId="0" xfId="0" applyFont="1"/>
    <xf numFmtId="173" fontId="107" fillId="0" borderId="0" xfId="0" applyNumberFormat="1" applyFont="1"/>
    <xf numFmtId="173" fontId="107" fillId="0" borderId="125" xfId="0" applyNumberFormat="1" applyFont="1" applyBorder="1"/>
    <xf numFmtId="0" fontId="104" fillId="0" borderId="0" xfId="0" applyFont="1"/>
    <xf numFmtId="0" fontId="104" fillId="0" borderId="166" xfId="0" applyFont="1" applyBorder="1"/>
    <xf numFmtId="173" fontId="107" fillId="0" borderId="166" xfId="0" applyNumberFormat="1" applyFont="1" applyBorder="1"/>
    <xf numFmtId="173" fontId="107" fillId="0" borderId="167" xfId="0" applyNumberFormat="1" applyFont="1" applyBorder="1"/>
    <xf numFmtId="0" fontId="0" fillId="0" borderId="168" xfId="0" applyBorder="1" applyAlignment="1">
      <alignment vertical="top" wrapText="1"/>
    </xf>
    <xf numFmtId="172" fontId="0" fillId="0" borderId="0" xfId="0" applyNumberFormat="1" applyAlignment="1">
      <alignment horizontal="center" vertical="top" wrapText="1"/>
    </xf>
    <xf numFmtId="252" fontId="0" fillId="0" borderId="0" xfId="0" applyNumberFormat="1" applyAlignment="1">
      <alignment horizontal="center" vertical="top" wrapText="1"/>
    </xf>
    <xf numFmtId="0" fontId="0" fillId="0" borderId="170" xfId="0" applyBorder="1" applyAlignment="1">
      <alignment vertical="top" wrapText="1"/>
    </xf>
    <xf numFmtId="1" fontId="0" fillId="0" borderId="0" xfId="0" applyNumberFormat="1" applyAlignment="1">
      <alignment horizontal="center" vertical="top" wrapText="1"/>
    </xf>
    <xf numFmtId="173" fontId="0" fillId="0" borderId="0" xfId="0" applyNumberFormat="1" applyAlignment="1">
      <alignment horizontal="center" vertical="top" wrapText="1"/>
    </xf>
    <xf numFmtId="253" fontId="0" fillId="0" borderId="0" xfId="0" applyNumberFormat="1" applyAlignment="1">
      <alignment horizontal="center" vertical="top" wrapText="1"/>
    </xf>
    <xf numFmtId="265" fontId="0" fillId="0" borderId="0" xfId="0" applyNumberFormat="1" applyAlignment="1">
      <alignment horizontal="center" vertical="top" wrapText="1"/>
    </xf>
    <xf numFmtId="266" fontId="0" fillId="0" borderId="0" xfId="0" applyNumberFormat="1" applyAlignment="1">
      <alignment horizontal="center" vertical="top" wrapText="1"/>
    </xf>
    <xf numFmtId="171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 wrapText="1"/>
    </xf>
    <xf numFmtId="254" fontId="0" fillId="0" borderId="0" xfId="0" applyNumberFormat="1" applyAlignment="1">
      <alignment horizontal="center" vertical="top" wrapText="1"/>
    </xf>
    <xf numFmtId="0" fontId="95" fillId="24" borderId="109" xfId="0" applyFont="1" applyFill="1" applyBorder="1" applyAlignment="1">
      <alignment vertical="top"/>
    </xf>
    <xf numFmtId="0" fontId="95" fillId="24" borderId="110" xfId="0" applyFont="1" applyFill="1" applyBorder="1" applyAlignment="1">
      <alignment vertical="top"/>
    </xf>
    <xf numFmtId="0" fontId="95" fillId="24" borderId="111" xfId="0" applyFont="1" applyFill="1" applyBorder="1" applyAlignment="1">
      <alignment horizontal="center" wrapText="1"/>
    </xf>
    <xf numFmtId="0" fontId="95" fillId="24" borderId="113" xfId="0" applyFont="1" applyFill="1" applyBorder="1" applyAlignment="1">
      <alignment vertical="top"/>
    </xf>
    <xf numFmtId="0" fontId="95" fillId="24" borderId="114" xfId="0" applyFont="1" applyFill="1" applyBorder="1" applyAlignment="1">
      <alignment vertical="top"/>
    </xf>
    <xf numFmtId="0" fontId="95" fillId="24" borderId="115" xfId="0" applyFont="1" applyFill="1" applyBorder="1" applyAlignment="1">
      <alignment horizontal="center" vertical="top"/>
    </xf>
    <xf numFmtId="0" fontId="95" fillId="24" borderId="116" xfId="0" applyFont="1" applyFill="1" applyBorder="1" applyAlignment="1">
      <alignment horizontal="center" vertical="center"/>
    </xf>
    <xf numFmtId="0" fontId="95" fillId="24" borderId="114" xfId="0" applyFont="1" applyFill="1" applyBorder="1" applyAlignment="1">
      <alignment horizontal="center" vertical="center"/>
    </xf>
    <xf numFmtId="0" fontId="95" fillId="24" borderId="117" xfId="0" applyFont="1" applyFill="1" applyBorder="1" applyAlignment="1">
      <alignment horizontal="center" vertical="center"/>
    </xf>
    <xf numFmtId="0" fontId="95" fillId="24" borderId="117" xfId="0" applyFont="1" applyFill="1" applyBorder="1" applyAlignment="1">
      <alignment horizontal="center" vertical="top"/>
    </xf>
    <xf numFmtId="0" fontId="95" fillId="24" borderId="112" xfId="0" applyFont="1" applyFill="1" applyBorder="1" applyAlignment="1">
      <alignment horizontal="left" vertical="top"/>
    </xf>
    <xf numFmtId="0" fontId="95" fillId="24" borderId="118" xfId="0" applyFont="1" applyFill="1" applyBorder="1" applyAlignment="1">
      <alignment horizontal="left" vertical="top"/>
    </xf>
    <xf numFmtId="0" fontId="95" fillId="24" borderId="107" xfId="0" applyFont="1" applyFill="1" applyBorder="1" applyAlignment="1">
      <alignment horizontal="center" vertical="top"/>
    </xf>
    <xf numFmtId="0" fontId="95" fillId="24" borderId="108" xfId="0" applyFont="1" applyFill="1" applyBorder="1" applyAlignment="1">
      <alignment vertical="top"/>
    </xf>
    <xf numFmtId="0" fontId="95" fillId="24" borderId="119" xfId="0" applyFont="1" applyFill="1" applyBorder="1" applyAlignment="1">
      <alignment vertical="top"/>
    </xf>
    <xf numFmtId="0" fontId="95" fillId="24" borderId="120" xfId="0" applyFont="1" applyFill="1" applyBorder="1" applyAlignment="1">
      <alignment horizontal="left" vertical="top"/>
    </xf>
    <xf numFmtId="0" fontId="95" fillId="24" borderId="121" xfId="0" applyFont="1" applyFill="1" applyBorder="1" applyAlignment="1">
      <alignment horizontal="center" vertical="top"/>
    </xf>
    <xf numFmtId="0" fontId="95" fillId="24" borderId="122" xfId="0" applyFont="1" applyFill="1" applyBorder="1" applyAlignment="1">
      <alignment horizontal="center" vertical="center"/>
    </xf>
    <xf numFmtId="0" fontId="95" fillId="24" borderId="120" xfId="0" applyFont="1" applyFill="1" applyBorder="1" applyAlignment="1">
      <alignment horizontal="center" vertical="center"/>
    </xf>
    <xf numFmtId="0" fontId="95" fillId="24" borderId="121" xfId="0" applyFont="1" applyFill="1" applyBorder="1" applyAlignment="1">
      <alignment horizontal="center" vertical="center"/>
    </xf>
    <xf numFmtId="0" fontId="95" fillId="24" borderId="124" xfId="0" applyFont="1" applyFill="1" applyBorder="1" applyAlignment="1">
      <alignment horizontal="center" vertical="top"/>
    </xf>
    <xf numFmtId="0" fontId="95" fillId="24" borderId="125" xfId="0" applyFont="1" applyFill="1" applyBorder="1" applyAlignment="1">
      <alignment horizontal="center" vertical="top"/>
    </xf>
    <xf numFmtId="0" fontId="95" fillId="24" borderId="173" xfId="0" applyFont="1" applyFill="1" applyBorder="1" applyAlignment="1">
      <alignment horizontal="center" vertical="top"/>
    </xf>
    <xf numFmtId="0" fontId="95" fillId="24" borderId="174" xfId="0" applyFont="1" applyFill="1" applyBorder="1" applyAlignment="1">
      <alignment horizontal="center" vertical="top"/>
    </xf>
    <xf numFmtId="0" fontId="95" fillId="24" borderId="165" xfId="0" applyFont="1" applyFill="1" applyBorder="1" applyAlignment="1">
      <alignment horizontal="center" vertical="top"/>
    </xf>
    <xf numFmtId="0" fontId="95" fillId="24" borderId="177" xfId="0" applyFont="1" applyFill="1" applyBorder="1" applyAlignment="1">
      <alignment horizontal="center" vertical="center"/>
    </xf>
    <xf numFmtId="0" fontId="95" fillId="24" borderId="110" xfId="0" applyFont="1" applyFill="1" applyBorder="1" applyAlignment="1">
      <alignment horizontal="center" vertical="center"/>
    </xf>
    <xf numFmtId="0" fontId="95" fillId="24" borderId="111" xfId="0" applyFont="1" applyFill="1" applyBorder="1" applyAlignment="1">
      <alignment horizontal="center" vertical="center"/>
    </xf>
    <xf numFmtId="0" fontId="96" fillId="0" borderId="54" xfId="0" applyFont="1" applyBorder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96" fillId="25" borderId="126" xfId="0" applyFont="1" applyFill="1" applyBorder="1" applyAlignment="1">
      <alignment horizontal="left" vertical="top" wrapText="1"/>
    </xf>
    <xf numFmtId="166" fontId="96" fillId="25" borderId="127" xfId="0" applyNumberFormat="1" applyFont="1" applyFill="1" applyBorder="1" applyAlignment="1">
      <alignment horizontal="center" vertical="top" wrapText="1"/>
    </xf>
    <xf numFmtId="252" fontId="96" fillId="25" borderId="128" xfId="0" applyNumberFormat="1" applyFont="1" applyFill="1" applyBorder="1" applyAlignment="1">
      <alignment horizontal="center" vertical="top" wrapText="1"/>
    </xf>
    <xf numFmtId="252" fontId="96" fillId="25" borderId="126" xfId="0" applyNumberFormat="1" applyFont="1" applyFill="1" applyBorder="1" applyAlignment="1">
      <alignment horizontal="center" vertical="top" wrapText="1"/>
    </xf>
    <xf numFmtId="252" fontId="96" fillId="25" borderId="127" xfId="0" applyNumberFormat="1" applyFont="1" applyFill="1" applyBorder="1" applyAlignment="1">
      <alignment horizontal="center" vertical="top" wrapText="1"/>
    </xf>
    <xf numFmtId="0" fontId="96" fillId="25" borderId="129" xfId="0" applyFont="1" applyFill="1" applyBorder="1" applyAlignment="1">
      <alignment horizontal="left" vertical="top" wrapText="1"/>
    </xf>
    <xf numFmtId="256" fontId="102" fillId="25" borderId="130" xfId="0" applyNumberFormat="1" applyFont="1" applyFill="1" applyBorder="1" applyAlignment="1">
      <alignment horizontal="center" vertical="top" wrapText="1"/>
    </xf>
    <xf numFmtId="253" fontId="96" fillId="25" borderId="131" xfId="0" applyNumberFormat="1" applyFont="1" applyFill="1" applyBorder="1" applyAlignment="1">
      <alignment horizontal="center" vertical="top" wrapText="1"/>
    </xf>
    <xf numFmtId="253" fontId="96" fillId="25" borderId="130" xfId="0" applyNumberFormat="1" applyFont="1" applyFill="1" applyBorder="1" applyAlignment="1">
      <alignment horizontal="center" vertical="top" wrapText="1"/>
    </xf>
    <xf numFmtId="253" fontId="96" fillId="25" borderId="132" xfId="0" applyNumberFormat="1" applyFont="1" applyFill="1" applyBorder="1" applyAlignment="1">
      <alignment horizontal="center" vertical="top" wrapText="1"/>
    </xf>
    <xf numFmtId="0" fontId="96" fillId="25" borderId="133" xfId="0" applyFont="1" applyFill="1" applyBorder="1" applyAlignment="1">
      <alignment horizontal="left" vertical="top" wrapText="1"/>
    </xf>
    <xf numFmtId="1" fontId="96" fillId="25" borderId="132" xfId="0" applyNumberFormat="1" applyFont="1" applyFill="1" applyBorder="1" applyAlignment="1">
      <alignment horizontal="center" vertical="top" wrapText="1"/>
    </xf>
    <xf numFmtId="173" fontId="96" fillId="25" borderId="134" xfId="0" applyNumberFormat="1" applyFont="1" applyFill="1" applyBorder="1" applyAlignment="1">
      <alignment horizontal="center" vertical="top" wrapText="1"/>
    </xf>
    <xf numFmtId="173" fontId="96" fillId="25" borderId="129" xfId="0" applyNumberFormat="1" applyFont="1" applyFill="1" applyBorder="1" applyAlignment="1">
      <alignment horizontal="center" vertical="top" wrapText="1"/>
    </xf>
    <xf numFmtId="173" fontId="96" fillId="25" borderId="135" xfId="0" applyNumberFormat="1" applyFont="1" applyFill="1" applyBorder="1" applyAlignment="1">
      <alignment horizontal="center" vertical="top" wrapText="1"/>
    </xf>
    <xf numFmtId="255" fontId="96" fillId="25" borderId="130" xfId="0" applyNumberFormat="1" applyFont="1" applyFill="1" applyBorder="1" applyAlignment="1">
      <alignment horizontal="left" vertical="top" wrapText="1"/>
    </xf>
    <xf numFmtId="171" fontId="96" fillId="25" borderId="136" xfId="0" applyNumberFormat="1" applyFont="1" applyFill="1" applyBorder="1" applyAlignment="1">
      <alignment horizontal="center" vertical="top" wrapText="1"/>
    </xf>
    <xf numFmtId="171" fontId="96" fillId="25" borderId="129" xfId="0" applyNumberFormat="1" applyFont="1" applyFill="1" applyBorder="1" applyAlignment="1">
      <alignment horizontal="center" vertical="top" wrapText="1"/>
    </xf>
    <xf numFmtId="254" fontId="96" fillId="25" borderId="132" xfId="0" applyNumberFormat="1" applyFont="1" applyFill="1" applyBorder="1" applyAlignment="1">
      <alignment horizontal="center" vertical="top" wrapText="1"/>
    </xf>
    <xf numFmtId="0" fontId="95" fillId="24" borderId="113" xfId="0" applyFont="1" applyFill="1" applyBorder="1" applyAlignment="1">
      <alignment horizontal="center" vertical="top"/>
    </xf>
    <xf numFmtId="0" fontId="95" fillId="24" borderId="54" xfId="0" applyFont="1" applyFill="1" applyBorder="1" applyAlignment="1">
      <alignment horizontal="center" vertical="top"/>
    </xf>
    <xf numFmtId="0" fontId="96" fillId="0" borderId="54" xfId="0" applyFont="1" applyBorder="1" applyAlignment="1">
      <alignment vertical="top" wrapText="1"/>
    </xf>
    <xf numFmtId="0" fontId="103" fillId="0" borderId="54" xfId="0" applyFont="1" applyBorder="1" applyAlignment="1">
      <alignment horizontal="left" vertical="top" wrapText="1"/>
    </xf>
    <xf numFmtId="264" fontId="0" fillId="0" borderId="54" xfId="0" applyNumberFormat="1" applyBorder="1" applyAlignment="1">
      <alignment horizontal="center"/>
    </xf>
    <xf numFmtId="197" fontId="0" fillId="0" borderId="0" xfId="0" applyNumberFormat="1" applyAlignment="1">
      <alignment horizontal="center"/>
    </xf>
    <xf numFmtId="257" fontId="0" fillId="0" borderId="0" xfId="0" applyNumberFormat="1"/>
    <xf numFmtId="259" fontId="0" fillId="0" borderId="0" xfId="0" applyNumberFormat="1"/>
    <xf numFmtId="10" fontId="0" fillId="0" borderId="0" xfId="0" applyNumberFormat="1"/>
    <xf numFmtId="0" fontId="0" fillId="0" borderId="83" xfId="0" applyBorder="1" applyAlignment="1">
      <alignment horizontal="left" vertical="top" wrapText="1"/>
    </xf>
    <xf numFmtId="172" fontId="0" fillId="0" borderId="0" xfId="1" applyNumberFormat="1" applyFont="1" applyFill="1"/>
    <xf numFmtId="260" fontId="9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1" fontId="95" fillId="0" borderId="87" xfId="0" applyNumberFormat="1" applyFont="1" applyBorder="1" applyAlignment="1">
      <alignment horizontal="center"/>
    </xf>
    <xf numFmtId="171" fontId="96" fillId="0" borderId="0" xfId="0" applyNumberFormat="1" applyFont="1" applyAlignment="1">
      <alignment horizontal="center"/>
    </xf>
    <xf numFmtId="0" fontId="96" fillId="0" borderId="0" xfId="0" applyFont="1" applyAlignment="1">
      <alignment horizontal="right"/>
    </xf>
    <xf numFmtId="171" fontId="102" fillId="0" borderId="0" xfId="0" applyNumberFormat="1" applyFont="1" applyAlignment="1">
      <alignment horizontal="center"/>
    </xf>
    <xf numFmtId="0" fontId="95" fillId="24" borderId="185" xfId="0" applyFont="1" applyFill="1" applyBorder="1" applyAlignment="1">
      <alignment horizontal="center" vertical="top"/>
    </xf>
    <xf numFmtId="0" fontId="97" fillId="24" borderId="185" xfId="0" applyFont="1" applyFill="1" applyBorder="1"/>
    <xf numFmtId="0" fontId="95" fillId="24" borderId="187" xfId="0" applyFont="1" applyFill="1" applyBorder="1" applyAlignment="1">
      <alignment horizontal="center" vertical="top"/>
    </xf>
    <xf numFmtId="0" fontId="97" fillId="24" borderId="187" xfId="0" applyFont="1" applyFill="1" applyBorder="1"/>
    <xf numFmtId="0" fontId="95" fillId="24" borderId="189" xfId="0" applyFont="1" applyFill="1" applyBorder="1" applyAlignment="1">
      <alignment horizontal="center" vertical="top"/>
    </xf>
    <xf numFmtId="0" fontId="95" fillId="24" borderId="190" xfId="0" applyFont="1" applyFill="1" applyBorder="1" applyAlignment="1">
      <alignment horizontal="center" vertical="top"/>
    </xf>
    <xf numFmtId="0" fontId="95" fillId="24" borderId="191" xfId="0" applyFont="1" applyFill="1" applyBorder="1" applyAlignment="1">
      <alignment horizontal="center" vertical="top"/>
    </xf>
    <xf numFmtId="255" fontId="96" fillId="25" borderId="193" xfId="0" applyNumberFormat="1" applyFont="1" applyFill="1" applyBorder="1" applyAlignment="1">
      <alignment horizontal="center" vertical="top" wrapText="1"/>
    </xf>
    <xf numFmtId="172" fontId="96" fillId="25" borderId="193" xfId="0" applyNumberFormat="1" applyFont="1" applyFill="1" applyBorder="1" applyAlignment="1">
      <alignment horizontal="center" vertical="top" wrapText="1"/>
    </xf>
    <xf numFmtId="252" fontId="96" fillId="25" borderId="193" xfId="0" applyNumberFormat="1" applyFont="1" applyFill="1" applyBorder="1" applyAlignment="1">
      <alignment horizontal="center" vertical="top" wrapText="1"/>
    </xf>
    <xf numFmtId="9" fontId="96" fillId="25" borderId="193" xfId="0" applyNumberFormat="1" applyFont="1" applyFill="1" applyBorder="1" applyAlignment="1">
      <alignment horizontal="center" vertical="top" wrapText="1"/>
    </xf>
    <xf numFmtId="0" fontId="96" fillId="25" borderId="195" xfId="0" applyFont="1" applyFill="1" applyBorder="1" applyAlignment="1">
      <alignment horizontal="center" vertical="top" wrapText="1"/>
    </xf>
    <xf numFmtId="1" fontId="96" fillId="25" borderId="195" xfId="0" applyNumberFormat="1" applyFont="1" applyFill="1" applyBorder="1" applyAlignment="1">
      <alignment horizontal="center" vertical="top" wrapText="1"/>
    </xf>
    <xf numFmtId="256" fontId="96" fillId="25" borderId="195" xfId="0" applyNumberFormat="1" applyFont="1" applyFill="1" applyBorder="1" applyAlignment="1">
      <alignment horizontal="center"/>
    </xf>
    <xf numFmtId="9" fontId="96" fillId="25" borderId="195" xfId="0" applyNumberFormat="1" applyFont="1" applyFill="1" applyBorder="1" applyAlignment="1">
      <alignment horizontal="center" vertical="top" wrapText="1"/>
    </xf>
    <xf numFmtId="258" fontId="96" fillId="25" borderId="195" xfId="0" applyNumberFormat="1" applyFont="1" applyFill="1" applyBorder="1" applyAlignment="1">
      <alignment horizontal="center" vertical="top" wrapText="1"/>
    </xf>
    <xf numFmtId="253" fontId="96" fillId="25" borderId="195" xfId="0" applyNumberFormat="1" applyFont="1" applyFill="1" applyBorder="1" applyAlignment="1">
      <alignment horizontal="center" vertical="top" wrapText="1"/>
    </xf>
    <xf numFmtId="14" fontId="96" fillId="25" borderId="195" xfId="0" applyNumberFormat="1" applyFont="1" applyFill="1" applyBorder="1" applyAlignment="1">
      <alignment horizontal="center" vertical="top" wrapText="1"/>
    </xf>
    <xf numFmtId="173" fontId="96" fillId="25" borderId="195" xfId="0" applyNumberFormat="1" applyFont="1" applyFill="1" applyBorder="1" applyAlignment="1">
      <alignment horizontal="center" vertical="top" wrapText="1"/>
    </xf>
    <xf numFmtId="0" fontId="96" fillId="25" borderId="196" xfId="0" applyFont="1" applyFill="1" applyBorder="1" applyAlignment="1">
      <alignment horizontal="center"/>
    </xf>
    <xf numFmtId="254" fontId="96" fillId="25" borderId="196" xfId="0" applyNumberFormat="1" applyFont="1" applyFill="1" applyBorder="1" applyAlignment="1">
      <alignment horizontal="center" vertical="top" wrapText="1"/>
    </xf>
    <xf numFmtId="166" fontId="96" fillId="25" borderId="196" xfId="0" applyNumberFormat="1" applyFont="1" applyFill="1" applyBorder="1" applyAlignment="1">
      <alignment horizontal="center" vertical="top" wrapText="1"/>
    </xf>
    <xf numFmtId="9" fontId="96" fillId="25" borderId="196" xfId="0" applyNumberFormat="1" applyFont="1" applyFill="1" applyBorder="1" applyAlignment="1">
      <alignment horizontal="center" vertical="top" wrapText="1"/>
    </xf>
    <xf numFmtId="171" fontId="96" fillId="25" borderId="196" xfId="0" applyNumberFormat="1" applyFont="1" applyFill="1" applyBorder="1" applyAlignment="1">
      <alignment horizontal="center" vertical="top" wrapText="1"/>
    </xf>
    <xf numFmtId="252" fontId="96" fillId="0" borderId="54" xfId="0" applyNumberFormat="1" applyFont="1" applyBorder="1" applyAlignment="1">
      <alignment horizontal="center" vertical="top"/>
    </xf>
    <xf numFmtId="0" fontId="95" fillId="0" borderId="54" xfId="0" applyFont="1" applyBorder="1" applyAlignment="1">
      <alignment horizontal="center" vertical="top"/>
    </xf>
    <xf numFmtId="172" fontId="0" fillId="0" borderId="197" xfId="0" applyNumberFormat="1" applyBorder="1" applyAlignment="1">
      <alignment horizontal="center" vertical="top" wrapText="1"/>
    </xf>
    <xf numFmtId="252" fontId="0" fillId="0" borderId="197" xfId="0" applyNumberFormat="1" applyBorder="1" applyAlignment="1">
      <alignment horizontal="center" vertical="top" wrapText="1"/>
    </xf>
    <xf numFmtId="9" fontId="0" fillId="0" borderId="197" xfId="0" applyNumberFormat="1" applyBorder="1" applyAlignment="1">
      <alignment horizontal="center" vertical="top" wrapText="1"/>
    </xf>
    <xf numFmtId="0" fontId="0" fillId="0" borderId="199" xfId="0" applyBorder="1" applyAlignment="1">
      <alignment horizontal="center" vertical="top" wrapText="1"/>
    </xf>
    <xf numFmtId="1" fontId="0" fillId="0" borderId="199" xfId="0" applyNumberFormat="1" applyBorder="1" applyAlignment="1">
      <alignment horizontal="center" vertical="top" wrapText="1"/>
    </xf>
    <xf numFmtId="2" fontId="0" fillId="0" borderId="199" xfId="0" applyNumberFormat="1" applyBorder="1" applyAlignment="1">
      <alignment horizontal="center"/>
    </xf>
    <xf numFmtId="9" fontId="0" fillId="0" borderId="199" xfId="0" applyNumberFormat="1" applyBorder="1" applyAlignment="1">
      <alignment horizontal="center" vertical="top" wrapText="1"/>
    </xf>
    <xf numFmtId="173" fontId="0" fillId="0" borderId="200" xfId="0" applyNumberFormat="1" applyBorder="1" applyAlignment="1">
      <alignment horizontal="center" vertical="top" wrapText="1"/>
    </xf>
    <xf numFmtId="253" fontId="0" fillId="0" borderId="199" xfId="0" applyNumberFormat="1" applyBorder="1" applyAlignment="1">
      <alignment horizontal="center" vertical="top" wrapText="1"/>
    </xf>
    <xf numFmtId="14" fontId="0" fillId="0" borderId="199" xfId="0" applyNumberFormat="1" applyBorder="1" applyAlignment="1">
      <alignment horizontal="center" vertical="top" wrapText="1"/>
    </xf>
    <xf numFmtId="173" fontId="96" fillId="0" borderId="86" xfId="0" applyNumberFormat="1" applyFont="1" applyBorder="1" applyAlignment="1">
      <alignment horizontal="center" vertical="top" wrapText="1"/>
    </xf>
    <xf numFmtId="254" fontId="0" fillId="0" borderId="202" xfId="0" applyNumberFormat="1" applyBorder="1" applyAlignment="1">
      <alignment horizontal="center" vertical="top" wrapText="1"/>
    </xf>
    <xf numFmtId="166" fontId="0" fillId="0" borderId="202" xfId="0" applyNumberFormat="1" applyBorder="1" applyAlignment="1">
      <alignment horizontal="center" vertical="top" wrapText="1"/>
    </xf>
    <xf numFmtId="9" fontId="0" fillId="0" borderId="202" xfId="0" applyNumberFormat="1" applyBorder="1" applyAlignment="1">
      <alignment horizontal="center" vertical="top" wrapText="1"/>
    </xf>
    <xf numFmtId="9" fontId="0" fillId="0" borderId="86" xfId="0" applyNumberFormat="1" applyBorder="1" applyAlignment="1">
      <alignment horizontal="center" vertical="top" wrapText="1"/>
    </xf>
    <xf numFmtId="171" fontId="96" fillId="0" borderId="86" xfId="0" applyNumberFormat="1" applyFont="1" applyBorder="1" applyAlignment="1">
      <alignment horizontal="center" vertical="top" wrapText="1"/>
    </xf>
    <xf numFmtId="171" fontId="96" fillId="0" borderId="205" xfId="0" applyNumberFormat="1" applyFont="1" applyBorder="1" applyAlignment="1">
      <alignment horizontal="center" vertical="top" wrapText="1"/>
    </xf>
    <xf numFmtId="173" fontId="0" fillId="0" borderId="86" xfId="0" applyNumberFormat="1" applyBorder="1" applyAlignment="1">
      <alignment horizontal="center" vertical="top" wrapText="1"/>
    </xf>
    <xf numFmtId="171" fontId="96" fillId="0" borderId="206" xfId="0" applyNumberFormat="1" applyFont="1" applyBorder="1" applyAlignment="1">
      <alignment horizontal="center" vertical="top" wrapText="1"/>
    </xf>
    <xf numFmtId="255" fontId="0" fillId="0" borderId="204" xfId="0" applyNumberFormat="1" applyBorder="1" applyAlignment="1">
      <alignment horizontal="center" vertical="top" wrapText="1"/>
    </xf>
    <xf numFmtId="0" fontId="96" fillId="0" borderId="206" xfId="0" applyFont="1" applyBorder="1" applyAlignment="1">
      <alignment horizontal="center"/>
    </xf>
    <xf numFmtId="254" fontId="0" fillId="0" borderId="206" xfId="0" applyNumberFormat="1" applyBorder="1" applyAlignment="1">
      <alignment horizontal="center" vertical="top" wrapText="1"/>
    </xf>
    <xf numFmtId="166" fontId="0" fillId="0" borderId="206" xfId="0" applyNumberFormat="1" applyBorder="1" applyAlignment="1">
      <alignment horizontal="center" vertical="top" wrapText="1"/>
    </xf>
    <xf numFmtId="9" fontId="0" fillId="0" borderId="206" xfId="0" applyNumberFormat="1" applyBorder="1" applyAlignment="1">
      <alignment horizontal="center" vertical="top" wrapText="1"/>
    </xf>
    <xf numFmtId="0" fontId="0" fillId="0" borderId="207" xfId="0" applyBorder="1" applyAlignment="1">
      <alignment horizontal="left" vertical="top" wrapText="1"/>
    </xf>
    <xf numFmtId="9" fontId="0" fillId="0" borderId="205" xfId="0" applyNumberFormat="1" applyBorder="1" applyAlignment="1">
      <alignment horizontal="center" vertical="top" wrapText="1"/>
    </xf>
    <xf numFmtId="0" fontId="0" fillId="0" borderId="208" xfId="0" applyBorder="1" applyAlignment="1">
      <alignment horizontal="left" vertical="top" wrapText="1"/>
    </xf>
    <xf numFmtId="0" fontId="0" fillId="0" borderId="94" xfId="0" applyBorder="1"/>
    <xf numFmtId="43" fontId="6" fillId="0" borderId="0" xfId="0" applyNumberFormat="1" applyFont="1"/>
    <xf numFmtId="0" fontId="7" fillId="4" borderId="88" xfId="0" applyFont="1" applyFill="1" applyBorder="1" applyAlignment="1">
      <alignment horizontal="left" vertical="center"/>
    </xf>
    <xf numFmtId="0" fontId="7" fillId="4" borderId="89" xfId="0" applyFont="1" applyFill="1" applyBorder="1" applyAlignment="1">
      <alignment horizontal="left" vertical="center"/>
    </xf>
    <xf numFmtId="0" fontId="7" fillId="4" borderId="90" xfId="0" applyFont="1" applyFill="1" applyBorder="1" applyAlignment="1">
      <alignment horizontal="left" vertical="center"/>
    </xf>
    <xf numFmtId="0" fontId="6" fillId="0" borderId="91" xfId="0" applyFont="1" applyBorder="1"/>
    <xf numFmtId="0" fontId="6" fillId="0" borderId="93" xfId="0" applyFont="1" applyBorder="1"/>
    <xf numFmtId="173" fontId="6" fillId="3" borderId="94" xfId="0" applyNumberFormat="1" applyFont="1" applyFill="1" applyBorder="1" applyAlignment="1">
      <alignment horizontal="center"/>
    </xf>
    <xf numFmtId="173" fontId="6" fillId="3" borderId="95" xfId="0" applyNumberFormat="1" applyFont="1" applyFill="1" applyBorder="1" applyAlignment="1">
      <alignment horizontal="center"/>
    </xf>
    <xf numFmtId="173" fontId="22" fillId="0" borderId="94" xfId="0" applyNumberFormat="1" applyFont="1" applyBorder="1" applyAlignment="1">
      <alignment horizontal="center"/>
    </xf>
    <xf numFmtId="0" fontId="6" fillId="0" borderId="88" xfId="0" applyFont="1" applyBorder="1" applyAlignment="1">
      <alignment horizontal="left"/>
    </xf>
    <xf numFmtId="173" fontId="6" fillId="3" borderId="89" xfId="0" applyNumberFormat="1" applyFont="1" applyFill="1" applyBorder="1" applyAlignment="1">
      <alignment horizontal="center"/>
    </xf>
    <xf numFmtId="173" fontId="6" fillId="3" borderId="90" xfId="0" applyNumberFormat="1" applyFont="1" applyFill="1" applyBorder="1" applyAlignment="1">
      <alignment horizontal="center"/>
    </xf>
    <xf numFmtId="173" fontId="22" fillId="0" borderId="95" xfId="0" applyNumberFormat="1" applyFont="1" applyBorder="1" applyAlignment="1">
      <alignment horizontal="center"/>
    </xf>
    <xf numFmtId="164" fontId="9" fillId="0" borderId="54" xfId="0" applyNumberFormat="1" applyFont="1" applyBorder="1" applyAlignment="1">
      <alignment horizontal="center"/>
    </xf>
    <xf numFmtId="168" fontId="9" fillId="0" borderId="54" xfId="0" applyNumberFormat="1" applyFont="1" applyBorder="1" applyAlignment="1">
      <alignment horizontal="center"/>
    </xf>
    <xf numFmtId="184" fontId="9" fillId="0" borderId="54" xfId="0" applyNumberFormat="1" applyFont="1" applyBorder="1" applyAlignment="1">
      <alignment horizontal="center"/>
    </xf>
    <xf numFmtId="172" fontId="9" fillId="0" borderId="54" xfId="0" applyNumberFormat="1" applyFont="1" applyBorder="1" applyAlignment="1">
      <alignment horizontal="center"/>
    </xf>
    <xf numFmtId="168" fontId="5" fillId="0" borderId="5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168" fontId="5" fillId="0" borderId="17" xfId="0" applyNumberFormat="1" applyFont="1" applyBorder="1" applyAlignment="1">
      <alignment horizontal="center"/>
    </xf>
    <xf numFmtId="9" fontId="6" fillId="0" borderId="71" xfId="0" applyNumberFormat="1" applyFont="1" applyBorder="1" applyAlignment="1">
      <alignment horizontal="right" vertical="top"/>
    </xf>
    <xf numFmtId="2" fontId="6" fillId="0" borderId="71" xfId="0" applyNumberFormat="1" applyFont="1" applyBorder="1" applyAlignment="1">
      <alignment horizontal="right" vertical="top"/>
    </xf>
    <xf numFmtId="165" fontId="6" fillId="0" borderId="71" xfId="0" applyNumberFormat="1" applyFont="1" applyBorder="1" applyAlignment="1">
      <alignment horizontal="right" vertical="top"/>
    </xf>
    <xf numFmtId="2" fontId="6" fillId="0" borderId="71" xfId="0" applyNumberFormat="1" applyFont="1" applyBorder="1" applyAlignment="1">
      <alignment horizontal="right" vertical="top" wrapText="1"/>
    </xf>
    <xf numFmtId="168" fontId="6" fillId="0" borderId="54" xfId="0" applyNumberFormat="1" applyFont="1" applyBorder="1" applyAlignment="1">
      <alignment horizontal="center"/>
    </xf>
    <xf numFmtId="168" fontId="5" fillId="0" borderId="54" xfId="0" applyNumberFormat="1" applyFont="1" applyBorder="1" applyAlignment="1">
      <alignment horizontal="center"/>
    </xf>
    <xf numFmtId="37" fontId="6" fillId="0" borderId="88" xfId="0" applyNumberFormat="1" applyFont="1" applyBorder="1" applyAlignment="1">
      <alignment horizontal="left"/>
    </xf>
    <xf numFmtId="168" fontId="5" fillId="0" borderId="89" xfId="0" applyNumberFormat="1" applyFont="1" applyBorder="1" applyAlignment="1">
      <alignment horizontal="center"/>
    </xf>
    <xf numFmtId="168" fontId="6" fillId="0" borderId="89" xfId="0" applyNumberFormat="1" applyFont="1" applyBorder="1" applyAlignment="1">
      <alignment horizontal="center"/>
    </xf>
    <xf numFmtId="184" fontId="21" fillId="5" borderId="89" xfId="0" applyNumberFormat="1" applyFont="1" applyFill="1" applyBorder="1" applyAlignment="1">
      <alignment horizontal="center"/>
    </xf>
    <xf numFmtId="37" fontId="6" fillId="0" borderId="91" xfId="0" applyNumberFormat="1" applyFont="1" applyBorder="1" applyAlignment="1">
      <alignment horizontal="left"/>
    </xf>
    <xf numFmtId="184" fontId="21" fillId="5" borderId="54" xfId="0" applyNumberFormat="1" applyFont="1" applyFill="1" applyBorder="1" applyAlignment="1">
      <alignment horizontal="center"/>
    </xf>
    <xf numFmtId="37" fontId="6" fillId="0" borderId="93" xfId="0" applyNumberFormat="1" applyFont="1" applyBorder="1" applyAlignment="1">
      <alignment horizontal="left"/>
    </xf>
    <xf numFmtId="168" fontId="5" fillId="0" borderId="94" xfId="0" applyNumberFormat="1" applyFont="1" applyBorder="1" applyAlignment="1">
      <alignment horizontal="center"/>
    </xf>
    <xf numFmtId="168" fontId="6" fillId="0" borderId="94" xfId="0" applyNumberFormat="1" applyFont="1" applyBorder="1" applyAlignment="1">
      <alignment horizontal="center"/>
    </xf>
    <xf numFmtId="184" fontId="21" fillId="5" borderId="94" xfId="0" applyNumberFormat="1" applyFont="1" applyFill="1" applyBorder="1" applyAlignment="1">
      <alignment horizontal="center"/>
    </xf>
    <xf numFmtId="14" fontId="37" fillId="0" borderId="0" xfId="0" applyNumberFormat="1" applyFont="1"/>
    <xf numFmtId="196" fontId="37" fillId="0" borderId="0" xfId="0" applyNumberFormat="1" applyFont="1"/>
    <xf numFmtId="14" fontId="37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40" fillId="0" borderId="0" xfId="2" applyFont="1" applyAlignment="1">
      <alignment vertical="center"/>
    </xf>
    <xf numFmtId="37" fontId="44" fillId="28" borderId="0" xfId="0" applyNumberFormat="1" applyFont="1" applyFill="1" applyAlignment="1">
      <alignment horizontal="left"/>
    </xf>
    <xf numFmtId="0" fontId="14" fillId="0" borderId="0" xfId="0" applyFont="1" applyAlignment="1">
      <alignment horizontal="right"/>
    </xf>
    <xf numFmtId="196" fontId="37" fillId="0" borderId="0" xfId="0" applyNumberFormat="1" applyFont="1" applyAlignment="1">
      <alignment horizontal="right"/>
    </xf>
    <xf numFmtId="44" fontId="37" fillId="0" borderId="0" xfId="0" applyNumberFormat="1" applyFont="1" applyAlignment="1">
      <alignment horizontal="right"/>
    </xf>
    <xf numFmtId="44" fontId="115" fillId="0" borderId="54" xfId="7" applyNumberFormat="1"/>
    <xf numFmtId="37" fontId="115" fillId="0" borderId="54" xfId="8" applyNumberFormat="1"/>
    <xf numFmtId="197" fontId="116" fillId="0" borderId="0" xfId="0" applyNumberFormat="1" applyFont="1"/>
    <xf numFmtId="196" fontId="37" fillId="0" borderId="0" xfId="0" applyNumberFormat="1" applyFont="1" applyAlignment="1">
      <alignment horizontal="left"/>
    </xf>
    <xf numFmtId="44" fontId="37" fillId="0" borderId="0" xfId="0" applyNumberFormat="1" applyFont="1"/>
    <xf numFmtId="0" fontId="115" fillId="0" borderId="54" xfId="9" applyAlignment="1">
      <alignment horizontal="center"/>
    </xf>
    <xf numFmtId="0" fontId="115" fillId="0" borderId="54" xfId="9"/>
    <xf numFmtId="0" fontId="115" fillId="0" borderId="54" xfId="7"/>
    <xf numFmtId="0" fontId="115" fillId="0" borderId="54" xfId="10" applyAlignment="1">
      <alignment horizontal="left"/>
    </xf>
    <xf numFmtId="37" fontId="113" fillId="24" borderId="0" xfId="0" applyNumberFormat="1" applyFont="1" applyFill="1" applyAlignment="1">
      <alignment horizontal="center" vertical="center"/>
    </xf>
    <xf numFmtId="3" fontId="113" fillId="24" borderId="54" xfId="3" applyNumberFormat="1" applyFont="1" applyFill="1" applyBorder="1" applyAlignment="1" applyProtection="1">
      <alignment horizontal="center" vertical="center"/>
    </xf>
    <xf numFmtId="196" fontId="113" fillId="24" borderId="54" xfId="3" applyNumberFormat="1" applyFont="1" applyFill="1" applyBorder="1" applyAlignment="1" applyProtection="1">
      <alignment horizontal="center" vertical="center"/>
    </xf>
    <xf numFmtId="44" fontId="113" fillId="24" borderId="54" xfId="3" applyNumberFormat="1" applyFont="1" applyFill="1" applyBorder="1" applyAlignment="1" applyProtection="1">
      <alignment horizontal="center" vertical="center"/>
    </xf>
    <xf numFmtId="9" fontId="113" fillId="24" borderId="54" xfId="1" applyFont="1" applyFill="1" applyBorder="1" applyAlignment="1" applyProtection="1">
      <alignment horizontal="center" vertical="center"/>
    </xf>
    <xf numFmtId="44" fontId="113" fillId="24" borderId="54" xfId="4" applyFont="1" applyFill="1" applyBorder="1" applyAlignment="1">
      <alignment horizontal="center" vertical="center"/>
    </xf>
    <xf numFmtId="167" fontId="113" fillId="24" borderId="54" xfId="1" applyNumberFormat="1" applyFont="1" applyFill="1" applyBorder="1" applyAlignment="1">
      <alignment horizontal="center" vertical="center"/>
    </xf>
    <xf numFmtId="44" fontId="113" fillId="24" borderId="54" xfId="4" applyFont="1" applyFill="1" applyBorder="1" applyAlignment="1" applyProtection="1">
      <alignment horizontal="center" vertical="center"/>
    </xf>
    <xf numFmtId="196" fontId="113" fillId="24" borderId="54" xfId="4" applyNumberFormat="1" applyFont="1" applyFill="1" applyBorder="1" applyAlignment="1">
      <alignment horizontal="center" vertical="center"/>
    </xf>
    <xf numFmtId="0" fontId="113" fillId="24" borderId="0" xfId="0" applyFont="1" applyFill="1" applyAlignment="1">
      <alignment horizontal="center" vertical="center"/>
    </xf>
    <xf numFmtId="9" fontId="113" fillId="24" borderId="54" xfId="1" applyFont="1" applyFill="1" applyBorder="1" applyAlignment="1">
      <alignment horizontal="center" vertical="center"/>
    </xf>
    <xf numFmtId="0" fontId="44" fillId="24" borderId="0" xfId="0" applyFont="1" applyFill="1" applyAlignment="1">
      <alignment horizontal="left"/>
    </xf>
    <xf numFmtId="0" fontId="45" fillId="24" borderId="0" xfId="0" applyFont="1" applyFill="1" applyAlignment="1">
      <alignment horizontal="left"/>
    </xf>
    <xf numFmtId="196" fontId="45" fillId="24" borderId="0" xfId="0" applyNumberFormat="1" applyFont="1" applyFill="1" applyAlignment="1">
      <alignment horizontal="left"/>
    </xf>
    <xf numFmtId="44" fontId="113" fillId="24" borderId="54" xfId="3" applyNumberFormat="1" applyFont="1" applyFill="1" applyBorder="1" applyAlignment="1" applyProtection="1">
      <alignment horizontal="right" vertical="center"/>
    </xf>
    <xf numFmtId="196" fontId="113" fillId="24" borderId="54" xfId="3" applyNumberFormat="1" applyFont="1" applyFill="1" applyBorder="1" applyAlignment="1" applyProtection="1">
      <alignment horizontal="right" vertical="center"/>
    </xf>
    <xf numFmtId="204" fontId="23" fillId="0" borderId="54" xfId="0" applyNumberFormat="1" applyFont="1" applyBorder="1"/>
    <xf numFmtId="204" fontId="23" fillId="0" borderId="94" xfId="0" applyNumberFormat="1" applyFont="1" applyBorder="1"/>
    <xf numFmtId="177" fontId="5" fillId="0" borderId="60" xfId="0" applyNumberFormat="1" applyFont="1" applyBorder="1" applyAlignment="1">
      <alignment horizontal="right"/>
    </xf>
    <xf numFmtId="164" fontId="5" fillId="0" borderId="60" xfId="0" applyNumberFormat="1" applyFont="1" applyBorder="1" applyAlignment="1">
      <alignment horizontal="center"/>
    </xf>
    <xf numFmtId="183" fontId="5" fillId="0" borderId="60" xfId="0" applyNumberFormat="1" applyFont="1" applyBorder="1" applyAlignment="1">
      <alignment horizontal="center"/>
    </xf>
    <xf numFmtId="172" fontId="5" fillId="0" borderId="72" xfId="0" applyNumberFormat="1" applyFont="1" applyBorder="1" applyAlignment="1">
      <alignment horizontal="center"/>
    </xf>
    <xf numFmtId="37" fontId="9" fillId="0" borderId="22" xfId="0" applyNumberFormat="1" applyFont="1" applyBorder="1"/>
    <xf numFmtId="37" fontId="6" fillId="0" borderId="54" xfId="0" applyNumberFormat="1" applyFont="1" applyBorder="1" applyAlignment="1">
      <alignment horizontal="left"/>
    </xf>
    <xf numFmtId="197" fontId="48" fillId="0" borderId="54" xfId="0" applyNumberFormat="1" applyFont="1" applyBorder="1" applyAlignment="1">
      <alignment vertical="top"/>
    </xf>
    <xf numFmtId="0" fontId="10" fillId="0" borderId="54" xfId="0" applyFont="1" applyBorder="1"/>
    <xf numFmtId="164" fontId="6" fillId="0" borderId="54" xfId="0" applyNumberFormat="1" applyFont="1" applyBorder="1"/>
    <xf numFmtId="202" fontId="6" fillId="0" borderId="54" xfId="0" applyNumberFormat="1" applyFont="1" applyBorder="1"/>
    <xf numFmtId="203" fontId="6" fillId="0" borderId="54" xfId="0" applyNumberFormat="1" applyFont="1" applyBorder="1"/>
    <xf numFmtId="10" fontId="6" fillId="0" borderId="54" xfId="0" applyNumberFormat="1" applyFont="1" applyBorder="1"/>
    <xf numFmtId="164" fontId="6" fillId="0" borderId="94" xfId="0" applyNumberFormat="1" applyFont="1" applyBorder="1"/>
    <xf numFmtId="173" fontId="6" fillId="8" borderId="71" xfId="0" applyNumberFormat="1" applyFont="1" applyFill="1" applyBorder="1" applyAlignment="1">
      <alignment horizontal="center"/>
    </xf>
    <xf numFmtId="173" fontId="6" fillId="8" borderId="209" xfId="0" applyNumberFormat="1" applyFont="1" applyFill="1" applyBorder="1" applyAlignment="1">
      <alignment horizontal="center"/>
    </xf>
    <xf numFmtId="172" fontId="6" fillId="0" borderId="96" xfId="0" applyNumberFormat="1" applyFont="1" applyBorder="1" applyAlignment="1">
      <alignment horizontal="center"/>
    </xf>
    <xf numFmtId="10" fontId="6" fillId="8" borderId="209" xfId="0" applyNumberFormat="1" applyFont="1" applyFill="1" applyBorder="1" applyAlignment="1">
      <alignment horizontal="center"/>
    </xf>
    <xf numFmtId="0" fontId="6" fillId="8" borderId="94" xfId="0" applyFont="1" applyFill="1" applyBorder="1"/>
    <xf numFmtId="173" fontId="6" fillId="8" borderId="60" xfId="0" applyNumberFormat="1" applyFont="1" applyFill="1" applyBorder="1" applyAlignment="1">
      <alignment horizontal="center"/>
    </xf>
    <xf numFmtId="219" fontId="6" fillId="8" borderId="54" xfId="0" applyNumberFormat="1" applyFont="1" applyFill="1" applyBorder="1" applyAlignment="1">
      <alignment horizontal="center"/>
    </xf>
    <xf numFmtId="173" fontId="6" fillId="8" borderId="54" xfId="0" applyNumberFormat="1" applyFont="1" applyFill="1" applyBorder="1" applyAlignment="1">
      <alignment horizontal="center"/>
    </xf>
    <xf numFmtId="0" fontId="9" fillId="8" borderId="60" xfId="0" applyFont="1" applyFill="1" applyBorder="1" applyAlignment="1">
      <alignment horizontal="left" vertical="center"/>
    </xf>
    <xf numFmtId="196" fontId="9" fillId="0" borderId="60" xfId="0" applyNumberFormat="1" applyFont="1" applyBorder="1" applyAlignment="1">
      <alignment horizontal="left" vertical="center"/>
    </xf>
    <xf numFmtId="0" fontId="6" fillId="8" borderId="54" xfId="0" applyFont="1" applyFill="1" applyBorder="1"/>
    <xf numFmtId="219" fontId="6" fillId="8" borderId="94" xfId="0" applyNumberFormat="1" applyFont="1" applyFill="1" applyBorder="1" applyAlignment="1">
      <alignment horizontal="center"/>
    </xf>
    <xf numFmtId="173" fontId="6" fillId="8" borderId="94" xfId="0" applyNumberFormat="1" applyFont="1" applyFill="1" applyBorder="1" applyAlignment="1">
      <alignment horizontal="center"/>
    </xf>
    <xf numFmtId="0" fontId="7" fillId="4" borderId="109" xfId="0" applyFont="1" applyFill="1" applyBorder="1" applyAlignment="1">
      <alignment vertical="center"/>
    </xf>
    <xf numFmtId="0" fontId="24" fillId="4" borderId="152" xfId="0" applyFont="1" applyFill="1" applyBorder="1" applyAlignment="1">
      <alignment vertical="center"/>
    </xf>
    <xf numFmtId="0" fontId="52" fillId="8" borderId="113" xfId="0" applyFont="1" applyFill="1" applyBorder="1" applyAlignment="1">
      <alignment horizontal="center"/>
    </xf>
    <xf numFmtId="0" fontId="60" fillId="8" borderId="54" xfId="0" applyFont="1" applyFill="1" applyBorder="1" applyAlignment="1">
      <alignment horizontal="center"/>
    </xf>
    <xf numFmtId="210" fontId="61" fillId="8" borderId="54" xfId="0" applyNumberFormat="1" applyFont="1" applyFill="1" applyBorder="1" applyAlignment="1">
      <alignment horizontal="center"/>
    </xf>
    <xf numFmtId="211" fontId="9" fillId="8" borderId="54" xfId="0" applyNumberFormat="1" applyFont="1" applyFill="1" applyBorder="1" applyAlignment="1">
      <alignment horizontal="center"/>
    </xf>
    <xf numFmtId="212" fontId="9" fillId="8" borderId="54" xfId="0" applyNumberFormat="1" applyFont="1" applyFill="1" applyBorder="1" applyAlignment="1">
      <alignment horizontal="center"/>
    </xf>
    <xf numFmtId="0" fontId="9" fillId="8" borderId="54" xfId="0" applyFont="1" applyFill="1" applyBorder="1" applyAlignment="1">
      <alignment horizontal="center"/>
    </xf>
    <xf numFmtId="0" fontId="62" fillId="8" borderId="113" xfId="0" applyFont="1" applyFill="1" applyBorder="1" applyAlignment="1">
      <alignment horizontal="left"/>
    </xf>
    <xf numFmtId="0" fontId="9" fillId="8" borderId="54" xfId="0" applyFont="1" applyFill="1" applyBorder="1"/>
    <xf numFmtId="0" fontId="9" fillId="8" borderId="113" xfId="0" applyFont="1" applyFill="1" applyBorder="1" applyAlignment="1">
      <alignment horizontal="center"/>
    </xf>
    <xf numFmtId="0" fontId="63" fillId="8" borderId="113" xfId="0" applyFont="1" applyFill="1" applyBorder="1" applyAlignment="1">
      <alignment horizontal="center"/>
    </xf>
    <xf numFmtId="171" fontId="6" fillId="8" borderId="54" xfId="0" applyNumberFormat="1" applyFont="1" applyFill="1" applyBorder="1"/>
    <xf numFmtId="3" fontId="6" fillId="8" borderId="113" xfId="0" applyNumberFormat="1" applyFont="1" applyFill="1" applyBorder="1"/>
    <xf numFmtId="3" fontId="6" fillId="8" borderId="54" xfId="0" applyNumberFormat="1" applyFont="1" applyFill="1" applyBorder="1" applyAlignment="1">
      <alignment horizontal="center"/>
    </xf>
    <xf numFmtId="216" fontId="6" fillId="8" borderId="54" xfId="0" applyNumberFormat="1" applyFont="1" applyFill="1" applyBorder="1" applyAlignment="1">
      <alignment horizontal="center"/>
    </xf>
    <xf numFmtId="171" fontId="6" fillId="8" borderId="54" xfId="0" applyNumberFormat="1" applyFont="1" applyFill="1" applyBorder="1" applyAlignment="1">
      <alignment horizontal="center"/>
    </xf>
    <xf numFmtId="3" fontId="6" fillId="8" borderId="214" xfId="0" applyNumberFormat="1" applyFont="1" applyFill="1" applyBorder="1"/>
    <xf numFmtId="3" fontId="6" fillId="8" borderId="60" xfId="0" applyNumberFormat="1" applyFont="1" applyFill="1" applyBorder="1" applyAlignment="1">
      <alignment horizontal="center"/>
    </xf>
    <xf numFmtId="216" fontId="6" fillId="8" borderId="60" xfId="0" applyNumberFormat="1" applyFont="1" applyFill="1" applyBorder="1" applyAlignment="1">
      <alignment horizontal="center"/>
    </xf>
    <xf numFmtId="171" fontId="6" fillId="8" borderId="60" xfId="0" applyNumberFormat="1" applyFont="1" applyFill="1" applyBorder="1" applyAlignment="1">
      <alignment horizontal="center"/>
    </xf>
    <xf numFmtId="0" fontId="9" fillId="8" borderId="216" xfId="0" applyFont="1" applyFill="1" applyBorder="1" applyAlignment="1">
      <alignment horizontal="right"/>
    </xf>
    <xf numFmtId="217" fontId="9" fillId="8" borderId="27" xfId="0" applyNumberFormat="1" applyFont="1" applyFill="1" applyBorder="1" applyAlignment="1">
      <alignment horizontal="center"/>
    </xf>
    <xf numFmtId="218" fontId="9" fillId="8" borderId="27" xfId="0" applyNumberFormat="1" applyFont="1" applyFill="1" applyBorder="1" applyAlignment="1">
      <alignment horizontal="center"/>
    </xf>
    <xf numFmtId="173" fontId="9" fillId="8" borderId="27" xfId="0" applyNumberFormat="1" applyFont="1" applyFill="1" applyBorder="1" applyAlignment="1">
      <alignment horizontal="center"/>
    </xf>
    <xf numFmtId="0" fontId="9" fillId="8" borderId="113" xfId="0" applyFont="1" applyFill="1" applyBorder="1" applyAlignment="1">
      <alignment horizontal="right"/>
    </xf>
    <xf numFmtId="219" fontId="9" fillId="8" borderId="54" xfId="0" applyNumberFormat="1" applyFont="1" applyFill="1" applyBorder="1" applyAlignment="1">
      <alignment horizontal="center"/>
    </xf>
    <xf numFmtId="216" fontId="9" fillId="8" borderId="54" xfId="0" applyNumberFormat="1" applyFont="1" applyFill="1" applyBorder="1" applyAlignment="1">
      <alignment horizontal="center"/>
    </xf>
    <xf numFmtId="220" fontId="9" fillId="8" borderId="54" xfId="0" applyNumberFormat="1" applyFont="1" applyFill="1" applyBorder="1" applyAlignment="1">
      <alignment horizontal="center"/>
    </xf>
    <xf numFmtId="221" fontId="9" fillId="8" borderId="54" xfId="0" applyNumberFormat="1" applyFont="1" applyFill="1" applyBorder="1" applyAlignment="1">
      <alignment horizontal="center"/>
    </xf>
    <xf numFmtId="171" fontId="9" fillId="8" borderId="54" xfId="0" applyNumberFormat="1" applyFont="1" applyFill="1" applyBorder="1" applyAlignment="1">
      <alignment horizontal="center"/>
    </xf>
    <xf numFmtId="173" fontId="9" fillId="8" borderId="54" xfId="0" applyNumberFormat="1" applyFont="1" applyFill="1" applyBorder="1" applyAlignment="1">
      <alignment horizontal="center"/>
    </xf>
    <xf numFmtId="219" fontId="67" fillId="8" borderId="54" xfId="0" applyNumberFormat="1" applyFont="1" applyFill="1" applyBorder="1" applyAlignment="1">
      <alignment horizontal="center"/>
    </xf>
    <xf numFmtId="0" fontId="6" fillId="8" borderId="113" xfId="0" applyFont="1" applyFill="1" applyBorder="1"/>
    <xf numFmtId="0" fontId="6" fillId="8" borderId="140" xfId="0" applyFont="1" applyFill="1" applyBorder="1"/>
    <xf numFmtId="0" fontId="9" fillId="8" borderId="214" xfId="0" applyFont="1" applyFill="1" applyBorder="1" applyAlignment="1">
      <alignment horizontal="left" vertical="center"/>
    </xf>
    <xf numFmtId="0" fontId="6" fillId="8" borderId="113" xfId="0" applyFont="1" applyFill="1" applyBorder="1" applyAlignment="1">
      <alignment horizontal="left"/>
    </xf>
    <xf numFmtId="0" fontId="3" fillId="0" borderId="94" xfId="0" applyFont="1" applyBorder="1"/>
    <xf numFmtId="202" fontId="6" fillId="0" borderId="94" xfId="0" applyNumberFormat="1" applyFont="1" applyBorder="1"/>
    <xf numFmtId="203" fontId="6" fillId="0" borderId="94" xfId="0" applyNumberFormat="1" applyFont="1" applyBorder="1"/>
    <xf numFmtId="10" fontId="6" fillId="0" borderId="94" xfId="0" applyNumberFormat="1" applyFont="1" applyBorder="1"/>
    <xf numFmtId="37" fontId="6" fillId="0" borderId="89" xfId="0" applyNumberFormat="1" applyFont="1" applyBorder="1" applyAlignment="1">
      <alignment horizontal="left"/>
    </xf>
    <xf numFmtId="37" fontId="6" fillId="0" borderId="94" xfId="0" applyNumberFormat="1" applyFont="1" applyBorder="1" applyAlignment="1">
      <alignment horizontal="left"/>
    </xf>
    <xf numFmtId="172" fontId="10" fillId="0" borderId="89" xfId="0" applyNumberFormat="1" applyFont="1" applyBorder="1"/>
    <xf numFmtId="172" fontId="10" fillId="0" borderId="94" xfId="0" applyNumberFormat="1" applyFont="1" applyBorder="1"/>
    <xf numFmtId="10" fontId="23" fillId="0" borderId="94" xfId="0" applyNumberFormat="1" applyFont="1" applyBorder="1"/>
    <xf numFmtId="189" fontId="6" fillId="0" borderId="0" xfId="0" applyNumberFormat="1" applyFont="1" applyAlignment="1">
      <alignment horizontal="center"/>
    </xf>
    <xf numFmtId="43" fontId="9" fillId="0" borderId="0" xfId="0" applyNumberFormat="1" applyFont="1"/>
    <xf numFmtId="0" fontId="7" fillId="2" borderId="24" xfId="0" applyFont="1" applyFill="1" applyBorder="1" applyAlignment="1">
      <alignment horizontal="left"/>
    </xf>
    <xf numFmtId="0" fontId="7" fillId="2" borderId="46" xfId="0" applyFont="1" applyFill="1" applyBorder="1" applyAlignment="1">
      <alignment horizontal="left"/>
    </xf>
    <xf numFmtId="0" fontId="99" fillId="0" borderId="0" xfId="0" applyFont="1" applyAlignment="1">
      <alignment horizontal="center"/>
    </xf>
    <xf numFmtId="173" fontId="6" fillId="3" borderId="54" xfId="0" applyNumberFormat="1" applyFont="1" applyFill="1" applyBorder="1" applyAlignment="1">
      <alignment horizontal="center"/>
    </xf>
    <xf numFmtId="37" fontId="9" fillId="0" borderId="54" xfId="0" applyNumberFormat="1" applyFont="1" applyBorder="1" applyAlignment="1">
      <alignment horizontal="left"/>
    </xf>
    <xf numFmtId="180" fontId="9" fillId="3" borderId="54" xfId="0" applyNumberFormat="1" applyFont="1" applyFill="1" applyBorder="1" applyAlignment="1">
      <alignment horizontal="left" vertical="center"/>
    </xf>
    <xf numFmtId="180" fontId="9" fillId="3" borderId="60" xfId="0" applyNumberFormat="1" applyFont="1" applyFill="1" applyBorder="1" applyAlignment="1">
      <alignment horizontal="left" vertical="center"/>
    </xf>
    <xf numFmtId="180" fontId="9" fillId="3" borderId="91" xfId="0" applyNumberFormat="1" applyFont="1" applyFill="1" applyBorder="1" applyAlignment="1">
      <alignment horizontal="left" vertical="center"/>
    </xf>
    <xf numFmtId="178" fontId="21" fillId="0" borderId="92" xfId="0" applyNumberFormat="1" applyFont="1" applyBorder="1"/>
    <xf numFmtId="172" fontId="21" fillId="0" borderId="92" xfId="0" applyNumberFormat="1" applyFont="1" applyBorder="1" applyAlignment="1">
      <alignment horizontal="right"/>
    </xf>
    <xf numFmtId="180" fontId="9" fillId="3" borderId="93" xfId="0" applyNumberFormat="1" applyFont="1" applyFill="1" applyBorder="1" applyAlignment="1">
      <alignment horizontal="left" vertical="center"/>
    </xf>
    <xf numFmtId="172" fontId="21" fillId="0" borderId="95" xfId="0" applyNumberFormat="1" applyFont="1" applyBorder="1"/>
    <xf numFmtId="172" fontId="21" fillId="0" borderId="92" xfId="0" applyNumberFormat="1" applyFont="1" applyBorder="1"/>
    <xf numFmtId="172" fontId="5" fillId="0" borderId="10" xfId="0" applyNumberFormat="1" applyFont="1" applyBorder="1"/>
    <xf numFmtId="186" fontId="9" fillId="0" borderId="54" xfId="0" applyNumberFormat="1" applyFont="1" applyBorder="1"/>
    <xf numFmtId="186" fontId="6" fillId="0" borderId="54" xfId="0" applyNumberFormat="1" applyFont="1" applyBorder="1"/>
    <xf numFmtId="0" fontId="6" fillId="8" borderId="53" xfId="0" applyFont="1" applyFill="1" applyBorder="1" applyAlignment="1">
      <alignment horizontal="center"/>
    </xf>
    <xf numFmtId="0" fontId="6" fillId="8" borderId="54" xfId="0" applyFont="1" applyFill="1" applyBorder="1" applyAlignment="1">
      <alignment horizontal="center"/>
    </xf>
    <xf numFmtId="0" fontId="9" fillId="8" borderId="54" xfId="0" applyFont="1" applyFill="1" applyBorder="1" applyAlignment="1">
      <alignment horizontal="right"/>
    </xf>
    <xf numFmtId="0" fontId="10" fillId="8" borderId="54" xfId="0" applyFont="1" applyFill="1" applyBorder="1" applyAlignment="1">
      <alignment horizontal="right"/>
    </xf>
    <xf numFmtId="0" fontId="64" fillId="8" borderId="54" xfId="0" applyFont="1" applyFill="1" applyBorder="1" applyAlignment="1">
      <alignment horizontal="center"/>
    </xf>
    <xf numFmtId="172" fontId="61" fillId="8" borderId="54" xfId="0" applyNumberFormat="1" applyFont="1" applyFill="1" applyBorder="1" applyAlignment="1">
      <alignment horizontal="center"/>
    </xf>
    <xf numFmtId="0" fontId="65" fillId="8" borderId="54" xfId="0" applyFont="1" applyFill="1" applyBorder="1" applyAlignment="1">
      <alignment horizontal="center"/>
    </xf>
    <xf numFmtId="0" fontId="66" fillId="8" borderId="60" xfId="0" applyFont="1" applyFill="1" applyBorder="1" applyAlignment="1">
      <alignment horizontal="center"/>
    </xf>
    <xf numFmtId="0" fontId="6" fillId="8" borderId="27" xfId="0" applyFont="1" applyFill="1" applyBorder="1"/>
    <xf numFmtId="0" fontId="66" fillId="8" borderId="54" xfId="0" applyFont="1" applyFill="1" applyBorder="1" applyAlignment="1">
      <alignment horizontal="center"/>
    </xf>
    <xf numFmtId="0" fontId="66" fillId="8" borderId="94" xfId="0" applyFont="1" applyFill="1" applyBorder="1" applyAlignment="1">
      <alignment horizontal="center"/>
    </xf>
    <xf numFmtId="218" fontId="9" fillId="8" borderId="60" xfId="0" applyNumberFormat="1" applyFont="1" applyFill="1" applyBorder="1" applyAlignment="1">
      <alignment horizontal="left" vertical="center"/>
    </xf>
    <xf numFmtId="10" fontId="68" fillId="8" borderId="54" xfId="0" applyNumberFormat="1" applyFont="1" applyFill="1" applyBorder="1"/>
    <xf numFmtId="10" fontId="69" fillId="8" borderId="54" xfId="0" applyNumberFormat="1" applyFont="1" applyFill="1" applyBorder="1"/>
    <xf numFmtId="0" fontId="6" fillId="12" borderId="74" xfId="0" applyFont="1" applyFill="1" applyBorder="1" applyAlignment="1">
      <alignment vertical="center"/>
    </xf>
    <xf numFmtId="0" fontId="6" fillId="8" borderId="60" xfId="0" applyFont="1" applyFill="1" applyBorder="1"/>
    <xf numFmtId="196" fontId="6" fillId="8" borderId="54" xfId="0" applyNumberFormat="1" applyFont="1" applyFill="1" applyBorder="1"/>
    <xf numFmtId="9" fontId="84" fillId="8" borderId="54" xfId="0" applyNumberFormat="1" applyFont="1" applyFill="1" applyBorder="1" applyAlignment="1">
      <alignment horizontal="right"/>
    </xf>
    <xf numFmtId="0" fontId="6" fillId="12" borderId="74" xfId="0" applyFont="1" applyFill="1" applyBorder="1" applyAlignment="1">
      <alignment horizontal="left" vertical="center"/>
    </xf>
    <xf numFmtId="0" fontId="10" fillId="8" borderId="54" xfId="0" applyFont="1" applyFill="1" applyBorder="1" applyAlignment="1">
      <alignment horizontal="left"/>
    </xf>
    <xf numFmtId="194" fontId="6" fillId="8" borderId="54" xfId="0" applyNumberFormat="1" applyFont="1" applyFill="1" applyBorder="1"/>
    <xf numFmtId="194" fontId="6" fillId="8" borderId="60" xfId="0" applyNumberFormat="1" applyFont="1" applyFill="1" applyBorder="1"/>
    <xf numFmtId="194" fontId="9" fillId="8" borderId="27" xfId="0" applyNumberFormat="1" applyFont="1" applyFill="1" applyBorder="1"/>
    <xf numFmtId="196" fontId="9" fillId="8" borderId="54" xfId="0" applyNumberFormat="1" applyFont="1" applyFill="1" applyBorder="1"/>
    <xf numFmtId="196" fontId="6" fillId="8" borderId="94" xfId="0" applyNumberFormat="1" applyFont="1" applyFill="1" applyBorder="1"/>
    <xf numFmtId="10" fontId="9" fillId="12" borderId="74" xfId="0" applyNumberFormat="1" applyFont="1" applyFill="1" applyBorder="1" applyAlignment="1">
      <alignment horizontal="center" vertical="center"/>
    </xf>
    <xf numFmtId="196" fontId="9" fillId="8" borderId="54" xfId="0" applyNumberFormat="1" applyFont="1" applyFill="1" applyBorder="1" applyAlignment="1">
      <alignment horizontal="center" vertical="center"/>
    </xf>
    <xf numFmtId="196" fontId="74" fillId="8" borderId="54" xfId="0" applyNumberFormat="1" applyFont="1" applyFill="1" applyBorder="1"/>
    <xf numFmtId="0" fontId="24" fillId="4" borderId="109" xfId="0" applyFont="1" applyFill="1" applyBorder="1" applyAlignment="1">
      <alignment vertical="center"/>
    </xf>
    <xf numFmtId="0" fontId="24" fillId="4" borderId="152" xfId="0" applyFont="1" applyFill="1" applyBorder="1"/>
    <xf numFmtId="0" fontId="59" fillId="4" borderId="152" xfId="0" applyFont="1" applyFill="1" applyBorder="1"/>
    <xf numFmtId="0" fontId="24" fillId="4" borderId="212" xfId="0" applyFont="1" applyFill="1" applyBorder="1"/>
    <xf numFmtId="14" fontId="9" fillId="8" borderId="113" xfId="0" applyNumberFormat="1" applyFont="1" applyFill="1" applyBorder="1" applyAlignment="1">
      <alignment horizontal="center"/>
    </xf>
    <xf numFmtId="14" fontId="9" fillId="8" borderId="54" xfId="0" applyNumberFormat="1" applyFont="1" applyFill="1" applyBorder="1" applyAlignment="1">
      <alignment horizontal="center"/>
    </xf>
    <xf numFmtId="14" fontId="9" fillId="8" borderId="213" xfId="0" applyNumberFormat="1" applyFont="1" applyFill="1" applyBorder="1" applyAlignment="1">
      <alignment horizontal="center"/>
    </xf>
    <xf numFmtId="213" fontId="6" fillId="8" borderId="113" xfId="0" applyNumberFormat="1" applyFont="1" applyFill="1" applyBorder="1" applyAlignment="1">
      <alignment horizontal="center"/>
    </xf>
    <xf numFmtId="213" fontId="6" fillId="8" borderId="54" xfId="0" applyNumberFormat="1" applyFont="1" applyFill="1" applyBorder="1" applyAlignment="1">
      <alignment horizontal="center"/>
    </xf>
    <xf numFmtId="213" fontId="6" fillId="8" borderId="213" xfId="0" applyNumberFormat="1" applyFont="1" applyFill="1" applyBorder="1" applyAlignment="1">
      <alignment horizontal="center"/>
    </xf>
    <xf numFmtId="214" fontId="6" fillId="8" borderId="113" xfId="0" applyNumberFormat="1" applyFont="1" applyFill="1" applyBorder="1" applyAlignment="1">
      <alignment horizontal="center"/>
    </xf>
    <xf numFmtId="214" fontId="6" fillId="8" borderId="54" xfId="0" applyNumberFormat="1" applyFont="1" applyFill="1" applyBorder="1" applyAlignment="1">
      <alignment horizontal="center"/>
    </xf>
    <xf numFmtId="214" fontId="6" fillId="8" borderId="213" xfId="0" applyNumberFormat="1" applyFont="1" applyFill="1" applyBorder="1" applyAlignment="1">
      <alignment horizontal="center"/>
    </xf>
    <xf numFmtId="172" fontId="6" fillId="0" borderId="113" xfId="0" applyNumberFormat="1" applyFont="1" applyBorder="1"/>
    <xf numFmtId="172" fontId="6" fillId="0" borderId="54" xfId="0" applyNumberFormat="1" applyFont="1" applyBorder="1"/>
    <xf numFmtId="172" fontId="6" fillId="0" borderId="213" xfId="0" applyNumberFormat="1" applyFont="1" applyBorder="1"/>
    <xf numFmtId="0" fontId="6" fillId="0" borderId="113" xfId="0" applyFont="1" applyBorder="1"/>
    <xf numFmtId="37" fontId="6" fillId="0" borderId="54" xfId="0" applyNumberFormat="1" applyFont="1" applyBorder="1"/>
    <xf numFmtId="1" fontId="6" fillId="0" borderId="54" xfId="0" applyNumberFormat="1" applyFont="1" applyBorder="1"/>
    <xf numFmtId="1" fontId="6" fillId="0" borderId="213" xfId="0" applyNumberFormat="1" applyFont="1" applyBorder="1"/>
    <xf numFmtId="0" fontId="6" fillId="0" borderId="213" xfId="0" applyFont="1" applyBorder="1"/>
    <xf numFmtId="196" fontId="6" fillId="0" borderId="113" xfId="0" applyNumberFormat="1" applyFont="1" applyBorder="1"/>
    <xf numFmtId="44" fontId="6" fillId="0" borderId="54" xfId="0" applyNumberFormat="1" applyFont="1" applyBorder="1"/>
    <xf numFmtId="196" fontId="6" fillId="0" borderId="213" xfId="0" applyNumberFormat="1" applyFont="1" applyBorder="1"/>
    <xf numFmtId="196" fontId="6" fillId="0" borderId="214" xfId="0" applyNumberFormat="1" applyFont="1" applyBorder="1"/>
    <xf numFmtId="196" fontId="6" fillId="0" borderId="60" xfId="0" applyNumberFormat="1" applyFont="1" applyBorder="1"/>
    <xf numFmtId="196" fontId="6" fillId="0" borderId="215" xfId="0" applyNumberFormat="1" applyFont="1" applyBorder="1"/>
    <xf numFmtId="196" fontId="9" fillId="0" borderId="216" xfId="0" applyNumberFormat="1" applyFont="1" applyBorder="1"/>
    <xf numFmtId="196" fontId="9" fillId="0" borderId="27" xfId="0" applyNumberFormat="1" applyFont="1" applyBorder="1"/>
    <xf numFmtId="196" fontId="9" fillId="0" borderId="217" xfId="0" applyNumberFormat="1" applyFont="1" applyBorder="1"/>
    <xf numFmtId="44" fontId="6" fillId="0" borderId="213" xfId="0" applyNumberFormat="1" applyFont="1" applyBorder="1"/>
    <xf numFmtId="196" fontId="6" fillId="0" borderId="140" xfId="0" applyNumberFormat="1" applyFont="1" applyBorder="1"/>
    <xf numFmtId="196" fontId="6" fillId="0" borderId="159" xfId="0" applyNumberFormat="1" applyFont="1" applyBorder="1"/>
    <xf numFmtId="196" fontId="9" fillId="0" borderId="214" xfId="0" applyNumberFormat="1" applyFont="1" applyBorder="1" applyAlignment="1">
      <alignment horizontal="left" vertical="center"/>
    </xf>
    <xf numFmtId="196" fontId="9" fillId="0" borderId="215" xfId="0" applyNumberFormat="1" applyFont="1" applyBorder="1" applyAlignment="1">
      <alignment horizontal="left" vertical="center"/>
    </xf>
    <xf numFmtId="196" fontId="9" fillId="0" borderId="113" xfId="0" applyNumberFormat="1" applyFont="1" applyBorder="1"/>
    <xf numFmtId="196" fontId="9" fillId="0" borderId="54" xfId="0" applyNumberFormat="1" applyFont="1" applyBorder="1"/>
    <xf numFmtId="196" fontId="9" fillId="0" borderId="213" xfId="0" applyNumberFormat="1" applyFont="1" applyBorder="1"/>
    <xf numFmtId="196" fontId="9" fillId="0" borderId="214" xfId="0" applyNumberFormat="1" applyFont="1" applyBorder="1"/>
    <xf numFmtId="196" fontId="9" fillId="0" borderId="60" xfId="0" applyNumberFormat="1" applyFont="1" applyBorder="1"/>
    <xf numFmtId="196" fontId="9" fillId="0" borderId="215" xfId="0" applyNumberFormat="1" applyFont="1" applyBorder="1"/>
    <xf numFmtId="44" fontId="23" fillId="0" borderId="54" xfId="0" applyNumberFormat="1" applyFont="1" applyBorder="1"/>
    <xf numFmtId="196" fontId="23" fillId="0" borderId="54" xfId="0" applyNumberFormat="1" applyFont="1" applyBorder="1"/>
    <xf numFmtId="196" fontId="23" fillId="0" borderId="213" xfId="0" applyNumberFormat="1" applyFont="1" applyBorder="1"/>
    <xf numFmtId="196" fontId="9" fillId="12" borderId="218" xfId="0" applyNumberFormat="1" applyFont="1" applyFill="1" applyBorder="1" applyAlignment="1">
      <alignment vertical="center"/>
    </xf>
    <xf numFmtId="196" fontId="9" fillId="12" borderId="74" xfId="0" applyNumberFormat="1" applyFont="1" applyFill="1" applyBorder="1" applyAlignment="1">
      <alignment vertical="center"/>
    </xf>
    <xf numFmtId="196" fontId="9" fillId="12" borderId="219" xfId="0" applyNumberFormat="1" applyFont="1" applyFill="1" applyBorder="1" applyAlignment="1">
      <alignment vertical="center"/>
    </xf>
    <xf numFmtId="44" fontId="6" fillId="0" borderId="113" xfId="0" applyNumberFormat="1" applyFont="1" applyBorder="1"/>
    <xf numFmtId="9" fontId="10" fillId="8" borderId="113" xfId="0" applyNumberFormat="1" applyFont="1" applyFill="1" applyBorder="1" applyAlignment="1">
      <alignment horizontal="right"/>
    </xf>
    <xf numFmtId="9" fontId="10" fillId="8" borderId="213" xfId="0" applyNumberFormat="1" applyFont="1" applyFill="1" applyBorder="1" applyAlignment="1">
      <alignment horizontal="right"/>
    </xf>
    <xf numFmtId="0" fontId="6" fillId="0" borderId="220" xfId="0" applyFont="1" applyBorder="1"/>
    <xf numFmtId="0" fontId="6" fillId="0" borderId="68" xfId="0" applyFont="1" applyBorder="1"/>
    <xf numFmtId="0" fontId="6" fillId="0" borderId="221" xfId="0" applyFont="1" applyBorder="1"/>
    <xf numFmtId="196" fontId="9" fillId="12" borderId="218" xfId="0" applyNumberFormat="1" applyFont="1" applyFill="1" applyBorder="1" applyAlignment="1">
      <alignment horizontal="left" vertical="center"/>
    </xf>
    <xf numFmtId="196" fontId="9" fillId="12" borderId="74" xfId="0" applyNumberFormat="1" applyFont="1" applyFill="1" applyBorder="1" applyAlignment="1">
      <alignment horizontal="left" vertical="center"/>
    </xf>
    <xf numFmtId="196" fontId="9" fillId="12" borderId="219" xfId="0" applyNumberFormat="1" applyFont="1" applyFill="1" applyBorder="1" applyAlignment="1">
      <alignment horizontal="left" vertical="center"/>
    </xf>
    <xf numFmtId="199" fontId="10" fillId="0" borderId="113" xfId="0" applyNumberFormat="1" applyFont="1" applyBorder="1"/>
    <xf numFmtId="199" fontId="10" fillId="0" borderId="54" xfId="0" applyNumberFormat="1" applyFont="1" applyBorder="1"/>
    <xf numFmtId="190" fontId="6" fillId="0" borderId="54" xfId="0" applyNumberFormat="1" applyFont="1" applyBorder="1"/>
    <xf numFmtId="199" fontId="10" fillId="0" borderId="213" xfId="0" applyNumberFormat="1" applyFont="1" applyBorder="1"/>
    <xf numFmtId="196" fontId="52" fillId="0" borderId="54" xfId="0" applyNumberFormat="1" applyFont="1" applyBorder="1"/>
    <xf numFmtId="196" fontId="52" fillId="0" borderId="60" xfId="0" applyNumberFormat="1" applyFont="1" applyBorder="1"/>
    <xf numFmtId="177" fontId="9" fillId="0" borderId="113" xfId="0" applyNumberFormat="1" applyFont="1" applyBorder="1"/>
    <xf numFmtId="177" fontId="9" fillId="0" borderId="54" xfId="0" applyNumberFormat="1" applyFont="1" applyBorder="1"/>
    <xf numFmtId="185" fontId="6" fillId="0" borderId="54" xfId="0" applyNumberFormat="1" applyFont="1" applyBorder="1"/>
    <xf numFmtId="185" fontId="6" fillId="0" borderId="213" xfId="0" applyNumberFormat="1" applyFont="1" applyBorder="1"/>
    <xf numFmtId="196" fontId="9" fillId="0" borderId="222" xfId="0" applyNumberFormat="1" applyFont="1" applyBorder="1" applyAlignment="1">
      <alignment vertical="center"/>
    </xf>
    <xf numFmtId="196" fontId="9" fillId="0" borderId="70" xfId="0" applyNumberFormat="1" applyFont="1" applyBorder="1" applyAlignment="1">
      <alignment vertical="center"/>
    </xf>
    <xf numFmtId="196" fontId="9" fillId="0" borderId="223" xfId="0" applyNumberFormat="1" applyFont="1" applyBorder="1" applyAlignment="1">
      <alignment vertical="center"/>
    </xf>
    <xf numFmtId="196" fontId="9" fillId="0" borderId="113" xfId="0" applyNumberFormat="1" applyFont="1" applyBorder="1" applyAlignment="1">
      <alignment vertical="center"/>
    </xf>
    <xf numFmtId="196" fontId="9" fillId="0" borderId="54" xfId="0" applyNumberFormat="1" applyFont="1" applyBorder="1" applyAlignment="1">
      <alignment vertical="center"/>
    </xf>
    <xf numFmtId="196" fontId="9" fillId="0" borderId="213" xfId="0" applyNumberFormat="1" applyFont="1" applyBorder="1" applyAlignment="1">
      <alignment vertical="center"/>
    </xf>
    <xf numFmtId="223" fontId="9" fillId="0" borderId="54" xfId="0" applyNumberFormat="1" applyFont="1" applyBorder="1" applyAlignment="1">
      <alignment vertical="center"/>
    </xf>
    <xf numFmtId="0" fontId="6" fillId="0" borderId="157" xfId="0" applyFont="1" applyBorder="1"/>
    <xf numFmtId="0" fontId="2" fillId="0" borderId="0" xfId="0" applyFont="1"/>
    <xf numFmtId="0" fontId="117" fillId="0" borderId="0" xfId="0" applyFont="1"/>
    <xf numFmtId="0" fontId="6" fillId="16" borderId="75" xfId="0" applyFont="1" applyFill="1" applyBorder="1"/>
    <xf numFmtId="240" fontId="6" fillId="16" borderId="75" xfId="0" applyNumberFormat="1" applyFont="1" applyFill="1" applyBorder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5" fontId="15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right"/>
    </xf>
    <xf numFmtId="172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9" fontId="77" fillId="0" borderId="0" xfId="0" applyNumberFormat="1" applyFont="1" applyAlignment="1">
      <alignment horizontal="center"/>
    </xf>
    <xf numFmtId="0" fontId="6" fillId="0" borderId="40" xfId="0" applyFont="1" applyBorder="1" applyAlignment="1">
      <alignment horizontal="right" vertical="center"/>
    </xf>
    <xf numFmtId="0" fontId="52" fillId="0" borderId="42" xfId="0" applyFont="1" applyBorder="1" applyAlignment="1">
      <alignment horizontal="left" vertical="center"/>
    </xf>
    <xf numFmtId="41" fontId="16" fillId="0" borderId="0" xfId="0" applyNumberFormat="1" applyFont="1" applyAlignment="1">
      <alignment horizontal="right"/>
    </xf>
    <xf numFmtId="0" fontId="6" fillId="0" borderId="73" xfId="0" applyFont="1" applyBorder="1" applyAlignment="1">
      <alignment horizontal="right" vertical="center"/>
    </xf>
    <xf numFmtId="241" fontId="6" fillId="0" borderId="64" xfId="0" applyNumberFormat="1" applyFont="1" applyBorder="1" applyAlignment="1">
      <alignment horizontal="left" vertical="center"/>
    </xf>
    <xf numFmtId="172" fontId="119" fillId="0" borderId="0" xfId="0" applyNumberFormat="1" applyFont="1" applyAlignment="1">
      <alignment horizontal="right"/>
    </xf>
    <xf numFmtId="0" fontId="6" fillId="0" borderId="43" xfId="0" applyFont="1" applyBorder="1" applyAlignment="1">
      <alignment horizontal="right" vertical="center"/>
    </xf>
    <xf numFmtId="241" fontId="6" fillId="0" borderId="45" xfId="0" applyNumberFormat="1" applyFont="1" applyBorder="1" applyAlignment="1">
      <alignment horizontal="left" vertical="center"/>
    </xf>
    <xf numFmtId="172" fontId="6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6" fillId="0" borderId="77" xfId="0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9" fillId="0" borderId="13" xfId="0" applyFont="1" applyBorder="1" applyAlignment="1">
      <alignment horizontal="center"/>
    </xf>
    <xf numFmtId="0" fontId="9" fillId="0" borderId="79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18" fillId="0" borderId="0" xfId="0" applyFont="1" applyAlignment="1">
      <alignment horizontal="right"/>
    </xf>
    <xf numFmtId="242" fontId="6" fillId="0" borderId="0" xfId="0" applyNumberFormat="1" applyFont="1" applyAlignment="1">
      <alignment horizontal="left"/>
    </xf>
    <xf numFmtId="172" fontId="15" fillId="0" borderId="0" xfId="0" applyNumberFormat="1" applyFont="1" applyAlignment="1">
      <alignment horizontal="center"/>
    </xf>
    <xf numFmtId="243" fontId="77" fillId="0" borderId="0" xfId="0" applyNumberFormat="1" applyFont="1" applyAlignment="1">
      <alignment horizontal="right"/>
    </xf>
    <xf numFmtId="244" fontId="22" fillId="0" borderId="0" xfId="0" applyNumberFormat="1" applyFont="1" applyAlignment="1">
      <alignment horizontal="right"/>
    </xf>
    <xf numFmtId="245" fontId="6" fillId="0" borderId="0" xfId="0" applyNumberFormat="1" applyFont="1" applyAlignment="1">
      <alignment horizontal="left"/>
    </xf>
    <xf numFmtId="172" fontId="120" fillId="0" borderId="0" xfId="0" applyNumberFormat="1" applyFont="1" applyAlignment="1">
      <alignment horizontal="center"/>
    </xf>
    <xf numFmtId="244" fontId="77" fillId="0" borderId="0" xfId="0" applyNumberFormat="1" applyFont="1"/>
    <xf numFmtId="244" fontId="6" fillId="0" borderId="13" xfId="0" applyNumberFormat="1" applyFont="1" applyBorder="1" applyAlignment="1">
      <alignment horizontal="right"/>
    </xf>
    <xf numFmtId="172" fontId="22" fillId="0" borderId="0" xfId="0" applyNumberFormat="1" applyFont="1"/>
    <xf numFmtId="3" fontId="77" fillId="0" borderId="0" xfId="0" applyNumberFormat="1" applyFont="1" applyAlignment="1">
      <alignment horizontal="right"/>
    </xf>
    <xf numFmtId="3" fontId="120" fillId="0" borderId="0" xfId="0" applyNumberFormat="1" applyFont="1" applyAlignment="1">
      <alignment horizontal="right"/>
    </xf>
    <xf numFmtId="244" fontId="77" fillId="0" borderId="13" xfId="0" applyNumberFormat="1" applyFont="1" applyBorder="1"/>
    <xf numFmtId="245" fontId="6" fillId="0" borderId="13" xfId="0" applyNumberFormat="1" applyFont="1" applyBorder="1" applyAlignment="1">
      <alignment horizontal="left"/>
    </xf>
    <xf numFmtId="212" fontId="6" fillId="0" borderId="13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41" fontId="77" fillId="0" borderId="0" xfId="0" applyNumberFormat="1" applyFont="1" applyAlignment="1">
      <alignment horizontal="right"/>
    </xf>
    <xf numFmtId="3" fontId="16" fillId="0" borderId="0" xfId="0" applyNumberFormat="1" applyFont="1"/>
    <xf numFmtId="176" fontId="6" fillId="0" borderId="0" xfId="0" applyNumberFormat="1" applyFont="1"/>
    <xf numFmtId="8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6" fontId="23" fillId="0" borderId="0" xfId="0" applyNumberFormat="1" applyFont="1"/>
    <xf numFmtId="0" fontId="16" fillId="0" borderId="0" xfId="0" applyFont="1" applyAlignment="1">
      <alignment horizontal="right"/>
    </xf>
    <xf numFmtId="246" fontId="15" fillId="0" borderId="0" xfId="0" applyNumberFormat="1" applyFont="1" applyAlignment="1">
      <alignment horizontal="right"/>
    </xf>
    <xf numFmtId="246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1" fontId="15" fillId="0" borderId="0" xfId="0" applyNumberFormat="1" applyFont="1" applyAlignment="1">
      <alignment horizontal="right"/>
    </xf>
    <xf numFmtId="41" fontId="119" fillId="0" borderId="0" xfId="0" applyNumberFormat="1" applyFont="1" applyAlignment="1">
      <alignment horizontal="right"/>
    </xf>
    <xf numFmtId="247" fontId="6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10" fillId="0" borderId="13" xfId="0" applyFont="1" applyBorder="1" applyAlignment="1">
      <alignment horizontal="right"/>
    </xf>
    <xf numFmtId="172" fontId="10" fillId="0" borderId="13" xfId="0" applyNumberFormat="1" applyFont="1" applyBorder="1" applyAlignment="1">
      <alignment horizontal="left"/>
    </xf>
    <xf numFmtId="41" fontId="9" fillId="0" borderId="0" xfId="0" applyNumberFormat="1" applyFont="1" applyAlignment="1">
      <alignment horizontal="right"/>
    </xf>
    <xf numFmtId="248" fontId="6" fillId="0" borderId="0" xfId="0" applyNumberFormat="1" applyFont="1" applyAlignment="1">
      <alignment horizontal="left"/>
    </xf>
    <xf numFmtId="172" fontId="18" fillId="0" borderId="0" xfId="0" applyNumberFormat="1" applyFont="1" applyAlignment="1">
      <alignment horizontal="right"/>
    </xf>
    <xf numFmtId="41" fontId="24" fillId="0" borderId="0" xfId="0" applyNumberFormat="1" applyFont="1" applyAlignment="1">
      <alignment horizontal="right"/>
    </xf>
    <xf numFmtId="240" fontId="6" fillId="0" borderId="0" xfId="0" applyNumberFormat="1" applyFont="1"/>
    <xf numFmtId="245" fontId="6" fillId="0" borderId="0" xfId="0" applyNumberFormat="1" applyFont="1" applyAlignment="1">
      <alignment horizontal="right"/>
    </xf>
    <xf numFmtId="15" fontId="6" fillId="0" borderId="0" xfId="0" applyNumberFormat="1" applyFont="1" applyAlignment="1">
      <alignment horizontal="center"/>
    </xf>
    <xf numFmtId="179" fontId="6" fillId="0" borderId="13" xfId="0" applyNumberFormat="1" applyFont="1" applyBorder="1" applyAlignment="1">
      <alignment horizontal="center"/>
    </xf>
    <xf numFmtId="3" fontId="77" fillId="0" borderId="0" xfId="0" applyNumberFormat="1" applyFont="1"/>
    <xf numFmtId="176" fontId="9" fillId="0" borderId="0" xfId="0" applyNumberFormat="1" applyFont="1"/>
    <xf numFmtId="8" fontId="77" fillId="0" borderId="0" xfId="0" applyNumberFormat="1" applyFont="1" applyAlignment="1">
      <alignment horizontal="center"/>
    </xf>
    <xf numFmtId="10" fontId="77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right"/>
    </xf>
    <xf numFmtId="249" fontId="6" fillId="0" borderId="64" xfId="0" applyNumberFormat="1" applyFont="1" applyBorder="1" applyAlignment="1">
      <alignment horizontal="left" vertical="center"/>
    </xf>
    <xf numFmtId="249" fontId="6" fillId="0" borderId="45" xfId="0" applyNumberFormat="1" applyFont="1" applyBorder="1" applyAlignment="1">
      <alignment horizontal="left" vertical="center"/>
    </xf>
    <xf numFmtId="242" fontId="24" fillId="0" borderId="0" xfId="0" applyNumberFormat="1" applyFont="1" applyAlignment="1">
      <alignment horizontal="left"/>
    </xf>
    <xf numFmtId="172" fontId="16" fillId="0" borderId="0" xfId="0" applyNumberFormat="1" applyFont="1" applyAlignment="1">
      <alignment horizontal="center"/>
    </xf>
    <xf numFmtId="172" fontId="16" fillId="0" borderId="76" xfId="0" applyNumberFormat="1" applyFont="1" applyBorder="1" applyAlignment="1">
      <alignment horizontal="center"/>
    </xf>
    <xf numFmtId="250" fontId="6" fillId="0" borderId="0" xfId="0" applyNumberFormat="1" applyFont="1"/>
    <xf numFmtId="244" fontId="6" fillId="0" borderId="0" xfId="0" applyNumberFormat="1" applyFont="1"/>
    <xf numFmtId="245" fontId="24" fillId="0" borderId="0" xfId="0" applyNumberFormat="1" applyFont="1" applyAlignment="1">
      <alignment horizontal="left"/>
    </xf>
    <xf numFmtId="172" fontId="6" fillId="0" borderId="76" xfId="0" applyNumberFormat="1" applyFont="1" applyBorder="1" applyAlignment="1">
      <alignment horizontal="center"/>
    </xf>
    <xf numFmtId="212" fontId="6" fillId="0" borderId="0" xfId="0" applyNumberFormat="1" applyFont="1" applyAlignment="1">
      <alignment horizontal="center"/>
    </xf>
    <xf numFmtId="246" fontId="6" fillId="0" borderId="0" xfId="0" applyNumberFormat="1" applyFont="1" applyAlignment="1">
      <alignment horizontal="center"/>
    </xf>
    <xf numFmtId="3" fontId="120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251" fontId="6" fillId="0" borderId="0" xfId="0" applyNumberFormat="1" applyFont="1" applyAlignment="1">
      <alignment horizontal="left"/>
    </xf>
    <xf numFmtId="0" fontId="52" fillId="8" borderId="62" xfId="0" applyFont="1" applyFill="1" applyBorder="1" applyAlignment="1">
      <alignment horizontal="center"/>
    </xf>
    <xf numFmtId="37" fontId="121" fillId="0" borderId="27" xfId="0" applyNumberFormat="1" applyFont="1" applyBorder="1" applyAlignment="1">
      <alignment horizontal="center"/>
    </xf>
    <xf numFmtId="37" fontId="121" fillId="0" borderId="28" xfId="0" applyNumberFormat="1" applyFont="1" applyBorder="1" applyAlignment="1">
      <alignment horizontal="center"/>
    </xf>
    <xf numFmtId="0" fontId="9" fillId="8" borderId="73" xfId="0" applyFont="1" applyFill="1" applyBorder="1"/>
    <xf numFmtId="0" fontId="9" fillId="0" borderId="113" xfId="0" applyFont="1" applyBorder="1"/>
    <xf numFmtId="0" fontId="9" fillId="0" borderId="54" xfId="0" applyFont="1" applyBorder="1"/>
    <xf numFmtId="0" fontId="6" fillId="8" borderId="93" xfId="0" applyFont="1" applyFill="1" applyBorder="1"/>
    <xf numFmtId="189" fontId="6" fillId="0" borderId="94" xfId="0" applyNumberFormat="1" applyFont="1" applyBorder="1"/>
    <xf numFmtId="189" fontId="6" fillId="0" borderId="95" xfId="0" applyNumberFormat="1" applyFont="1" applyBorder="1"/>
    <xf numFmtId="0" fontId="9" fillId="12" borderId="224" xfId="0" applyFont="1" applyFill="1" applyBorder="1" applyAlignment="1">
      <alignment horizontal="left" vertical="center"/>
    </xf>
    <xf numFmtId="0" fontId="6" fillId="12" borderId="164" xfId="0" applyFont="1" applyFill="1" applyBorder="1" applyAlignment="1">
      <alignment vertical="center"/>
    </xf>
    <xf numFmtId="185" fontId="6" fillId="12" borderId="164" xfId="0" applyNumberFormat="1" applyFont="1" applyFill="1" applyBorder="1" applyAlignment="1">
      <alignment vertical="center"/>
    </xf>
    <xf numFmtId="199" fontId="6" fillId="12" borderId="164" xfId="0" applyNumberFormat="1" applyFont="1" applyFill="1" applyBorder="1" applyAlignment="1">
      <alignment vertical="center"/>
    </xf>
    <xf numFmtId="0" fontId="9" fillId="12" borderId="164" xfId="0" applyFont="1" applyFill="1" applyBorder="1" applyAlignment="1">
      <alignment horizontal="right" vertical="center"/>
    </xf>
    <xf numFmtId="10" fontId="9" fillId="12" borderId="225" xfId="0" applyNumberFormat="1" applyFont="1" applyFill="1" applyBorder="1" applyAlignment="1">
      <alignment horizontal="center" vertical="center"/>
    </xf>
    <xf numFmtId="196" fontId="9" fillId="12" borderId="164" xfId="0" applyNumberFormat="1" applyFont="1" applyFill="1" applyBorder="1" applyAlignment="1">
      <alignment vertical="center"/>
    </xf>
    <xf numFmtId="196" fontId="9" fillId="12" borderId="226" xfId="0" applyNumberFormat="1" applyFont="1" applyFill="1" applyBorder="1" applyAlignment="1">
      <alignment vertical="center"/>
    </xf>
    <xf numFmtId="10" fontId="6" fillId="0" borderId="91" xfId="0" applyNumberFormat="1" applyFont="1" applyBorder="1" applyAlignment="1">
      <alignment horizontal="center"/>
    </xf>
    <xf numFmtId="10" fontId="6" fillId="0" borderId="93" xfId="0" applyNumberFormat="1" applyFont="1" applyBorder="1" applyAlignment="1">
      <alignment horizontal="center"/>
    </xf>
    <xf numFmtId="10" fontId="9" fillId="12" borderId="164" xfId="0" applyNumberFormat="1" applyFont="1" applyFill="1" applyBorder="1" applyAlignment="1">
      <alignment horizontal="center" vertical="center"/>
    </xf>
    <xf numFmtId="0" fontId="24" fillId="4" borderId="227" xfId="0" applyFont="1" applyFill="1" applyBorder="1"/>
    <xf numFmtId="0" fontId="24" fillId="4" borderId="228" xfId="0" applyFont="1" applyFill="1" applyBorder="1"/>
    <xf numFmtId="212" fontId="9" fillId="8" borderId="113" xfId="0" applyNumberFormat="1" applyFont="1" applyFill="1" applyBorder="1" applyAlignment="1">
      <alignment horizontal="center"/>
    </xf>
    <xf numFmtId="212" fontId="9" fillId="8" borderId="213" xfId="0" applyNumberFormat="1" applyFont="1" applyFill="1" applyBorder="1" applyAlignment="1">
      <alignment horizontal="center"/>
    </xf>
    <xf numFmtId="14" fontId="6" fillId="8" borderId="113" xfId="0" applyNumberFormat="1" applyFont="1" applyFill="1" applyBorder="1" applyAlignment="1">
      <alignment horizontal="center"/>
    </xf>
    <xf numFmtId="14" fontId="6" fillId="8" borderId="213" xfId="0" applyNumberFormat="1" applyFont="1" applyFill="1" applyBorder="1" applyAlignment="1">
      <alignment horizontal="center"/>
    </xf>
    <xf numFmtId="214" fontId="6" fillId="0" borderId="113" xfId="0" applyNumberFormat="1" applyFont="1" applyBorder="1"/>
    <xf numFmtId="214" fontId="6" fillId="0" borderId="54" xfId="0" applyNumberFormat="1" applyFont="1" applyBorder="1"/>
    <xf numFmtId="214" fontId="6" fillId="0" borderId="213" xfId="0" applyNumberFormat="1" applyFont="1" applyBorder="1"/>
    <xf numFmtId="0" fontId="6" fillId="0" borderId="54" xfId="0" applyFont="1" applyBorder="1" applyAlignment="1">
      <alignment horizontal="center" vertical="center"/>
    </xf>
    <xf numFmtId="0" fontId="9" fillId="0" borderId="213" xfId="0" applyFont="1" applyBorder="1"/>
    <xf numFmtId="196" fontId="9" fillId="12" borderId="157" xfId="0" applyNumberFormat="1" applyFont="1" applyFill="1" applyBorder="1" applyAlignment="1">
      <alignment vertical="center"/>
    </xf>
    <xf numFmtId="189" fontId="6" fillId="0" borderId="93" xfId="0" applyNumberFormat="1" applyFont="1" applyBorder="1"/>
    <xf numFmtId="10" fontId="9" fillId="12" borderId="226" xfId="0" applyNumberFormat="1" applyFont="1" applyFill="1" applyBorder="1" applyAlignment="1">
      <alignment horizontal="center" vertical="center"/>
    </xf>
    <xf numFmtId="0" fontId="23" fillId="0" borderId="54" xfId="0" applyFont="1" applyBorder="1"/>
    <xf numFmtId="0" fontId="7" fillId="4" borderId="27" xfId="0" applyFont="1" applyFill="1" applyBorder="1"/>
    <xf numFmtId="0" fontId="7" fillId="0" borderId="54" xfId="0" applyFont="1" applyBorder="1"/>
    <xf numFmtId="225" fontId="9" fillId="0" borderId="54" xfId="0" applyNumberFormat="1" applyFont="1" applyBorder="1" applyAlignment="1">
      <alignment horizontal="center"/>
    </xf>
    <xf numFmtId="227" fontId="9" fillId="0" borderId="54" xfId="0" applyNumberFormat="1" applyFont="1" applyBorder="1" applyAlignment="1">
      <alignment horizontal="center"/>
    </xf>
    <xf numFmtId="0" fontId="76" fillId="0" borderId="54" xfId="0" applyFont="1" applyBorder="1"/>
    <xf numFmtId="235" fontId="9" fillId="0" borderId="54" xfId="0" applyNumberFormat="1" applyFont="1" applyBorder="1" applyAlignment="1">
      <alignment horizontal="center"/>
    </xf>
    <xf numFmtId="263" fontId="6" fillId="0" borderId="54" xfId="0" applyNumberFormat="1" applyFont="1" applyBorder="1" applyAlignment="1">
      <alignment horizontal="center"/>
    </xf>
    <xf numFmtId="225" fontId="9" fillId="0" borderId="88" xfId="0" applyNumberFormat="1" applyFont="1" applyBorder="1" applyAlignment="1">
      <alignment horizontal="center"/>
    </xf>
    <xf numFmtId="226" fontId="9" fillId="0" borderId="89" xfId="0" applyNumberFormat="1" applyFont="1" applyBorder="1" applyAlignment="1">
      <alignment horizontal="center"/>
    </xf>
    <xf numFmtId="227" fontId="9" fillId="0" borderId="89" xfId="0" applyNumberFormat="1" applyFont="1" applyBorder="1" applyAlignment="1">
      <alignment horizontal="center"/>
    </xf>
    <xf numFmtId="228" fontId="9" fillId="0" borderId="89" xfId="0" applyNumberFormat="1" applyFont="1" applyBorder="1" applyAlignment="1">
      <alignment horizontal="center"/>
    </xf>
    <xf numFmtId="229" fontId="9" fillId="0" borderId="89" xfId="0" applyNumberFormat="1" applyFont="1" applyBorder="1" applyAlignment="1">
      <alignment horizontal="center"/>
    </xf>
    <xf numFmtId="230" fontId="9" fillId="0" borderId="90" xfId="0" applyNumberFormat="1" applyFont="1" applyBorder="1"/>
    <xf numFmtId="233" fontId="6" fillId="0" borderId="54" xfId="0" applyNumberFormat="1" applyFont="1" applyBorder="1" applyAlignment="1">
      <alignment horizontal="center"/>
    </xf>
    <xf numFmtId="177" fontId="6" fillId="0" borderId="92" xfId="0" applyNumberFormat="1" applyFont="1" applyBorder="1"/>
    <xf numFmtId="233" fontId="6" fillId="0" borderId="94" xfId="0" applyNumberFormat="1" applyFont="1" applyBorder="1" applyAlignment="1">
      <alignment horizontal="center"/>
    </xf>
    <xf numFmtId="177" fontId="6" fillId="0" borderId="95" xfId="0" applyNumberFormat="1" applyFont="1" applyBorder="1"/>
    <xf numFmtId="0" fontId="16" fillId="8" borderId="15" xfId="0" applyFont="1" applyFill="1" applyBorder="1" applyAlignment="1">
      <alignment horizontal="center"/>
    </xf>
    <xf numFmtId="196" fontId="9" fillId="0" borderId="216" xfId="0" applyNumberFormat="1" applyFont="1" applyBorder="1" applyAlignment="1">
      <alignment vertical="center"/>
    </xf>
    <xf numFmtId="196" fontId="9" fillId="0" borderId="27" xfId="0" applyNumberFormat="1" applyFont="1" applyBorder="1" applyAlignment="1">
      <alignment vertical="center"/>
    </xf>
    <xf numFmtId="196" fontId="9" fillId="0" borderId="217" xfId="0" applyNumberFormat="1" applyFont="1" applyBorder="1" applyAlignment="1">
      <alignment vertical="center"/>
    </xf>
    <xf numFmtId="196" fontId="9" fillId="12" borderId="224" xfId="0" applyNumberFormat="1" applyFont="1" applyFill="1" applyBorder="1" applyAlignment="1">
      <alignment vertical="center"/>
    </xf>
    <xf numFmtId="0" fontId="6" fillId="8" borderId="140" xfId="0" applyFont="1" applyFill="1" applyBorder="1" applyAlignment="1">
      <alignment horizontal="left"/>
    </xf>
    <xf numFmtId="10" fontId="69" fillId="8" borderId="159" xfId="0" applyNumberFormat="1" applyFont="1" applyFill="1" applyBorder="1"/>
    <xf numFmtId="14" fontId="22" fillId="0" borderId="209" xfId="0" applyNumberFormat="1" applyFont="1" applyBorder="1"/>
    <xf numFmtId="210" fontId="5" fillId="8" borderId="91" xfId="0" applyNumberFormat="1" applyFont="1" applyFill="1" applyBorder="1" applyAlignment="1">
      <alignment horizontal="center"/>
    </xf>
    <xf numFmtId="210" fontId="5" fillId="8" borderId="93" xfId="0" applyNumberFormat="1" applyFont="1" applyFill="1" applyBorder="1" applyAlignment="1">
      <alignment horizontal="center"/>
    </xf>
    <xf numFmtId="235" fontId="9" fillId="0" borderId="88" xfId="0" applyNumberFormat="1" applyFont="1" applyBorder="1" applyAlignment="1">
      <alignment horizontal="center"/>
    </xf>
    <xf numFmtId="227" fontId="9" fillId="0" borderId="90" xfId="0" applyNumberFormat="1" applyFont="1" applyBorder="1" applyAlignment="1">
      <alignment horizontal="center"/>
    </xf>
    <xf numFmtId="0" fontId="7" fillId="4" borderId="224" xfId="0" applyFont="1" applyFill="1" applyBorder="1" applyAlignment="1">
      <alignment vertical="center"/>
    </xf>
    <xf numFmtId="0" fontId="24" fillId="4" borderId="164" xfId="0" applyFont="1" applyFill="1" applyBorder="1" applyAlignment="1">
      <alignment vertical="center"/>
    </xf>
    <xf numFmtId="0" fontId="39" fillId="4" borderId="224" xfId="0" applyFont="1" applyFill="1" applyBorder="1"/>
    <xf numFmtId="0" fontId="39" fillId="4" borderId="226" xfId="0" applyFont="1" applyFill="1" applyBorder="1"/>
    <xf numFmtId="8" fontId="6" fillId="0" borderId="0" xfId="1" applyNumberFormat="1" applyFont="1" applyAlignment="1">
      <alignment horizontal="center"/>
    </xf>
    <xf numFmtId="0" fontId="122" fillId="0" borderId="0" xfId="0" applyFont="1"/>
    <xf numFmtId="9" fontId="124" fillId="0" borderId="24" xfId="0" applyNumberFormat="1" applyFont="1" applyBorder="1" applyAlignment="1">
      <alignment horizontal="center" vertical="center"/>
    </xf>
    <xf numFmtId="37" fontId="124" fillId="0" borderId="25" xfId="0" applyNumberFormat="1" applyFont="1" applyBorder="1" applyAlignment="1">
      <alignment horizontal="left" vertical="center" wrapText="1"/>
    </xf>
    <xf numFmtId="37" fontId="124" fillId="0" borderId="25" xfId="0" applyNumberFormat="1" applyFont="1" applyBorder="1" applyAlignment="1">
      <alignment horizontal="center" vertical="center" wrapText="1"/>
    </xf>
    <xf numFmtId="1" fontId="124" fillId="0" borderId="25" xfId="0" applyNumberFormat="1" applyFont="1" applyBorder="1" applyAlignment="1">
      <alignment horizontal="center" vertical="center" wrapText="1"/>
    </xf>
    <xf numFmtId="190" fontId="124" fillId="0" borderId="25" xfId="0" applyNumberFormat="1" applyFont="1" applyBorder="1" applyAlignment="1">
      <alignment horizontal="center" vertical="center" wrapText="1"/>
    </xf>
    <xf numFmtId="1" fontId="124" fillId="0" borderId="53" xfId="0" applyNumberFormat="1" applyFont="1" applyBorder="1" applyAlignment="1">
      <alignment horizontal="center" vertical="center" wrapText="1"/>
    </xf>
    <xf numFmtId="172" fontId="85" fillId="0" borderId="7" xfId="0" applyNumberFormat="1" applyFont="1" applyBorder="1" applyAlignment="1">
      <alignment horizontal="center"/>
    </xf>
    <xf numFmtId="3" fontId="125" fillId="0" borderId="0" xfId="0" applyNumberFormat="1" applyFont="1" applyAlignment="1">
      <alignment horizontal="left"/>
    </xf>
    <xf numFmtId="37" fontId="125" fillId="0" borderId="0" xfId="0" applyNumberFormat="1" applyFont="1" applyAlignment="1">
      <alignment horizontal="center"/>
    </xf>
    <xf numFmtId="37" fontId="85" fillId="0" borderId="0" xfId="0" applyNumberFormat="1" applyFont="1" applyAlignment="1">
      <alignment horizontal="center"/>
    </xf>
    <xf numFmtId="164" fontId="126" fillId="0" borderId="0" xfId="0" applyNumberFormat="1" applyFont="1" applyAlignment="1">
      <alignment horizontal="center"/>
    </xf>
    <xf numFmtId="183" fontId="85" fillId="0" borderId="0" xfId="0" applyNumberFormat="1" applyFont="1" applyAlignment="1">
      <alignment horizontal="center"/>
    </xf>
    <xf numFmtId="164" fontId="85" fillId="0" borderId="0" xfId="0" applyNumberFormat="1" applyFont="1" applyAlignment="1">
      <alignment horizontal="center"/>
    </xf>
    <xf numFmtId="168" fontId="85" fillId="0" borderId="19" xfId="0" applyNumberFormat="1" applyFont="1" applyBorder="1" applyAlignment="1">
      <alignment horizontal="center"/>
    </xf>
    <xf numFmtId="168" fontId="85" fillId="0" borderId="20" xfId="0" applyNumberFormat="1" applyFont="1" applyBorder="1" applyAlignment="1">
      <alignment horizontal="center"/>
    </xf>
    <xf numFmtId="9" fontId="127" fillId="0" borderId="24" xfId="0" applyNumberFormat="1" applyFont="1" applyBorder="1" applyAlignment="1">
      <alignment horizontal="center"/>
    </xf>
    <xf numFmtId="3" fontId="127" fillId="0" borderId="25" xfId="0" applyNumberFormat="1" applyFont="1" applyBorder="1" applyAlignment="1">
      <alignment horizontal="left"/>
    </xf>
    <xf numFmtId="3" fontId="127" fillId="0" borderId="25" xfId="0" applyNumberFormat="1" applyFont="1" applyBorder="1" applyAlignment="1">
      <alignment horizontal="center"/>
    </xf>
    <xf numFmtId="164" fontId="127" fillId="0" borderId="25" xfId="0" applyNumberFormat="1" applyFont="1" applyBorder="1" applyAlignment="1">
      <alignment horizontal="center"/>
    </xf>
    <xf numFmtId="183" fontId="127" fillId="0" borderId="25" xfId="0" applyNumberFormat="1" applyFont="1" applyBorder="1" applyAlignment="1">
      <alignment horizontal="center"/>
    </xf>
    <xf numFmtId="164" fontId="127" fillId="0" borderId="53" xfId="0" applyNumberFormat="1" applyFont="1" applyBorder="1" applyAlignment="1">
      <alignment horizontal="center"/>
    </xf>
    <xf numFmtId="9" fontId="127" fillId="0" borderId="0" xfId="0" applyNumberFormat="1" applyFont="1" applyAlignment="1">
      <alignment horizontal="center"/>
    </xf>
    <xf numFmtId="3" fontId="127" fillId="0" borderId="0" xfId="0" applyNumberFormat="1" applyFont="1" applyAlignment="1">
      <alignment horizontal="left"/>
    </xf>
    <xf numFmtId="3" fontId="127" fillId="0" borderId="0" xfId="0" applyNumberFormat="1" applyFont="1" applyAlignment="1">
      <alignment horizontal="center"/>
    </xf>
    <xf numFmtId="164" fontId="127" fillId="0" borderId="0" xfId="0" applyNumberFormat="1" applyFont="1" applyAlignment="1">
      <alignment horizontal="center"/>
    </xf>
    <xf numFmtId="183" fontId="127" fillId="0" borderId="0" xfId="0" applyNumberFormat="1" applyFont="1" applyAlignment="1">
      <alignment horizontal="center"/>
    </xf>
    <xf numFmtId="3" fontId="128" fillId="0" borderId="0" xfId="0" applyNumberFormat="1" applyFont="1" applyAlignment="1">
      <alignment horizontal="left"/>
    </xf>
    <xf numFmtId="164" fontId="127" fillId="0" borderId="8" xfId="0" applyNumberFormat="1" applyFont="1" applyBorder="1"/>
    <xf numFmtId="164" fontId="127" fillId="0" borderId="11" xfId="0" applyNumberFormat="1" applyFont="1" applyBorder="1" applyAlignment="1">
      <alignment horizontal="right"/>
    </xf>
    <xf numFmtId="164" fontId="127" fillId="0" borderId="9" xfId="0" applyNumberFormat="1" applyFont="1" applyBorder="1" applyAlignment="1">
      <alignment horizontal="center"/>
    </xf>
    <xf numFmtId="37" fontId="129" fillId="0" borderId="0" xfId="0" applyNumberFormat="1" applyFont="1" applyAlignment="1">
      <alignment horizontal="center"/>
    </xf>
    <xf numFmtId="37" fontId="85" fillId="0" borderId="0" xfId="0" applyNumberFormat="1" applyFont="1"/>
    <xf numFmtId="0" fontId="85" fillId="0" borderId="0" xfId="0" applyFont="1" applyAlignment="1">
      <alignment horizontal="left"/>
    </xf>
    <xf numFmtId="168" fontId="125" fillId="0" borderId="101" xfId="0" applyNumberFormat="1" applyFont="1" applyBorder="1" applyAlignment="1">
      <alignment horizontal="center"/>
    </xf>
    <xf numFmtId="184" fontId="88" fillId="0" borderId="101" xfId="0" applyNumberFormat="1" applyFont="1" applyBorder="1" applyAlignment="1">
      <alignment horizontal="center"/>
    </xf>
    <xf numFmtId="193" fontId="85" fillId="0" borderId="0" xfId="0" applyNumberFormat="1" applyFont="1"/>
    <xf numFmtId="192" fontId="127" fillId="0" borderId="0" xfId="0" applyNumberFormat="1" applyFont="1"/>
    <xf numFmtId="37" fontId="127" fillId="0" borderId="0" xfId="0" applyNumberFormat="1" applyFont="1" applyAlignment="1">
      <alignment horizontal="left"/>
    </xf>
    <xf numFmtId="0" fontId="127" fillId="0" borderId="0" xfId="0" applyFont="1"/>
    <xf numFmtId="195" fontId="127" fillId="0" borderId="0" xfId="0" applyNumberFormat="1" applyFont="1"/>
    <xf numFmtId="184" fontId="127" fillId="0" borderId="0" xfId="0" applyNumberFormat="1" applyFont="1"/>
    <xf numFmtId="0" fontId="85" fillId="0" borderId="0" xfId="0" applyFont="1" applyAlignment="1">
      <alignment horizontal="center"/>
    </xf>
    <xf numFmtId="37" fontId="130" fillId="0" borderId="0" xfId="0" applyNumberFormat="1" applyFont="1" applyAlignment="1">
      <alignment horizontal="left"/>
    </xf>
    <xf numFmtId="37" fontId="130" fillId="0" borderId="0" xfId="0" applyNumberFormat="1" applyFont="1" applyAlignment="1">
      <alignment horizontal="center"/>
    </xf>
    <xf numFmtId="196" fontId="130" fillId="0" borderId="0" xfId="0" applyNumberFormat="1" applyFont="1" applyAlignment="1">
      <alignment horizontal="center"/>
    </xf>
    <xf numFmtId="14" fontId="85" fillId="0" borderId="0" xfId="0" applyNumberFormat="1" applyFont="1"/>
    <xf numFmtId="14" fontId="85" fillId="0" borderId="0" xfId="0" applyNumberFormat="1" applyFont="1" applyAlignment="1">
      <alignment horizontal="center"/>
    </xf>
    <xf numFmtId="14" fontId="85" fillId="0" borderId="0" xfId="0" applyNumberFormat="1" applyFont="1" applyAlignment="1">
      <alignment horizontal="right"/>
    </xf>
    <xf numFmtId="14" fontId="85" fillId="0" borderId="0" xfId="0" applyNumberFormat="1" applyFont="1" applyAlignment="1">
      <alignment horizontal="left"/>
    </xf>
    <xf numFmtId="196" fontId="85" fillId="0" borderId="0" xfId="0" applyNumberFormat="1" applyFont="1"/>
    <xf numFmtId="0" fontId="88" fillId="0" borderId="0" xfId="0" applyFont="1" applyAlignment="1">
      <alignment vertical="top"/>
    </xf>
    <xf numFmtId="37" fontId="131" fillId="24" borderId="0" xfId="0" applyNumberFormat="1" applyFont="1" applyFill="1" applyAlignment="1">
      <alignment horizontal="center" vertical="center" wrapText="1"/>
    </xf>
    <xf numFmtId="37" fontId="131" fillId="24" borderId="0" xfId="0" quotePrefix="1" applyNumberFormat="1" applyFont="1" applyFill="1" applyAlignment="1">
      <alignment horizontal="center" vertical="center" wrapText="1"/>
    </xf>
    <xf numFmtId="196" fontId="131" fillId="24" borderId="54" xfId="4" applyNumberFormat="1" applyFont="1" applyFill="1" applyBorder="1" applyAlignment="1" applyProtection="1">
      <alignment horizontal="center" vertical="center" wrapText="1"/>
    </xf>
    <xf numFmtId="44" fontId="131" fillId="24" borderId="54" xfId="4" applyFont="1" applyFill="1" applyBorder="1" applyAlignment="1" applyProtection="1">
      <alignment horizontal="center" vertical="center" wrapText="1"/>
    </xf>
    <xf numFmtId="17" fontId="131" fillId="24" borderId="0" xfId="0" applyNumberFormat="1" applyFont="1" applyFill="1" applyAlignment="1">
      <alignment horizontal="center" vertical="center" wrapText="1"/>
    </xf>
    <xf numFmtId="172" fontId="88" fillId="0" borderId="211" xfId="1" applyNumberFormat="1" applyFont="1" applyFill="1" applyBorder="1" applyAlignment="1">
      <alignment horizontal="center" vertical="center" wrapText="1"/>
    </xf>
    <xf numFmtId="0" fontId="88" fillId="0" borderId="211" xfId="0" applyFont="1" applyBorder="1" applyAlignment="1">
      <alignment horizontal="center" vertical="center" wrapText="1"/>
    </xf>
    <xf numFmtId="3" fontId="88" fillId="0" borderId="211" xfId="3" applyNumberFormat="1" applyFont="1" applyFill="1" applyBorder="1" applyAlignment="1">
      <alignment horizontal="center" vertical="center" wrapText="1"/>
    </xf>
    <xf numFmtId="196" fontId="88" fillId="0" borderId="211" xfId="4" applyNumberFormat="1" applyFont="1" applyFill="1" applyBorder="1" applyAlignment="1">
      <alignment horizontal="center" vertical="center" wrapText="1"/>
    </xf>
    <xf numFmtId="196" fontId="88" fillId="0" borderId="211" xfId="5" applyNumberFormat="1" applyFont="1" applyFill="1" applyBorder="1" applyAlignment="1">
      <alignment horizontal="center" vertical="center" wrapText="1"/>
    </xf>
    <xf numFmtId="44" fontId="88" fillId="0" borderId="211" xfId="4" applyFont="1" applyFill="1" applyBorder="1" applyAlignment="1">
      <alignment horizontal="center" vertical="center" wrapText="1"/>
    </xf>
    <xf numFmtId="14" fontId="88" fillId="0" borderId="211" xfId="0" applyNumberFormat="1" applyFont="1" applyBorder="1" applyAlignment="1">
      <alignment horizontal="center" vertical="center" wrapText="1"/>
    </xf>
    <xf numFmtId="14" fontId="130" fillId="0" borderId="211" xfId="0" applyNumberFormat="1" applyFont="1" applyBorder="1" applyAlignment="1">
      <alignment horizontal="center" vertical="center" wrapText="1"/>
    </xf>
    <xf numFmtId="1" fontId="88" fillId="0" borderId="211" xfId="0" applyNumberFormat="1" applyFont="1" applyBorder="1" applyAlignment="1">
      <alignment horizontal="center" vertical="center" wrapText="1"/>
    </xf>
    <xf numFmtId="44" fontId="88" fillId="0" borderId="211" xfId="0" applyNumberFormat="1" applyFont="1" applyBorder="1" applyAlignment="1">
      <alignment horizontal="center" vertical="center" wrapText="1"/>
    </xf>
    <xf numFmtId="44" fontId="88" fillId="0" borderId="211" xfId="0" applyNumberFormat="1" applyFont="1" applyBorder="1" applyAlignment="1">
      <alignment horizontal="center" vertical="center"/>
    </xf>
    <xf numFmtId="3" fontId="88" fillId="0" borderId="211" xfId="0" applyNumberFormat="1" applyFont="1" applyBorder="1" applyAlignment="1">
      <alignment horizontal="center" vertical="center" wrapText="1"/>
    </xf>
    <xf numFmtId="172" fontId="88" fillId="0" borderId="54" xfId="1" applyNumberFormat="1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3" fontId="88" fillId="0" borderId="54" xfId="3" applyNumberFormat="1" applyFont="1" applyFill="1" applyBorder="1" applyAlignment="1">
      <alignment horizontal="center" vertical="center" wrapText="1"/>
    </xf>
    <xf numFmtId="196" fontId="88" fillId="0" borderId="54" xfId="4" applyNumberFormat="1" applyFont="1" applyFill="1" applyBorder="1" applyAlignment="1">
      <alignment horizontal="center" vertical="center" wrapText="1"/>
    </xf>
    <xf numFmtId="196" fontId="88" fillId="0" borderId="54" xfId="5" applyNumberFormat="1" applyFont="1" applyFill="1" applyBorder="1" applyAlignment="1">
      <alignment horizontal="center" vertical="center" wrapText="1"/>
    </xf>
    <xf numFmtId="44" fontId="88" fillId="0" borderId="54" xfId="4" applyFont="1" applyFill="1" applyBorder="1" applyAlignment="1">
      <alignment horizontal="center" vertical="center" wrapText="1"/>
    </xf>
    <xf numFmtId="14" fontId="88" fillId="0" borderId="0" xfId="0" applyNumberFormat="1" applyFont="1" applyAlignment="1">
      <alignment horizontal="center" vertical="center" wrapText="1"/>
    </xf>
    <xf numFmtId="1" fontId="88" fillId="0" borderId="0" xfId="0" applyNumberFormat="1" applyFont="1" applyAlignment="1">
      <alignment horizontal="center" vertical="center" wrapText="1"/>
    </xf>
    <xf numFmtId="44" fontId="88" fillId="0" borderId="0" xfId="0" applyNumberFormat="1" applyFont="1" applyAlignment="1">
      <alignment horizontal="center" vertical="center"/>
    </xf>
    <xf numFmtId="3" fontId="88" fillId="0" borderId="0" xfId="0" applyNumberFormat="1" applyFont="1" applyAlignment="1">
      <alignment horizontal="center" vertical="center" wrapText="1"/>
    </xf>
    <xf numFmtId="0" fontId="132" fillId="24" borderId="0" xfId="0" applyFont="1" applyFill="1" applyAlignment="1">
      <alignment horizontal="center" vertical="center" wrapText="1"/>
    </xf>
    <xf numFmtId="0" fontId="131" fillId="24" borderId="0" xfId="0" applyFont="1" applyFill="1" applyAlignment="1">
      <alignment horizontal="center" vertical="center" wrapText="1"/>
    </xf>
    <xf numFmtId="196" fontId="131" fillId="24" borderId="0" xfId="0" applyNumberFormat="1" applyFont="1" applyFill="1" applyAlignment="1">
      <alignment horizontal="center" vertical="center" wrapText="1"/>
    </xf>
    <xf numFmtId="7" fontId="131" fillId="24" borderId="0" xfId="0" applyNumberFormat="1" applyFont="1" applyFill="1" applyAlignment="1">
      <alignment horizontal="center" vertical="center" wrapText="1"/>
    </xf>
    <xf numFmtId="1" fontId="131" fillId="24" borderId="0" xfId="0" applyNumberFormat="1" applyFont="1" applyFill="1" applyAlignment="1">
      <alignment horizontal="center" vertical="center" wrapText="1"/>
    </xf>
    <xf numFmtId="37" fontId="131" fillId="24" borderId="0" xfId="0" applyNumberFormat="1" applyFont="1" applyFill="1" applyAlignment="1">
      <alignment horizontal="center" vertical="center"/>
    </xf>
    <xf numFmtId="3" fontId="131" fillId="24" borderId="54" xfId="3" applyNumberFormat="1" applyFont="1" applyFill="1" applyBorder="1" applyAlignment="1" applyProtection="1">
      <alignment horizontal="center" vertical="center"/>
    </xf>
    <xf numFmtId="196" fontId="131" fillId="24" borderId="54" xfId="3" applyNumberFormat="1" applyFont="1" applyFill="1" applyBorder="1" applyAlignment="1" applyProtection="1">
      <alignment horizontal="center" vertical="center"/>
    </xf>
    <xf numFmtId="44" fontId="131" fillId="24" borderId="54" xfId="3" applyNumberFormat="1" applyFont="1" applyFill="1" applyBorder="1" applyAlignment="1" applyProtection="1">
      <alignment horizontal="center" vertical="center"/>
    </xf>
    <xf numFmtId="9" fontId="131" fillId="24" borderId="54" xfId="1" applyFont="1" applyFill="1" applyBorder="1" applyAlignment="1" applyProtection="1">
      <alignment horizontal="center" vertical="center"/>
    </xf>
    <xf numFmtId="44" fontId="131" fillId="24" borderId="54" xfId="4" applyFont="1" applyFill="1" applyBorder="1" applyAlignment="1" applyProtection="1">
      <alignment horizontal="center" vertical="center"/>
    </xf>
    <xf numFmtId="167" fontId="131" fillId="24" borderId="0" xfId="0" applyNumberFormat="1" applyFont="1" applyFill="1" applyAlignment="1">
      <alignment horizontal="center" vertical="center"/>
    </xf>
    <xf numFmtId="196" fontId="131" fillId="24" borderId="54" xfId="4" applyNumberFormat="1" applyFont="1" applyFill="1" applyBorder="1" applyAlignment="1">
      <alignment horizontal="center" vertical="center"/>
    </xf>
    <xf numFmtId="1" fontId="131" fillId="24" borderId="0" xfId="0" applyNumberFormat="1" applyFont="1" applyFill="1" applyAlignment="1">
      <alignment horizontal="center" vertical="center"/>
    </xf>
    <xf numFmtId="0" fontId="131" fillId="24" borderId="0" xfId="0" applyFont="1" applyFill="1" applyAlignment="1">
      <alignment horizontal="center" vertical="center"/>
    </xf>
    <xf numFmtId="37" fontId="128" fillId="0" borderId="0" xfId="0" applyNumberFormat="1" applyFont="1" applyAlignment="1">
      <alignment horizontal="left"/>
    </xf>
    <xf numFmtId="0" fontId="127" fillId="0" borderId="0" xfId="0" applyFont="1" applyAlignment="1">
      <alignment horizontal="right"/>
    </xf>
    <xf numFmtId="0" fontId="127" fillId="0" borderId="0" xfId="0" applyFont="1" applyAlignment="1">
      <alignment horizontal="left"/>
    </xf>
    <xf numFmtId="6" fontId="127" fillId="0" borderId="0" xfId="0" applyNumberFormat="1" applyFont="1" applyAlignment="1">
      <alignment horizontal="left"/>
    </xf>
    <xf numFmtId="14" fontId="127" fillId="0" borderId="0" xfId="0" applyNumberFormat="1" applyFont="1" applyAlignment="1">
      <alignment horizontal="right"/>
    </xf>
    <xf numFmtId="0" fontId="127" fillId="0" borderId="0" xfId="0" applyFont="1" applyAlignment="1">
      <alignment horizontal="center"/>
    </xf>
    <xf numFmtId="6" fontId="127" fillId="0" borderId="0" xfId="0" applyNumberFormat="1" applyFont="1" applyAlignment="1">
      <alignment horizontal="center"/>
    </xf>
    <xf numFmtId="0" fontId="118" fillId="7" borderId="22" xfId="0" applyFont="1" applyFill="1" applyBorder="1"/>
    <xf numFmtId="6" fontId="134" fillId="7" borderId="15" xfId="0" applyNumberFormat="1" applyFont="1" applyFill="1" applyBorder="1" applyAlignment="1">
      <alignment horizontal="right"/>
    </xf>
    <xf numFmtId="0" fontId="118" fillId="7" borderId="23" xfId="0" applyFont="1" applyFill="1" applyBorder="1"/>
    <xf numFmtId="5" fontId="118" fillId="7" borderId="17" xfId="0" applyNumberFormat="1" applyFont="1" applyFill="1" applyBorder="1" applyAlignment="1">
      <alignment horizontal="center" vertical="center"/>
    </xf>
    <xf numFmtId="0" fontId="85" fillId="0" borderId="7" xfId="0" applyFont="1" applyBorder="1" applyAlignment="1">
      <alignment horizontal="left"/>
    </xf>
    <xf numFmtId="6" fontId="85" fillId="0" borderId="20" xfId="0" applyNumberFormat="1" applyFont="1" applyBorder="1" applyAlignment="1">
      <alignment horizontal="right"/>
    </xf>
    <xf numFmtId="6" fontId="85" fillId="0" borderId="0" xfId="0" applyNumberFormat="1" applyFont="1" applyAlignment="1">
      <alignment horizontal="right"/>
    </xf>
    <xf numFmtId="6" fontId="85" fillId="0" borderId="0" xfId="0" applyNumberFormat="1" applyFont="1" applyAlignment="1">
      <alignment horizontal="center"/>
    </xf>
    <xf numFmtId="8" fontId="85" fillId="0" borderId="0" xfId="0" applyNumberFormat="1" applyFont="1" applyAlignment="1">
      <alignment horizontal="center"/>
    </xf>
    <xf numFmtId="172" fontId="85" fillId="0" borderId="10" xfId="0" applyNumberFormat="1" applyFont="1" applyBorder="1" applyAlignment="1">
      <alignment horizontal="center"/>
    </xf>
    <xf numFmtId="172" fontId="85" fillId="0" borderId="209" xfId="0" applyNumberFormat="1" applyFont="1" applyBorder="1" applyAlignment="1">
      <alignment horizontal="center"/>
    </xf>
    <xf numFmtId="172" fontId="85" fillId="0" borderId="14" xfId="0" applyNumberFormat="1" applyFont="1" applyBorder="1" applyAlignment="1">
      <alignment horizontal="center"/>
    </xf>
    <xf numFmtId="0" fontId="127" fillId="0" borderId="24" xfId="0" applyFont="1" applyBorder="1"/>
    <xf numFmtId="6" fontId="127" fillId="0" borderId="25" xfId="0" applyNumberFormat="1" applyFont="1" applyBorder="1" applyAlignment="1">
      <alignment horizontal="right"/>
    </xf>
    <xf numFmtId="6" fontId="127" fillId="0" borderId="25" xfId="0" applyNumberFormat="1" applyFont="1" applyBorder="1" applyAlignment="1">
      <alignment horizontal="center"/>
    </xf>
    <xf numFmtId="8" fontId="127" fillId="0" borderId="25" xfId="0" applyNumberFormat="1" applyFont="1" applyBorder="1" applyAlignment="1">
      <alignment horizontal="center"/>
    </xf>
    <xf numFmtId="172" fontId="127" fillId="0" borderId="14" xfId="0" applyNumberFormat="1" applyFont="1" applyBorder="1" applyAlignment="1">
      <alignment horizontal="center"/>
    </xf>
    <xf numFmtId="6" fontId="134" fillId="7" borderId="15" xfId="0" applyNumberFormat="1" applyFont="1" applyFill="1" applyBorder="1" applyAlignment="1">
      <alignment horizontal="center"/>
    </xf>
    <xf numFmtId="0" fontId="134" fillId="7" borderId="15" xfId="0" applyFont="1" applyFill="1" applyBorder="1" applyAlignment="1">
      <alignment horizontal="center"/>
    </xf>
    <xf numFmtId="0" fontId="134" fillId="7" borderId="16" xfId="0" applyFont="1" applyFill="1" applyBorder="1" applyAlignment="1">
      <alignment horizontal="center"/>
    </xf>
    <xf numFmtId="8" fontId="118" fillId="7" borderId="15" xfId="0" applyNumberFormat="1" applyFont="1" applyFill="1" applyBorder="1" applyAlignment="1">
      <alignment horizontal="center"/>
    </xf>
    <xf numFmtId="172" fontId="134" fillId="7" borderId="16" xfId="0" applyNumberFormat="1" applyFont="1" applyFill="1" applyBorder="1" applyAlignment="1">
      <alignment horizontal="center"/>
    </xf>
    <xf numFmtId="0" fontId="127" fillId="0" borderId="8" xfId="0" applyFont="1" applyBorder="1" applyAlignment="1">
      <alignment horizontal="left"/>
    </xf>
    <xf numFmtId="6" fontId="85" fillId="0" borderId="19" xfId="0" applyNumberFormat="1" applyFont="1" applyBorder="1" applyAlignment="1">
      <alignment horizontal="right"/>
    </xf>
    <xf numFmtId="6" fontId="85" fillId="0" borderId="11" xfId="0" applyNumberFormat="1" applyFont="1" applyBorder="1" applyAlignment="1">
      <alignment horizontal="right"/>
    </xf>
    <xf numFmtId="6" fontId="85" fillId="0" borderId="11" xfId="0" applyNumberFormat="1" applyFont="1" applyBorder="1" applyAlignment="1">
      <alignment horizontal="center"/>
    </xf>
    <xf numFmtId="8" fontId="85" fillId="0" borderId="11" xfId="0" applyNumberFormat="1" applyFont="1" applyBorder="1" applyAlignment="1">
      <alignment horizontal="center"/>
    </xf>
    <xf numFmtId="172" fontId="85" fillId="0" borderId="9" xfId="0" applyNumberFormat="1" applyFont="1" applyBorder="1" applyAlignment="1">
      <alignment horizontal="center"/>
    </xf>
    <xf numFmtId="0" fontId="127" fillId="0" borderId="7" xfId="0" applyFont="1" applyBorder="1" applyAlignment="1">
      <alignment horizontal="left"/>
    </xf>
    <xf numFmtId="6" fontId="85" fillId="0" borderId="21" xfId="0" applyNumberFormat="1" applyFont="1" applyBorder="1" applyAlignment="1">
      <alignment horizontal="right"/>
    </xf>
    <xf numFmtId="0" fontId="127" fillId="0" borderId="26" xfId="0" applyFont="1" applyBorder="1"/>
    <xf numFmtId="6" fontId="127" fillId="0" borderId="54" xfId="0" applyNumberFormat="1" applyFont="1" applyBorder="1" applyAlignment="1">
      <alignment horizontal="right"/>
    </xf>
    <xf numFmtId="6" fontId="127" fillId="0" borderId="27" xfId="0" applyNumberFormat="1" applyFont="1" applyBorder="1" applyAlignment="1">
      <alignment horizontal="right"/>
    </xf>
    <xf numFmtId="6" fontId="127" fillId="0" borderId="27" xfId="0" applyNumberFormat="1" applyFont="1" applyBorder="1" applyAlignment="1">
      <alignment horizontal="center"/>
    </xf>
    <xf numFmtId="8" fontId="127" fillId="0" borderId="27" xfId="0" applyNumberFormat="1" applyFont="1" applyBorder="1" applyAlignment="1">
      <alignment horizontal="center"/>
    </xf>
    <xf numFmtId="172" fontId="127" fillId="0" borderId="28" xfId="0" applyNumberFormat="1" applyFont="1" applyBorder="1" applyAlignment="1">
      <alignment horizontal="center"/>
    </xf>
    <xf numFmtId="0" fontId="118" fillId="7" borderId="88" xfId="0" applyFont="1" applyFill="1" applyBorder="1"/>
    <xf numFmtId="6" fontId="134" fillId="7" borderId="89" xfId="0" applyNumberFormat="1" applyFont="1" applyFill="1" applyBorder="1" applyAlignment="1">
      <alignment horizontal="right"/>
    </xf>
    <xf numFmtId="6" fontId="134" fillId="7" borderId="89" xfId="0" applyNumberFormat="1" applyFont="1" applyFill="1" applyBorder="1" applyAlignment="1">
      <alignment horizontal="center"/>
    </xf>
    <xf numFmtId="0" fontId="134" fillId="7" borderId="89" xfId="0" applyFont="1" applyFill="1" applyBorder="1" applyAlignment="1">
      <alignment horizontal="center"/>
    </xf>
    <xf numFmtId="0" fontId="134" fillId="7" borderId="90" xfId="0" applyFont="1" applyFill="1" applyBorder="1" applyAlignment="1">
      <alignment horizontal="center"/>
    </xf>
    <xf numFmtId="0" fontId="118" fillId="7" borderId="93" xfId="0" applyFont="1" applyFill="1" applyBorder="1"/>
    <xf numFmtId="6" fontId="134" fillId="7" borderId="94" xfId="0" applyNumberFormat="1" applyFont="1" applyFill="1" applyBorder="1" applyAlignment="1">
      <alignment horizontal="right"/>
    </xf>
    <xf numFmtId="0" fontId="85" fillId="0" borderId="22" xfId="0" applyFont="1" applyBorder="1" applyAlignment="1">
      <alignment horizontal="left"/>
    </xf>
    <xf numFmtId="6" fontId="85" fillId="0" borderId="82" xfId="0" applyNumberFormat="1" applyFont="1" applyBorder="1" applyAlignment="1">
      <alignment horizontal="right"/>
    </xf>
    <xf numFmtId="6" fontId="85" fillId="0" borderId="54" xfId="0" applyNumberFormat="1" applyFont="1" applyBorder="1" applyAlignment="1">
      <alignment horizontal="right"/>
    </xf>
    <xf numFmtId="6" fontId="85" fillId="0" borderId="22" xfId="0" applyNumberFormat="1" applyFont="1" applyBorder="1" applyAlignment="1">
      <alignment horizontal="center"/>
    </xf>
    <xf numFmtId="8" fontId="85" fillId="0" borderId="54" xfId="0" applyNumberFormat="1" applyFont="1" applyBorder="1" applyAlignment="1">
      <alignment horizontal="center"/>
    </xf>
    <xf numFmtId="172" fontId="85" fillId="0" borderId="71" xfId="0" applyNumberFormat="1" applyFont="1" applyBorder="1" applyAlignment="1">
      <alignment horizontal="center"/>
    </xf>
    <xf numFmtId="6" fontId="85" fillId="0" borderId="7" xfId="0" applyNumberFormat="1" applyFont="1" applyBorder="1" applyAlignment="1">
      <alignment horizontal="center"/>
    </xf>
    <xf numFmtId="8" fontId="85" fillId="0" borderId="20" xfId="0" applyNumberFormat="1" applyFont="1" applyBorder="1" applyAlignment="1">
      <alignment horizontal="right"/>
    </xf>
    <xf numFmtId="6" fontId="85" fillId="0" borderId="12" xfId="0" applyNumberFormat="1" applyFont="1" applyBorder="1" applyAlignment="1">
      <alignment horizontal="center"/>
    </xf>
    <xf numFmtId="8" fontId="85" fillId="0" borderId="13" xfId="0" applyNumberFormat="1" applyFont="1" applyBorder="1" applyAlignment="1">
      <alignment horizontal="center"/>
    </xf>
    <xf numFmtId="172" fontId="127" fillId="0" borderId="29" xfId="0" applyNumberFormat="1" applyFont="1" applyBorder="1" applyAlignment="1">
      <alignment horizontal="center"/>
    </xf>
    <xf numFmtId="0" fontId="85" fillId="0" borderId="8" xfId="0" applyFont="1" applyBorder="1" applyAlignment="1">
      <alignment horizontal="left"/>
    </xf>
    <xf numFmtId="6" fontId="85" fillId="0" borderId="88" xfId="0" applyNumberFormat="1" applyFont="1" applyBorder="1" applyAlignment="1">
      <alignment horizontal="center"/>
    </xf>
    <xf numFmtId="8" fontId="85" fillId="0" borderId="89" xfId="0" applyNumberFormat="1" applyFont="1" applyBorder="1" applyAlignment="1">
      <alignment horizontal="center"/>
    </xf>
    <xf numFmtId="172" fontId="85" fillId="0" borderId="90" xfId="0" applyNumberFormat="1" applyFont="1" applyBorder="1" applyAlignment="1">
      <alignment horizontal="center"/>
    </xf>
    <xf numFmtId="6" fontId="85" fillId="0" borderId="91" xfId="0" applyNumberFormat="1" applyFont="1" applyBorder="1" applyAlignment="1">
      <alignment horizontal="center"/>
    </xf>
    <xf numFmtId="172" fontId="85" fillId="0" borderId="92" xfId="0" applyNumberFormat="1" applyFont="1" applyBorder="1" applyAlignment="1">
      <alignment horizontal="center"/>
    </xf>
    <xf numFmtId="6" fontId="85" fillId="0" borderId="93" xfId="0" applyNumberFormat="1" applyFont="1" applyBorder="1" applyAlignment="1">
      <alignment horizontal="center"/>
    </xf>
    <xf numFmtId="8" fontId="85" fillId="0" borderId="94" xfId="0" applyNumberFormat="1" applyFont="1" applyBorder="1" applyAlignment="1">
      <alignment horizontal="center"/>
    </xf>
    <xf numFmtId="172" fontId="85" fillId="0" borderId="95" xfId="0" applyNumberFormat="1" applyFont="1" applyBorder="1" applyAlignment="1">
      <alignment horizontal="center"/>
    </xf>
    <xf numFmtId="6" fontId="127" fillId="0" borderId="54" xfId="0" applyNumberFormat="1" applyFont="1" applyBorder="1" applyAlignment="1">
      <alignment horizontal="center"/>
    </xf>
    <xf numFmtId="8" fontId="127" fillId="0" borderId="54" xfId="0" applyNumberFormat="1" applyFont="1" applyBorder="1" applyAlignment="1">
      <alignment horizontal="center"/>
    </xf>
    <xf numFmtId="172" fontId="127" fillId="0" borderId="71" xfId="0" applyNumberFormat="1" applyFont="1" applyBorder="1" applyAlignment="1">
      <alignment horizontal="center"/>
    </xf>
    <xf numFmtId="0" fontId="118" fillId="7" borderId="91" xfId="0" applyFont="1" applyFill="1" applyBorder="1"/>
    <xf numFmtId="6" fontId="134" fillId="7" borderId="54" xfId="0" applyNumberFormat="1" applyFont="1" applyFill="1" applyBorder="1" applyAlignment="1">
      <alignment horizontal="right"/>
    </xf>
    <xf numFmtId="6" fontId="134" fillId="7" borderId="54" xfId="0" applyNumberFormat="1" applyFont="1" applyFill="1" applyBorder="1" applyAlignment="1">
      <alignment horizontal="center"/>
    </xf>
    <xf numFmtId="8" fontId="118" fillId="7" borderId="54" xfId="0" applyNumberFormat="1" applyFont="1" applyFill="1" applyBorder="1" applyAlignment="1">
      <alignment horizontal="center"/>
    </xf>
    <xf numFmtId="172" fontId="134" fillId="7" borderId="92" xfId="0" applyNumberFormat="1" applyFont="1" applyFill="1" applyBorder="1" applyAlignment="1">
      <alignment horizontal="center"/>
    </xf>
    <xf numFmtId="0" fontId="85" fillId="0" borderId="97" xfId="0" applyFont="1" applyBorder="1" applyAlignment="1">
      <alignment horizontal="left"/>
    </xf>
    <xf numFmtId="6" fontId="85" fillId="0" borderId="90" xfId="0" applyNumberFormat="1" applyFont="1" applyBorder="1" applyAlignment="1">
      <alignment horizontal="right"/>
    </xf>
    <xf numFmtId="6" fontId="85" fillId="0" borderId="89" xfId="0" applyNumberFormat="1" applyFont="1" applyBorder="1" applyAlignment="1">
      <alignment horizontal="right"/>
    </xf>
    <xf numFmtId="0" fontId="85" fillId="0" borderId="98" xfId="0" applyFont="1" applyBorder="1" applyAlignment="1">
      <alignment horizontal="left"/>
    </xf>
    <xf numFmtId="6" fontId="85" fillId="0" borderId="92" xfId="0" applyNumberFormat="1" applyFont="1" applyBorder="1" applyAlignment="1">
      <alignment horizontal="right"/>
    </xf>
    <xf numFmtId="6" fontId="85" fillId="0" borderId="94" xfId="0" applyNumberFormat="1" applyFont="1" applyBorder="1" applyAlignment="1">
      <alignment horizontal="right"/>
    </xf>
    <xf numFmtId="6" fontId="85" fillId="0" borderId="98" xfId="0" applyNumberFormat="1" applyFont="1" applyBorder="1" applyAlignment="1">
      <alignment horizontal="right"/>
    </xf>
    <xf numFmtId="0" fontId="85" fillId="0" borderId="99" xfId="0" applyFont="1" applyBorder="1" applyAlignment="1">
      <alignment horizontal="left"/>
    </xf>
    <xf numFmtId="6" fontId="85" fillId="0" borderId="99" xfId="0" applyNumberFormat="1" applyFont="1" applyBorder="1" applyAlignment="1">
      <alignment horizontal="right"/>
    </xf>
    <xf numFmtId="0" fontId="127" fillId="0" borderId="12" xfId="0" applyFont="1" applyBorder="1"/>
    <xf numFmtId="6" fontId="127" fillId="0" borderId="13" xfId="0" applyNumberFormat="1" applyFont="1" applyBorder="1" applyAlignment="1">
      <alignment horizontal="right"/>
    </xf>
    <xf numFmtId="6" fontId="127" fillId="0" borderId="13" xfId="0" applyNumberFormat="1" applyFont="1" applyBorder="1" applyAlignment="1">
      <alignment horizontal="center"/>
    </xf>
    <xf numFmtId="8" fontId="127" fillId="0" borderId="13" xfId="0" applyNumberFormat="1" applyFont="1" applyBorder="1" applyAlignment="1">
      <alignment horizontal="center"/>
    </xf>
    <xf numFmtId="0" fontId="127" fillId="8" borderId="22" xfId="0" applyFont="1" applyFill="1" applyBorder="1"/>
    <xf numFmtId="6" fontId="85" fillId="8" borderId="15" xfId="0" applyNumberFormat="1" applyFont="1" applyFill="1" applyBorder="1" applyAlignment="1">
      <alignment horizontal="right"/>
    </xf>
    <xf numFmtId="6" fontId="85" fillId="8" borderId="15" xfId="0" applyNumberFormat="1" applyFont="1" applyFill="1" applyBorder="1" applyAlignment="1">
      <alignment horizontal="center"/>
    </xf>
    <xf numFmtId="0" fontId="85" fillId="8" borderId="15" xfId="0" applyFont="1" applyFill="1" applyBorder="1" applyAlignment="1">
      <alignment horizontal="center"/>
    </xf>
    <xf numFmtId="0" fontId="85" fillId="8" borderId="16" xfId="0" applyFont="1" applyFill="1" applyBorder="1" applyAlignment="1">
      <alignment horizontal="center"/>
    </xf>
    <xf numFmtId="6" fontId="127" fillId="0" borderId="53" xfId="0" applyNumberFormat="1" applyFont="1" applyBorder="1" applyAlignment="1">
      <alignment horizontal="right"/>
    </xf>
    <xf numFmtId="6" fontId="127" fillId="0" borderId="0" xfId="0" applyNumberFormat="1" applyFont="1" applyAlignment="1">
      <alignment horizontal="right"/>
    </xf>
    <xf numFmtId="8" fontId="127" fillId="0" borderId="0" xfId="0" applyNumberFormat="1" applyFont="1" applyAlignment="1">
      <alignment horizontal="center"/>
    </xf>
    <xf numFmtId="172" fontId="127" fillId="0" borderId="0" xfId="0" applyNumberFormat="1" applyFont="1" applyAlignment="1">
      <alignment horizontal="center"/>
    </xf>
    <xf numFmtId="170" fontId="85" fillId="0" borderId="0" xfId="0" applyNumberFormat="1" applyFont="1" applyAlignment="1">
      <alignment horizontal="right"/>
    </xf>
    <xf numFmtId="0" fontId="85" fillId="0" borderId="0" xfId="0" applyFont="1" applyAlignment="1">
      <alignment horizontal="right"/>
    </xf>
    <xf numFmtId="0" fontId="134" fillId="2" borderId="15" xfId="0" applyFont="1" applyFill="1" applyBorder="1"/>
    <xf numFmtId="0" fontId="85" fillId="2" borderId="15" xfId="0" applyFont="1" applyFill="1" applyBorder="1" applyAlignment="1">
      <alignment horizontal="right"/>
    </xf>
    <xf numFmtId="6" fontId="85" fillId="2" borderId="15" xfId="0" applyNumberFormat="1" applyFont="1" applyFill="1" applyBorder="1" applyAlignment="1">
      <alignment horizontal="right"/>
    </xf>
    <xf numFmtId="0" fontId="87" fillId="0" borderId="0" xfId="0" applyFont="1"/>
    <xf numFmtId="6" fontId="85" fillId="0" borderId="0" xfId="0" applyNumberFormat="1" applyFont="1"/>
    <xf numFmtId="0" fontId="85" fillId="0" borderId="0" xfId="0" applyFont="1" applyAlignment="1">
      <alignment horizontal="left" vertical="top" wrapText="1"/>
    </xf>
    <xf numFmtId="0" fontId="118" fillId="2" borderId="15" xfId="0" applyFont="1" applyFill="1" applyBorder="1" applyAlignment="1">
      <alignment horizontal="center"/>
    </xf>
    <xf numFmtId="0" fontId="134" fillId="2" borderId="15" xfId="0" applyFont="1" applyFill="1" applyBorder="1" applyAlignment="1">
      <alignment horizontal="center"/>
    </xf>
    <xf numFmtId="37" fontId="85" fillId="0" borderId="54" xfId="0" applyNumberFormat="1" applyFont="1" applyBorder="1" applyAlignment="1">
      <alignment horizontal="left"/>
    </xf>
    <xf numFmtId="197" fontId="86" fillId="0" borderId="54" xfId="0" applyNumberFormat="1" applyFont="1" applyBorder="1" applyAlignment="1">
      <alignment vertical="top"/>
    </xf>
    <xf numFmtId="0" fontId="87" fillId="0" borderId="54" xfId="0" applyFont="1" applyBorder="1"/>
    <xf numFmtId="164" fontId="85" fillId="0" borderId="54" xfId="0" applyNumberFormat="1" applyFont="1" applyBorder="1"/>
    <xf numFmtId="202" fontId="85" fillId="0" borderId="54" xfId="0" applyNumberFormat="1" applyFont="1" applyBorder="1"/>
    <xf numFmtId="203" fontId="85" fillId="0" borderId="54" xfId="0" applyNumberFormat="1" applyFont="1" applyBorder="1"/>
    <xf numFmtId="10" fontId="85" fillId="0" borderId="54" xfId="0" applyNumberFormat="1" applyFont="1" applyBorder="1"/>
    <xf numFmtId="37" fontId="85" fillId="0" borderId="13" xfId="0" applyNumberFormat="1" applyFont="1" applyBorder="1" applyAlignment="1">
      <alignment horizontal="left"/>
    </xf>
    <xf numFmtId="197" fontId="86" fillId="0" borderId="13" xfId="0" applyNumberFormat="1" applyFont="1" applyBorder="1" applyAlignment="1">
      <alignment vertical="top"/>
    </xf>
    <xf numFmtId="0" fontId="87" fillId="0" borderId="13" xfId="0" applyFont="1" applyBorder="1"/>
    <xf numFmtId="164" fontId="85" fillId="0" borderId="94" xfId="0" applyNumberFormat="1" applyFont="1" applyBorder="1"/>
    <xf numFmtId="202" fontId="85" fillId="0" borderId="13" xfId="0" applyNumberFormat="1" applyFont="1" applyBorder="1"/>
    <xf numFmtId="203" fontId="85" fillId="0" borderId="13" xfId="0" applyNumberFormat="1" applyFont="1" applyBorder="1"/>
    <xf numFmtId="10" fontId="85" fillId="0" borderId="13" xfId="0" applyNumberFormat="1" applyFont="1" applyBorder="1"/>
    <xf numFmtId="37" fontId="85" fillId="0" borderId="0" xfId="0" applyNumberFormat="1" applyFont="1" applyAlignment="1">
      <alignment horizontal="left"/>
    </xf>
    <xf numFmtId="172" fontId="87" fillId="0" borderId="0" xfId="0" applyNumberFormat="1" applyFont="1"/>
    <xf numFmtId="204" fontId="136" fillId="0" borderId="0" xfId="0" applyNumberFormat="1" applyFont="1"/>
    <xf numFmtId="202" fontId="136" fillId="0" borderId="0" xfId="0" applyNumberFormat="1" applyFont="1"/>
    <xf numFmtId="205" fontId="136" fillId="0" borderId="0" xfId="0" applyNumberFormat="1" applyFont="1"/>
    <xf numFmtId="10" fontId="136" fillId="0" borderId="0" xfId="0" applyNumberFormat="1" applyFont="1"/>
    <xf numFmtId="172" fontId="87" fillId="0" borderId="13" xfId="0" applyNumberFormat="1" applyFont="1" applyBorder="1"/>
    <xf numFmtId="204" fontId="136" fillId="0" borderId="94" xfId="0" applyNumberFormat="1" applyFont="1" applyBorder="1"/>
    <xf numFmtId="202" fontId="136" fillId="0" borderId="13" xfId="0" applyNumberFormat="1" applyFont="1" applyBorder="1"/>
    <xf numFmtId="205" fontId="136" fillId="0" borderId="13" xfId="0" applyNumberFormat="1" applyFont="1" applyBorder="1"/>
    <xf numFmtId="10" fontId="136" fillId="0" borderId="13" xfId="0" applyNumberFormat="1" applyFont="1" applyBorder="1"/>
    <xf numFmtId="172" fontId="128" fillId="0" borderId="0" xfId="0" applyNumberFormat="1" applyFont="1"/>
    <xf numFmtId="204" fontId="127" fillId="0" borderId="0" xfId="0" applyNumberFormat="1" applyFont="1"/>
    <xf numFmtId="202" fontId="127" fillId="0" borderId="0" xfId="0" applyNumberFormat="1" applyFont="1"/>
    <xf numFmtId="203" fontId="127" fillId="0" borderId="0" xfId="0" applyNumberFormat="1" applyFont="1"/>
    <xf numFmtId="10" fontId="127" fillId="0" borderId="0" xfId="0" applyNumberFormat="1" applyFont="1"/>
    <xf numFmtId="204" fontId="85" fillId="0" borderId="13" xfId="0" applyNumberFormat="1" applyFont="1" applyBorder="1"/>
    <xf numFmtId="204" fontId="85" fillId="0" borderId="0" xfId="0" applyNumberFormat="1" applyFont="1"/>
    <xf numFmtId="202" fontId="85" fillId="0" borderId="0" xfId="0" applyNumberFormat="1" applyFont="1"/>
    <xf numFmtId="203" fontId="85" fillId="0" borderId="0" xfId="0" applyNumberFormat="1" applyFont="1"/>
    <xf numFmtId="10" fontId="85" fillId="0" borderId="0" xfId="0" applyNumberFormat="1" applyFont="1"/>
    <xf numFmtId="186" fontId="85" fillId="0" borderId="0" xfId="0" applyNumberFormat="1" applyFont="1"/>
    <xf numFmtId="204" fontId="136" fillId="0" borderId="54" xfId="0" applyNumberFormat="1" applyFont="1" applyBorder="1"/>
    <xf numFmtId="190" fontId="136" fillId="0" borderId="0" xfId="0" applyNumberFormat="1" applyFont="1"/>
    <xf numFmtId="190" fontId="136" fillId="0" borderId="13" xfId="0" applyNumberFormat="1" applyFont="1" applyBorder="1"/>
    <xf numFmtId="0" fontId="136" fillId="0" borderId="0" xfId="0" applyFont="1"/>
    <xf numFmtId="204" fontId="137" fillId="0" borderId="0" xfId="0" applyNumberFormat="1" applyFont="1"/>
    <xf numFmtId="177" fontId="137" fillId="0" borderId="0" xfId="0" applyNumberFormat="1" applyFont="1"/>
    <xf numFmtId="190" fontId="137" fillId="0" borderId="0" xfId="0" applyNumberFormat="1" applyFont="1"/>
    <xf numFmtId="172" fontId="137" fillId="0" borderId="0" xfId="0" applyNumberFormat="1" applyFont="1"/>
    <xf numFmtId="0" fontId="127" fillId="0" borderId="25" xfId="0" applyFont="1" applyBorder="1"/>
    <xf numFmtId="197" fontId="86" fillId="0" borderId="25" xfId="0" applyNumberFormat="1" applyFont="1" applyBorder="1" applyAlignment="1">
      <alignment vertical="top"/>
    </xf>
    <xf numFmtId="172" fontId="87" fillId="0" borderId="25" xfId="0" applyNumberFormat="1" applyFont="1" applyBorder="1"/>
    <xf numFmtId="204" fontId="127" fillId="0" borderId="25" xfId="0" applyNumberFormat="1" applyFont="1" applyBorder="1"/>
    <xf numFmtId="186" fontId="127" fillId="0" borderId="25" xfId="0" applyNumberFormat="1" applyFont="1" applyBorder="1"/>
    <xf numFmtId="190" fontId="127" fillId="0" borderId="25" xfId="0" applyNumberFormat="1" applyFont="1" applyBorder="1"/>
    <xf numFmtId="172" fontId="127" fillId="0" borderId="25" xfId="0" applyNumberFormat="1" applyFont="1" applyBorder="1"/>
    <xf numFmtId="172" fontId="87" fillId="0" borderId="0" xfId="0" applyNumberFormat="1" applyFont="1" applyAlignment="1">
      <alignment horizontal="center"/>
    </xf>
    <xf numFmtId="177" fontId="85" fillId="0" borderId="54" xfId="0" applyNumberFormat="1" applyFont="1" applyBorder="1"/>
    <xf numFmtId="190" fontId="85" fillId="0" borderId="54" xfId="0" applyNumberFormat="1" applyFont="1" applyBorder="1" applyAlignment="1">
      <alignment horizontal="center"/>
    </xf>
    <xf numFmtId="0" fontId="87" fillId="0" borderId="0" xfId="0" applyFont="1" applyAlignment="1">
      <alignment horizontal="center"/>
    </xf>
    <xf numFmtId="204" fontId="127" fillId="0" borderId="94" xfId="0" applyNumberFormat="1" applyFont="1" applyBorder="1"/>
    <xf numFmtId="177" fontId="127" fillId="0" borderId="94" xfId="0" applyNumberFormat="1" applyFont="1" applyBorder="1"/>
    <xf numFmtId="190" fontId="127" fillId="0" borderId="94" xfId="0" applyNumberFormat="1" applyFont="1" applyBorder="1" applyAlignment="1">
      <alignment horizontal="center"/>
    </xf>
    <xf numFmtId="197" fontId="87" fillId="0" borderId="0" xfId="0" applyNumberFormat="1" applyFont="1"/>
    <xf numFmtId="10" fontId="87" fillId="0" borderId="0" xfId="0" applyNumberFormat="1" applyFont="1" applyAlignment="1">
      <alignment horizontal="center"/>
    </xf>
    <xf numFmtId="177" fontId="85" fillId="0" borderId="0" xfId="0" applyNumberFormat="1" applyFont="1"/>
    <xf numFmtId="190" fontId="85" fillId="0" borderId="0" xfId="0" applyNumberFormat="1" applyFont="1" applyAlignment="1">
      <alignment horizontal="center"/>
    </xf>
    <xf numFmtId="0" fontId="124" fillId="0" borderId="0" xfId="0" applyFont="1" applyAlignment="1">
      <alignment horizontal="left"/>
    </xf>
    <xf numFmtId="177" fontId="127" fillId="0" borderId="0" xfId="0" applyNumberFormat="1" applyFont="1"/>
    <xf numFmtId="184" fontId="127" fillId="0" borderId="0" xfId="0" applyNumberFormat="1" applyFont="1" applyAlignment="1">
      <alignment horizontal="right"/>
    </xf>
    <xf numFmtId="184" fontId="85" fillId="0" borderId="0" xfId="0" applyNumberFormat="1" applyFont="1" applyAlignment="1">
      <alignment horizontal="right"/>
    </xf>
    <xf numFmtId="0" fontId="128" fillId="0" borderId="0" xfId="0" applyFont="1"/>
    <xf numFmtId="0" fontId="128" fillId="0" borderId="0" xfId="0" applyFont="1" applyAlignment="1">
      <alignment horizontal="center"/>
    </xf>
    <xf numFmtId="172" fontId="127" fillId="0" borderId="0" xfId="1" applyNumberFormat="1" applyFont="1"/>
    <xf numFmtId="262" fontId="127" fillId="0" borderId="0" xfId="1" applyNumberFormat="1" applyFont="1" applyAlignment="1">
      <alignment horizontal="right"/>
    </xf>
    <xf numFmtId="164" fontId="118" fillId="2" borderId="4" xfId="0" applyNumberFormat="1" applyFont="1" applyFill="1" applyBorder="1" applyAlignment="1">
      <alignment vertical="top"/>
    </xf>
    <xf numFmtId="164" fontId="118" fillId="2" borderId="5" xfId="0" applyNumberFormat="1" applyFont="1" applyFill="1" applyBorder="1" applyAlignment="1">
      <alignment vertical="top"/>
    </xf>
    <xf numFmtId="164" fontId="118" fillId="2" borderId="6" xfId="0" applyNumberFormat="1" applyFont="1" applyFill="1" applyBorder="1" applyAlignment="1">
      <alignment vertical="top"/>
    </xf>
    <xf numFmtId="0" fontId="127" fillId="0" borderId="8" xfId="0" applyFont="1" applyBorder="1" applyAlignment="1">
      <alignment horizontal="left" vertical="top"/>
    </xf>
    <xf numFmtId="0" fontId="85" fillId="0" borderId="11" xfId="0" applyFont="1" applyBorder="1"/>
    <xf numFmtId="9" fontId="85" fillId="0" borderId="9" xfId="0" applyNumberFormat="1" applyFont="1" applyBorder="1" applyAlignment="1">
      <alignment horizontal="center" vertical="top"/>
    </xf>
    <xf numFmtId="37" fontId="127" fillId="0" borderId="8" xfId="0" applyNumberFormat="1" applyFont="1" applyBorder="1" applyAlignment="1">
      <alignment horizontal="left"/>
    </xf>
    <xf numFmtId="186" fontId="85" fillId="0" borderId="9" xfId="0" applyNumberFormat="1" applyFont="1" applyBorder="1" applyAlignment="1">
      <alignment horizontal="center"/>
    </xf>
    <xf numFmtId="0" fontId="127" fillId="0" borderId="7" xfId="0" applyFont="1" applyBorder="1" applyAlignment="1">
      <alignment horizontal="left" vertical="top"/>
    </xf>
    <xf numFmtId="9" fontId="85" fillId="0" borderId="10" xfId="0" applyNumberFormat="1" applyFont="1" applyBorder="1" applyAlignment="1">
      <alignment horizontal="center" vertical="top"/>
    </xf>
    <xf numFmtId="37" fontId="127" fillId="0" borderId="7" xfId="0" applyNumberFormat="1" applyFont="1" applyBorder="1" applyAlignment="1">
      <alignment horizontal="left"/>
    </xf>
    <xf numFmtId="186" fontId="85" fillId="0" borderId="10" xfId="0" applyNumberFormat="1" applyFont="1" applyBorder="1" applyAlignment="1">
      <alignment horizontal="center"/>
    </xf>
    <xf numFmtId="2" fontId="85" fillId="0" borderId="10" xfId="0" applyNumberFormat="1" applyFont="1" applyBorder="1" applyAlignment="1">
      <alignment horizontal="center" vertical="top"/>
    </xf>
    <xf numFmtId="9" fontId="85" fillId="0" borderId="10" xfId="0" applyNumberFormat="1" applyFont="1" applyBorder="1" applyAlignment="1">
      <alignment horizontal="center"/>
    </xf>
    <xf numFmtId="10" fontId="85" fillId="0" borderId="10" xfId="0" applyNumberFormat="1" applyFont="1" applyBorder="1" applyAlignment="1">
      <alignment horizontal="center" vertical="top"/>
    </xf>
    <xf numFmtId="0" fontId="127" fillId="0" borderId="22" xfId="0" applyFont="1" applyBorder="1" applyAlignment="1">
      <alignment horizontal="left" vertical="top"/>
    </xf>
    <xf numFmtId="10" fontId="85" fillId="0" borderId="71" xfId="0" applyNumberFormat="1" applyFont="1" applyBorder="1" applyAlignment="1">
      <alignment horizontal="center" vertical="top"/>
    </xf>
    <xf numFmtId="37" fontId="127" fillId="0" borderId="22" xfId="0" applyNumberFormat="1" applyFont="1" applyBorder="1" applyAlignment="1">
      <alignment horizontal="left"/>
    </xf>
    <xf numFmtId="0" fontId="127" fillId="0" borderId="12" xfId="0" applyFont="1" applyBorder="1" applyAlignment="1">
      <alignment horizontal="left" vertical="top"/>
    </xf>
    <xf numFmtId="197" fontId="86" fillId="0" borderId="94" xfId="0" applyNumberFormat="1" applyFont="1" applyBorder="1" applyAlignment="1">
      <alignment vertical="top"/>
    </xf>
    <xf numFmtId="0" fontId="85" fillId="0" borderId="13" xfId="0" applyFont="1" applyBorder="1"/>
    <xf numFmtId="2" fontId="85" fillId="0" borderId="14" xfId="0" applyNumberFormat="1" applyFont="1" applyBorder="1" applyAlignment="1">
      <alignment horizontal="center" vertical="top"/>
    </xf>
    <xf numFmtId="0" fontId="127" fillId="21" borderId="12" xfId="0" applyFont="1" applyFill="1" applyBorder="1" applyAlignment="1">
      <alignment horizontal="left" vertical="top"/>
    </xf>
    <xf numFmtId="0" fontId="85" fillId="21" borderId="13" xfId="0" applyFont="1" applyFill="1" applyBorder="1"/>
    <xf numFmtId="10" fontId="85" fillId="21" borderId="14" xfId="0" applyNumberFormat="1" applyFont="1" applyFill="1" applyBorder="1" applyAlignment="1">
      <alignment horizontal="center"/>
    </xf>
    <xf numFmtId="0" fontId="124" fillId="0" borderId="54" xfId="0" applyFont="1" applyBorder="1" applyAlignment="1">
      <alignment horizontal="left" vertical="top"/>
    </xf>
    <xf numFmtId="262" fontId="127" fillId="0" borderId="0" xfId="1" applyNumberFormat="1" applyFont="1"/>
    <xf numFmtId="37" fontId="138" fillId="0" borderId="0" xfId="0" applyNumberFormat="1" applyFont="1"/>
    <xf numFmtId="37" fontId="134" fillId="0" borderId="54" xfId="0" applyNumberFormat="1" applyFont="1" applyBorder="1"/>
    <xf numFmtId="0" fontId="85" fillId="0" borderId="54" xfId="0" applyFont="1" applyBorder="1"/>
    <xf numFmtId="208" fontId="139" fillId="0" borderId="0" xfId="0" applyNumberFormat="1" applyFont="1" applyAlignment="1">
      <alignment horizontal="right"/>
    </xf>
    <xf numFmtId="37" fontId="140" fillId="0" borderId="54" xfId="0" applyNumberFormat="1" applyFont="1" applyBorder="1" applyAlignment="1">
      <alignment horizontal="center"/>
    </xf>
    <xf numFmtId="9" fontId="85" fillId="0" borderId="0" xfId="0" applyNumberFormat="1" applyFont="1"/>
    <xf numFmtId="209" fontId="85" fillId="0" borderId="0" xfId="0" applyNumberFormat="1" applyFont="1"/>
    <xf numFmtId="37" fontId="140" fillId="10" borderId="15" xfId="0" applyNumberFormat="1" applyFont="1" applyFill="1" applyBorder="1" applyAlignment="1">
      <alignment horizontal="center"/>
    </xf>
    <xf numFmtId="37" fontId="141" fillId="0" borderId="0" xfId="0" applyNumberFormat="1" applyFont="1" applyAlignment="1">
      <alignment horizontal="center"/>
    </xf>
    <xf numFmtId="37" fontId="85" fillId="0" borderId="0" xfId="0" applyNumberFormat="1" applyFont="1" applyAlignment="1">
      <alignment horizontal="right"/>
    </xf>
    <xf numFmtId="3" fontId="85" fillId="0" borderId="0" xfId="0" applyNumberFormat="1" applyFont="1" applyAlignment="1">
      <alignment horizontal="center"/>
    </xf>
    <xf numFmtId="9" fontId="85" fillId="0" borderId="0" xfId="0" applyNumberFormat="1" applyFont="1" applyAlignment="1">
      <alignment horizontal="center"/>
    </xf>
    <xf numFmtId="0" fontId="141" fillId="0" borderId="0" xfId="0" applyFont="1" applyAlignment="1">
      <alignment horizontal="center"/>
    </xf>
    <xf numFmtId="14" fontId="142" fillId="2" borderId="61" xfId="0" applyNumberFormat="1" applyFont="1" applyFill="1" applyBorder="1" applyAlignment="1">
      <alignment horizontal="center" vertical="center"/>
    </xf>
    <xf numFmtId="37" fontId="127" fillId="0" borderId="13" xfId="0" applyNumberFormat="1" applyFont="1" applyBorder="1" applyAlignment="1">
      <alignment horizontal="center"/>
    </xf>
    <xf numFmtId="37" fontId="143" fillId="11" borderId="5" xfId="0" applyNumberFormat="1" applyFont="1" applyFill="1" applyBorder="1"/>
    <xf numFmtId="37" fontId="85" fillId="10" borderId="15" xfId="0" applyNumberFormat="1" applyFont="1" applyFill="1" applyBorder="1" applyAlignment="1">
      <alignment horizontal="center"/>
    </xf>
    <xf numFmtId="1" fontId="85" fillId="0" borderId="0" xfId="0" applyNumberFormat="1" applyFont="1" applyAlignment="1">
      <alignment horizontal="center"/>
    </xf>
    <xf numFmtId="37" fontId="141" fillId="0" borderId="0" xfId="0" applyNumberFormat="1" applyFont="1"/>
    <xf numFmtId="172" fontId="127" fillId="0" borderId="0" xfId="0" applyNumberFormat="1" applyFont="1" applyAlignment="1">
      <alignment horizontal="left"/>
    </xf>
    <xf numFmtId="9" fontId="144" fillId="10" borderId="15" xfId="0" applyNumberFormat="1" applyFont="1" applyFill="1" applyBorder="1" applyAlignment="1">
      <alignment horizontal="center"/>
    </xf>
    <xf numFmtId="9" fontId="127" fillId="0" borderId="0" xfId="0" applyNumberFormat="1" applyFont="1"/>
    <xf numFmtId="172" fontId="85" fillId="0" borderId="0" xfId="0" applyNumberFormat="1" applyFont="1" applyAlignment="1">
      <alignment horizontal="left"/>
    </xf>
    <xf numFmtId="37" fontId="145" fillId="10" borderId="15" xfId="0" applyNumberFormat="1" applyFont="1" applyFill="1" applyBorder="1" applyAlignment="1">
      <alignment horizontal="center"/>
    </xf>
    <xf numFmtId="3" fontId="145" fillId="0" borderId="0" xfId="0" applyNumberFormat="1" applyFont="1" applyAlignment="1">
      <alignment horizontal="center"/>
    </xf>
    <xf numFmtId="14" fontId="87" fillId="0" borderId="0" xfId="0" applyNumberFormat="1" applyFont="1" applyAlignment="1">
      <alignment horizontal="right"/>
    </xf>
    <xf numFmtId="240" fontId="6" fillId="0" borderId="54" xfId="0" applyNumberFormat="1" applyFont="1" applyBorder="1"/>
    <xf numFmtId="0" fontId="5" fillId="0" borderId="54" xfId="0" applyFont="1" applyBorder="1"/>
    <xf numFmtId="14" fontId="146" fillId="0" borderId="0" xfId="0" applyNumberFormat="1" applyFont="1" applyAlignment="1">
      <alignment horizontal="right"/>
    </xf>
    <xf numFmtId="0" fontId="108" fillId="0" borderId="54" xfId="0" applyFont="1" applyBorder="1"/>
    <xf numFmtId="0" fontId="108" fillId="0" borderId="54" xfId="0" applyFont="1" applyBorder="1" applyAlignment="1">
      <alignment horizontal="center"/>
    </xf>
    <xf numFmtId="14" fontId="109" fillId="0" borderId="54" xfId="0" applyNumberFormat="1" applyFont="1" applyBorder="1" applyAlignment="1">
      <alignment horizontal="center"/>
    </xf>
    <xf numFmtId="0" fontId="108" fillId="0" borderId="89" xfId="0" applyFont="1" applyBorder="1"/>
    <xf numFmtId="0" fontId="108" fillId="0" borderId="89" xfId="0" applyFont="1" applyBorder="1" applyAlignment="1">
      <alignment horizontal="center"/>
    </xf>
    <xf numFmtId="14" fontId="85" fillId="0" borderId="89" xfId="0" applyNumberFormat="1" applyFont="1" applyBorder="1" applyAlignment="1">
      <alignment horizontal="right"/>
    </xf>
    <xf numFmtId="0" fontId="9" fillId="0" borderId="88" xfId="0" applyFont="1" applyBorder="1" applyAlignment="1">
      <alignment horizontal="left" vertical="top"/>
    </xf>
    <xf numFmtId="9" fontId="6" fillId="0" borderId="89" xfId="0" applyNumberFormat="1" applyFont="1" applyBorder="1" applyAlignment="1">
      <alignment horizontal="right" vertical="top"/>
    </xf>
    <xf numFmtId="37" fontId="9" fillId="0" borderId="230" xfId="0" applyNumberFormat="1" applyFont="1" applyBorder="1"/>
    <xf numFmtId="0" fontId="6" fillId="0" borderId="90" xfId="0" applyFont="1" applyBorder="1" applyAlignment="1">
      <alignment horizontal="right" vertical="top"/>
    </xf>
    <xf numFmtId="0" fontId="9" fillId="0" borderId="91" xfId="0" applyFont="1" applyBorder="1" applyAlignment="1">
      <alignment horizontal="left" vertical="top"/>
    </xf>
    <xf numFmtId="0" fontId="6" fillId="0" borderId="92" xfId="0" applyFont="1" applyBorder="1" applyAlignment="1">
      <alignment horizontal="right" vertical="top"/>
    </xf>
    <xf numFmtId="37" fontId="9" fillId="0" borderId="91" xfId="0" applyNumberFormat="1" applyFont="1" applyBorder="1" applyAlignment="1">
      <alignment horizontal="left"/>
    </xf>
    <xf numFmtId="0" fontId="9" fillId="0" borderId="22" xfId="0" applyFont="1" applyBorder="1" applyAlignment="1">
      <alignment vertical="top"/>
    </xf>
    <xf numFmtId="3" fontId="6" fillId="0" borderId="92" xfId="0" applyNumberFormat="1" applyFont="1" applyBorder="1" applyAlignment="1">
      <alignment horizontal="right" vertical="top"/>
    </xf>
    <xf numFmtId="0" fontId="9" fillId="0" borderId="93" xfId="0" applyFont="1" applyBorder="1" applyAlignment="1">
      <alignment vertical="top"/>
    </xf>
    <xf numFmtId="2" fontId="6" fillId="0" borderId="209" xfId="0" applyNumberFormat="1" applyFont="1" applyBorder="1" applyAlignment="1">
      <alignment horizontal="right" vertical="top"/>
    </xf>
    <xf numFmtId="0" fontId="9" fillId="0" borderId="210" xfId="0" applyFont="1" applyBorder="1" applyAlignment="1">
      <alignment vertical="top"/>
    </xf>
    <xf numFmtId="0" fontId="6" fillId="0" borderId="95" xfId="0" applyFont="1" applyBorder="1" applyAlignment="1">
      <alignment horizontal="right" vertical="top"/>
    </xf>
    <xf numFmtId="164" fontId="7" fillId="2" borderId="232" xfId="0" applyNumberFormat="1" applyFont="1" applyFill="1" applyBorder="1" applyAlignment="1">
      <alignment vertical="top"/>
    </xf>
    <xf numFmtId="164" fontId="7" fillId="2" borderId="234" xfId="0" applyNumberFormat="1" applyFont="1" applyFill="1" applyBorder="1" applyAlignment="1">
      <alignment vertical="top"/>
    </xf>
    <xf numFmtId="5" fontId="13" fillId="0" borderId="71" xfId="0" applyNumberFormat="1" applyFont="1" applyBorder="1" applyAlignment="1">
      <alignment horizontal="right" vertical="top"/>
    </xf>
    <xf numFmtId="170" fontId="6" fillId="0" borderId="71" xfId="0" applyNumberFormat="1" applyFont="1" applyBorder="1" applyAlignment="1">
      <alignment horizontal="right" vertical="top"/>
    </xf>
    <xf numFmtId="170" fontId="9" fillId="0" borderId="71" xfId="0" applyNumberFormat="1" applyFont="1" applyBorder="1" applyAlignment="1">
      <alignment horizontal="right" vertical="top"/>
    </xf>
    <xf numFmtId="170" fontId="6" fillId="0" borderId="71" xfId="0" applyNumberFormat="1" applyFont="1" applyBorder="1"/>
    <xf numFmtId="0" fontId="6" fillId="0" borderId="71" xfId="0" applyFont="1" applyBorder="1"/>
    <xf numFmtId="170" fontId="9" fillId="0" borderId="71" xfId="0" applyNumberFormat="1" applyFont="1" applyBorder="1"/>
    <xf numFmtId="6" fontId="6" fillId="0" borderId="71" xfId="0" applyNumberFormat="1" applyFont="1" applyBorder="1"/>
    <xf numFmtId="1" fontId="13" fillId="0" borderId="91" xfId="0" applyNumberFormat="1" applyFont="1" applyBorder="1" applyAlignment="1">
      <alignment horizontal="right" vertical="top"/>
    </xf>
    <xf numFmtId="0" fontId="6" fillId="0" borderId="92" xfId="0" applyFont="1" applyBorder="1"/>
    <xf numFmtId="0" fontId="9" fillId="0" borderId="91" xfId="0" applyFont="1" applyBorder="1"/>
    <xf numFmtId="0" fontId="9" fillId="0" borderId="93" xfId="0" applyFont="1" applyBorder="1"/>
    <xf numFmtId="6" fontId="6" fillId="0" borderId="96" xfId="0" applyNumberFormat="1" applyFont="1" applyBorder="1"/>
    <xf numFmtId="6" fontId="6" fillId="0" borderId="95" xfId="0" applyNumberFormat="1" applyFont="1" applyBorder="1"/>
    <xf numFmtId="0" fontId="82" fillId="2" borderId="231" xfId="0" applyFont="1" applyFill="1" applyBorder="1" applyAlignment="1">
      <alignment horizontal="left" vertical="center"/>
    </xf>
    <xf numFmtId="0" fontId="7" fillId="2" borderId="232" xfId="0" applyFont="1" applyFill="1" applyBorder="1" applyAlignment="1">
      <alignment horizontal="left"/>
    </xf>
    <xf numFmtId="177" fontId="21" fillId="0" borderId="92" xfId="0" applyNumberFormat="1" applyFont="1" applyBorder="1" applyAlignment="1">
      <alignment horizontal="right"/>
    </xf>
    <xf numFmtId="6" fontId="5" fillId="0" borderId="71" xfId="0" applyNumberFormat="1" applyFont="1" applyBorder="1"/>
    <xf numFmtId="0" fontId="8" fillId="2" borderId="231" xfId="0" applyFont="1" applyFill="1" applyBorder="1" applyAlignment="1">
      <alignment horizontal="left" vertical="center"/>
    </xf>
    <xf numFmtId="164" fontId="7" fillId="2" borderId="235" xfId="0" applyNumberFormat="1" applyFont="1" applyFill="1" applyBorder="1" applyAlignment="1">
      <alignment vertical="top"/>
    </xf>
    <xf numFmtId="0" fontId="7" fillId="2" borderId="231" xfId="0" applyFont="1" applyFill="1" applyBorder="1" applyAlignment="1">
      <alignment horizontal="left" vertical="center"/>
    </xf>
    <xf numFmtId="0" fontId="7" fillId="2" borderId="235" xfId="0" applyFont="1" applyFill="1" applyBorder="1" applyAlignment="1">
      <alignment horizontal="left" vertical="center"/>
    </xf>
    <xf numFmtId="0" fontId="7" fillId="4" borderId="231" xfId="0" applyFont="1" applyFill="1" applyBorder="1" applyAlignment="1">
      <alignment horizontal="left" vertical="center"/>
    </xf>
    <xf numFmtId="0" fontId="7" fillId="4" borderId="234" xfId="0" applyFont="1" applyFill="1" applyBorder="1" applyAlignment="1">
      <alignment horizontal="left" vertical="center"/>
    </xf>
    <xf numFmtId="0" fontId="7" fillId="4" borderId="233" xfId="0" applyFont="1" applyFill="1" applyBorder="1" applyAlignment="1">
      <alignment horizontal="left" vertical="center"/>
    </xf>
    <xf numFmtId="0" fontId="6" fillId="0" borderId="60" xfId="0" applyFont="1" applyBorder="1" applyAlignment="1">
      <alignment horizontal="left"/>
    </xf>
    <xf numFmtId="10" fontId="15" fillId="0" borderId="71" xfId="0" applyNumberFormat="1" applyFont="1" applyBorder="1"/>
    <xf numFmtId="6" fontId="6" fillId="0" borderId="209" xfId="0" applyNumberFormat="1" applyFont="1" applyBorder="1"/>
    <xf numFmtId="5" fontId="13" fillId="0" borderId="97" xfId="0" applyNumberFormat="1" applyFont="1" applyBorder="1" applyAlignment="1">
      <alignment horizontal="right" vertical="top"/>
    </xf>
    <xf numFmtId="170" fontId="6" fillId="0" borderId="98" xfId="0" applyNumberFormat="1" applyFont="1" applyBorder="1" applyAlignment="1">
      <alignment horizontal="right" vertical="top"/>
    </xf>
    <xf numFmtId="170" fontId="9" fillId="0" borderId="98" xfId="0" applyNumberFormat="1" applyFont="1" applyBorder="1" applyAlignment="1">
      <alignment horizontal="right" vertical="top"/>
    </xf>
    <xf numFmtId="170" fontId="6" fillId="0" borderId="98" xfId="0" applyNumberFormat="1" applyFont="1" applyBorder="1"/>
    <xf numFmtId="10" fontId="15" fillId="0" borderId="98" xfId="0" applyNumberFormat="1" applyFont="1" applyBorder="1"/>
    <xf numFmtId="10" fontId="23" fillId="0" borderId="98" xfId="0" applyNumberFormat="1" applyFont="1" applyBorder="1"/>
    <xf numFmtId="0" fontId="6" fillId="0" borderId="98" xfId="0" applyFont="1" applyBorder="1"/>
    <xf numFmtId="170" fontId="9" fillId="0" borderId="98" xfId="0" applyNumberFormat="1" applyFont="1" applyBorder="1"/>
    <xf numFmtId="6" fontId="6" fillId="0" borderId="98" xfId="0" applyNumberFormat="1" applyFont="1" applyBorder="1"/>
    <xf numFmtId="0" fontId="8" fillId="0" borderId="54" xfId="0" applyFont="1" applyBorder="1"/>
    <xf numFmtId="0" fontId="123" fillId="0" borderId="54" xfId="0" applyFont="1" applyBorder="1"/>
    <xf numFmtId="0" fontId="9" fillId="0" borderId="91" xfId="0" applyFont="1" applyBorder="1" applyAlignment="1">
      <alignment horizontal="left"/>
    </xf>
    <xf numFmtId="6" fontId="6" fillId="0" borderId="99" xfId="0" applyNumberFormat="1" applyFont="1" applyBorder="1"/>
    <xf numFmtId="165" fontId="5" fillId="0" borderId="10" xfId="0" applyNumberFormat="1" applyFont="1" applyBorder="1" applyAlignment="1">
      <alignment horizontal="right" vertical="center"/>
    </xf>
    <xf numFmtId="173" fontId="5" fillId="0" borderId="14" xfId="0" applyNumberFormat="1" applyFont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left" vertical="center"/>
    </xf>
    <xf numFmtId="17" fontId="7" fillId="2" borderId="236" xfId="0" applyNumberFormat="1" applyFont="1" applyFill="1" applyBorder="1" applyAlignment="1">
      <alignment horizontal="center"/>
    </xf>
    <xf numFmtId="5" fontId="13" fillId="0" borderId="92" xfId="0" applyNumberFormat="1" applyFont="1" applyBorder="1" applyAlignment="1">
      <alignment horizontal="right" vertical="top"/>
    </xf>
    <xf numFmtId="170" fontId="6" fillId="0" borderId="92" xfId="0" applyNumberFormat="1" applyFont="1" applyBorder="1" applyAlignment="1">
      <alignment horizontal="right" vertical="top"/>
    </xf>
    <xf numFmtId="170" fontId="9" fillId="0" borderId="92" xfId="0" applyNumberFormat="1" applyFont="1" applyBorder="1" applyAlignment="1">
      <alignment horizontal="right" vertical="top"/>
    </xf>
    <xf numFmtId="10" fontId="15" fillId="0" borderId="237" xfId="0" applyNumberFormat="1" applyFont="1" applyBorder="1"/>
    <xf numFmtId="170" fontId="9" fillId="0" borderId="92" xfId="0" applyNumberFormat="1" applyFont="1" applyBorder="1"/>
    <xf numFmtId="170" fontId="6" fillId="0" borderId="92" xfId="0" applyNumberFormat="1" applyFont="1" applyBorder="1"/>
    <xf numFmtId="170" fontId="6" fillId="0" borderId="237" xfId="0" applyNumberFormat="1" applyFont="1" applyBorder="1" applyAlignment="1">
      <alignment horizontal="right" vertical="top"/>
    </xf>
    <xf numFmtId="6" fontId="6" fillId="0" borderId="92" xfId="0" applyNumberFormat="1" applyFont="1" applyBorder="1"/>
    <xf numFmtId="171" fontId="96" fillId="25" borderId="238" xfId="0" applyNumberFormat="1" applyFont="1" applyFill="1" applyBorder="1" applyAlignment="1">
      <alignment horizontal="center" vertical="top" wrapText="1"/>
    </xf>
    <xf numFmtId="171" fontId="103" fillId="0" borderId="238" xfId="0" applyNumberFormat="1" applyFont="1" applyBorder="1" applyAlignment="1">
      <alignment horizontal="center" vertical="top" wrapText="1"/>
    </xf>
    <xf numFmtId="0" fontId="95" fillId="24" borderId="226" xfId="0" applyFont="1" applyFill="1" applyBorder="1" applyAlignment="1">
      <alignment horizontal="center" vertical="top"/>
    </xf>
    <xf numFmtId="0" fontId="95" fillId="24" borderId="239" xfId="0" applyFont="1" applyFill="1" applyBorder="1" applyAlignment="1">
      <alignment horizontal="center" vertical="center"/>
    </xf>
    <xf numFmtId="0" fontId="95" fillId="24" borderId="240" xfId="0" applyFont="1" applyFill="1" applyBorder="1" applyAlignment="1">
      <alignment horizontal="center" vertical="center"/>
    </xf>
    <xf numFmtId="0" fontId="95" fillId="24" borderId="241" xfId="0" applyFont="1" applyFill="1" applyBorder="1" applyAlignment="1">
      <alignment horizontal="center" vertical="center"/>
    </xf>
    <xf numFmtId="252" fontId="96" fillId="25" borderId="242" xfId="0" applyNumberFormat="1" applyFont="1" applyFill="1" applyBorder="1" applyAlignment="1">
      <alignment horizontal="center" vertical="top" wrapText="1"/>
    </xf>
    <xf numFmtId="253" fontId="96" fillId="25" borderId="243" xfId="0" applyNumberFormat="1" applyFont="1" applyFill="1" applyBorder="1" applyAlignment="1">
      <alignment horizontal="center" vertical="top" wrapText="1"/>
    </xf>
    <xf numFmtId="173" fontId="96" fillId="25" borderId="238" xfId="0" applyNumberFormat="1" applyFont="1" applyFill="1" applyBorder="1" applyAlignment="1">
      <alignment horizontal="center" vertical="top" wrapText="1"/>
    </xf>
    <xf numFmtId="252" fontId="103" fillId="0" borderId="242" xfId="0" applyNumberFormat="1" applyFont="1" applyBorder="1" applyAlignment="1">
      <alignment horizontal="center" vertical="top" wrapText="1"/>
    </xf>
    <xf numFmtId="253" fontId="103" fillId="0" borderId="243" xfId="0" applyNumberFormat="1" applyFont="1" applyBorder="1" applyAlignment="1">
      <alignment horizontal="center" vertical="top" wrapText="1"/>
    </xf>
    <xf numFmtId="173" fontId="102" fillId="0" borderId="238" xfId="0" applyNumberFormat="1" applyFont="1" applyBorder="1" applyAlignment="1">
      <alignment horizontal="center" vertical="top" wrapText="1"/>
    </xf>
    <xf numFmtId="173" fontId="102" fillId="0" borderId="244" xfId="0" applyNumberFormat="1" applyFont="1" applyBorder="1" applyAlignment="1">
      <alignment horizontal="center" vertical="top" wrapText="1"/>
    </xf>
    <xf numFmtId="171" fontId="103" fillId="0" borderId="245" xfId="0" applyNumberFormat="1" applyFont="1" applyBorder="1" applyAlignment="1">
      <alignment horizontal="center" vertical="top" wrapText="1"/>
    </xf>
    <xf numFmtId="252" fontId="103" fillId="0" borderId="246" xfId="0" applyNumberFormat="1" applyFont="1" applyBorder="1" applyAlignment="1">
      <alignment horizontal="center" vertical="top" wrapText="1"/>
    </xf>
    <xf numFmtId="0" fontId="1" fillId="0" borderId="129" xfId="0" applyFont="1" applyBorder="1" applyAlignment="1">
      <alignment horizontal="left" vertical="top" wrapText="1"/>
    </xf>
    <xf numFmtId="0" fontId="1" fillId="0" borderId="133" xfId="0" applyFont="1" applyBorder="1" applyAlignment="1">
      <alignment horizontal="left" vertical="top" wrapText="1"/>
    </xf>
    <xf numFmtId="172" fontId="103" fillId="0" borderId="124" xfId="0" applyNumberFormat="1" applyFont="1" applyBorder="1" applyAlignment="1">
      <alignment horizontal="left" vertical="top" wrapText="1"/>
    </xf>
    <xf numFmtId="171" fontId="1" fillId="0" borderId="133" xfId="4" applyNumberFormat="1" applyFont="1" applyBorder="1" applyAlignment="1">
      <alignment horizontal="center" vertical="top" wrapText="1"/>
    </xf>
    <xf numFmtId="0" fontId="1" fillId="0" borderId="145" xfId="0" applyFont="1" applyBorder="1" applyAlignment="1">
      <alignment horizontal="left" vertical="top" wrapText="1"/>
    </xf>
    <xf numFmtId="173" fontId="103" fillId="0" borderId="129" xfId="0" applyNumberFormat="1" applyFont="1" applyBorder="1" applyAlignment="1">
      <alignment horizontal="center" vertical="top" wrapText="1"/>
    </xf>
    <xf numFmtId="172" fontId="103" fillId="0" borderId="129" xfId="1" applyNumberFormat="1" applyFont="1" applyBorder="1" applyAlignment="1">
      <alignment horizontal="center" vertical="top" wrapText="1"/>
    </xf>
    <xf numFmtId="0" fontId="1" fillId="0" borderId="138" xfId="0" applyFont="1" applyBorder="1" applyAlignment="1">
      <alignment horizontal="left" vertical="top" wrapText="1"/>
    </xf>
    <xf numFmtId="1" fontId="0" fillId="0" borderId="137" xfId="0" applyNumberFormat="1" applyBorder="1" applyAlignment="1">
      <alignment horizontal="center" vertical="top" wrapText="1"/>
    </xf>
    <xf numFmtId="253" fontId="0" fillId="0" borderId="137" xfId="0" applyNumberFormat="1" applyBorder="1" applyAlignment="1">
      <alignment horizontal="center" vertical="top" wrapText="1"/>
    </xf>
    <xf numFmtId="254" fontId="0" fillId="0" borderId="137" xfId="0" applyNumberFormat="1" applyBorder="1" applyAlignment="1">
      <alignment horizontal="center" vertical="top" wrapText="1"/>
    </xf>
    <xf numFmtId="252" fontId="0" fillId="0" borderId="139" xfId="0" applyNumberFormat="1" applyBorder="1" applyAlignment="1">
      <alignment horizontal="center" vertical="top" wrapText="1"/>
    </xf>
    <xf numFmtId="166" fontId="0" fillId="0" borderId="146" xfId="0" applyNumberFormat="1" applyBorder="1" applyAlignment="1">
      <alignment horizontal="center" vertical="top" wrapText="1"/>
    </xf>
    <xf numFmtId="252" fontId="0" fillId="0" borderId="247" xfId="0" applyNumberFormat="1" applyBorder="1" applyAlignment="1">
      <alignment horizontal="center" vertical="top" wrapText="1"/>
    </xf>
    <xf numFmtId="0" fontId="1" fillId="0" borderId="137" xfId="0" applyFont="1" applyBorder="1" applyAlignment="1">
      <alignment horizontal="center" vertical="top" wrapText="1"/>
    </xf>
    <xf numFmtId="252" fontId="103" fillId="0" borderId="248" xfId="0" applyNumberFormat="1" applyFont="1" applyBorder="1" applyAlignment="1">
      <alignment horizontal="center" vertical="top" wrapText="1"/>
    </xf>
    <xf numFmtId="252" fontId="103" fillId="0" borderId="249" xfId="0" applyNumberFormat="1" applyFont="1" applyBorder="1" applyAlignment="1">
      <alignment horizontal="center" vertical="top" wrapText="1"/>
    </xf>
    <xf numFmtId="253" fontId="103" fillId="0" borderId="250" xfId="0" applyNumberFormat="1" applyFont="1" applyBorder="1" applyAlignment="1">
      <alignment horizontal="center" vertical="top" wrapText="1"/>
    </xf>
    <xf numFmtId="253" fontId="103" fillId="0" borderId="251" xfId="0" applyNumberFormat="1" applyFont="1" applyBorder="1" applyAlignment="1">
      <alignment horizontal="center" vertical="top" wrapText="1"/>
    </xf>
    <xf numFmtId="173" fontId="102" fillId="0" borderId="252" xfId="0" applyNumberFormat="1" applyFont="1" applyBorder="1" applyAlignment="1">
      <alignment horizontal="center" vertical="top" wrapText="1"/>
    </xf>
    <xf numFmtId="173" fontId="102" fillId="0" borderId="253" xfId="0" applyNumberFormat="1" applyFont="1" applyBorder="1" applyAlignment="1">
      <alignment horizontal="center" vertical="top" wrapText="1"/>
    </xf>
    <xf numFmtId="171" fontId="103" fillId="0" borderId="254" xfId="0" applyNumberFormat="1" applyFont="1" applyBorder="1" applyAlignment="1">
      <alignment horizontal="center" vertical="top" wrapText="1"/>
    </xf>
    <xf numFmtId="171" fontId="103" fillId="0" borderId="253" xfId="0" applyNumberFormat="1" applyFont="1" applyBorder="1" applyAlignment="1">
      <alignment horizontal="center" vertical="top" wrapText="1"/>
    </xf>
    <xf numFmtId="173" fontId="102" fillId="0" borderId="255" xfId="0" applyNumberFormat="1" applyFont="1" applyBorder="1" applyAlignment="1">
      <alignment horizontal="center" vertical="top" wrapText="1"/>
    </xf>
    <xf numFmtId="173" fontId="102" fillId="0" borderId="256" xfId="0" applyNumberFormat="1" applyFont="1" applyBorder="1" applyAlignment="1">
      <alignment horizontal="center" vertical="top" wrapText="1"/>
    </xf>
    <xf numFmtId="171" fontId="103" fillId="0" borderId="255" xfId="0" applyNumberFormat="1" applyFont="1" applyBorder="1" applyAlignment="1">
      <alignment horizontal="center" vertical="top" wrapText="1"/>
    </xf>
    <xf numFmtId="171" fontId="103" fillId="0" borderId="257" xfId="0" applyNumberFormat="1" applyFont="1" applyBorder="1" applyAlignment="1">
      <alignment horizontal="center" vertical="top" wrapText="1"/>
    </xf>
    <xf numFmtId="173" fontId="103" fillId="0" borderId="248" xfId="0" applyNumberFormat="1" applyFont="1" applyBorder="1" applyAlignment="1">
      <alignment horizontal="center" vertical="top" wrapText="1"/>
    </xf>
    <xf numFmtId="173" fontId="103" fillId="0" borderId="253" xfId="0" applyNumberFormat="1" applyFont="1" applyBorder="1" applyAlignment="1">
      <alignment horizontal="center" vertical="top" wrapText="1"/>
    </xf>
    <xf numFmtId="172" fontId="103" fillId="0" borderId="256" xfId="1" applyNumberFormat="1" applyFont="1" applyBorder="1" applyAlignment="1">
      <alignment horizontal="center" vertical="top" wrapText="1"/>
    </xf>
    <xf numFmtId="173" fontId="103" fillId="0" borderId="252" xfId="0" applyNumberFormat="1" applyFont="1" applyBorder="1" applyAlignment="1">
      <alignment horizontal="center" vertical="top" wrapText="1"/>
    </xf>
    <xf numFmtId="171" fontId="103" fillId="0" borderId="252" xfId="0" applyNumberFormat="1" applyFont="1" applyBorder="1" applyAlignment="1">
      <alignment horizontal="center" vertical="top" wrapText="1"/>
    </xf>
    <xf numFmtId="172" fontId="103" fillId="0" borderId="253" xfId="1" applyNumberFormat="1" applyFont="1" applyBorder="1" applyAlignment="1">
      <alignment horizontal="center" vertical="top" wrapText="1"/>
    </xf>
    <xf numFmtId="171" fontId="103" fillId="0" borderId="91" xfId="0" applyNumberFormat="1" applyFont="1" applyBorder="1" applyAlignment="1">
      <alignment horizontal="center" vertical="top" wrapText="1"/>
    </xf>
    <xf numFmtId="171" fontId="103" fillId="0" borderId="258" xfId="0" applyNumberFormat="1" applyFont="1" applyBorder="1" applyAlignment="1">
      <alignment horizontal="center" vertical="top" wrapText="1"/>
    </xf>
    <xf numFmtId="172" fontId="103" fillId="0" borderId="252" xfId="1" applyNumberFormat="1" applyFont="1" applyBorder="1" applyAlignment="1">
      <alignment horizontal="center" vertical="top" wrapText="1"/>
    </xf>
    <xf numFmtId="171" fontId="103" fillId="0" borderId="259" xfId="0" applyNumberFormat="1" applyFont="1" applyBorder="1" applyAlignment="1">
      <alignment horizontal="center" vertical="top" wrapText="1"/>
    </xf>
    <xf numFmtId="252" fontId="0" fillId="0" borderId="178" xfId="0" applyNumberFormat="1" applyBorder="1"/>
    <xf numFmtId="253" fontId="0" fillId="0" borderId="178" xfId="0" applyNumberFormat="1" applyBorder="1"/>
    <xf numFmtId="173" fontId="0" fillId="0" borderId="178" xfId="0" applyNumberFormat="1" applyBorder="1"/>
    <xf numFmtId="171" fontId="103" fillId="0" borderId="133" xfId="0" applyNumberFormat="1" applyFont="1" applyBorder="1" applyAlignment="1">
      <alignment horizontal="center" vertical="top" wrapText="1"/>
    </xf>
    <xf numFmtId="171" fontId="103" fillId="0" borderId="256" xfId="0" applyNumberFormat="1" applyFont="1" applyBorder="1" applyAlignment="1">
      <alignment horizontal="center" vertical="top" wrapText="1"/>
    </xf>
    <xf numFmtId="171" fontId="103" fillId="0" borderId="244" xfId="0" applyNumberFormat="1" applyFont="1" applyBorder="1" applyAlignment="1">
      <alignment horizontal="center" vertical="top" wrapText="1"/>
    </xf>
    <xf numFmtId="171" fontId="0" fillId="0" borderId="179" xfId="0" applyNumberFormat="1" applyBorder="1"/>
    <xf numFmtId="0" fontId="102" fillId="25" borderId="262" xfId="0" applyFont="1" applyFill="1" applyBorder="1" applyAlignment="1">
      <alignment vertical="top"/>
    </xf>
    <xf numFmtId="0" fontId="95" fillId="24" borderId="213" xfId="0" applyFont="1" applyFill="1" applyBorder="1" applyAlignment="1">
      <alignment horizontal="center" vertical="top"/>
    </xf>
    <xf numFmtId="0" fontId="0" fillId="0" borderId="263" xfId="0" applyBorder="1"/>
    <xf numFmtId="0" fontId="0" fillId="0" borderId="264" xfId="0" applyBorder="1"/>
    <xf numFmtId="252" fontId="0" fillId="0" borderId="265" xfId="0" applyNumberFormat="1" applyBorder="1"/>
    <xf numFmtId="253" fontId="0" fillId="0" borderId="265" xfId="0" applyNumberFormat="1" applyBorder="1"/>
    <xf numFmtId="173" fontId="0" fillId="0" borderId="265" xfId="0" applyNumberFormat="1" applyBorder="1"/>
    <xf numFmtId="171" fontId="0" fillId="0" borderId="266" xfId="0" applyNumberFormat="1" applyBorder="1"/>
    <xf numFmtId="172" fontId="1" fillId="0" borderId="109" xfId="1" applyNumberFormat="1" applyFont="1" applyFill="1" applyBorder="1" applyAlignment="1">
      <alignment horizontal="center" vertical="top" wrapText="1"/>
    </xf>
    <xf numFmtId="172" fontId="103" fillId="0" borderId="143" xfId="0" applyNumberFormat="1" applyFont="1" applyBorder="1" applyAlignment="1">
      <alignment horizontal="left" vertical="top" wrapText="1"/>
    </xf>
    <xf numFmtId="0" fontId="0" fillId="0" borderId="130" xfId="0" applyBorder="1" applyAlignment="1">
      <alignment horizontal="left" vertical="top" wrapText="1"/>
    </xf>
    <xf numFmtId="166" fontId="0" fillId="0" borderId="137" xfId="0" applyNumberFormat="1" applyBorder="1" applyAlignment="1">
      <alignment horizontal="center" vertical="top" wrapText="1"/>
    </xf>
    <xf numFmtId="252" fontId="103" fillId="0" borderId="250" xfId="0" applyNumberFormat="1" applyFont="1" applyBorder="1" applyAlignment="1">
      <alignment horizontal="center" vertical="top" wrapText="1"/>
    </xf>
    <xf numFmtId="252" fontId="103" fillId="0" borderId="130" xfId="0" applyNumberFormat="1" applyFont="1" applyBorder="1" applyAlignment="1">
      <alignment horizontal="center" vertical="top" wrapText="1"/>
    </xf>
    <xf numFmtId="252" fontId="103" fillId="0" borderId="251" xfId="0" applyNumberFormat="1" applyFont="1" applyBorder="1" applyAlignment="1">
      <alignment horizontal="center" vertical="top" wrapText="1"/>
    </xf>
    <xf numFmtId="0" fontId="96" fillId="25" borderId="182" xfId="0" applyFont="1" applyFill="1" applyBorder="1" applyAlignment="1">
      <alignment horizontal="left" vertical="top" wrapText="1"/>
    </xf>
    <xf numFmtId="252" fontId="96" fillId="25" borderId="158" xfId="0" applyNumberFormat="1" applyFont="1" applyFill="1" applyBorder="1" applyAlignment="1">
      <alignment horizontal="center" vertical="top" wrapText="1"/>
    </xf>
    <xf numFmtId="171" fontId="96" fillId="25" borderId="181" xfId="0" applyNumberFormat="1" applyFont="1" applyFill="1" applyBorder="1" applyAlignment="1">
      <alignment horizontal="center" vertical="top" wrapText="1"/>
    </xf>
    <xf numFmtId="171" fontId="96" fillId="25" borderId="182" xfId="0" applyNumberFormat="1" applyFont="1" applyFill="1" applyBorder="1" applyAlignment="1">
      <alignment horizontal="center" vertical="top" wrapText="1"/>
    </xf>
    <xf numFmtId="171" fontId="96" fillId="25" borderId="183" xfId="0" applyNumberFormat="1" applyFont="1" applyFill="1" applyBorder="1" applyAlignment="1">
      <alignment horizontal="center" vertical="top" wrapText="1"/>
    </xf>
    <xf numFmtId="0" fontId="85" fillId="0" borderId="89" xfId="0" applyFont="1" applyBorder="1"/>
    <xf numFmtId="197" fontId="96" fillId="25" borderId="270" xfId="0" applyNumberFormat="1" applyFont="1" applyFill="1" applyBorder="1" applyAlignment="1">
      <alignment vertical="top"/>
    </xf>
    <xf numFmtId="197" fontId="96" fillId="25" borderId="268" xfId="0" applyNumberFormat="1" applyFont="1" applyFill="1" applyBorder="1" applyAlignment="1">
      <alignment vertical="top"/>
    </xf>
    <xf numFmtId="197" fontId="96" fillId="25" borderId="271" xfId="0" applyNumberFormat="1" applyFont="1" applyFill="1" applyBorder="1" applyAlignment="1">
      <alignment vertical="top"/>
    </xf>
    <xf numFmtId="197" fontId="0" fillId="0" borderId="272" xfId="0" applyNumberFormat="1" applyBorder="1" applyAlignment="1">
      <alignment horizontal="center" vertical="top"/>
    </xf>
    <xf numFmtId="197" fontId="0" fillId="0" borderId="273" xfId="0" applyNumberFormat="1" applyBorder="1" applyAlignment="1">
      <alignment horizontal="center" vertical="top"/>
    </xf>
    <xf numFmtId="197" fontId="0" fillId="0" borderId="274" xfId="0" applyNumberFormat="1" applyBorder="1" applyAlignment="1">
      <alignment horizontal="center" vertical="top"/>
    </xf>
    <xf numFmtId="0" fontId="95" fillId="24" borderId="278" xfId="0" applyFont="1" applyFill="1" applyBorder="1" applyAlignment="1">
      <alignment horizontal="center" vertical="top"/>
    </xf>
    <xf numFmtId="0" fontId="95" fillId="24" borderId="279" xfId="0" applyFont="1" applyFill="1" applyBorder="1" applyAlignment="1">
      <alignment horizontal="center" vertical="top"/>
    </xf>
    <xf numFmtId="0" fontId="95" fillId="24" borderId="280" xfId="0" applyFont="1" applyFill="1" applyBorder="1" applyAlignment="1">
      <alignment horizontal="center" vertical="top"/>
    </xf>
    <xf numFmtId="9" fontId="96" fillId="25" borderId="281" xfId="0" applyNumberFormat="1" applyFont="1" applyFill="1" applyBorder="1" applyAlignment="1">
      <alignment horizontal="center" vertical="top" wrapText="1"/>
    </xf>
    <xf numFmtId="9" fontId="96" fillId="25" borderId="282" xfId="0" applyNumberFormat="1" applyFont="1" applyFill="1" applyBorder="1" applyAlignment="1">
      <alignment horizontal="center" vertical="top" wrapText="1"/>
    </xf>
    <xf numFmtId="9" fontId="96" fillId="25" borderId="283" xfId="0" applyNumberFormat="1" applyFont="1" applyFill="1" applyBorder="1" applyAlignment="1">
      <alignment horizontal="center" vertical="top" wrapText="1"/>
    </xf>
    <xf numFmtId="9" fontId="0" fillId="0" borderId="284" xfId="0" applyNumberFormat="1" applyBorder="1" applyAlignment="1">
      <alignment horizontal="center" vertical="top" wrapText="1"/>
    </xf>
    <xf numFmtId="9" fontId="0" fillId="0" borderId="285" xfId="0" applyNumberFormat="1" applyBorder="1" applyAlignment="1">
      <alignment horizontal="center" vertical="top" wrapText="1"/>
    </xf>
    <xf numFmtId="9" fontId="0" fillId="0" borderId="286" xfId="0" applyNumberFormat="1" applyBorder="1" applyAlignment="1">
      <alignment horizontal="center" vertical="top" wrapText="1"/>
    </xf>
    <xf numFmtId="9" fontId="0" fillId="0" borderId="287" xfId="0" applyNumberFormat="1" applyBorder="1" applyAlignment="1">
      <alignment horizontal="center" vertical="top" wrapText="1"/>
    </xf>
    <xf numFmtId="9" fontId="0" fillId="0" borderId="288" xfId="0" applyNumberFormat="1" applyBorder="1" applyAlignment="1">
      <alignment horizontal="center" vertical="top" wrapText="1"/>
    </xf>
    <xf numFmtId="9" fontId="0" fillId="0" borderId="289" xfId="0" applyNumberFormat="1" applyBorder="1" applyAlignment="1">
      <alignment horizontal="center" vertical="top" wrapText="1"/>
    </xf>
    <xf numFmtId="0" fontId="95" fillId="24" borderId="290" xfId="0" applyFont="1" applyFill="1" applyBorder="1" applyAlignment="1">
      <alignment vertical="top"/>
    </xf>
    <xf numFmtId="0" fontId="95" fillId="24" borderId="291" xfId="0" applyFont="1" applyFill="1" applyBorder="1" applyAlignment="1">
      <alignment horizontal="center" wrapText="1"/>
    </xf>
    <xf numFmtId="0" fontId="95" fillId="24" borderId="291" xfId="0" applyFont="1" applyFill="1" applyBorder="1" applyAlignment="1">
      <alignment horizontal="center" vertical="top"/>
    </xf>
    <xf numFmtId="0" fontId="95" fillId="24" borderId="292" xfId="0" applyFont="1" applyFill="1" applyBorder="1" applyAlignment="1">
      <alignment horizontal="center" vertical="top"/>
    </xf>
    <xf numFmtId="0" fontId="95" fillId="24" borderId="293" xfId="0" applyFont="1" applyFill="1" applyBorder="1" applyAlignment="1">
      <alignment vertical="top"/>
    </xf>
    <xf numFmtId="0" fontId="95" fillId="24" borderId="294" xfId="0" applyFont="1" applyFill="1" applyBorder="1" applyAlignment="1">
      <alignment horizontal="center" vertical="top"/>
    </xf>
    <xf numFmtId="0" fontId="95" fillId="24" borderId="295" xfId="0" applyFont="1" applyFill="1" applyBorder="1" applyAlignment="1">
      <alignment horizontal="center" vertical="top"/>
    </xf>
    <xf numFmtId="0" fontId="96" fillId="25" borderId="296" xfId="0" applyFont="1" applyFill="1" applyBorder="1" applyAlignment="1">
      <alignment vertical="top" wrapText="1"/>
    </xf>
    <xf numFmtId="173" fontId="96" fillId="25" borderId="297" xfId="0" applyNumberFormat="1" applyFont="1" applyFill="1" applyBorder="1" applyAlignment="1">
      <alignment horizontal="center" vertical="top" wrapText="1"/>
    </xf>
    <xf numFmtId="0" fontId="96" fillId="25" borderId="298" xfId="0" applyFont="1" applyFill="1" applyBorder="1" applyAlignment="1">
      <alignment vertical="top" wrapText="1"/>
    </xf>
    <xf numFmtId="257" fontId="96" fillId="25" borderId="299" xfId="0" applyNumberFormat="1" applyFont="1" applyFill="1" applyBorder="1" applyAlignment="1">
      <alignment horizontal="center" vertical="top" wrapText="1"/>
    </xf>
    <xf numFmtId="259" fontId="96" fillId="25" borderId="299" xfId="0" applyNumberFormat="1" applyFont="1" applyFill="1" applyBorder="1" applyAlignment="1">
      <alignment horizontal="center" vertical="top" wrapText="1"/>
    </xf>
    <xf numFmtId="0" fontId="96" fillId="25" borderId="300" xfId="0" applyFont="1" applyFill="1" applyBorder="1"/>
    <xf numFmtId="10" fontId="96" fillId="25" borderId="301" xfId="1" applyNumberFormat="1" applyFont="1" applyFill="1" applyBorder="1" applyAlignment="1">
      <alignment horizontal="center" vertical="top" wrapText="1"/>
    </xf>
    <xf numFmtId="173" fontId="0" fillId="0" borderId="303" xfId="0" applyNumberFormat="1" applyBorder="1" applyAlignment="1">
      <alignment horizontal="center" vertical="top" wrapText="1"/>
    </xf>
    <xf numFmtId="257" fontId="0" fillId="0" borderId="305" xfId="0" applyNumberFormat="1" applyBorder="1" applyAlignment="1">
      <alignment horizontal="center" vertical="top" wrapText="1"/>
    </xf>
    <xf numFmtId="259" fontId="0" fillId="0" borderId="305" xfId="0" applyNumberFormat="1" applyBorder="1" applyAlignment="1">
      <alignment horizontal="center" vertical="top" wrapText="1"/>
    </xf>
    <xf numFmtId="0" fontId="96" fillId="0" borderId="306" xfId="0" applyFont="1" applyBorder="1"/>
    <xf numFmtId="10" fontId="0" fillId="0" borderId="307" xfId="0" applyNumberFormat="1" applyBorder="1" applyAlignment="1">
      <alignment horizontal="center" vertical="top" wrapText="1"/>
    </xf>
    <xf numFmtId="0" fontId="0" fillId="0" borderId="308" xfId="0" applyBorder="1" applyAlignment="1">
      <alignment vertical="top" wrapText="1"/>
    </xf>
    <xf numFmtId="0" fontId="0" fillId="0" borderId="91" xfId="0" applyBorder="1" applyAlignment="1">
      <alignment vertical="top" wrapText="1"/>
    </xf>
    <xf numFmtId="0" fontId="0" fillId="0" borderId="309" xfId="0" applyBorder="1" applyAlignment="1">
      <alignment vertical="top" wrapText="1"/>
    </xf>
    <xf numFmtId="10" fontId="0" fillId="0" borderId="310" xfId="0" applyNumberFormat="1" applyBorder="1" applyAlignment="1">
      <alignment horizontal="center" vertical="top" wrapText="1"/>
    </xf>
    <xf numFmtId="0" fontId="1" fillId="0" borderId="302" xfId="0" applyFont="1" applyBorder="1" applyAlignment="1">
      <alignment vertical="top" wrapText="1"/>
    </xf>
    <xf numFmtId="0" fontId="1" fillId="0" borderId="304" xfId="0" applyFont="1" applyBorder="1" applyAlignment="1">
      <alignment vertical="top" wrapText="1"/>
    </xf>
    <xf numFmtId="255" fontId="1" fillId="0" borderId="197" xfId="0" applyNumberFormat="1" applyFont="1" applyBorder="1" applyAlignment="1">
      <alignment horizontal="center" vertical="top" wrapText="1"/>
    </xf>
    <xf numFmtId="0" fontId="1" fillId="0" borderId="199" xfId="0" applyFont="1" applyBorder="1" applyAlignment="1">
      <alignment horizontal="center" vertical="top" wrapText="1"/>
    </xf>
    <xf numFmtId="0" fontId="1" fillId="0" borderId="206" xfId="0" applyFont="1" applyBorder="1" applyAlignment="1">
      <alignment horizontal="center"/>
    </xf>
    <xf numFmtId="170" fontId="1" fillId="0" borderId="306" xfId="3" applyNumberFormat="1" applyFont="1" applyBorder="1" applyAlignment="1">
      <alignment horizontal="left"/>
    </xf>
    <xf numFmtId="255" fontId="1" fillId="0" borderId="204" xfId="0" applyNumberFormat="1" applyFont="1" applyBorder="1" applyAlignment="1">
      <alignment horizontal="center" vertical="top" wrapText="1"/>
    </xf>
    <xf numFmtId="172" fontId="1" fillId="0" borderId="197" xfId="0" applyNumberFormat="1" applyFont="1" applyBorder="1" applyAlignment="1">
      <alignment horizontal="center" vertical="top" wrapText="1"/>
    </xf>
    <xf numFmtId="0" fontId="96" fillId="0" borderId="86" xfId="0" applyFont="1" applyBorder="1" applyAlignment="1">
      <alignment horizontal="center"/>
    </xf>
    <xf numFmtId="254" fontId="0" fillId="0" borderId="86" xfId="0" applyNumberFormat="1" applyBorder="1" applyAlignment="1">
      <alignment horizontal="center" vertical="top" wrapText="1"/>
    </xf>
    <xf numFmtId="166" fontId="0" fillId="0" borderId="86" xfId="0" applyNumberFormat="1" applyBorder="1" applyAlignment="1">
      <alignment horizontal="center" vertical="top" wrapText="1"/>
    </xf>
    <xf numFmtId="10" fontId="0" fillId="0" borderId="311" xfId="0" applyNumberFormat="1" applyBorder="1" applyAlignment="1">
      <alignment horizontal="center" vertical="top" wrapText="1"/>
    </xf>
    <xf numFmtId="0" fontId="96" fillId="0" borderId="109" xfId="0" applyFont="1" applyBorder="1" applyAlignment="1">
      <alignment horizontal="right"/>
    </xf>
    <xf numFmtId="172" fontId="102" fillId="0" borderId="226" xfId="1" applyNumberFormat="1" applyFont="1" applyBorder="1" applyAlignment="1">
      <alignment horizontal="center"/>
    </xf>
    <xf numFmtId="0" fontId="96" fillId="0" borderId="229" xfId="0" applyFont="1" applyBorder="1" applyAlignment="1">
      <alignment horizontal="center"/>
    </xf>
    <xf numFmtId="260" fontId="96" fillId="0" borderId="313" xfId="3" applyNumberFormat="1" applyFont="1" applyFill="1" applyBorder="1" applyAlignment="1">
      <alignment horizontal="center" vertical="top" wrapText="1"/>
    </xf>
    <xf numFmtId="173" fontId="96" fillId="0" borderId="212" xfId="0" applyNumberFormat="1" applyFont="1" applyBorder="1" applyAlignment="1">
      <alignment horizontal="center"/>
    </xf>
    <xf numFmtId="252" fontId="96" fillId="0" borderId="314" xfId="0" applyNumberFormat="1" applyFont="1" applyBorder="1" applyAlignment="1">
      <alignment horizontal="center"/>
    </xf>
    <xf numFmtId="0" fontId="96" fillId="0" borderId="54" xfId="0" applyFont="1" applyBorder="1" applyAlignment="1">
      <alignment horizontal="center"/>
    </xf>
    <xf numFmtId="171" fontId="96" fillId="0" borderId="213" xfId="0" applyNumberFormat="1" applyFont="1" applyBorder="1" applyAlignment="1">
      <alignment horizontal="center"/>
    </xf>
    <xf numFmtId="261" fontId="96" fillId="0" borderId="315" xfId="0" applyNumberFormat="1" applyFont="1" applyBorder="1" applyAlignment="1">
      <alignment horizontal="center"/>
    </xf>
    <xf numFmtId="171" fontId="96" fillId="0" borderId="157" xfId="0" applyNumberFormat="1" applyFont="1" applyBorder="1" applyAlignment="1">
      <alignment horizontal="center"/>
    </xf>
    <xf numFmtId="173" fontId="96" fillId="0" borderId="312" xfId="0" applyNumberFormat="1" applyFont="1" applyBorder="1" applyAlignment="1">
      <alignment horizontal="center"/>
    </xf>
    <xf numFmtId="0" fontId="118" fillId="2" borderId="88" xfId="0" applyFont="1" applyFill="1" applyBorder="1"/>
    <xf numFmtId="0" fontId="118" fillId="2" borderId="89" xfId="0" applyFont="1" applyFill="1" applyBorder="1"/>
    <xf numFmtId="0" fontId="118" fillId="2" borderId="90" xfId="0" applyFont="1" applyFill="1" applyBorder="1"/>
    <xf numFmtId="37" fontId="124" fillId="0" borderId="316" xfId="0" applyNumberFormat="1" applyFont="1" applyBorder="1" applyAlignment="1">
      <alignment horizontal="left"/>
    </xf>
    <xf numFmtId="0" fontId="124" fillId="0" borderId="60" xfId="0" applyFont="1" applyBorder="1" applyAlignment="1">
      <alignment horizontal="right" wrapText="1"/>
    </xf>
    <xf numFmtId="0" fontId="124" fillId="0" borderId="60" xfId="0" applyFont="1" applyBorder="1" applyAlignment="1">
      <alignment horizontal="right"/>
    </xf>
    <xf numFmtId="0" fontId="124" fillId="0" borderId="60" xfId="0" applyFont="1" applyBorder="1" applyAlignment="1">
      <alignment horizontal="center" vertical="center" wrapText="1"/>
    </xf>
    <xf numFmtId="0" fontId="124" fillId="0" borderId="317" xfId="0" applyFont="1" applyBorder="1" applyAlignment="1">
      <alignment horizontal="center" wrapText="1"/>
    </xf>
    <xf numFmtId="0" fontId="85" fillId="0" borderId="91" xfId="0" applyFont="1" applyBorder="1" applyAlignment="1">
      <alignment horizontal="left"/>
    </xf>
    <xf numFmtId="168" fontId="85" fillId="0" borderId="54" xfId="0" applyNumberFormat="1" applyFont="1" applyBorder="1"/>
    <xf numFmtId="192" fontId="85" fillId="0" borderId="54" xfId="0" applyNumberFormat="1" applyFont="1" applyBorder="1"/>
    <xf numFmtId="184" fontId="85" fillId="0" borderId="318" xfId="0" applyNumberFormat="1" applyFont="1" applyBorder="1" applyAlignment="1">
      <alignment horizontal="center"/>
    </xf>
    <xf numFmtId="193" fontId="85" fillId="0" borderId="54" xfId="0" applyNumberFormat="1" applyFont="1" applyBorder="1"/>
    <xf numFmtId="184" fontId="125" fillId="0" borderId="54" xfId="0" applyNumberFormat="1" applyFont="1" applyBorder="1" applyAlignment="1">
      <alignment horizontal="center"/>
    </xf>
    <xf numFmtId="184" fontId="85" fillId="0" borderId="92" xfId="0" applyNumberFormat="1" applyFont="1" applyBorder="1" applyAlignment="1">
      <alignment horizontal="center"/>
    </xf>
    <xf numFmtId="194" fontId="85" fillId="0" borderId="54" xfId="0" applyNumberFormat="1" applyFont="1" applyBorder="1"/>
    <xf numFmtId="193" fontId="85" fillId="0" borderId="60" xfId="0" applyNumberFormat="1" applyFont="1" applyBorder="1"/>
    <xf numFmtId="184" fontId="125" fillId="0" borderId="60" xfId="0" applyNumberFormat="1" applyFont="1" applyBorder="1" applyAlignment="1">
      <alignment horizontal="center"/>
    </xf>
    <xf numFmtId="184" fontId="85" fillId="0" borderId="317" xfId="0" applyNumberFormat="1" applyFont="1" applyBorder="1" applyAlignment="1">
      <alignment horizontal="center"/>
    </xf>
    <xf numFmtId="37" fontId="127" fillId="0" borderId="319" xfId="0" applyNumberFormat="1" applyFont="1" applyBorder="1" applyAlignment="1">
      <alignment horizontal="left"/>
    </xf>
    <xf numFmtId="186" fontId="127" fillId="0" borderId="101" xfId="0" applyNumberFormat="1" applyFont="1" applyBorder="1"/>
    <xf numFmtId="192" fontId="127" fillId="0" borderId="101" xfId="0" applyNumberFormat="1" applyFont="1" applyBorder="1"/>
    <xf numFmtId="192" fontId="127" fillId="0" borderId="94" xfId="0" applyNumberFormat="1" applyFont="1" applyBorder="1"/>
    <xf numFmtId="184" fontId="127" fillId="0" borderId="94" xfId="0" applyNumberFormat="1" applyFont="1" applyBorder="1" applyAlignment="1">
      <alignment horizontal="center"/>
    </xf>
    <xf numFmtId="184" fontId="127" fillId="0" borderId="95" xfId="0" applyNumberFormat="1" applyFont="1" applyBorder="1" applyAlignment="1">
      <alignment horizontal="center"/>
    </xf>
    <xf numFmtId="197" fontId="0" fillId="0" borderId="275" xfId="0" applyNumberFormat="1" applyBorder="1" applyAlignment="1">
      <alignment horizontal="center" vertical="top"/>
    </xf>
    <xf numFmtId="197" fontId="0" fillId="0" borderId="268" xfId="0" applyNumberFormat="1" applyBorder="1" applyAlignment="1">
      <alignment horizontal="center" vertical="top"/>
    </xf>
    <xf numFmtId="197" fontId="0" fillId="0" borderId="276" xfId="0" applyNumberFormat="1" applyBorder="1" applyAlignment="1">
      <alignment horizontal="center" vertical="top"/>
    </xf>
    <xf numFmtId="197" fontId="0" fillId="0" borderId="277" xfId="0" applyNumberFormat="1" applyBorder="1" applyAlignment="1">
      <alignment horizontal="center" vertical="top"/>
    </xf>
    <xf numFmtId="0" fontId="54" fillId="0" borderId="54" xfId="0" applyFont="1" applyBorder="1" applyAlignment="1">
      <alignment horizontal="center"/>
    </xf>
    <xf numFmtId="37" fontId="123" fillId="0" borderId="54" xfId="0" applyNumberFormat="1" applyFont="1" applyBorder="1" applyAlignment="1">
      <alignment horizontal="center"/>
    </xf>
    <xf numFmtId="0" fontId="95" fillId="24" borderId="267" xfId="0" applyFont="1" applyFill="1" applyBorder="1" applyAlignment="1">
      <alignment horizontal="center" vertical="top" wrapText="1"/>
    </xf>
    <xf numFmtId="0" fontId="95" fillId="24" borderId="268" xfId="0" applyFont="1" applyFill="1" applyBorder="1" applyAlignment="1">
      <alignment horizontal="center" vertical="top" wrapText="1"/>
    </xf>
    <xf numFmtId="0" fontId="95" fillId="24" borderId="269" xfId="0" applyFont="1" applyFill="1" applyBorder="1" applyAlignment="1">
      <alignment horizontal="center" vertical="top" wrapText="1"/>
    </xf>
    <xf numFmtId="0" fontId="95" fillId="24" borderId="186" xfId="0" applyFont="1" applyFill="1" applyBorder="1" applyAlignment="1">
      <alignment horizontal="center" vertical="center"/>
    </xf>
    <xf numFmtId="0" fontId="95" fillId="24" borderId="188" xfId="0" applyFont="1" applyFill="1" applyBorder="1" applyAlignment="1">
      <alignment horizontal="center" vertical="center"/>
    </xf>
    <xf numFmtId="0" fontId="95" fillId="24" borderId="192" xfId="0" applyFont="1" applyFill="1" applyBorder="1" applyAlignment="1">
      <alignment horizontal="center" vertical="center"/>
    </xf>
    <xf numFmtId="0" fontId="96" fillId="25" borderId="194" xfId="0" applyFont="1" applyFill="1" applyBorder="1" applyAlignment="1">
      <alignment vertical="top" wrapText="1"/>
    </xf>
    <xf numFmtId="0" fontId="96" fillId="25" borderId="83" xfId="0" applyFont="1" applyFill="1" applyBorder="1" applyAlignment="1">
      <alignment vertical="top" wrapText="1"/>
    </xf>
    <xf numFmtId="0" fontId="96" fillId="25" borderId="84" xfId="0" applyFont="1" applyFill="1" applyBorder="1" applyAlignment="1">
      <alignment vertical="top" wrapText="1"/>
    </xf>
    <xf numFmtId="0" fontId="0" fillId="0" borderId="198" xfId="0" applyBorder="1" applyAlignment="1">
      <alignment horizontal="left" vertical="top" wrapText="1"/>
    </xf>
    <xf numFmtId="0" fontId="0" fillId="0" borderId="201" xfId="0" applyBorder="1" applyAlignment="1">
      <alignment horizontal="left" vertical="top" wrapText="1"/>
    </xf>
    <xf numFmtId="0" fontId="0" fillId="0" borderId="203" xfId="0" applyBorder="1" applyAlignment="1">
      <alignment horizontal="left" vertical="top" wrapText="1"/>
    </xf>
    <xf numFmtId="5" fontId="7" fillId="2" borderId="231" xfId="0" applyNumberFormat="1" applyFont="1" applyFill="1" applyBorder="1" applyAlignment="1">
      <alignment horizontal="left" vertical="top"/>
    </xf>
    <xf numFmtId="0" fontId="5" fillId="0" borderId="233" xfId="0" applyFont="1" applyBorder="1"/>
    <xf numFmtId="0" fontId="5" fillId="0" borderId="235" xfId="0" applyFont="1" applyBorder="1"/>
    <xf numFmtId="0" fontId="7" fillId="2" borderId="46" xfId="0" applyFont="1" applyFill="1" applyBorder="1" applyAlignment="1">
      <alignment horizontal="left"/>
    </xf>
    <xf numFmtId="0" fontId="5" fillId="0" borderId="47" xfId="0" applyFont="1" applyBorder="1"/>
    <xf numFmtId="0" fontId="5" fillId="0" borderId="48" xfId="0" applyFont="1" applyBorder="1"/>
    <xf numFmtId="9" fontId="54" fillId="0" borderId="0" xfId="0" applyNumberFormat="1" applyFont="1" applyAlignment="1">
      <alignment horizontal="center"/>
    </xf>
    <xf numFmtId="37" fontId="55" fillId="0" borderId="94" xfId="0" applyNumberFormat="1" applyFont="1" applyBorder="1" applyAlignment="1">
      <alignment horizontal="center"/>
    </xf>
    <xf numFmtId="0" fontId="122" fillId="0" borderId="0" xfId="0" applyFont="1"/>
    <xf numFmtId="37" fontId="55" fillId="0" borderId="13" xfId="0" applyNumberFormat="1" applyFont="1" applyBorder="1" applyAlignment="1">
      <alignment horizontal="center"/>
    </xf>
    <xf numFmtId="0" fontId="123" fillId="0" borderId="13" xfId="0" applyFont="1" applyBorder="1"/>
    <xf numFmtId="0" fontId="128" fillId="0" borderId="11" xfId="0" applyFont="1" applyBorder="1" applyAlignment="1">
      <alignment horizontal="left" vertical="top" wrapText="1"/>
    </xf>
    <xf numFmtId="0" fontId="88" fillId="0" borderId="11" xfId="0" applyFont="1" applyBorder="1" applyAlignment="1">
      <alignment horizontal="left"/>
    </xf>
    <xf numFmtId="0" fontId="8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37" fontId="110" fillId="0" borderId="94" xfId="0" applyNumberFormat="1" applyFont="1" applyBorder="1" applyAlignment="1">
      <alignment horizontal="center"/>
    </xf>
    <xf numFmtId="267" fontId="133" fillId="24" borderId="54" xfId="6" applyNumberFormat="1" applyFont="1" applyFill="1" applyBorder="1" applyAlignment="1" applyProtection="1">
      <alignment horizontal="center" vertical="center" wrapText="1"/>
    </xf>
    <xf numFmtId="268" fontId="114" fillId="24" borderId="54" xfId="6" applyNumberFormat="1" applyFont="1" applyFill="1" applyBorder="1" applyAlignment="1" applyProtection="1">
      <alignment horizontal="center" vertical="center"/>
    </xf>
    <xf numFmtId="269" fontId="114" fillId="24" borderId="54" xfId="6" applyNumberFormat="1" applyFont="1" applyFill="1" applyBorder="1" applyAlignment="1" applyProtection="1">
      <alignment horizontal="center" vertical="center"/>
    </xf>
    <xf numFmtId="0" fontId="87" fillId="0" borderId="0" xfId="0" applyFont="1" applyAlignment="1">
      <alignment horizontal="left" vertical="top" wrapText="1"/>
    </xf>
    <xf numFmtId="0" fontId="85" fillId="0" borderId="0" xfId="0" applyFont="1"/>
    <xf numFmtId="5" fontId="118" fillId="7" borderId="54" xfId="0" applyNumberFormat="1" applyFont="1" applyFill="1" applyBorder="1" applyAlignment="1">
      <alignment horizontal="center" vertical="center"/>
    </xf>
    <xf numFmtId="0" fontId="88" fillId="0" borderId="56" xfId="0" applyFont="1" applyBorder="1"/>
    <xf numFmtId="6" fontId="118" fillId="7" borderId="54" xfId="0" applyNumberFormat="1" applyFont="1" applyFill="1" applyBorder="1" applyAlignment="1">
      <alignment horizontal="center" vertical="center"/>
    </xf>
    <xf numFmtId="6" fontId="88" fillId="0" borderId="56" xfId="0" applyNumberFormat="1" applyFont="1" applyBorder="1"/>
    <xf numFmtId="5" fontId="118" fillId="7" borderId="55" xfId="0" applyNumberFormat="1" applyFont="1" applyFill="1" applyBorder="1" applyAlignment="1">
      <alignment horizontal="center" vertical="center"/>
    </xf>
    <xf numFmtId="0" fontId="88" fillId="0" borderId="57" xfId="0" applyFont="1" applyBorder="1"/>
    <xf numFmtId="0" fontId="118" fillId="7" borderId="94" xfId="0" applyFont="1" applyFill="1" applyBorder="1" applyAlignment="1">
      <alignment horizontal="center"/>
    </xf>
    <xf numFmtId="0" fontId="118" fillId="7" borderId="9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5" fillId="0" borderId="2" xfId="0" applyFont="1" applyBorder="1"/>
    <xf numFmtId="0" fontId="5" fillId="0" borderId="3" xfId="0" applyFont="1" applyBorder="1"/>
    <xf numFmtId="164" fontId="54" fillId="3" borderId="1" xfId="0" applyNumberFormat="1" applyFont="1" applyFill="1" applyBorder="1" applyAlignment="1">
      <alignment horizontal="center"/>
    </xf>
    <xf numFmtId="0" fontId="135" fillId="0" borderId="2" xfId="0" applyFont="1" applyBorder="1"/>
    <xf numFmtId="0" fontId="135" fillId="0" borderId="3" xfId="0" applyFont="1" applyBorder="1"/>
    <xf numFmtId="37" fontId="55" fillId="3" borderId="58" xfId="0" applyNumberFormat="1" applyFont="1" applyFill="1" applyBorder="1" applyAlignment="1">
      <alignment horizontal="center"/>
    </xf>
    <xf numFmtId="0" fontId="123" fillId="0" borderId="59" xfId="0" applyFont="1" applyBorder="1"/>
    <xf numFmtId="0" fontId="123" fillId="0" borderId="60" xfId="0" applyFont="1" applyBorder="1"/>
    <xf numFmtId="0" fontId="10" fillId="0" borderId="0" xfId="0" applyFont="1" applyAlignment="1">
      <alignment horizontal="left"/>
    </xf>
    <xf numFmtId="0" fontId="0" fillId="0" borderId="0" xfId="0"/>
    <xf numFmtId="0" fontId="10" fillId="3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7" fillId="3" borderId="1" xfId="0" applyFont="1" applyFill="1" applyBorder="1" applyAlignment="1">
      <alignment vertical="top" wrapText="1"/>
    </xf>
    <xf numFmtId="0" fontId="88" fillId="0" borderId="2" xfId="0" applyFont="1" applyBorder="1"/>
    <xf numFmtId="0" fontId="88" fillId="0" borderId="3" xfId="0" applyFont="1" applyBorder="1"/>
    <xf numFmtId="0" fontId="85" fillId="3" borderId="1" xfId="0" applyFont="1" applyFill="1" applyBorder="1" applyAlignment="1">
      <alignment vertical="top" wrapText="1"/>
    </xf>
    <xf numFmtId="0" fontId="8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55" fillId="0" borderId="0" xfId="0" applyFont="1"/>
    <xf numFmtId="0" fontId="24" fillId="2" borderId="1" xfId="0" applyFont="1" applyFill="1" applyBorder="1" applyAlignment="1">
      <alignment horizontal="left"/>
    </xf>
    <xf numFmtId="9" fontId="4" fillId="0" borderId="0" xfId="0" applyNumberFormat="1" applyFont="1" applyAlignment="1">
      <alignment horizontal="center"/>
    </xf>
    <xf numFmtId="37" fontId="6" fillId="0" borderId="13" xfId="0" applyNumberFormat="1" applyFont="1" applyBorder="1" applyAlignment="1">
      <alignment horizontal="center"/>
    </xf>
    <xf numFmtId="0" fontId="5" fillId="0" borderId="13" xfId="0" applyFont="1" applyBorder="1"/>
    <xf numFmtId="0" fontId="13" fillId="3" borderId="1" xfId="0" applyFont="1" applyFill="1" applyBorder="1" applyAlignment="1">
      <alignment vertical="top" wrapText="1"/>
    </xf>
    <xf numFmtId="0" fontId="91" fillId="0" borderId="2" xfId="0" applyFont="1" applyBorder="1"/>
    <xf numFmtId="0" fontId="91" fillId="0" borderId="3" xfId="0" applyFont="1" applyBorder="1"/>
    <xf numFmtId="37" fontId="140" fillId="0" borderId="54" xfId="0" applyNumberFormat="1" applyFont="1" applyBorder="1" applyAlignment="1">
      <alignment horizontal="center"/>
    </xf>
    <xf numFmtId="0" fontId="88" fillId="0" borderId="54" xfId="0" applyFont="1" applyBorder="1"/>
    <xf numFmtId="0" fontId="6" fillId="8" borderId="94" xfId="0" applyFont="1" applyFill="1" applyBorder="1" applyAlignment="1">
      <alignment horizontal="right"/>
    </xf>
    <xf numFmtId="0" fontId="5" fillId="0" borderId="209" xfId="0" applyFont="1" applyBorder="1"/>
    <xf numFmtId="0" fontId="5" fillId="0" borderId="94" xfId="0" applyFont="1" applyBorder="1"/>
    <xf numFmtId="0" fontId="9" fillId="0" borderId="13" xfId="0" applyFont="1" applyBorder="1" applyAlignment="1">
      <alignment horizontal="center"/>
    </xf>
    <xf numFmtId="240" fontId="6" fillId="0" borderId="54" xfId="0" applyNumberFormat="1" applyFont="1" applyBorder="1"/>
    <xf numFmtId="0" fontId="5" fillId="0" borderId="54" xfId="0" applyFont="1" applyBorder="1"/>
    <xf numFmtId="0" fontId="9" fillId="0" borderId="0" xfId="0" applyFont="1" applyAlignment="1">
      <alignment horizontal="center" wrapText="1"/>
    </xf>
    <xf numFmtId="0" fontId="5" fillId="0" borderId="76" xfId="0" applyFont="1" applyBorder="1"/>
    <xf numFmtId="0" fontId="5" fillId="0" borderId="78" xfId="0" applyFont="1" applyBorder="1"/>
    <xf numFmtId="0" fontId="18" fillId="0" borderId="0" xfId="0" applyFont="1" applyAlignment="1">
      <alignment horizontal="center"/>
    </xf>
    <xf numFmtId="0" fontId="2" fillId="0" borderId="0" xfId="0" applyFont="1"/>
    <xf numFmtId="172" fontId="16" fillId="0" borderId="11" xfId="0" applyNumberFormat="1" applyFont="1" applyBorder="1" applyAlignment="1">
      <alignment horizontal="center"/>
    </xf>
    <xf numFmtId="0" fontId="5" fillId="0" borderId="80" xfId="0" applyFont="1" applyBorder="1"/>
    <xf numFmtId="0" fontId="10" fillId="0" borderId="81" xfId="0" applyFont="1" applyBorder="1" applyAlignment="1">
      <alignment horizontal="left"/>
    </xf>
    <xf numFmtId="0" fontId="5" fillId="0" borderId="11" xfId="0" applyFont="1" applyBorder="1"/>
    <xf numFmtId="172" fontId="21" fillId="0" borderId="0" xfId="0" applyNumberFormat="1" applyFont="1" applyAlignment="1">
      <alignment horizontal="center"/>
    </xf>
    <xf numFmtId="0" fontId="10" fillId="0" borderId="77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6" fillId="0" borderId="169" xfId="0" applyFont="1" applyBorder="1" applyAlignment="1">
      <alignment vertical="top" wrapText="1"/>
    </xf>
    <xf numFmtId="0" fontId="96" fillId="0" borderId="171" xfId="0" applyFont="1" applyBorder="1" applyAlignment="1">
      <alignment vertical="top" wrapText="1"/>
    </xf>
    <xf numFmtId="0" fontId="96" fillId="0" borderId="172" xfId="0" applyFont="1" applyBorder="1" applyAlignment="1">
      <alignment vertical="top" wrapText="1"/>
    </xf>
    <xf numFmtId="197" fontId="103" fillId="0" borderId="88" xfId="0" applyNumberFormat="1" applyFont="1" applyBorder="1" applyAlignment="1">
      <alignment horizontal="center" vertical="top"/>
    </xf>
    <xf numFmtId="197" fontId="103" fillId="0" borderId="91" xfId="0" applyNumberFormat="1" applyFont="1" applyBorder="1" applyAlignment="1">
      <alignment horizontal="center" vertical="top"/>
    </xf>
    <xf numFmtId="197" fontId="103" fillId="0" borderId="93" xfId="0" applyNumberFormat="1" applyFont="1" applyBorder="1" applyAlignment="1">
      <alignment horizontal="center" vertical="top"/>
    </xf>
    <xf numFmtId="0" fontId="103" fillId="0" borderId="147" xfId="0" applyFont="1" applyBorder="1" applyAlignment="1">
      <alignment horizontal="left" vertical="top" wrapText="1"/>
    </xf>
    <xf numFmtId="0" fontId="103" fillId="0" borderId="123" xfId="0" applyFont="1" applyBorder="1" applyAlignment="1">
      <alignment horizontal="left" vertical="top" wrapText="1"/>
    </xf>
    <xf numFmtId="0" fontId="103" fillId="0" borderId="142" xfId="0" applyFont="1" applyBorder="1" applyAlignment="1">
      <alignment horizontal="left" vertical="top" wrapText="1"/>
    </xf>
    <xf numFmtId="0" fontId="103" fillId="0" borderId="148" xfId="0" applyFont="1" applyBorder="1" applyAlignment="1">
      <alignment vertical="top" wrapText="1"/>
    </xf>
    <xf numFmtId="0" fontId="103" fillId="0" borderId="124" xfId="0" applyFont="1" applyBorder="1" applyAlignment="1">
      <alignment vertical="top" wrapText="1"/>
    </xf>
    <xf numFmtId="0" fontId="103" fillId="0" borderId="143" xfId="0" applyFont="1" applyBorder="1" applyAlignment="1">
      <alignment vertical="top" wrapText="1"/>
    </xf>
    <xf numFmtId="0" fontId="103" fillId="0" borderId="149" xfId="0" applyFont="1" applyBorder="1" applyAlignment="1">
      <alignment vertical="top" wrapText="1"/>
    </xf>
    <xf numFmtId="0" fontId="103" fillId="0" borderId="125" xfId="0" applyFont="1" applyBorder="1" applyAlignment="1">
      <alignment vertical="top" wrapText="1"/>
    </xf>
    <xf numFmtId="0" fontId="103" fillId="0" borderId="144" xfId="0" applyFont="1" applyBorder="1" applyAlignment="1">
      <alignment vertical="top" wrapText="1"/>
    </xf>
    <xf numFmtId="0" fontId="102" fillId="25" borderId="260" xfId="0" applyFont="1" applyFill="1" applyBorder="1" applyAlignment="1">
      <alignment horizontal="center" vertical="top"/>
    </xf>
    <xf numFmtId="0" fontId="102" fillId="25" borderId="261" xfId="0" applyFont="1" applyFill="1" applyBorder="1" applyAlignment="1">
      <alignment horizontal="center" vertical="top"/>
    </xf>
    <xf numFmtId="0" fontId="102" fillId="25" borderId="262" xfId="0" applyFont="1" applyFill="1" applyBorder="1" applyAlignment="1">
      <alignment horizontal="center" vertical="top"/>
    </xf>
    <xf numFmtId="0" fontId="103" fillId="0" borderId="184" xfId="0" applyFont="1" applyBorder="1" applyAlignment="1">
      <alignment horizontal="left" vertical="top" wrapText="1"/>
    </xf>
    <xf numFmtId="0" fontId="103" fillId="0" borderId="180" xfId="0" applyFont="1" applyBorder="1" applyAlignment="1">
      <alignment vertical="top" wrapText="1"/>
    </xf>
    <xf numFmtId="0" fontId="103" fillId="0" borderId="158" xfId="0" applyFont="1" applyBorder="1" applyAlignment="1">
      <alignment vertical="top" wrapText="1"/>
    </xf>
    <xf numFmtId="0" fontId="96" fillId="0" borderId="0" xfId="0" applyFont="1" applyAlignment="1">
      <alignment horizontal="center"/>
    </xf>
    <xf numFmtId="0" fontId="103" fillId="0" borderId="106" xfId="0" applyFont="1" applyBorder="1" applyAlignment="1">
      <alignment horizontal="left" vertical="top" wrapText="1"/>
    </xf>
    <xf numFmtId="0" fontId="103" fillId="0" borderId="107" xfId="0" applyFont="1" applyBorder="1" applyAlignment="1">
      <alignment vertical="top" wrapText="1"/>
    </xf>
    <xf numFmtId="0" fontId="103" fillId="0" borderId="108" xfId="0" applyFont="1" applyBorder="1" applyAlignment="1">
      <alignment vertical="top" wrapText="1"/>
    </xf>
    <xf numFmtId="0" fontId="55" fillId="0" borderId="94" xfId="0" applyFont="1" applyBorder="1" applyAlignment="1">
      <alignment horizontal="center"/>
    </xf>
    <xf numFmtId="0" fontId="95" fillId="24" borderId="175" xfId="0" applyFont="1" applyFill="1" applyBorder="1" applyAlignment="1">
      <alignment horizontal="center" wrapText="1"/>
    </xf>
    <xf numFmtId="0" fontId="95" fillId="24" borderId="176" xfId="0" applyFont="1" applyFill="1" applyBorder="1" applyAlignment="1">
      <alignment horizontal="center" wrapText="1"/>
    </xf>
    <xf numFmtId="197" fontId="96" fillId="25" borderId="109" xfId="0" applyNumberFormat="1" applyFont="1" applyFill="1" applyBorder="1" applyAlignment="1">
      <alignment horizontal="center" vertical="top"/>
    </xf>
    <xf numFmtId="197" fontId="96" fillId="25" borderId="113" xfId="0" applyNumberFormat="1" applyFont="1" applyFill="1" applyBorder="1" applyAlignment="1">
      <alignment horizontal="center" vertical="top"/>
    </xf>
    <xf numFmtId="197" fontId="96" fillId="25" borderId="119" xfId="0" applyNumberFormat="1" applyFont="1" applyFill="1" applyBorder="1" applyAlignment="1">
      <alignment horizontal="center" vertical="top"/>
    </xf>
    <xf numFmtId="0" fontId="101" fillId="25" borderId="106" xfId="0" applyFont="1" applyFill="1" applyBorder="1" applyAlignment="1">
      <alignment horizontal="left" vertical="top" wrapText="1"/>
    </xf>
    <xf numFmtId="0" fontId="101" fillId="25" borderId="123" xfId="0" applyFont="1" applyFill="1" applyBorder="1" applyAlignment="1">
      <alignment horizontal="left" vertical="top" wrapText="1"/>
    </xf>
    <xf numFmtId="0" fontId="101" fillId="25" borderId="107" xfId="0" applyFont="1" applyFill="1" applyBorder="1" applyAlignment="1">
      <alignment vertical="top" wrapText="1"/>
    </xf>
    <xf numFmtId="0" fontId="101" fillId="25" borderId="124" xfId="0" applyFont="1" applyFill="1" applyBorder="1" applyAlignment="1">
      <alignment vertical="top" wrapText="1"/>
    </xf>
    <xf numFmtId="0" fontId="96" fillId="25" borderId="108" xfId="0" applyFont="1" applyFill="1" applyBorder="1" applyAlignment="1">
      <alignment vertical="top" wrapText="1"/>
    </xf>
    <xf numFmtId="0" fontId="96" fillId="25" borderId="125" xfId="0" applyFont="1" applyFill="1" applyBorder="1" applyAlignment="1">
      <alignment vertical="top" wrapText="1"/>
    </xf>
    <xf numFmtId="37" fontId="131" fillId="24" borderId="0" xfId="0" applyNumberFormat="1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left"/>
    </xf>
    <xf numFmtId="0" fontId="118" fillId="2" borderId="15" xfId="0" applyFont="1" applyFill="1" applyBorder="1" applyAlignment="1">
      <alignment horizontal="left"/>
    </xf>
    <xf numFmtId="231" fontId="9" fillId="0" borderId="91" xfId="0" applyNumberFormat="1" applyFont="1" applyBorder="1" applyAlignment="1">
      <alignment horizontal="center"/>
    </xf>
    <xf numFmtId="228" fontId="9" fillId="0" borderId="54" xfId="0" applyNumberFormat="1" applyFont="1" applyBorder="1" applyAlignment="1">
      <alignment horizontal="center"/>
    </xf>
    <xf numFmtId="229" fontId="9" fillId="0" borderId="54" xfId="0" applyNumberFormat="1" applyFont="1" applyBorder="1" applyAlignment="1">
      <alignment horizontal="center"/>
    </xf>
    <xf numFmtId="230" fontId="9" fillId="0" borderId="92" xfId="0" applyNumberFormat="1" applyFont="1" applyBorder="1"/>
    <xf numFmtId="234" fontId="9" fillId="0" borderId="91" xfId="0" applyNumberFormat="1" applyFont="1" applyBorder="1" applyAlignment="1">
      <alignment horizontal="center"/>
    </xf>
    <xf numFmtId="236" fontId="9" fillId="0" borderId="91" xfId="0" applyNumberFormat="1" applyFont="1" applyBorder="1" applyAlignment="1">
      <alignment horizontal="center"/>
    </xf>
    <xf numFmtId="37" fontId="9" fillId="0" borderId="109" xfId="0" applyNumberFormat="1" applyFont="1" applyBorder="1" applyAlignment="1">
      <alignment horizontal="left"/>
    </xf>
    <xf numFmtId="177" fontId="6" fillId="0" borderId="152" xfId="0" applyNumberFormat="1" applyFont="1" applyBorder="1" applyAlignment="1">
      <alignment horizontal="right"/>
    </xf>
    <xf numFmtId="37" fontId="33" fillId="0" borderId="152" xfId="0" applyNumberFormat="1" applyFont="1" applyBorder="1" applyAlignment="1">
      <alignment horizontal="center"/>
    </xf>
    <xf numFmtId="183" fontId="6" fillId="0" borderId="212" xfId="0" applyNumberFormat="1" applyFont="1" applyBorder="1" applyAlignment="1">
      <alignment horizontal="center"/>
    </xf>
    <xf numFmtId="172" fontId="25" fillId="0" borderId="54" xfId="0" applyNumberFormat="1" applyFont="1" applyBorder="1" applyAlignment="1">
      <alignment horizontal="center"/>
    </xf>
  </cellXfs>
  <cellStyles count="11">
    <cellStyle name="Accent1" xfId="6" builtinId="29"/>
    <cellStyle name="Comma" xfId="3" builtinId="3"/>
    <cellStyle name="Currency" xfId="4" builtinId="4"/>
    <cellStyle name="Hyperlink" xfId="2" builtinId="8"/>
    <cellStyle name="Neutral" xfId="5" builtinId="28"/>
    <cellStyle name="Normal" xfId="0" builtinId="0"/>
    <cellStyle name="Normal 464" xfId="10" xr:uid="{59E81BAC-DDA1-4A55-92B9-95C2B348A760}"/>
    <cellStyle name="Normal 465" xfId="8" xr:uid="{2AA4D005-6583-42AE-A5AC-B18BC1ECDCB8}"/>
    <cellStyle name="Normal 468" xfId="9" xr:uid="{4DEF077C-F700-4F30-94AE-B765CF817743}"/>
    <cellStyle name="Normal 469" xfId="7" xr:uid="{0731AC3E-5776-4E87-BCF8-838DEBEB6B5A}"/>
    <cellStyle name="Percent" xfId="1" builtinId="5"/>
  </cellStyles>
  <dxfs count="93">
    <dxf>
      <font>
        <color theme="3"/>
      </font>
    </dxf>
    <dxf>
      <font>
        <color theme="3"/>
      </font>
    </dxf>
    <dxf>
      <font>
        <color rgb="FFE36C09"/>
      </font>
      <fill>
        <patternFill patternType="none"/>
      </fill>
    </dxf>
    <dxf>
      <font>
        <color rgb="FFE36C09"/>
      </font>
      <fill>
        <patternFill patternType="none"/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font>
        <color theme="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0"/>
      </font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font>
        <color theme="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numFmt numFmtId="270" formatCode="&quot; up to &quot;0.00&quot;X EM to LP&quot;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1F497D"/>
      </font>
      <fill>
        <patternFill patternType="none"/>
      </fill>
    </dxf>
    <dxf>
      <font>
        <color rgb="FF1F497D"/>
      </font>
      <fill>
        <patternFill patternType="none"/>
      </fill>
    </dxf>
    <dxf>
      <font>
        <color rgb="FF1F497D"/>
      </font>
      <fill>
        <patternFill patternType="none"/>
      </fill>
    </dxf>
    <dxf>
      <font>
        <color rgb="FF1F497D"/>
      </font>
      <fill>
        <patternFill patternType="none"/>
      </fill>
    </dxf>
    <dxf>
      <font>
        <color rgb="FF9C0006"/>
      </font>
      <fill>
        <patternFill>
          <bgColor rgb="FFFFC7CE"/>
        </patternFill>
      </fill>
    </dxf>
    <dxf>
      <font>
        <color rgb="FF1F497D"/>
      </font>
      <fill>
        <patternFill patternType="none"/>
      </fill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customschemas.google.com/relationships/workbookmetadata" Target="metadata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.pn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187153</xdr:colOff>
      <xdr:row>5</xdr:row>
      <xdr:rowOff>8521</xdr:rowOff>
    </xdr:from>
    <xdr:to>
      <xdr:col>12</xdr:col>
      <xdr:colOff>1143000</xdr:colOff>
      <xdr:row>20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A96A8A-CB64-246F-A325-BCBE0A74F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0124" y="1028256"/>
          <a:ext cx="8105200" cy="2848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16</xdr:row>
      <xdr:rowOff>0</xdr:rowOff>
    </xdr:from>
    <xdr:to>
      <xdr:col>2</xdr:col>
      <xdr:colOff>252</xdr:colOff>
      <xdr:row>21</xdr:row>
      <xdr:rowOff>184547</xdr:rowOff>
    </xdr:to>
    <xdr:pic>
      <xdr:nvPicPr>
        <xdr:cNvPr id="2" name="0">
          <a:extLst>
            <a:ext uri="{FF2B5EF4-FFF2-40B4-BE49-F238E27FC236}">
              <a16:creationId xmlns:a16="http://schemas.microsoft.com/office/drawing/2014/main" id="{E6A37339-2EED-B236-D632-00279453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641" y="3476625"/>
          <a:ext cx="1827609" cy="1137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22</xdr:row>
      <xdr:rowOff>7328</xdr:rowOff>
    </xdr:from>
    <xdr:to>
      <xdr:col>2</xdr:col>
      <xdr:colOff>8202</xdr:colOff>
      <xdr:row>28</xdr:row>
      <xdr:rowOff>14654</xdr:rowOff>
    </xdr:to>
    <xdr:pic>
      <xdr:nvPicPr>
        <xdr:cNvPr id="3" name="0">
          <a:extLst>
            <a:ext uri="{FF2B5EF4-FFF2-40B4-BE49-F238E27FC236}">
              <a16:creationId xmlns:a16="http://schemas.microsoft.com/office/drawing/2014/main" id="{BDC60731-92BD-DC3E-C3A0-5D46DE26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193" y="4615963"/>
          <a:ext cx="1847259" cy="1150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7327</xdr:colOff>
      <xdr:row>28</xdr:row>
      <xdr:rowOff>29308</xdr:rowOff>
    </xdr:from>
    <xdr:to>
      <xdr:col>1</xdr:col>
      <xdr:colOff>1831731</xdr:colOff>
      <xdr:row>34</xdr:row>
      <xdr:rowOff>7327</xdr:rowOff>
    </xdr:to>
    <xdr:pic>
      <xdr:nvPicPr>
        <xdr:cNvPr id="4" name="0">
          <a:extLst>
            <a:ext uri="{FF2B5EF4-FFF2-40B4-BE49-F238E27FC236}">
              <a16:creationId xmlns:a16="http://schemas.microsoft.com/office/drawing/2014/main" id="{53E33EA7-94A3-8082-52C2-9BDDC494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19" y="5780943"/>
          <a:ext cx="1824404" cy="1091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32845</xdr:rowOff>
    </xdr:from>
    <xdr:to>
      <xdr:col>2</xdr:col>
      <xdr:colOff>5435</xdr:colOff>
      <xdr:row>40</xdr:row>
      <xdr:rowOff>6569</xdr:rowOff>
    </xdr:to>
    <xdr:pic>
      <xdr:nvPicPr>
        <xdr:cNvPr id="5" name="0">
          <a:extLst>
            <a:ext uri="{FF2B5EF4-FFF2-40B4-BE49-F238E27FC236}">
              <a16:creationId xmlns:a16="http://schemas.microsoft.com/office/drawing/2014/main" id="{F693E613-2609-C250-14FD-58650909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224" y="6897414"/>
          <a:ext cx="1844745" cy="111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13139</xdr:rowOff>
    </xdr:from>
    <xdr:to>
      <xdr:col>1</xdr:col>
      <xdr:colOff>1826173</xdr:colOff>
      <xdr:row>46</xdr:row>
      <xdr:rowOff>13139</xdr:rowOff>
    </xdr:to>
    <xdr:pic>
      <xdr:nvPicPr>
        <xdr:cNvPr id="6" name="0">
          <a:extLst>
            <a:ext uri="{FF2B5EF4-FFF2-40B4-BE49-F238E27FC236}">
              <a16:creationId xmlns:a16="http://schemas.microsoft.com/office/drawing/2014/main" id="{86F90A4A-F02E-FDE7-A567-C1A2CD25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224" y="8020708"/>
          <a:ext cx="1826173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46</xdr:row>
      <xdr:rowOff>11906</xdr:rowOff>
    </xdr:from>
    <xdr:to>
      <xdr:col>1</xdr:col>
      <xdr:colOff>1827610</xdr:colOff>
      <xdr:row>51</xdr:row>
      <xdr:rowOff>184547</xdr:rowOff>
    </xdr:to>
    <xdr:pic>
      <xdr:nvPicPr>
        <xdr:cNvPr id="7" name="0">
          <a:extLst>
            <a:ext uri="{FF2B5EF4-FFF2-40B4-BE49-F238E27FC236}">
              <a16:creationId xmlns:a16="http://schemas.microsoft.com/office/drawing/2014/main" id="{8E364A94-6450-1829-FB8D-29A4631D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735" y="9173765"/>
          <a:ext cx="1827609" cy="1113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24849</xdr:rowOff>
    </xdr:from>
    <xdr:to>
      <xdr:col>1</xdr:col>
      <xdr:colOff>1830457</xdr:colOff>
      <xdr:row>57</xdr:row>
      <xdr:rowOff>173935</xdr:rowOff>
    </xdr:to>
    <xdr:pic>
      <xdr:nvPicPr>
        <xdr:cNvPr id="8" name="0">
          <a:extLst>
            <a:ext uri="{FF2B5EF4-FFF2-40B4-BE49-F238E27FC236}">
              <a16:creationId xmlns:a16="http://schemas.microsoft.com/office/drawing/2014/main" id="{CEEFE95C-9549-869E-65E4-1B8CF5B0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652" y="10311849"/>
          <a:ext cx="1830457" cy="1093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58</xdr:row>
      <xdr:rowOff>14655</xdr:rowOff>
    </xdr:from>
    <xdr:to>
      <xdr:col>1</xdr:col>
      <xdr:colOff>1834309</xdr:colOff>
      <xdr:row>64</xdr:row>
      <xdr:rowOff>0</xdr:rowOff>
    </xdr:to>
    <xdr:pic>
      <xdr:nvPicPr>
        <xdr:cNvPr id="9" name="0">
          <a:extLst>
            <a:ext uri="{FF2B5EF4-FFF2-40B4-BE49-F238E27FC236}">
              <a16:creationId xmlns:a16="http://schemas.microsoft.com/office/drawing/2014/main" id="{0663F98D-DC15-8A78-F64C-173D227B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193" y="11437328"/>
          <a:ext cx="1834308" cy="1121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29308</xdr:colOff>
      <xdr:row>64</xdr:row>
      <xdr:rowOff>7328</xdr:rowOff>
    </xdr:from>
    <xdr:to>
      <xdr:col>1</xdr:col>
      <xdr:colOff>1837403</xdr:colOff>
      <xdr:row>70</xdr:row>
      <xdr:rowOff>1</xdr:rowOff>
    </xdr:to>
    <xdr:pic>
      <xdr:nvPicPr>
        <xdr:cNvPr id="10" name="0">
          <a:extLst>
            <a:ext uri="{FF2B5EF4-FFF2-40B4-BE49-F238E27FC236}">
              <a16:creationId xmlns:a16="http://schemas.microsoft.com/office/drawing/2014/main" id="{C1A2E89B-05B7-B92B-10B7-59954E6B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2565674"/>
          <a:ext cx="1808095" cy="1128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7327</xdr:colOff>
      <xdr:row>70</xdr:row>
      <xdr:rowOff>7327</xdr:rowOff>
    </xdr:from>
    <xdr:to>
      <xdr:col>1</xdr:col>
      <xdr:colOff>1809750</xdr:colOff>
      <xdr:row>75</xdr:row>
      <xdr:rowOff>166688</xdr:rowOff>
    </xdr:to>
    <xdr:pic>
      <xdr:nvPicPr>
        <xdr:cNvPr id="11" name="0">
          <a:extLst>
            <a:ext uri="{FF2B5EF4-FFF2-40B4-BE49-F238E27FC236}">
              <a16:creationId xmlns:a16="http://schemas.microsoft.com/office/drawing/2014/main" id="{54887A6D-73EC-1E84-1488-90BA3DF4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061" y="13693561"/>
          <a:ext cx="1802423" cy="1099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16566</xdr:colOff>
      <xdr:row>10</xdr:row>
      <xdr:rowOff>16566</xdr:rowOff>
    </xdr:from>
    <xdr:to>
      <xdr:col>2</xdr:col>
      <xdr:colOff>16566</xdr:colOff>
      <xdr:row>15</xdr:row>
      <xdr:rowOff>182217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561A7A8-FB19-4542-A8CA-F632E9C1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06218" y="2327414"/>
          <a:ext cx="1838739" cy="11181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.CRE-Ai1-UW_v0.881.xlsb" TargetMode="External"/><Relationship Id="rId1" Type="http://schemas.openxmlformats.org/officeDocument/2006/relationships/externalLinkPath" Target="/5871b7034787fda6/Real%20Estate/A.CRE-Ai1-UW_v0.88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ersion"/>
      <sheetName val="Summary"/>
      <sheetName val="Property CF"/>
      <sheetName val="IRR Matrix"/>
      <sheetName val="Perm. Debt"/>
      <sheetName val="Equity CF"/>
      <sheetName val="Sponsor CF"/>
      <sheetName val="Tenancy Analysis"/>
      <sheetName val="Retail Analysis"/>
      <sheetName val="GL"/>
      <sheetName val="Rate Matrix"/>
      <sheetName val="After-Tax"/>
      <sheetName val="Dev---&gt;"/>
      <sheetName val="Sources &amp; Uses"/>
      <sheetName val="Budget"/>
      <sheetName val="Gantt"/>
      <sheetName val="Dev-Interest Calc"/>
      <sheetName val="Dev-Data"/>
      <sheetName val="ORI---&gt;"/>
      <sheetName val="ORI-Settings"/>
      <sheetName val="ORI-RR"/>
      <sheetName val="ORI-OpSt"/>
      <sheetName val="ORI-Calc"/>
      <sheetName val="Residual Land"/>
      <sheetName val="MF---&gt;"/>
      <sheetName val="MF-Settings"/>
      <sheetName val="MF-RR"/>
      <sheetName val="MF-OpSt"/>
      <sheetName val="MF-Calc"/>
    </sheetNames>
    <sheetDataSet>
      <sheetData sheetId="0"/>
      <sheetData sheetId="1">
        <row r="6">
          <cell r="F6" t="str">
            <v>Big Red Building</v>
          </cell>
          <cell r="M6">
            <v>10</v>
          </cell>
        </row>
        <row r="7">
          <cell r="L7">
            <v>45292</v>
          </cell>
        </row>
        <row r="13">
          <cell r="M13">
            <v>18</v>
          </cell>
        </row>
        <row r="30">
          <cell r="E30" t="b">
            <v>0</v>
          </cell>
        </row>
        <row r="33">
          <cell r="E33" t="b">
            <v>1</v>
          </cell>
        </row>
        <row r="47">
          <cell r="U47" t="str">
            <v>Off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19"/>
  <sheetViews>
    <sheetView showGridLines="0" tabSelected="1" zoomScale="85" zoomScaleNormal="85" workbookViewId="0">
      <selection activeCell="H69" sqref="H69"/>
    </sheetView>
  </sheetViews>
  <sheetFormatPr defaultColWidth="14.42578125" defaultRowHeight="15" customHeight="1" x14ac:dyDescent="0.25"/>
  <cols>
    <col min="1" max="1" width="6.5703125" customWidth="1"/>
    <col min="2" max="2" width="6.42578125" customWidth="1"/>
    <col min="3" max="3" width="38.28515625" customWidth="1"/>
    <col min="4" max="4" width="21.28515625" bestFit="1" customWidth="1"/>
    <col min="5" max="5" width="23.42578125" bestFit="1" customWidth="1"/>
    <col min="6" max="6" width="11.7109375" bestFit="1" customWidth="1"/>
    <col min="7" max="7" width="14.42578125" customWidth="1"/>
    <col min="8" max="8" width="14" customWidth="1"/>
    <col min="9" max="9" width="13.85546875" customWidth="1"/>
    <col min="10" max="10" width="25.7109375" bestFit="1" customWidth="1"/>
    <col min="11" max="11" width="16" bestFit="1" customWidth="1"/>
    <col min="12" max="12" width="23.28515625" bestFit="1" customWidth="1"/>
    <col min="13" max="13" width="17.42578125" bestFit="1" customWidth="1"/>
    <col min="14" max="14" width="14.140625" bestFit="1" customWidth="1"/>
    <col min="15" max="17" width="12.42578125" customWidth="1"/>
    <col min="18" max="18" width="30.5703125" customWidth="1"/>
    <col min="19" max="19" width="13.5703125" bestFit="1" customWidth="1"/>
    <col min="20" max="20" width="12.42578125" bestFit="1" customWidth="1"/>
    <col min="21" max="21" width="20.140625" customWidth="1"/>
    <col min="22" max="22" width="21.42578125" customWidth="1"/>
    <col min="23" max="23" width="8" customWidth="1"/>
    <col min="24" max="24" width="31.85546875" customWidth="1"/>
    <col min="25" max="25" width="6.42578125" customWidth="1"/>
    <col min="26" max="26" width="15.28515625" customWidth="1"/>
    <col min="27" max="27" width="4.42578125" customWidth="1"/>
    <col min="28" max="28" width="41.7109375" customWidth="1"/>
    <col min="29" max="29" width="15" customWidth="1"/>
    <col min="30" max="30" width="10.5703125" customWidth="1"/>
    <col min="31" max="33" width="8.7109375" customWidth="1"/>
  </cols>
  <sheetData>
    <row r="1" spans="1:33" ht="20.25" x14ac:dyDescent="0.3">
      <c r="A1" s="6"/>
      <c r="B1" s="6"/>
      <c r="C1" s="1922" t="str">
        <f>IF(NAME="","Insert Project Name on Prelim Page",NAME)</f>
        <v>Town Center</v>
      </c>
      <c r="D1" s="1922"/>
      <c r="E1" s="1922"/>
      <c r="F1" s="1922"/>
      <c r="G1" s="1922"/>
      <c r="H1" s="1922"/>
      <c r="I1" s="1922"/>
      <c r="J1" s="1922"/>
      <c r="K1" s="1922"/>
      <c r="L1" s="1922"/>
      <c r="M1" s="1922"/>
      <c r="N1" s="1326"/>
      <c r="O1" s="1326"/>
      <c r="P1" s="1326"/>
      <c r="Q1" s="1326"/>
      <c r="R1" s="1326"/>
      <c r="S1" s="23"/>
      <c r="T1" s="23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x14ac:dyDescent="0.25">
      <c r="A2" s="6"/>
      <c r="B2" s="6"/>
      <c r="C2" s="1923" t="str">
        <f>CITY</f>
        <v>Santa Maria, CA 93454</v>
      </c>
      <c r="D2" s="1923"/>
      <c r="E2" s="1923"/>
      <c r="F2" s="1923"/>
      <c r="G2" s="1923"/>
      <c r="H2" s="1923"/>
      <c r="I2" s="1923"/>
      <c r="J2" s="1923"/>
      <c r="K2" s="1923"/>
      <c r="L2" s="1923"/>
      <c r="M2" s="1923"/>
      <c r="N2" s="1714"/>
      <c r="O2" s="1714"/>
      <c r="P2" s="1714"/>
      <c r="Q2" s="1714"/>
      <c r="R2" s="171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x14ac:dyDescent="0.25">
      <c r="A3" s="6"/>
      <c r="B3" s="6"/>
      <c r="C3" s="26" t="s">
        <v>628</v>
      </c>
      <c r="D3" s="27"/>
      <c r="E3" s="27"/>
      <c r="F3" s="27"/>
      <c r="G3" s="27"/>
      <c r="H3" s="27"/>
      <c r="I3" s="27"/>
      <c r="J3" s="27"/>
      <c r="K3" s="27"/>
      <c r="L3" s="27"/>
      <c r="M3" s="6"/>
      <c r="N3" s="6"/>
      <c r="O3" s="6"/>
      <c r="P3" s="6"/>
      <c r="Q3" s="6"/>
      <c r="R3" s="6"/>
      <c r="S3" s="6"/>
      <c r="T3" s="28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x14ac:dyDescent="0.25">
      <c r="A4" s="6"/>
      <c r="B4" s="6"/>
      <c r="C4" s="29">
        <f ca="1">TODAY()</f>
        <v>46271</v>
      </c>
      <c r="D4" s="6"/>
      <c r="E4" s="6"/>
      <c r="F4" s="6"/>
      <c r="G4" s="6"/>
      <c r="H4" s="6"/>
      <c r="I4" s="6"/>
      <c r="J4" s="6"/>
      <c r="K4" s="6"/>
      <c r="L4" s="6"/>
      <c r="M4" s="30"/>
      <c r="N4" s="6"/>
      <c r="O4" s="6"/>
      <c r="P4" s="6"/>
      <c r="Q4" s="6"/>
      <c r="R4" s="31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x14ac:dyDescent="0.25">
      <c r="A5" s="6"/>
      <c r="B5" s="6"/>
      <c r="C5" s="29"/>
      <c r="D5" s="6"/>
      <c r="E5" s="6"/>
      <c r="F5" s="6"/>
      <c r="G5" s="6"/>
      <c r="H5" s="6"/>
      <c r="N5" s="6"/>
      <c r="O5" s="6"/>
      <c r="P5" s="6"/>
      <c r="Q5" s="6"/>
      <c r="R5" s="31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x14ac:dyDescent="0.25">
      <c r="A6" s="6"/>
      <c r="B6" s="6"/>
      <c r="C6" s="3" t="s">
        <v>50</v>
      </c>
      <c r="D6" s="82"/>
      <c r="E6" s="83"/>
      <c r="F6" s="84"/>
      <c r="G6" s="6"/>
      <c r="N6" s="6"/>
      <c r="O6" s="6"/>
      <c r="P6" s="6"/>
      <c r="Q6" s="6"/>
      <c r="R6" s="31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x14ac:dyDescent="0.25">
      <c r="A7" s="6"/>
      <c r="B7" s="6"/>
      <c r="C7" s="1662" t="s">
        <v>56</v>
      </c>
      <c r="D7" s="1663" t="s">
        <v>603</v>
      </c>
      <c r="E7" s="1664" t="s">
        <v>57</v>
      </c>
      <c r="F7" s="1665" t="s">
        <v>58</v>
      </c>
      <c r="G7" s="6"/>
      <c r="N7" s="6"/>
      <c r="O7" s="6"/>
      <c r="P7" s="6"/>
      <c r="Q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x14ac:dyDescent="0.25">
      <c r="A8" s="6"/>
      <c r="B8" s="6"/>
      <c r="C8" s="1666" t="s">
        <v>60</v>
      </c>
      <c r="D8" s="924" t="s">
        <v>652</v>
      </c>
      <c r="E8" s="980" t="s">
        <v>61</v>
      </c>
      <c r="F8" s="1667" t="s">
        <v>62</v>
      </c>
      <c r="G8" s="6"/>
      <c r="N8" s="6"/>
      <c r="O8" s="6"/>
      <c r="P8" s="6"/>
      <c r="Q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x14ac:dyDescent="0.25">
      <c r="A9" s="6"/>
      <c r="B9" s="6"/>
      <c r="C9" s="1666" t="s">
        <v>63</v>
      </c>
      <c r="D9" s="925" t="s">
        <v>538</v>
      </c>
      <c r="E9" s="980" t="s">
        <v>64</v>
      </c>
      <c r="F9" s="1667">
        <v>1</v>
      </c>
      <c r="G9" s="6"/>
      <c r="N9" s="6"/>
      <c r="O9" s="6"/>
      <c r="P9" s="6"/>
      <c r="Q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6"/>
      <c r="B10" s="6"/>
      <c r="C10" s="1668" t="s">
        <v>0</v>
      </c>
      <c r="D10" s="926">
        <f>NRSF</f>
        <v>51887.79</v>
      </c>
      <c r="E10" s="980" t="s">
        <v>66</v>
      </c>
      <c r="F10" s="1667">
        <v>3</v>
      </c>
      <c r="G10" s="6"/>
      <c r="N10" s="6"/>
      <c r="O10" s="6"/>
      <c r="P10" s="6"/>
      <c r="Q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25">
      <c r="A11" s="6"/>
      <c r="B11" s="6"/>
      <c r="C11" s="1668" t="s">
        <v>571</v>
      </c>
      <c r="D11" s="926">
        <v>5616</v>
      </c>
      <c r="E11" s="1669" t="s">
        <v>67</v>
      </c>
      <c r="F11" s="1670">
        <f>UNITS</f>
        <v>82</v>
      </c>
      <c r="G11" s="6"/>
      <c r="N11" s="6"/>
      <c r="O11" s="6"/>
      <c r="P11" s="6"/>
      <c r="Q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x14ac:dyDescent="0.25">
      <c r="A12" s="6"/>
      <c r="B12" s="6"/>
      <c r="C12" s="1666" t="s">
        <v>70</v>
      </c>
      <c r="D12" s="927">
        <f>F11/F13</f>
        <v>146.42857142857142</v>
      </c>
      <c r="E12" s="1669" t="s">
        <v>68</v>
      </c>
      <c r="F12" s="1670">
        <f>'Unit Mix'!E36</f>
        <v>632.77792682926827</v>
      </c>
      <c r="G12" s="6"/>
      <c r="N12" s="6"/>
      <c r="O12" s="6"/>
      <c r="P12" s="6"/>
      <c r="Q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x14ac:dyDescent="0.25">
      <c r="A13" s="6"/>
      <c r="B13" s="6"/>
      <c r="C13" s="1671" t="s">
        <v>76</v>
      </c>
      <c r="D13" s="1672" t="s">
        <v>77</v>
      </c>
      <c r="E13" s="1673" t="s">
        <v>73</v>
      </c>
      <c r="F13" s="1674">
        <v>0.56000000000000005</v>
      </c>
      <c r="G13" s="6"/>
      <c r="N13" s="6"/>
      <c r="O13" s="6"/>
      <c r="P13" s="6"/>
      <c r="Q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x14ac:dyDescent="0.25">
      <c r="A14" s="6"/>
      <c r="B14" s="6"/>
      <c r="C14" s="6"/>
      <c r="D14" s="6"/>
      <c r="E14" s="6"/>
      <c r="F14" s="6"/>
      <c r="G14" s="6"/>
      <c r="N14" s="6"/>
      <c r="O14" s="6"/>
      <c r="P14" s="6"/>
      <c r="Q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x14ac:dyDescent="0.25">
      <c r="A15" s="6"/>
      <c r="B15" s="6"/>
      <c r="C15" s="58" t="s">
        <v>21</v>
      </c>
      <c r="D15" s="59"/>
      <c r="E15" s="60" t="s">
        <v>22</v>
      </c>
      <c r="F15" s="61" t="s">
        <v>23</v>
      </c>
      <c r="N15" s="36"/>
      <c r="O15" s="36"/>
      <c r="P15" s="36"/>
      <c r="Q15" s="3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x14ac:dyDescent="0.25">
      <c r="A16" s="6"/>
      <c r="B16" s="6"/>
      <c r="C16" s="45" t="s">
        <v>26</v>
      </c>
      <c r="D16" s="47">
        <v>5.5E-2</v>
      </c>
      <c r="E16" s="23" t="s">
        <v>27</v>
      </c>
      <c r="F16" s="67">
        <v>46388</v>
      </c>
      <c r="N16" s="39"/>
      <c r="O16" s="39"/>
      <c r="P16" s="39"/>
      <c r="Q16" s="39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x14ac:dyDescent="0.25">
      <c r="A17" s="6"/>
      <c r="B17" s="6"/>
      <c r="C17" s="45" t="s">
        <v>30</v>
      </c>
      <c r="D17" s="47">
        <v>0.05</v>
      </c>
      <c r="E17" s="23" t="s">
        <v>31</v>
      </c>
      <c r="F17" s="68">
        <v>24</v>
      </c>
      <c r="N17" s="6"/>
      <c r="O17" s="6"/>
      <c r="P17" s="6"/>
      <c r="Q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x14ac:dyDescent="0.25">
      <c r="A18" s="43"/>
      <c r="B18" s="43"/>
      <c r="C18" s="45" t="s">
        <v>34</v>
      </c>
      <c r="D18" s="47">
        <v>0</v>
      </c>
      <c r="E18" s="23" t="s">
        <v>35</v>
      </c>
      <c r="F18" s="70">
        <f>EOMONTH(F16,F17)</f>
        <v>47149</v>
      </c>
      <c r="N18" s="43"/>
      <c r="O18" s="43"/>
      <c r="P18" s="43"/>
      <c r="Q18" s="43"/>
      <c r="W18" s="43"/>
      <c r="X18" s="43"/>
      <c r="Y18" s="43"/>
      <c r="Z18" s="43"/>
      <c r="AA18" s="43"/>
      <c r="AB18" s="43"/>
      <c r="AC18" s="43"/>
      <c r="AD18" s="43"/>
      <c r="AE18" s="43"/>
      <c r="AF18" s="6"/>
      <c r="AG18" s="6"/>
    </row>
    <row r="19" spans="1:33" x14ac:dyDescent="0.25">
      <c r="A19" s="43"/>
      <c r="B19" s="43"/>
      <c r="C19" s="45" t="s">
        <v>38</v>
      </c>
      <c r="D19" s="47">
        <v>0.03</v>
      </c>
      <c r="E19" s="649" t="s">
        <v>39</v>
      </c>
      <c r="F19" s="74">
        <v>8</v>
      </c>
      <c r="N19" s="43"/>
      <c r="O19" s="43"/>
      <c r="P19" s="43"/>
      <c r="Q19" s="43"/>
      <c r="W19" s="43"/>
      <c r="X19" s="43"/>
      <c r="Y19" s="43"/>
      <c r="Z19" s="43"/>
      <c r="AA19" s="43"/>
      <c r="AB19" s="43"/>
      <c r="AC19" s="43"/>
      <c r="AD19" s="43"/>
      <c r="AE19" s="43"/>
      <c r="AF19" s="6"/>
      <c r="AG19" s="6"/>
    </row>
    <row r="20" spans="1:33" x14ac:dyDescent="0.25">
      <c r="A20" s="43"/>
      <c r="B20" s="43"/>
      <c r="C20" s="56" t="s">
        <v>42</v>
      </c>
      <c r="D20" s="76">
        <v>0.03</v>
      </c>
      <c r="E20" s="77" t="s">
        <v>43</v>
      </c>
      <c r="F20" s="1316">
        <f>EOMONTH(F18,35)</f>
        <v>48213</v>
      </c>
      <c r="N20" s="43"/>
      <c r="O20" s="43"/>
      <c r="P20" s="43"/>
      <c r="Q20" s="43"/>
      <c r="W20" s="43"/>
      <c r="X20" s="43"/>
      <c r="Y20" s="43"/>
      <c r="Z20" s="43"/>
      <c r="AA20" s="43"/>
      <c r="AB20" s="43"/>
      <c r="AC20" s="43"/>
      <c r="AD20" s="43"/>
      <c r="AE20" s="43"/>
      <c r="AF20" s="6"/>
      <c r="AG20" s="6"/>
    </row>
    <row r="21" spans="1:33" x14ac:dyDescent="0.25">
      <c r="A21" s="43"/>
      <c r="B21" s="43"/>
      <c r="N21" s="43"/>
      <c r="O21" s="43"/>
      <c r="P21" s="43"/>
      <c r="Q21" s="43"/>
      <c r="W21" s="43"/>
      <c r="X21" s="43"/>
      <c r="Y21" s="43"/>
      <c r="Z21" s="43"/>
      <c r="AA21" s="43"/>
      <c r="AB21" s="43"/>
      <c r="AC21" s="43"/>
      <c r="AD21" s="43"/>
      <c r="AE21" s="43"/>
      <c r="AF21" s="6"/>
      <c r="AG21" s="6"/>
    </row>
    <row r="22" spans="1:33" x14ac:dyDescent="0.25">
      <c r="A22" s="43"/>
      <c r="B22" s="43"/>
      <c r="C22" s="1050" t="s">
        <v>49</v>
      </c>
      <c r="D22" s="1050"/>
      <c r="E22" s="1050"/>
      <c r="F22" s="1050"/>
      <c r="G22" s="1050"/>
      <c r="H22" s="1050"/>
      <c r="J22" s="1696" t="s">
        <v>11</v>
      </c>
      <c r="K22" s="1697"/>
      <c r="L22" s="1675"/>
      <c r="M22" s="1676"/>
      <c r="N22" s="43"/>
      <c r="O22" s="43"/>
      <c r="U22" s="43"/>
      <c r="V22" s="43"/>
      <c r="W22" s="43"/>
      <c r="X22" s="43"/>
      <c r="Y22" s="43"/>
      <c r="Z22" s="43"/>
      <c r="AA22" s="43"/>
      <c r="AB22" s="43"/>
      <c r="AC22" s="43"/>
      <c r="AD22" s="6"/>
      <c r="AE22" s="6"/>
    </row>
    <row r="23" spans="1:33" x14ac:dyDescent="0.25">
      <c r="A23" s="6"/>
      <c r="B23" s="6"/>
      <c r="C23" s="602" t="s">
        <v>51</v>
      </c>
      <c r="D23" s="603"/>
      <c r="E23" s="1258" t="s">
        <v>52</v>
      </c>
      <c r="F23" s="1258" t="s">
        <v>53</v>
      </c>
      <c r="G23" s="1258" t="s">
        <v>54</v>
      </c>
      <c r="H23" s="1259" t="s">
        <v>55</v>
      </c>
      <c r="J23" s="45" t="s">
        <v>12</v>
      </c>
      <c r="K23" s="46">
        <f>LOAN</f>
        <v>15552810.511988698</v>
      </c>
      <c r="L23" s="45" t="s">
        <v>13</v>
      </c>
      <c r="M23" s="47">
        <v>0.03</v>
      </c>
      <c r="N23" s="43"/>
      <c r="O23" s="43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3" x14ac:dyDescent="0.25">
      <c r="A24" s="6"/>
      <c r="B24" s="6"/>
      <c r="C24" s="604" t="s">
        <v>59</v>
      </c>
      <c r="D24" s="605">
        <f>'Unit Mix'!I36</f>
        <v>2520480</v>
      </c>
      <c r="E24" s="606">
        <f t="shared" ref="E24:E34" si="0">IFERROR(D24/UNITS,0)</f>
        <v>30737.560975609755</v>
      </c>
      <c r="F24" s="607">
        <f t="shared" ref="F24:F34" si="1">IFERROR(D24/UNITS/12,0)</f>
        <v>2561.4634146341464</v>
      </c>
      <c r="G24" s="607">
        <f t="shared" ref="G24:G34" si="2">IFERROR(D24/NRSF,0)</f>
        <v>48.575589748570906</v>
      </c>
      <c r="H24" s="608">
        <f t="shared" ref="H24:H34" si="3">IFERROR(D24/EGI,0)</f>
        <v>0.99580608425949357</v>
      </c>
      <c r="J24" s="45" t="str">
        <f>PROPER("LOAN TERM:")</f>
        <v>Loan Term:</v>
      </c>
      <c r="K24" s="50">
        <v>3</v>
      </c>
      <c r="L24" s="45" t="s">
        <v>14</v>
      </c>
      <c r="M24" s="47">
        <v>0.05</v>
      </c>
      <c r="N24" s="43"/>
      <c r="O24" s="43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3" x14ac:dyDescent="0.25">
      <c r="A25" s="6"/>
      <c r="B25" s="6"/>
      <c r="C25" s="609" t="s">
        <v>595</v>
      </c>
      <c r="D25" s="976">
        <f>'Retail Rent Roll'!F44</f>
        <v>117936</v>
      </c>
      <c r="E25" s="977">
        <f t="shared" si="0"/>
        <v>1438.2439024390244</v>
      </c>
      <c r="F25" s="978">
        <f t="shared" si="1"/>
        <v>119.85365853658537</v>
      </c>
      <c r="G25" s="978">
        <f t="shared" si="2"/>
        <v>2.272904666011021</v>
      </c>
      <c r="H25" s="979">
        <f t="shared" si="3"/>
        <v>4.6594849533909272E-2</v>
      </c>
      <c r="J25" s="45" t="s">
        <v>15</v>
      </c>
      <c r="K25" s="51">
        <f>M24+M23</f>
        <v>0.08</v>
      </c>
      <c r="L25" s="45" t="s">
        <v>16</v>
      </c>
      <c r="M25" s="47">
        <v>0.65</v>
      </c>
      <c r="N25" s="43"/>
      <c r="O25" s="43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3" x14ac:dyDescent="0.25">
      <c r="A26" s="6"/>
      <c r="B26" s="6"/>
      <c r="C26" s="556" t="s">
        <v>65</v>
      </c>
      <c r="D26" s="614">
        <f>D24+D25</f>
        <v>2638416</v>
      </c>
      <c r="E26" s="615">
        <f t="shared" si="0"/>
        <v>32175.804878048781</v>
      </c>
      <c r="F26" s="616">
        <f t="shared" si="1"/>
        <v>2681.3170731707319</v>
      </c>
      <c r="G26" s="616">
        <f t="shared" si="2"/>
        <v>50.848494414581928</v>
      </c>
      <c r="H26" s="617">
        <f t="shared" si="3"/>
        <v>1.0424009337934028</v>
      </c>
      <c r="J26" s="45" t="s">
        <v>17</v>
      </c>
      <c r="K26" s="53">
        <v>1000</v>
      </c>
      <c r="L26" s="45" t="s">
        <v>18</v>
      </c>
      <c r="M26" s="21">
        <f>D43</f>
        <v>23927400.787674919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3" x14ac:dyDescent="0.25">
      <c r="A27" s="6"/>
      <c r="B27" s="6"/>
      <c r="C27" s="604" t="s">
        <v>596</v>
      </c>
      <c r="D27" s="618">
        <f>VAC*D24</f>
        <v>126024</v>
      </c>
      <c r="E27" s="619">
        <f t="shared" si="0"/>
        <v>1536.8780487804879</v>
      </c>
      <c r="F27" s="620">
        <f t="shared" si="1"/>
        <v>128.07317073170734</v>
      </c>
      <c r="G27" s="620">
        <f t="shared" si="2"/>
        <v>2.4287794874285451</v>
      </c>
      <c r="H27" s="621">
        <f t="shared" si="3"/>
        <v>4.979030421297468E-2</v>
      </c>
      <c r="J27" s="45" t="s">
        <v>19</v>
      </c>
      <c r="K27" s="51">
        <f>PMT(RATE,AMORT,-1)</f>
        <v>0.08</v>
      </c>
      <c r="L27" s="45" t="s">
        <v>604</v>
      </c>
      <c r="M27" s="21">
        <f>EQUITY</f>
        <v>4592371.3268850893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3" x14ac:dyDescent="0.25">
      <c r="A28" s="6"/>
      <c r="B28" s="6"/>
      <c r="C28" s="609" t="s">
        <v>597</v>
      </c>
      <c r="D28" s="610">
        <f>VAC*D25</f>
        <v>5896.8</v>
      </c>
      <c r="E28" s="611">
        <f t="shared" si="0"/>
        <v>71.912195121951228</v>
      </c>
      <c r="F28" s="612">
        <f t="shared" si="1"/>
        <v>5.9926829268292687</v>
      </c>
      <c r="G28" s="612">
        <f t="shared" si="2"/>
        <v>0.11364523330055105</v>
      </c>
      <c r="H28" s="613">
        <f t="shared" si="3"/>
        <v>2.3297424766954636E-3</v>
      </c>
      <c r="J28" s="598" t="s">
        <v>512</v>
      </c>
      <c r="K28" s="597" t="s">
        <v>513</v>
      </c>
      <c r="L28" s="56" t="s">
        <v>605</v>
      </c>
      <c r="M28" s="22">
        <f>'Source &amp; Use'!C31</f>
        <v>155528.10511988698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3" ht="15.75" customHeight="1" x14ac:dyDescent="0.25">
      <c r="A29" s="6"/>
      <c r="B29" s="6"/>
      <c r="C29" s="602" t="s">
        <v>69</v>
      </c>
      <c r="D29" s="622">
        <f>D26-D27-D28</f>
        <v>2506495.2000000002</v>
      </c>
      <c r="E29" s="623">
        <f t="shared" si="0"/>
        <v>30567.014634146344</v>
      </c>
      <c r="F29" s="624">
        <f t="shared" si="1"/>
        <v>2547.2512195121953</v>
      </c>
      <c r="G29" s="624">
        <f t="shared" si="2"/>
        <v>48.306069693852834</v>
      </c>
      <c r="H29" s="625">
        <f t="shared" si="3"/>
        <v>0.99028088710373285</v>
      </c>
      <c r="I29" s="6"/>
      <c r="J29" s="6"/>
      <c r="K29" s="1293"/>
      <c r="L29" s="1293"/>
      <c r="M29" s="129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3" ht="15.75" customHeight="1" x14ac:dyDescent="0.25">
      <c r="A30" s="6"/>
      <c r="B30" s="6"/>
      <c r="C30" s="604" t="s">
        <v>71</v>
      </c>
      <c r="D30" s="605">
        <f>'Unit Mix'!D53</f>
        <v>24600</v>
      </c>
      <c r="E30" s="606">
        <f t="shared" si="0"/>
        <v>300</v>
      </c>
      <c r="F30" s="607">
        <f t="shared" si="1"/>
        <v>25</v>
      </c>
      <c r="G30" s="607">
        <f t="shared" si="2"/>
        <v>0.47409997612154997</v>
      </c>
      <c r="H30" s="608">
        <f t="shared" si="3"/>
        <v>9.7191128962671961E-3</v>
      </c>
      <c r="I30" s="6"/>
      <c r="J30" s="1694" t="s">
        <v>216</v>
      </c>
      <c r="K30" s="1695"/>
      <c r="L30" s="1675"/>
      <c r="M30" s="167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3" ht="15.75" customHeight="1" x14ac:dyDescent="0.25">
      <c r="A31" s="6"/>
      <c r="B31" s="552"/>
      <c r="C31" s="604" t="s">
        <v>72</v>
      </c>
      <c r="D31" s="605">
        <v>0</v>
      </c>
      <c r="E31" s="606">
        <f t="shared" si="0"/>
        <v>0</v>
      </c>
      <c r="F31" s="607">
        <f t="shared" si="1"/>
        <v>0</v>
      </c>
      <c r="G31" s="607">
        <f t="shared" si="2"/>
        <v>0</v>
      </c>
      <c r="H31" s="608">
        <f t="shared" si="3"/>
        <v>0</v>
      </c>
      <c r="I31" s="6"/>
      <c r="J31" s="1057" t="s">
        <v>606</v>
      </c>
      <c r="K31" s="1692">
        <v>5500000</v>
      </c>
      <c r="L31" s="1055" t="s">
        <v>612</v>
      </c>
      <c r="M31" s="1693">
        <f>M27</f>
        <v>4592371.3268850893</v>
      </c>
      <c r="N31" s="43"/>
      <c r="O31" s="43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3" ht="15.75" customHeight="1" x14ac:dyDescent="0.25">
      <c r="A32" s="6"/>
      <c r="B32" s="6"/>
      <c r="C32" s="604" t="s">
        <v>74</v>
      </c>
      <c r="D32" s="605">
        <v>0</v>
      </c>
      <c r="E32" s="606">
        <f t="shared" si="0"/>
        <v>0</v>
      </c>
      <c r="F32" s="607">
        <f t="shared" si="1"/>
        <v>0</v>
      </c>
      <c r="G32" s="607">
        <f t="shared" si="2"/>
        <v>0</v>
      </c>
      <c r="H32" s="608">
        <f t="shared" si="3"/>
        <v>0</v>
      </c>
      <c r="I32" s="6"/>
      <c r="J32" s="1057" t="s">
        <v>46</v>
      </c>
      <c r="K32" s="1058">
        <v>3</v>
      </c>
      <c r="L32" s="1055" t="s">
        <v>613</v>
      </c>
      <c r="M32" s="1063">
        <f>K31/SUM(M31+K31)</f>
        <v>0.54496607604483782</v>
      </c>
      <c r="N32" s="43"/>
      <c r="O32" s="43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3" ht="15.75" customHeight="1" x14ac:dyDescent="0.25">
      <c r="A33" s="6"/>
      <c r="B33" s="6"/>
      <c r="C33" s="609" t="s">
        <v>75</v>
      </c>
      <c r="D33" s="626">
        <v>0</v>
      </c>
      <c r="E33" s="627">
        <f t="shared" si="0"/>
        <v>0</v>
      </c>
      <c r="F33" s="628">
        <f t="shared" si="1"/>
        <v>0</v>
      </c>
      <c r="G33" s="628">
        <f t="shared" si="2"/>
        <v>0</v>
      </c>
      <c r="H33" s="629">
        <f t="shared" si="3"/>
        <v>0</v>
      </c>
      <c r="I33" s="6"/>
      <c r="J33" s="1057" t="s">
        <v>609</v>
      </c>
      <c r="K33" s="1062">
        <v>0.15</v>
      </c>
      <c r="L33" s="1055" t="s">
        <v>614</v>
      </c>
      <c r="M33" s="1063">
        <f>1-M32</f>
        <v>0.45503392395516218</v>
      </c>
      <c r="N33" s="43"/>
      <c r="O33" s="43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3" ht="15.75" customHeight="1" x14ac:dyDescent="0.25">
      <c r="A34" s="6"/>
      <c r="B34" s="6"/>
      <c r="C34" s="556" t="s">
        <v>78</v>
      </c>
      <c r="D34" s="614">
        <f>(SUM(D29:D33))</f>
        <v>2531095.2000000002</v>
      </c>
      <c r="E34" s="615">
        <f t="shared" si="0"/>
        <v>30867.014634146344</v>
      </c>
      <c r="F34" s="616">
        <f t="shared" si="1"/>
        <v>2572.2512195121953</v>
      </c>
      <c r="G34" s="616">
        <f t="shared" si="2"/>
        <v>48.780169669974384</v>
      </c>
      <c r="H34" s="617">
        <f t="shared" si="3"/>
        <v>1</v>
      </c>
      <c r="I34" s="6"/>
      <c r="J34" s="1057" t="s">
        <v>608</v>
      </c>
      <c r="K34" s="1059" t="s">
        <v>374</v>
      </c>
      <c r="L34" s="1055" t="s">
        <v>615</v>
      </c>
      <c r="M34" s="1059" t="s">
        <v>372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3" ht="15.75" customHeight="1" x14ac:dyDescent="0.25">
      <c r="A35" s="6"/>
      <c r="B35" s="6"/>
      <c r="C35" s="630"/>
      <c r="D35" s="605"/>
      <c r="E35" s="631" t="s">
        <v>79</v>
      </c>
      <c r="F35" s="632"/>
      <c r="G35" s="632"/>
      <c r="H35" s="633"/>
      <c r="I35" s="6"/>
      <c r="J35" s="1057" t="s">
        <v>610</v>
      </c>
      <c r="K35" s="1059">
        <v>0.25</v>
      </c>
      <c r="L35" s="1055" t="s">
        <v>616</v>
      </c>
      <c r="M35" s="1059">
        <v>0.3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3" ht="15.75" customHeight="1" x14ac:dyDescent="0.25">
      <c r="A36" s="6"/>
      <c r="B36" s="6"/>
      <c r="C36" s="94" t="s">
        <v>624</v>
      </c>
      <c r="D36" s="634">
        <f>OPEX</f>
        <v>884055.16799999995</v>
      </c>
      <c r="E36" s="635">
        <f>IFERROR(D36/UNITS,0)</f>
        <v>10781.160585365853</v>
      </c>
      <c r="F36" s="635">
        <f>IFERROR(D36/UNITS/12,0)</f>
        <v>898.43004878048771</v>
      </c>
      <c r="G36" s="636">
        <f>IFERROR(D36/NRSF,0)</f>
        <v>17.037826586948491</v>
      </c>
      <c r="H36" s="95">
        <f>IFERROR(D36/EGI,0)</f>
        <v>0.34927772293985621</v>
      </c>
      <c r="I36" s="6"/>
      <c r="J36" s="1060" t="s">
        <v>611</v>
      </c>
      <c r="K36" s="1061">
        <v>0.4</v>
      </c>
      <c r="L36" s="1056" t="s">
        <v>617</v>
      </c>
      <c r="M36" s="1061">
        <v>0.9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3" ht="15.75" customHeight="1" x14ac:dyDescent="0.25">
      <c r="A37" s="6"/>
      <c r="B37" s="6"/>
      <c r="C37" s="94" t="s">
        <v>598</v>
      </c>
      <c r="D37" s="634">
        <f>D76</f>
        <v>23549.28447857128</v>
      </c>
      <c r="E37" s="635">
        <f>IFERROR(D37/UNITS,0)</f>
        <v>287.18639608013757</v>
      </c>
      <c r="F37" s="635">
        <f>IFERROR(D37/UNITS/12,0)</f>
        <v>23.932199673344797</v>
      </c>
      <c r="G37" s="636">
        <f>IFERROR(D37/NRSF,0)</f>
        <v>0.45385021174675738</v>
      </c>
      <c r="H37" s="95">
        <f>IFERROR(D37/EGI,0)</f>
        <v>9.3039900192498793E-3</v>
      </c>
      <c r="I37" s="6"/>
      <c r="K37" s="7"/>
      <c r="L37" s="43"/>
      <c r="M37" s="43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3" ht="15.75" customHeight="1" x14ac:dyDescent="0.25">
      <c r="A38" s="6"/>
      <c r="B38" s="6"/>
      <c r="C38" s="637"/>
      <c r="D38" s="626"/>
      <c r="E38" s="638"/>
      <c r="F38" s="638"/>
      <c r="G38" s="639"/>
      <c r="H38" s="640"/>
      <c r="I38" s="6"/>
      <c r="J38" s="1690" t="s">
        <v>514</v>
      </c>
      <c r="K38" s="1691"/>
      <c r="L38" s="1691"/>
      <c r="M38" s="167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3" ht="15.75" customHeight="1" x14ac:dyDescent="0.25">
      <c r="A39" s="6"/>
      <c r="B39" s="6"/>
      <c r="C39" s="641" t="s">
        <v>80</v>
      </c>
      <c r="D39" s="642">
        <f>EGI-D36-D37</f>
        <v>1623490.7475214289</v>
      </c>
      <c r="E39" s="643">
        <f>IFERROR(D39/UNITS,0)</f>
        <v>19798.667652700351</v>
      </c>
      <c r="F39" s="644">
        <f>IFERROR(D39/UNITS/12,0)</f>
        <v>1649.8889710583626</v>
      </c>
      <c r="G39" s="645">
        <f>IFERROR(D39/NRSF,0)</f>
        <v>31.288492871279136</v>
      </c>
      <c r="H39" s="646">
        <f>IFERROR(D39/EGI,0)</f>
        <v>0.64141828704089388</v>
      </c>
      <c r="I39" s="6"/>
      <c r="J39" s="63" t="s">
        <v>24</v>
      </c>
      <c r="K39" s="64">
        <f>D45/VALUE</f>
        <v>0.52689217937664146</v>
      </c>
      <c r="L39" s="65" t="s">
        <v>25</v>
      </c>
      <c r="M39" s="66">
        <f>M40/12</f>
        <v>103685.40341325798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3" ht="15.75" customHeight="1" x14ac:dyDescent="0.25">
      <c r="A40" s="6"/>
      <c r="B40" s="6"/>
      <c r="C40" s="97"/>
      <c r="D40" s="87"/>
      <c r="E40" s="98"/>
      <c r="F40" s="99"/>
      <c r="G40" s="99"/>
      <c r="H40" s="100" t="s">
        <v>24</v>
      </c>
      <c r="I40" s="6"/>
      <c r="J40" s="63" t="s">
        <v>28</v>
      </c>
      <c r="K40" s="64">
        <f>D45/D43</f>
        <v>0.65</v>
      </c>
      <c r="L40" s="65" t="s">
        <v>29</v>
      </c>
      <c r="M40" s="66">
        <f>D45*K</f>
        <v>1244224.8409590959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3" ht="15.75" customHeight="1" x14ac:dyDescent="0.25">
      <c r="A41" s="6"/>
      <c r="B41" s="6"/>
      <c r="C41" s="101" t="s">
        <v>81</v>
      </c>
      <c r="D41" s="87">
        <f>IFERROR(D39/CAP,0)</f>
        <v>29518013.591298707</v>
      </c>
      <c r="E41" s="90" t="s">
        <v>52</v>
      </c>
      <c r="F41" s="90" t="s">
        <v>54</v>
      </c>
      <c r="G41" s="90" t="s">
        <v>82</v>
      </c>
      <c r="H41" s="100" t="s">
        <v>28</v>
      </c>
      <c r="I41" s="6"/>
      <c r="J41" s="63" t="s">
        <v>32</v>
      </c>
      <c r="K41" s="69">
        <f>NOI/M40</f>
        <v>1.3048210372250568</v>
      </c>
      <c r="L41" s="65" t="s">
        <v>33</v>
      </c>
      <c r="M41" s="66">
        <f>PV(RATE,AMORT-TERM,-ANNPMT)</f>
        <v>15552810.511988698</v>
      </c>
      <c r="N41" s="81"/>
      <c r="O41" s="81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3" ht="15.75" customHeight="1" x14ac:dyDescent="0.25">
      <c r="A42" s="6"/>
      <c r="B42" s="6"/>
      <c r="C42" s="102" t="s">
        <v>83</v>
      </c>
      <c r="D42" s="103">
        <f>ROUND(D41,-4)</f>
        <v>29520000</v>
      </c>
      <c r="E42" s="104">
        <f>IFERROR(VALUE/UNITS,0)</f>
        <v>359975.77550364274</v>
      </c>
      <c r="F42" s="105">
        <f>IFERROR(VALUE/NRSF,0)</f>
        <v>568.88168856871152</v>
      </c>
      <c r="G42" s="106">
        <f>NOI/VALUE</f>
        <v>5.5E-2</v>
      </c>
      <c r="H42" s="107">
        <f>D45/VALUE</f>
        <v>0.52689217937664146</v>
      </c>
      <c r="I42" s="6"/>
      <c r="J42" s="63" t="s">
        <v>36</v>
      </c>
      <c r="K42" s="71">
        <f>NOI/D45</f>
        <v>0.10438568297800455</v>
      </c>
      <c r="L42" s="65" t="s">
        <v>37</v>
      </c>
      <c r="M42" s="72">
        <f>(M40+OPEX)/(D24+D30)</f>
        <v>0.83623304923974728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3" ht="15.75" customHeight="1" x14ac:dyDescent="0.25">
      <c r="A43" s="6"/>
      <c r="B43" s="6"/>
      <c r="C43" s="108" t="s">
        <v>84</v>
      </c>
      <c r="D43" s="109">
        <f>'Dev Costs'!C130</f>
        <v>23927400.787674919</v>
      </c>
      <c r="E43" s="110">
        <f>IFERROR(D43/UNITS,0)</f>
        <v>291797.57058140147</v>
      </c>
      <c r="F43" s="111">
        <f>IFERROR(D43/NRSF,0)</f>
        <v>461.13740414989576</v>
      </c>
      <c r="G43" s="112">
        <f>IFERROR(NOI/D43,0)</f>
        <v>6.7850693935702963E-2</v>
      </c>
      <c r="H43" s="113">
        <f>D45/D43</f>
        <v>0.65</v>
      </c>
      <c r="I43" s="6"/>
      <c r="J43" s="593" t="s">
        <v>40</v>
      </c>
      <c r="K43" s="594">
        <f>NOI/D43</f>
        <v>6.7850693935702963E-2</v>
      </c>
      <c r="L43" s="65" t="s">
        <v>41</v>
      </c>
      <c r="M43" s="75">
        <f>D45/UNITS</f>
        <v>189668.42087791095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3" ht="15.75" customHeight="1" thickBot="1" x14ac:dyDescent="0.3">
      <c r="A44" s="6"/>
      <c r="B44" s="6"/>
      <c r="C44" s="114"/>
      <c r="D44" s="115"/>
      <c r="E44" s="116"/>
      <c r="F44" s="117"/>
      <c r="G44" s="118"/>
      <c r="H44" s="119"/>
      <c r="I44" s="6"/>
      <c r="J44" s="595" t="s">
        <v>502</v>
      </c>
      <c r="K44" s="596">
        <f>NOI/(COST-L63)</f>
        <v>7.7725838845367781E-2</v>
      </c>
      <c r="L44" s="79" t="s">
        <v>45</v>
      </c>
      <c r="M44" s="80">
        <f>D43/UNITS</f>
        <v>291797.57058140147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3" ht="15.75" customHeight="1" x14ac:dyDescent="0.25">
      <c r="A45" s="6"/>
      <c r="B45" s="6"/>
      <c r="C45" s="2039" t="s">
        <v>85</v>
      </c>
      <c r="D45" s="2040">
        <f>COST*MAXLTV</f>
        <v>15552810.511988698</v>
      </c>
      <c r="E45" s="2041" t="s">
        <v>52</v>
      </c>
      <c r="F45" s="2041" t="s">
        <v>54</v>
      </c>
      <c r="G45" s="2041" t="s">
        <v>86</v>
      </c>
      <c r="H45" s="2042"/>
      <c r="I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 x14ac:dyDescent="0.25">
      <c r="A46" s="6"/>
      <c r="B46" s="6"/>
      <c r="C46" s="2043"/>
      <c r="D46" s="981"/>
      <c r="E46" s="605"/>
      <c r="F46" s="606"/>
      <c r="G46" s="605"/>
      <c r="H46" s="632"/>
      <c r="I46" s="6"/>
      <c r="J46" s="1698" t="str">
        <f>'Monthly DCF'!B137</f>
        <v>Exit Assumptions</v>
      </c>
      <c r="K46" s="1699"/>
      <c r="L46" s="1700" t="str">
        <f>'Monthly DCF'!B151</f>
        <v>Return Metrics</v>
      </c>
      <c r="M46" s="1699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 x14ac:dyDescent="0.25">
      <c r="A47" s="6"/>
      <c r="B47" s="6"/>
      <c r="C47" s="91"/>
      <c r="D47" s="120"/>
      <c r="E47" s="87"/>
      <c r="F47" s="88"/>
      <c r="G47" s="121"/>
      <c r="H47" s="122"/>
      <c r="I47" s="6"/>
      <c r="J47" s="13" t="str">
        <f>'Monthly DCF'!B138</f>
        <v>Assumed Sale Month</v>
      </c>
      <c r="K47" s="37">
        <f>'Monthly DCF'!C138</f>
        <v>60</v>
      </c>
      <c r="L47" s="13" t="str">
        <f>'Monthly DCF'!B152</f>
        <v>Unlevered IRR</v>
      </c>
      <c r="M47" s="38">
        <f>'Monthly DCF'!C152</f>
        <v>0.12832521796226495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 x14ac:dyDescent="0.25">
      <c r="A48" s="6"/>
      <c r="B48" s="6"/>
      <c r="C48" s="1051" t="s">
        <v>602</v>
      </c>
      <c r="D48" s="1051"/>
      <c r="E48" s="1051"/>
      <c r="F48" s="123"/>
      <c r="G48" s="124"/>
      <c r="H48" s="6"/>
      <c r="I48" s="6"/>
      <c r="J48" s="13" t="str">
        <f>'Monthly DCF'!B139</f>
        <v>Exit Cap Rate</v>
      </c>
      <c r="K48" s="40">
        <f>'Monthly DCF'!C139</f>
        <v>5.5E-2</v>
      </c>
      <c r="L48" s="13" t="str">
        <f>'Monthly DCF'!B153</f>
        <v>Levered IRR</v>
      </c>
      <c r="M48" s="38">
        <f>'Monthly DCF'!C153</f>
        <v>0.15519891381263737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 x14ac:dyDescent="0.25">
      <c r="A49" s="6"/>
      <c r="B49" s="6"/>
      <c r="C49" s="8" t="s">
        <v>87</v>
      </c>
      <c r="D49" s="27" t="s">
        <v>88</v>
      </c>
      <c r="E49" s="27" t="s">
        <v>89</v>
      </c>
      <c r="F49" s="27" t="s">
        <v>90</v>
      </c>
      <c r="G49" s="126" t="s">
        <v>55</v>
      </c>
      <c r="H49" s="6"/>
      <c r="I49" s="6"/>
      <c r="J49" s="13" t="str">
        <f>'Monthly DCF'!B140</f>
        <v>Cost of Sale</v>
      </c>
      <c r="K49" s="41">
        <f>'Monthly DCF'!C140</f>
        <v>0.03</v>
      </c>
      <c r="L49" s="13" t="str">
        <f>'Monthly DCF'!B154</f>
        <v>Unlevered EMx</v>
      </c>
      <c r="M49" s="42">
        <f>'Monthly DCF'!C154</f>
        <v>1.6231190273660352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.75" customHeight="1" x14ac:dyDescent="0.25">
      <c r="A50" s="6"/>
      <c r="B50" s="6"/>
      <c r="C50" s="127" t="s">
        <v>91</v>
      </c>
      <c r="D50" s="921">
        <f t="shared" ref="D50:D57" si="4">E50*UNITS*12</f>
        <v>72816</v>
      </c>
      <c r="E50" s="128">
        <v>74</v>
      </c>
      <c r="F50" s="129">
        <f t="shared" ref="F50:F61" si="5">IFERROR(D50/NRSF,0)</f>
        <v>1.403335929319788</v>
      </c>
      <c r="G50" s="207">
        <f t="shared" ref="G50:G61" si="6">IFERROR(D50/EGI,0)</f>
        <v>2.8768574172950902E-2</v>
      </c>
      <c r="H50" s="6"/>
      <c r="I50" s="6"/>
      <c r="J50" s="13" t="str">
        <f>'Monthly DCF'!B141</f>
        <v>NOI capped</v>
      </c>
      <c r="K50" s="41" t="str">
        <f>'Monthly DCF'!C141</f>
        <v>FL-12</v>
      </c>
      <c r="L50" s="13" t="str">
        <f>'Monthly DCF'!B155</f>
        <v>Levered EMx</v>
      </c>
      <c r="M50" s="42">
        <f>'Monthly DCF'!C155</f>
        <v>1.9770797192176428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5.75" customHeight="1" x14ac:dyDescent="0.25">
      <c r="A51" s="6"/>
      <c r="B51" s="6"/>
      <c r="C51" s="86" t="s">
        <v>92</v>
      </c>
      <c r="D51" s="922">
        <f t="shared" si="4"/>
        <v>62976</v>
      </c>
      <c r="E51" s="131">
        <v>64</v>
      </c>
      <c r="F51" s="132">
        <f t="shared" si="5"/>
        <v>1.2136959388711679</v>
      </c>
      <c r="G51" s="38">
        <f t="shared" si="6"/>
        <v>2.4880929014444022E-2</v>
      </c>
      <c r="H51" s="6"/>
      <c r="I51" s="6"/>
      <c r="J51" s="48" t="str">
        <f>'Monthly DCF'!B142</f>
        <v>NOI (12 months after sale)</v>
      </c>
      <c r="K51" s="49">
        <f>'Monthly DCF'!C142</f>
        <v>1925469.1118556652</v>
      </c>
      <c r="L51" s="13" t="str">
        <f>'Monthly DCF'!B156</f>
        <v>Return on Cost</v>
      </c>
      <c r="M51" s="38">
        <f>'Monthly DCF'!C156</f>
        <v>8.0471302710300258E-2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5.75" customHeight="1" x14ac:dyDescent="0.25">
      <c r="A52" s="6"/>
      <c r="B52" s="6"/>
      <c r="C52" s="86" t="s">
        <v>93</v>
      </c>
      <c r="D52" s="922">
        <f t="shared" si="4"/>
        <v>72816</v>
      </c>
      <c r="E52" s="131">
        <v>74</v>
      </c>
      <c r="F52" s="132">
        <f t="shared" si="5"/>
        <v>1.403335929319788</v>
      </c>
      <c r="G52" s="38">
        <f t="shared" si="6"/>
        <v>2.8768574172950902E-2</v>
      </c>
      <c r="H52" s="6"/>
      <c r="I52" s="6"/>
      <c r="J52" s="43"/>
      <c r="K52" s="43"/>
      <c r="L52" s="13" t="str">
        <f>'Monthly DCF'!B157</f>
        <v>Return on Equity</v>
      </c>
      <c r="M52" s="38">
        <f>'Monthly DCF'!C157</f>
        <v>0.14834259305391215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5.75" customHeight="1" x14ac:dyDescent="0.25">
      <c r="A53" s="6"/>
      <c r="B53" s="6"/>
      <c r="C53" s="86" t="s">
        <v>94</v>
      </c>
      <c r="D53" s="922">
        <f t="shared" si="4"/>
        <v>19680</v>
      </c>
      <c r="E53" s="131">
        <v>20</v>
      </c>
      <c r="F53" s="132">
        <f t="shared" si="5"/>
        <v>0.37927998089723997</v>
      </c>
      <c r="G53" s="38">
        <f t="shared" si="6"/>
        <v>7.7752903170137571E-3</v>
      </c>
      <c r="H53" s="6"/>
      <c r="I53" s="90"/>
      <c r="J53" s="1698" t="str">
        <f>'Monthly DCF'!B144</f>
        <v>Sale Summary</v>
      </c>
      <c r="K53" s="1699"/>
      <c r="L53" s="1701" t="str">
        <f>'Monthly DCF'!B158</f>
        <v>CAGR</v>
      </c>
      <c r="M53" s="52">
        <f>'Monthly DCF'!C158</f>
        <v>7.9085032042923054E-2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5.75" customHeight="1" x14ac:dyDescent="0.25">
      <c r="A54" s="6"/>
      <c r="B54" s="6"/>
      <c r="C54" s="86" t="s">
        <v>95</v>
      </c>
      <c r="D54" s="922">
        <f t="shared" si="4"/>
        <v>33456</v>
      </c>
      <c r="E54" s="131">
        <v>34</v>
      </c>
      <c r="F54" s="132">
        <f t="shared" si="5"/>
        <v>0.64477596752530797</v>
      </c>
      <c r="G54" s="38">
        <f t="shared" si="6"/>
        <v>1.3217993538923388E-2</v>
      </c>
      <c r="H54" s="6"/>
      <c r="I54" s="91"/>
      <c r="J54" s="13" t="str">
        <f>'Monthly DCF'!B145</f>
        <v>Gross Sale Proceeds</v>
      </c>
      <c r="K54" s="54">
        <f>'Monthly DCF'!C145</f>
        <v>35008529.306466639</v>
      </c>
      <c r="L54" s="43"/>
      <c r="M54" s="4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5.75" customHeight="1" x14ac:dyDescent="0.25">
      <c r="A55" s="6"/>
      <c r="B55" s="6"/>
      <c r="C55" s="86" t="s">
        <v>96</v>
      </c>
      <c r="D55" s="922">
        <f t="shared" si="4"/>
        <v>116112</v>
      </c>
      <c r="E55" s="131">
        <v>118</v>
      </c>
      <c r="F55" s="132">
        <f t="shared" si="5"/>
        <v>2.2377518872937161</v>
      </c>
      <c r="G55" s="38">
        <f t="shared" si="6"/>
        <v>4.5874212870381167E-2</v>
      </c>
      <c r="H55" s="6"/>
      <c r="I55" s="93"/>
      <c r="J55" s="13" t="str">
        <f>'Monthly DCF'!B146</f>
        <v>Less: Cost of Sale</v>
      </c>
      <c r="K55" s="55">
        <f>'Monthly DCF'!C146</f>
        <v>1050255.8791939991</v>
      </c>
      <c r="L55" s="34" t="str">
        <f>'Monthly DCF'!B160</f>
        <v>Risk Metrics</v>
      </c>
      <c r="M55" s="3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5.75" customHeight="1" x14ac:dyDescent="0.25">
      <c r="A56" s="6"/>
      <c r="B56" s="6"/>
      <c r="C56" s="86" t="s">
        <v>97</v>
      </c>
      <c r="D56" s="922">
        <f t="shared" si="4"/>
        <v>82656</v>
      </c>
      <c r="E56" s="131">
        <v>84</v>
      </c>
      <c r="F56" s="132">
        <f t="shared" si="5"/>
        <v>1.5929759197684079</v>
      </c>
      <c r="G56" s="38">
        <f t="shared" si="6"/>
        <v>3.2656219331457778E-2</v>
      </c>
      <c r="H56" s="6"/>
      <c r="I56" s="96"/>
      <c r="J56" s="13" t="str">
        <f>'Monthly DCF'!B147</f>
        <v>Net sale Proceeds</v>
      </c>
      <c r="K56" s="54">
        <f>'Monthly DCF'!C147</f>
        <v>33958273.42727264</v>
      </c>
      <c r="L56" s="13" t="str">
        <f>'Monthly DCF'!B161</f>
        <v>DCR @ Sale</v>
      </c>
      <c r="M56" s="57">
        <f>'Monthly DCF'!C161</f>
        <v>1.5143694496151627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5.75" customHeight="1" x14ac:dyDescent="0.25">
      <c r="A57" s="6"/>
      <c r="B57" s="6"/>
      <c r="C57" s="86" t="s">
        <v>98</v>
      </c>
      <c r="D57" s="922">
        <f t="shared" si="4"/>
        <v>24600</v>
      </c>
      <c r="E57" s="131">
        <v>25</v>
      </c>
      <c r="F57" s="132">
        <f t="shared" si="5"/>
        <v>0.47409997612154997</v>
      </c>
      <c r="G57" s="38">
        <f t="shared" si="6"/>
        <v>9.7191128962671961E-3</v>
      </c>
      <c r="H57" s="6"/>
      <c r="I57" s="96"/>
      <c r="J57" s="13" t="str">
        <f>'Monthly DCF'!B148</f>
        <v>Less: Debt Repayment</v>
      </c>
      <c r="K57" s="55">
        <f>'Monthly DCF'!C148</f>
        <v>15430411.381066598</v>
      </c>
      <c r="L57" s="13" t="str">
        <f>'Monthly DCF'!B162</f>
        <v>Debt Yield @ Sale</v>
      </c>
      <c r="M57" s="38">
        <f>'Monthly DCF'!C162</f>
        <v>0.1238020041696927</v>
      </c>
      <c r="N57" s="6"/>
      <c r="O57" s="6"/>
      <c r="P57" s="6"/>
      <c r="Q57" s="6"/>
      <c r="R57" s="6"/>
      <c r="S57" s="91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5.75" customHeight="1" x14ac:dyDescent="0.25">
      <c r="A58" s="6"/>
      <c r="B58" s="6"/>
      <c r="C58" s="86" t="s">
        <v>99</v>
      </c>
      <c r="D58" s="922">
        <f>0.04*EGI</f>
        <v>101243.808</v>
      </c>
      <c r="E58" s="131">
        <f>D58/UNITS/12</f>
        <v>102.8900487804878</v>
      </c>
      <c r="F58" s="132">
        <f t="shared" si="5"/>
        <v>1.9512067867989753</v>
      </c>
      <c r="G58" s="38">
        <f t="shared" si="6"/>
        <v>0.04</v>
      </c>
      <c r="H58" s="139"/>
      <c r="I58" s="93"/>
      <c r="J58" s="48" t="str">
        <f>'Monthly DCF'!B149</f>
        <v>Borrower Cash Flow</v>
      </c>
      <c r="K58" s="49">
        <f>'Monthly DCF'!C149</f>
        <v>18527862.046206042</v>
      </c>
      <c r="L58" s="48" t="str">
        <f>'Monthly DCF'!B163</f>
        <v>Breakeven Month</v>
      </c>
      <c r="M58" s="62">
        <f>'Monthly DCF'!C163</f>
        <v>31</v>
      </c>
      <c r="N58" s="6"/>
      <c r="O58" s="6"/>
      <c r="P58" s="6"/>
      <c r="Q58" s="6"/>
      <c r="R58" s="6"/>
      <c r="S58" s="91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5.75" customHeight="1" x14ac:dyDescent="0.25">
      <c r="A59" s="6"/>
      <c r="B59" s="6"/>
      <c r="C59" s="86" t="s">
        <v>100</v>
      </c>
      <c r="D59" s="922">
        <f>E59*UNITS*12</f>
        <v>258792</v>
      </c>
      <c r="E59" s="131">
        <v>263</v>
      </c>
      <c r="F59" s="132">
        <f t="shared" si="5"/>
        <v>4.9875317487987054</v>
      </c>
      <c r="G59" s="38">
        <f t="shared" si="6"/>
        <v>0.1022450676687309</v>
      </c>
      <c r="H59" s="6"/>
      <c r="I59" s="93"/>
      <c r="J59" s="6"/>
      <c r="K59" s="6"/>
      <c r="L59" s="6"/>
      <c r="M59" s="6"/>
      <c r="N59" s="6"/>
      <c r="O59" s="6"/>
      <c r="P59" s="6"/>
      <c r="Q59" s="6"/>
      <c r="R59" s="6"/>
      <c r="S59" s="91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5.75" customHeight="1" x14ac:dyDescent="0.25">
      <c r="A60" s="6"/>
      <c r="B60" s="6"/>
      <c r="C60" s="89" t="s">
        <v>101</v>
      </c>
      <c r="D60" s="923">
        <f>E60*UNITS*12</f>
        <v>38907.360000000001</v>
      </c>
      <c r="E60" s="141">
        <v>39.54</v>
      </c>
      <c r="F60" s="142">
        <f t="shared" si="5"/>
        <v>0.74983652223384345</v>
      </c>
      <c r="G60" s="52">
        <f t="shared" si="6"/>
        <v>1.5371748956736198E-2</v>
      </c>
      <c r="H60" s="6"/>
      <c r="I60" s="96"/>
      <c r="J60" s="905" t="s">
        <v>540</v>
      </c>
      <c r="K60" s="906"/>
      <c r="L60" s="907"/>
      <c r="M60" s="6"/>
      <c r="N60" s="6"/>
      <c r="O60" s="6"/>
      <c r="P60" s="6"/>
      <c r="Q60" s="6"/>
      <c r="R60" s="6"/>
      <c r="S60" s="91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5.75" customHeight="1" x14ac:dyDescent="0.25">
      <c r="A61" s="6"/>
      <c r="B61" s="6"/>
      <c r="C61" s="17" t="s">
        <v>102</v>
      </c>
      <c r="D61" s="144">
        <f>SUM(D50:D60)</f>
        <v>884055.16799999995</v>
      </c>
      <c r="E61" s="145">
        <f>IFERROR(D61/UNITS,0)/12</f>
        <v>898.43004878048771</v>
      </c>
      <c r="F61" s="146">
        <f t="shared" si="5"/>
        <v>17.037826586948491</v>
      </c>
      <c r="G61" s="147">
        <f t="shared" si="6"/>
        <v>0.34927772293985621</v>
      </c>
      <c r="H61" s="6"/>
      <c r="I61" s="91"/>
      <c r="J61" s="913" t="s">
        <v>153</v>
      </c>
      <c r="K61" s="914" t="s">
        <v>79</v>
      </c>
      <c r="L61" s="915">
        <v>240000</v>
      </c>
      <c r="M61" s="1053"/>
      <c r="N61" s="6"/>
      <c r="O61" s="6"/>
      <c r="P61" s="6"/>
      <c r="Q61" s="6"/>
      <c r="R61" s="6"/>
      <c r="S61" s="91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5.75" customHeight="1" x14ac:dyDescent="0.25">
      <c r="A62" s="6"/>
      <c r="B62" s="6"/>
      <c r="C62" s="6"/>
      <c r="D62" s="148"/>
      <c r="E62" s="149"/>
      <c r="F62" s="150"/>
      <c r="G62" s="151"/>
      <c r="H62" s="6"/>
      <c r="I62" s="91"/>
      <c r="J62" s="908" t="s">
        <v>569</v>
      </c>
      <c r="K62" s="912">
        <v>40000</v>
      </c>
      <c r="L62" s="916">
        <v>3280000</v>
      </c>
      <c r="M62" s="1053"/>
      <c r="N62" s="6"/>
      <c r="O62" s="6"/>
      <c r="P62" s="6"/>
      <c r="Q62" s="6"/>
      <c r="R62" s="6"/>
      <c r="S62" s="9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5.75" customHeight="1" x14ac:dyDescent="0.25">
      <c r="A63" s="6"/>
      <c r="B63" s="6"/>
      <c r="C63" s="1919" t="s">
        <v>570</v>
      </c>
      <c r="D63" s="1920"/>
      <c r="E63" s="1921"/>
      <c r="F63" s="123"/>
      <c r="G63" s="124"/>
      <c r="H63" s="6"/>
      <c r="I63" s="91"/>
      <c r="J63" s="909" t="s">
        <v>540</v>
      </c>
      <c r="K63" s="910"/>
      <c r="L63" s="911">
        <v>3040000</v>
      </c>
      <c r="M63" s="6"/>
      <c r="N63" s="6"/>
      <c r="O63" s="6"/>
      <c r="P63" s="6"/>
      <c r="Q63" s="6"/>
      <c r="R63" s="6"/>
      <c r="S63" s="51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5.75" customHeight="1" x14ac:dyDescent="0.25">
      <c r="A64" s="6"/>
      <c r="B64" s="6"/>
      <c r="C64" s="8" t="s">
        <v>87</v>
      </c>
      <c r="D64" s="27" t="s">
        <v>88</v>
      </c>
      <c r="E64" s="27" t="s">
        <v>572</v>
      </c>
      <c r="F64" s="27" t="s">
        <v>90</v>
      </c>
      <c r="G64" s="126" t="s">
        <v>55</v>
      </c>
      <c r="H64" s="6"/>
      <c r="I64" s="91"/>
      <c r="N64" s="6"/>
      <c r="O64" s="6"/>
      <c r="P64" s="6"/>
      <c r="Q64" s="6"/>
      <c r="R64" s="6"/>
      <c r="S64" s="93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5.75" customHeight="1" x14ac:dyDescent="0.25">
      <c r="A65" s="6"/>
      <c r="B65" s="6"/>
      <c r="C65" s="930" t="s">
        <v>91</v>
      </c>
      <c r="D65" s="931">
        <f t="shared" ref="D65:D72" si="7">F65*$D$11*12</f>
        <v>2566.7286717856923</v>
      </c>
      <c r="E65" s="932">
        <f>D65/12</f>
        <v>213.89405598214103</v>
      </c>
      <c r="F65" s="933">
        <v>3.8086548429868416E-2</v>
      </c>
      <c r="G65" s="539">
        <f t="shared" ref="G65:G76" si="8">IFERROR(D65/EGI,0)</f>
        <v>1.0140782819175241E-3</v>
      </c>
      <c r="H65" s="6"/>
      <c r="I65" s="96"/>
      <c r="J65" s="1719" t="s">
        <v>104</v>
      </c>
      <c r="K65" s="153"/>
      <c r="L65" s="154">
        <f ca="1">TODAY()</f>
        <v>46271</v>
      </c>
      <c r="M65" s="155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5.75" customHeight="1" x14ac:dyDescent="0.25">
      <c r="A66" s="6"/>
      <c r="B66" s="6"/>
      <c r="C66" s="934" t="s">
        <v>92</v>
      </c>
      <c r="D66" s="929">
        <f t="shared" si="7"/>
        <v>2224.4981822142672</v>
      </c>
      <c r="E66" s="928">
        <f t="shared" ref="E66:E75" si="9">D66/12</f>
        <v>185.37484851785561</v>
      </c>
      <c r="F66" s="935">
        <v>3.3008341972552632E-2</v>
      </c>
      <c r="G66" s="540">
        <f t="shared" si="8"/>
        <v>8.7886784432852113E-4</v>
      </c>
      <c r="H66" s="6"/>
      <c r="I66" s="51"/>
      <c r="J66" s="11" t="s">
        <v>105</v>
      </c>
      <c r="K66" s="156" t="s">
        <v>663</v>
      </c>
      <c r="L66" s="11" t="s">
        <v>651</v>
      </c>
      <c r="M66" s="156" t="s">
        <v>666</v>
      </c>
      <c r="N66" s="6"/>
      <c r="O66" s="6"/>
      <c r="P66" s="6"/>
      <c r="Q66" s="6"/>
      <c r="R66" s="6"/>
      <c r="S66" s="9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5.75" customHeight="1" x14ac:dyDescent="0.25">
      <c r="A67" s="6"/>
      <c r="B67" s="6"/>
      <c r="C67" s="934" t="s">
        <v>93</v>
      </c>
      <c r="D67" s="929">
        <f t="shared" si="7"/>
        <v>2566.7286717856923</v>
      </c>
      <c r="E67" s="928">
        <f t="shared" si="9"/>
        <v>213.89405598214103</v>
      </c>
      <c r="F67" s="935">
        <v>3.8086548429868416E-2</v>
      </c>
      <c r="G67" s="540">
        <f t="shared" si="8"/>
        <v>1.0140782819175241E-3</v>
      </c>
      <c r="H67" s="6"/>
      <c r="I67" s="93"/>
      <c r="J67" s="11" t="s">
        <v>106</v>
      </c>
      <c r="K67" s="156" t="s">
        <v>58</v>
      </c>
      <c r="L67" s="11" t="s">
        <v>106</v>
      </c>
      <c r="M67" s="156" t="s">
        <v>58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5.75" customHeight="1" x14ac:dyDescent="0.25">
      <c r="A68" s="6"/>
      <c r="B68" s="6"/>
      <c r="C68" s="934" t="s">
        <v>94</v>
      </c>
      <c r="D68" s="929">
        <f t="shared" si="7"/>
        <v>684.46097914285133</v>
      </c>
      <c r="E68" s="928">
        <f t="shared" si="9"/>
        <v>57.038414928570944</v>
      </c>
      <c r="F68" s="935">
        <v>1.0156412914631579E-2</v>
      </c>
      <c r="G68" s="540">
        <f t="shared" si="8"/>
        <v>2.7042087517800646E-4</v>
      </c>
      <c r="H68" s="6"/>
      <c r="I68" s="6"/>
      <c r="J68" s="11" t="s">
        <v>107</v>
      </c>
      <c r="K68" s="158" t="s">
        <v>664</v>
      </c>
      <c r="L68" s="11" t="s">
        <v>107</v>
      </c>
      <c r="M68" s="158" t="s">
        <v>667</v>
      </c>
      <c r="N68" s="6"/>
      <c r="O68" s="6"/>
      <c r="P68" s="6"/>
      <c r="Q68" s="6"/>
      <c r="R68" s="6"/>
      <c r="S68" s="130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5.75" customHeight="1" x14ac:dyDescent="0.25">
      <c r="A69" s="6"/>
      <c r="B69" s="6"/>
      <c r="C69" s="934" t="s">
        <v>95</v>
      </c>
      <c r="D69" s="929">
        <f t="shared" si="7"/>
        <v>1197.8067134999899</v>
      </c>
      <c r="E69" s="928">
        <f t="shared" si="9"/>
        <v>99.817226124999152</v>
      </c>
      <c r="F69" s="935">
        <v>1.7773722600605262E-2</v>
      </c>
      <c r="G69" s="540">
        <f t="shared" si="8"/>
        <v>4.7323653156151131E-4</v>
      </c>
      <c r="H69" s="6"/>
      <c r="I69" s="96"/>
      <c r="J69" s="11" t="s">
        <v>108</v>
      </c>
      <c r="K69" s="159">
        <v>2422</v>
      </c>
      <c r="L69" s="11" t="s">
        <v>108</v>
      </c>
      <c r="M69" s="159">
        <v>2178</v>
      </c>
      <c r="N69" s="6"/>
      <c r="O69" s="6"/>
      <c r="P69" s="6"/>
      <c r="Q69" s="6"/>
      <c r="R69" s="6"/>
      <c r="S69" s="133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5.75" customHeight="1" x14ac:dyDescent="0.25">
      <c r="A70" s="6"/>
      <c r="B70" s="125"/>
      <c r="C70" s="934" t="s">
        <v>96</v>
      </c>
      <c r="D70" s="929">
        <f t="shared" si="7"/>
        <v>4106.7658748571075</v>
      </c>
      <c r="E70" s="928">
        <f t="shared" si="9"/>
        <v>342.23048957142561</v>
      </c>
      <c r="F70" s="935">
        <v>6.0938477487789459E-2</v>
      </c>
      <c r="G70" s="540">
        <f t="shared" si="8"/>
        <v>1.6225252510680386E-3</v>
      </c>
      <c r="H70" s="6"/>
      <c r="I70" s="6"/>
      <c r="J70" s="11" t="s">
        <v>109</v>
      </c>
      <c r="K70" s="158">
        <v>1.2999999999999999E-2</v>
      </c>
      <c r="L70" s="11" t="s">
        <v>109</v>
      </c>
      <c r="M70" s="158">
        <v>2.8000000000000001E-2</v>
      </c>
      <c r="N70" s="6"/>
      <c r="O70" s="6"/>
      <c r="P70" s="6"/>
      <c r="Q70" s="6"/>
      <c r="R70" s="6"/>
      <c r="S70" s="96"/>
      <c r="T70" s="6"/>
      <c r="U70" s="137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5.75" customHeight="1" x14ac:dyDescent="0.25">
      <c r="A71" s="6"/>
      <c r="B71" s="6"/>
      <c r="C71" s="934" t="s">
        <v>97</v>
      </c>
      <c r="D71" s="929">
        <f t="shared" si="7"/>
        <v>2908.9591613571179</v>
      </c>
      <c r="E71" s="928">
        <f t="shared" si="9"/>
        <v>242.4132634464265</v>
      </c>
      <c r="F71" s="935">
        <v>4.3164754887184208E-2</v>
      </c>
      <c r="G71" s="540">
        <f t="shared" si="8"/>
        <v>1.1492887195065273E-3</v>
      </c>
      <c r="H71" s="6"/>
      <c r="I71" s="130"/>
      <c r="J71" s="11" t="s">
        <v>110</v>
      </c>
      <c r="K71" s="92">
        <v>0.05</v>
      </c>
      <c r="L71" s="11" t="s">
        <v>111</v>
      </c>
      <c r="M71" s="92">
        <v>5.1999999999999998E-2</v>
      </c>
      <c r="N71" s="6"/>
      <c r="O71" s="6"/>
      <c r="P71" s="6"/>
      <c r="Q71" s="6"/>
      <c r="R71" s="6"/>
      <c r="S71" s="138"/>
      <c r="T71" s="133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5.75" customHeight="1" x14ac:dyDescent="0.25">
      <c r="A72" s="6"/>
      <c r="B72" s="6"/>
      <c r="C72" s="934" t="s">
        <v>98</v>
      </c>
      <c r="D72" s="929">
        <f t="shared" si="7"/>
        <v>855.5762239285641</v>
      </c>
      <c r="E72" s="928">
        <f t="shared" si="9"/>
        <v>71.29801866071368</v>
      </c>
      <c r="F72" s="935">
        <v>1.2695516143289473E-2</v>
      </c>
      <c r="G72" s="540">
        <f t="shared" si="8"/>
        <v>3.3802609397250806E-4</v>
      </c>
      <c r="H72" s="6"/>
      <c r="I72" s="133"/>
      <c r="J72" s="11" t="s">
        <v>665</v>
      </c>
      <c r="K72" s="159">
        <v>322000</v>
      </c>
      <c r="L72" s="11" t="s">
        <v>665</v>
      </c>
      <c r="M72" s="159">
        <v>266000</v>
      </c>
      <c r="N72" s="6"/>
      <c r="O72" s="6"/>
      <c r="P72" s="6"/>
      <c r="Q72" s="6"/>
      <c r="R72" s="6"/>
      <c r="S72" s="90"/>
      <c r="T72" s="134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5.75" customHeight="1" x14ac:dyDescent="0.25">
      <c r="A73" s="6"/>
      <c r="B73" s="6"/>
      <c r="C73" s="934" t="s">
        <v>99</v>
      </c>
      <c r="D73" s="929">
        <f>E73*12</f>
        <v>4416</v>
      </c>
      <c r="E73" s="928">
        <v>368</v>
      </c>
      <c r="F73" s="935">
        <f>E73/D11</f>
        <v>6.5527065527065526E-2</v>
      </c>
      <c r="G73" s="540">
        <f t="shared" si="8"/>
        <v>1.7446992906469893E-3</v>
      </c>
      <c r="H73" s="139"/>
      <c r="I73" s="96"/>
      <c r="J73" s="11" t="s">
        <v>112</v>
      </c>
      <c r="K73" s="159">
        <v>34810</v>
      </c>
      <c r="L73" s="11" t="s">
        <v>112</v>
      </c>
      <c r="M73" s="159">
        <v>10403</v>
      </c>
      <c r="N73" s="6"/>
      <c r="O73" s="6"/>
      <c r="P73" s="6"/>
      <c r="Q73" s="6"/>
      <c r="R73" s="6"/>
      <c r="S73" s="140"/>
      <c r="T73" s="13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5.75" customHeight="1" x14ac:dyDescent="0.25">
      <c r="A74" s="6"/>
      <c r="B74" s="6"/>
      <c r="C74" s="934" t="s">
        <v>100</v>
      </c>
      <c r="D74" s="929"/>
      <c r="E74" s="928"/>
      <c r="F74" s="935">
        <f t="shared" ref="F74:F76" si="10">IFERROR(D74/NRSF,0)</f>
        <v>0</v>
      </c>
      <c r="G74" s="540">
        <f t="shared" si="8"/>
        <v>0</v>
      </c>
      <c r="H74" s="6"/>
      <c r="I74" s="133"/>
      <c r="J74" s="11" t="s">
        <v>113</v>
      </c>
      <c r="K74" s="164">
        <v>814</v>
      </c>
      <c r="L74" s="11" t="s">
        <v>113</v>
      </c>
      <c r="M74" s="164">
        <v>104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customHeight="1" x14ac:dyDescent="0.25">
      <c r="A75" s="6"/>
      <c r="B75" s="6"/>
      <c r="C75" s="936" t="s">
        <v>101</v>
      </c>
      <c r="D75" s="937">
        <f>F75*$D$11*12</f>
        <v>2021.7599999999998</v>
      </c>
      <c r="E75" s="938">
        <f t="shared" si="9"/>
        <v>168.48</v>
      </c>
      <c r="F75" s="939">
        <v>0.03</v>
      </c>
      <c r="G75" s="541">
        <f t="shared" si="8"/>
        <v>7.9876884915273028E-4</v>
      </c>
      <c r="H75" s="6"/>
      <c r="I75" s="134"/>
      <c r="J75" s="11" t="s">
        <v>114</v>
      </c>
      <c r="K75" s="1717">
        <v>225</v>
      </c>
      <c r="L75" s="11" t="s">
        <v>114</v>
      </c>
      <c r="M75" s="1717">
        <v>91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customHeight="1" x14ac:dyDescent="0.25">
      <c r="A76" s="6"/>
      <c r="B76" s="6"/>
      <c r="C76" s="17" t="s">
        <v>102</v>
      </c>
      <c r="D76" s="144">
        <f>SUM(D65:D75)</f>
        <v>23549.28447857128</v>
      </c>
      <c r="E76" s="145">
        <f>SUM(E65:E75)</f>
        <v>1962.4403732142737</v>
      </c>
      <c r="F76" s="146">
        <f t="shared" si="10"/>
        <v>0.45385021174675738</v>
      </c>
      <c r="G76" s="147">
        <f t="shared" si="8"/>
        <v>9.3039900192498793E-3</v>
      </c>
      <c r="H76" s="6"/>
      <c r="I76" s="136"/>
      <c r="J76" s="165" t="s">
        <v>115</v>
      </c>
      <c r="K76" s="1718">
        <f>19230+116812000+30410000+14008900</f>
        <v>161250130</v>
      </c>
      <c r="L76" s="165" t="s">
        <v>115</v>
      </c>
      <c r="M76" s="1718">
        <f>1250000+79026000+3000000</f>
        <v>83276000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customHeight="1" x14ac:dyDescent="0.25">
      <c r="A77" s="6"/>
      <c r="B77" s="6"/>
      <c r="I77" s="90"/>
      <c r="N77" s="6"/>
      <c r="O77" s="6"/>
      <c r="P77" s="6"/>
      <c r="Q77" s="6"/>
      <c r="R77" s="6"/>
      <c r="S77" s="9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customHeight="1" x14ac:dyDescent="0.25">
      <c r="A78" s="6"/>
      <c r="B78" s="6"/>
      <c r="I78" s="122"/>
      <c r="J78" s="1916" t="s">
        <v>653</v>
      </c>
      <c r="K78" s="1917"/>
      <c r="L78" s="1918"/>
      <c r="M78" s="1720">
        <f ca="1">TODAY()</f>
        <v>46271</v>
      </c>
      <c r="N78" s="6"/>
      <c r="O78" s="6"/>
      <c r="P78" s="6"/>
      <c r="Q78" s="6"/>
      <c r="R78" s="6"/>
      <c r="S78" s="51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customHeight="1" x14ac:dyDescent="0.25">
      <c r="A79" s="6"/>
      <c r="B79" s="6"/>
      <c r="I79" s="6"/>
      <c r="J79" s="1684" t="s">
        <v>654</v>
      </c>
      <c r="K79" s="1704" t="s">
        <v>659</v>
      </c>
      <c r="L79" s="1677" t="s">
        <v>3</v>
      </c>
      <c r="M79" s="1721" t="s">
        <v>660</v>
      </c>
      <c r="N79" s="6"/>
      <c r="O79" s="6"/>
      <c r="P79" s="6"/>
      <c r="Q79" s="6"/>
      <c r="R79" s="6"/>
      <c r="S79" s="93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customHeight="1" x14ac:dyDescent="0.25">
      <c r="A80" s="6"/>
      <c r="B80" s="6"/>
      <c r="I80" s="27"/>
      <c r="J80" s="1666" t="s">
        <v>655</v>
      </c>
      <c r="K80" s="1705">
        <v>88150</v>
      </c>
      <c r="L80" s="1678">
        <v>123304</v>
      </c>
      <c r="M80" s="1722">
        <v>177275</v>
      </c>
      <c r="N80" s="1713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customHeight="1" x14ac:dyDescent="0.25">
      <c r="A81" s="6"/>
      <c r="B81" s="6"/>
      <c r="I81" s="143"/>
      <c r="J81" s="1666" t="s">
        <v>661</v>
      </c>
      <c r="K81" s="1706">
        <v>88189</v>
      </c>
      <c r="L81" s="1679">
        <v>123177</v>
      </c>
      <c r="M81" s="1723">
        <v>174624</v>
      </c>
      <c r="N81" s="6"/>
      <c r="O81" s="6"/>
      <c r="P81" s="6"/>
      <c r="Q81" s="6"/>
      <c r="R81" s="9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3" ht="15.75" customHeight="1" x14ac:dyDescent="0.25">
      <c r="A82" s="6"/>
      <c r="B82" s="6"/>
      <c r="I82" s="143"/>
      <c r="J82" s="1715" t="s">
        <v>662</v>
      </c>
      <c r="K82" s="1707">
        <v>87992</v>
      </c>
      <c r="L82" s="1680">
        <v>122858</v>
      </c>
      <c r="M82" s="1722">
        <v>173622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3" ht="15.75" customHeight="1" x14ac:dyDescent="0.25">
      <c r="A83" s="6"/>
      <c r="B83" s="6"/>
      <c r="I83" s="6"/>
      <c r="J83" s="1686" t="s">
        <v>656</v>
      </c>
      <c r="K83" s="1708">
        <f t="shared" ref="K83:L83" si="11">(K81-K80)/K80/5</f>
        <v>8.8485536018150876E-5</v>
      </c>
      <c r="L83" s="1702">
        <f t="shared" si="11"/>
        <v>-2.0599493933692336E-4</v>
      </c>
      <c r="M83" s="1724">
        <f>(M81-M80)/M80/5</f>
        <v>-2.9908334508531942E-3</v>
      </c>
      <c r="N83" s="6"/>
      <c r="O83" s="6"/>
      <c r="P83" s="6"/>
      <c r="Q83" s="130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3" ht="15.75" customHeight="1" x14ac:dyDescent="0.25">
      <c r="A84" s="6"/>
      <c r="B84" s="6"/>
      <c r="I84" s="96"/>
      <c r="J84" s="1686" t="s">
        <v>657</v>
      </c>
      <c r="K84" s="1709">
        <f t="shared" ref="K84:L84" si="12">(K82-K81)/K81/5</f>
        <v>-4.4676773747292744E-4</v>
      </c>
      <c r="L84" s="1702">
        <f t="shared" si="12"/>
        <v>-5.1795383878483806E-4</v>
      </c>
      <c r="M84" s="1724">
        <f>(M82-M81)/M81/5</f>
        <v>-1.1476085761407367E-3</v>
      </c>
      <c r="N84" s="6"/>
      <c r="O84" s="6"/>
      <c r="P84" s="6"/>
      <c r="Q84" s="133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3" ht="15.75" customHeight="1" x14ac:dyDescent="0.25">
      <c r="A85" s="6"/>
      <c r="B85" s="125"/>
      <c r="I85" s="6"/>
      <c r="J85" s="1686" t="s">
        <v>4</v>
      </c>
      <c r="K85" s="1710">
        <v>29.6</v>
      </c>
      <c r="L85" s="1681">
        <v>31.2</v>
      </c>
      <c r="M85" s="1685">
        <v>33.5</v>
      </c>
      <c r="N85" s="6"/>
      <c r="O85" s="6"/>
      <c r="P85" s="6"/>
      <c r="Q85" s="96"/>
      <c r="R85" s="6"/>
      <c r="S85" s="137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3" ht="15.75" customHeight="1" x14ac:dyDescent="0.25">
      <c r="A86" s="6"/>
      <c r="B86" s="6"/>
      <c r="I86" s="130"/>
      <c r="J86" s="1666" t="s">
        <v>658</v>
      </c>
      <c r="K86" s="1711">
        <v>22501</v>
      </c>
      <c r="L86" s="1682">
        <v>33520</v>
      </c>
      <c r="M86" s="1725">
        <v>51107</v>
      </c>
      <c r="N86" s="6"/>
      <c r="O86" s="6"/>
      <c r="P86" s="6"/>
      <c r="Q86" s="138"/>
      <c r="R86" s="133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3" ht="15.75" customHeight="1" x14ac:dyDescent="0.25">
      <c r="A87" s="6"/>
      <c r="B87" s="6"/>
      <c r="I87" s="133"/>
      <c r="J87" s="1666" t="s">
        <v>5</v>
      </c>
      <c r="K87" s="1707">
        <v>9928</v>
      </c>
      <c r="L87" s="1680">
        <v>17619</v>
      </c>
      <c r="M87" s="1726">
        <v>30289</v>
      </c>
      <c r="N87" s="6"/>
      <c r="O87" s="6"/>
      <c r="P87" s="6"/>
      <c r="Q87" s="90"/>
      <c r="R87" s="134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3" ht="15.75" customHeight="1" x14ac:dyDescent="0.25">
      <c r="A88" s="6"/>
      <c r="B88" s="6"/>
      <c r="I88" s="96"/>
      <c r="J88" s="1666" t="s">
        <v>6</v>
      </c>
      <c r="K88" s="1705">
        <v>12531</v>
      </c>
      <c r="L88" s="1678">
        <v>15824</v>
      </c>
      <c r="M88" s="1727">
        <v>20475</v>
      </c>
      <c r="N88" s="6"/>
      <c r="O88" s="6"/>
      <c r="P88" s="6"/>
      <c r="Q88" s="140"/>
      <c r="R88" s="13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3" ht="15.75" customHeight="1" x14ac:dyDescent="0.25">
      <c r="A89" s="6"/>
      <c r="B89" s="6"/>
      <c r="I89" s="133"/>
      <c r="J89" s="1686" t="s">
        <v>7</v>
      </c>
      <c r="K89" s="1710">
        <v>3.7</v>
      </c>
      <c r="L89" s="1681">
        <v>3.5</v>
      </c>
      <c r="M89" s="1685">
        <v>3.3</v>
      </c>
      <c r="N89" s="6"/>
      <c r="O89" s="6"/>
      <c r="P89" s="6"/>
      <c r="Q89" s="140"/>
      <c r="R89" s="13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3" ht="15.75" customHeight="1" x14ac:dyDescent="0.25">
      <c r="A90" s="6"/>
      <c r="B90" s="6"/>
      <c r="I90" s="134"/>
      <c r="J90" s="1686" t="s">
        <v>8</v>
      </c>
      <c r="K90" s="1712">
        <v>66936</v>
      </c>
      <c r="L90" s="1683">
        <v>81183</v>
      </c>
      <c r="M90" s="1728">
        <v>84076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3" ht="15.75" customHeight="1" x14ac:dyDescent="0.25">
      <c r="A91" s="6"/>
      <c r="B91" s="6"/>
      <c r="I91" s="136"/>
      <c r="J91" s="1687" t="s">
        <v>9</v>
      </c>
      <c r="K91" s="1716">
        <v>71712</v>
      </c>
      <c r="L91" s="1703">
        <v>84133</v>
      </c>
      <c r="M91" s="1689">
        <v>89044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3" ht="15.75" hidden="1" customHeight="1" x14ac:dyDescent="0.25">
      <c r="A92" s="6"/>
      <c r="B92" s="6"/>
      <c r="I92" s="90"/>
      <c r="J92" s="1687" t="s">
        <v>10</v>
      </c>
      <c r="K92" s="1716">
        <v>504902</v>
      </c>
      <c r="L92" s="1703">
        <v>558352</v>
      </c>
      <c r="M92" s="1688">
        <v>640046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3" ht="15.75" customHeight="1" x14ac:dyDescent="0.25">
      <c r="A93" s="6"/>
      <c r="B93" s="6"/>
      <c r="I93" s="122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3" ht="15.75" customHeight="1" x14ac:dyDescent="0.25">
      <c r="A94" s="6"/>
      <c r="B94" s="6"/>
      <c r="C94" s="1054"/>
      <c r="D94" s="917"/>
      <c r="E94" s="918"/>
      <c r="F94" s="919"/>
      <c r="G94" s="920"/>
      <c r="H94" s="6"/>
      <c r="I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3" ht="15.75" customHeight="1" x14ac:dyDescent="0.25">
      <c r="A95" s="6"/>
      <c r="B95" s="6"/>
      <c r="C95" s="1054"/>
      <c r="D95" s="917"/>
      <c r="E95" s="918"/>
      <c r="F95" s="919"/>
      <c r="G95" s="920"/>
      <c r="H95" s="6"/>
      <c r="I95" s="27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customHeight="1" x14ac:dyDescent="0.25">
      <c r="A96" s="6"/>
      <c r="B96" s="579"/>
      <c r="I96" s="27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customHeight="1" x14ac:dyDescent="0.25">
      <c r="A97" s="6"/>
      <c r="B97" s="6"/>
      <c r="I97" s="143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customHeight="1" x14ac:dyDescent="0.25">
      <c r="A98" s="6"/>
      <c r="B98" s="6"/>
      <c r="I98" s="14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customHeight="1" x14ac:dyDescent="0.25">
      <c r="A99" s="6"/>
      <c r="I99" s="143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customHeight="1" x14ac:dyDescent="0.25">
      <c r="A100" s="6"/>
      <c r="B100" s="6"/>
      <c r="I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customHeight="1" x14ac:dyDescent="0.25">
      <c r="A101" s="6"/>
      <c r="B101" s="6"/>
      <c r="I101" s="6"/>
      <c r="J101" s="14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customHeight="1" x14ac:dyDescent="0.25">
      <c r="A102" s="6"/>
      <c r="B102" s="6"/>
      <c r="I102" s="157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61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customHeight="1" x14ac:dyDescent="0.25">
      <c r="A103" s="6"/>
      <c r="B103" s="6"/>
      <c r="I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customHeight="1" x14ac:dyDescent="0.25">
      <c r="A104" s="6"/>
      <c r="B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customHeight="1" x14ac:dyDescent="0.25">
      <c r="A105" s="6"/>
      <c r="B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5.75" customHeight="1" x14ac:dyDescent="0.25">
      <c r="A106" s="6"/>
      <c r="B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5.75" customHeight="1" x14ac:dyDescent="0.25">
      <c r="A107" s="6"/>
      <c r="B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5.75" customHeight="1" x14ac:dyDescent="0.25">
      <c r="A108" s="6"/>
      <c r="B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5.75" customHeight="1" x14ac:dyDescent="0.25">
      <c r="A109" s="6"/>
      <c r="B109" s="6"/>
      <c r="I109" s="16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37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5.75" customHeight="1" x14ac:dyDescent="0.25">
      <c r="A110" s="6"/>
      <c r="B110" s="6"/>
      <c r="I110" s="16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5.75" customHeight="1" x14ac:dyDescent="0.25">
      <c r="A111" s="6"/>
      <c r="B111" s="6"/>
      <c r="C111" s="23"/>
      <c r="D111" s="24"/>
      <c r="E111" s="24"/>
      <c r="F111" s="24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spans="1:33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spans="1:33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spans="1:33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spans="1:33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spans="1:33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spans="1:33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spans="1:33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spans="1:33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spans="1:33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spans="1:33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spans="1:33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spans="1:33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spans="1:33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spans="1:33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spans="1:33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33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33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spans="1:33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spans="1:33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spans="1:33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spans="1:33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spans="1:33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spans="1:33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spans="1:33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spans="1:33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spans="1:33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spans="1:33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spans="1:33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spans="1:33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spans="1:33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spans="1:33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spans="1:33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spans="1:33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spans="1:33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spans="1:33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spans="1:33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spans="1:33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spans="1:33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spans="1:33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spans="1:33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spans="1:33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spans="1:33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spans="1:33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spans="1:33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spans="1:33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spans="1:33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spans="1:33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spans="1:33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spans="1:33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spans="1:33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spans="1:33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spans="1:33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spans="1:33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spans="1:33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spans="1:33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spans="1:33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spans="1:33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spans="1:33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spans="1:33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spans="1:33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spans="1:33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spans="1:33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spans="1:33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spans="1:33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spans="1:33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spans="1:33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spans="1:33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spans="1:33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spans="1:33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spans="1:33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spans="1:33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spans="1:33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spans="1:33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spans="1:33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spans="1:33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spans="1:33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spans="1:33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spans="1:33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spans="1:33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spans="1:33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spans="1:33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spans="1:33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spans="1:33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spans="1:33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spans="1:33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spans="1:33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spans="1:33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spans="1:33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spans="1:33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spans="1:33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spans="1:33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spans="1:33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spans="1:33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spans="1:33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spans="1:33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spans="1:33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spans="1:33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spans="1:33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spans="1:33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spans="1:33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spans="1:33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spans="1:33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spans="1:33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spans="1:33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spans="1:33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spans="1:33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spans="1:33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spans="1:33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spans="1:33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spans="1:33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spans="1:33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spans="1:33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spans="1:33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spans="1:33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spans="1:33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spans="1:33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spans="1:33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spans="1:33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spans="1:33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spans="1:33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spans="1:33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spans="1:33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spans="1:33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spans="1:33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spans="1:33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spans="1:33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spans="1:33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spans="1:33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spans="1:33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spans="1:33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spans="1:33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spans="1:33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spans="1:33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spans="1:33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spans="1:33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spans="1:33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spans="1:33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spans="1:33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spans="1:33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spans="1:33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spans="1:33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spans="1:33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spans="1:33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spans="1:33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spans="1:33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spans="1:33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spans="1:33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spans="1:33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spans="1:33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spans="1:33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spans="1:33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spans="1:33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spans="1:33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spans="1:33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spans="1:33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spans="1:33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spans="1:33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spans="1:33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spans="1:33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spans="1:33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N903" s="6"/>
      <c r="O903" s="6"/>
      <c r="P903" s="6"/>
      <c r="Q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N904" s="6"/>
      <c r="O904" s="6"/>
      <c r="P904" s="6"/>
      <c r="Q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N905" s="6"/>
      <c r="O905" s="6"/>
      <c r="P905" s="6"/>
      <c r="Q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N906" s="6"/>
      <c r="O906" s="6"/>
      <c r="P906" s="6"/>
      <c r="Q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N907" s="6"/>
      <c r="O907" s="6"/>
      <c r="P907" s="6"/>
      <c r="Q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N908" s="6"/>
      <c r="O908" s="6"/>
      <c r="P908" s="6"/>
      <c r="Q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O909" s="6"/>
      <c r="P909" s="6"/>
      <c r="Q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ht="15" customHeight="1" x14ac:dyDescent="0.25">
      <c r="C910" s="6"/>
      <c r="D910" s="6"/>
      <c r="E910" s="6"/>
      <c r="F910" s="6"/>
      <c r="G910" s="6"/>
      <c r="H910" s="6"/>
    </row>
    <row r="911" spans="1:33" ht="15" customHeight="1" x14ac:dyDescent="0.25">
      <c r="C911" s="6"/>
      <c r="D911" s="6"/>
      <c r="E911" s="6"/>
      <c r="F911" s="6"/>
      <c r="G911" s="6"/>
      <c r="H911" s="6"/>
    </row>
    <row r="912" spans="1:33" ht="15" customHeight="1" x14ac:dyDescent="0.25">
      <c r="C912" s="6"/>
      <c r="D912" s="6"/>
      <c r="E912" s="6"/>
      <c r="F912" s="6"/>
      <c r="G912" s="6"/>
      <c r="H912" s="6"/>
    </row>
    <row r="913" spans="3:8" ht="15" customHeight="1" x14ac:dyDescent="0.25">
      <c r="C913" s="6"/>
      <c r="D913" s="6"/>
      <c r="E913" s="6"/>
      <c r="F913" s="6"/>
      <c r="G913" s="6"/>
      <c r="H913" s="6"/>
    </row>
    <row r="914" spans="3:8" ht="15" customHeight="1" x14ac:dyDescent="0.25">
      <c r="C914" s="6"/>
      <c r="D914" s="6"/>
      <c r="E914" s="6"/>
      <c r="F914" s="6"/>
      <c r="G914" s="6"/>
      <c r="H914" s="6"/>
    </row>
    <row r="915" spans="3:8" ht="15" customHeight="1" x14ac:dyDescent="0.25">
      <c r="C915" s="6"/>
      <c r="D915" s="6"/>
      <c r="E915" s="6"/>
      <c r="F915" s="6"/>
      <c r="G915" s="6"/>
      <c r="H915" s="6"/>
    </row>
    <row r="916" spans="3:8" ht="15" customHeight="1" x14ac:dyDescent="0.25">
      <c r="C916" s="6"/>
      <c r="D916" s="6"/>
      <c r="E916" s="6"/>
      <c r="F916" s="6"/>
      <c r="G916" s="6"/>
      <c r="H916" s="6"/>
    </row>
    <row r="917" spans="3:8" ht="15" customHeight="1" x14ac:dyDescent="0.25">
      <c r="C917" s="6"/>
      <c r="D917" s="6"/>
      <c r="E917" s="6"/>
      <c r="F917" s="6"/>
      <c r="G917" s="6"/>
      <c r="H917" s="6"/>
    </row>
    <row r="918" spans="3:8" ht="15" customHeight="1" x14ac:dyDescent="0.25">
      <c r="C918" s="6"/>
      <c r="D918" s="6"/>
      <c r="E918" s="6"/>
      <c r="F918" s="6"/>
      <c r="G918" s="6"/>
      <c r="H918" s="6"/>
    </row>
    <row r="919" spans="3:8" ht="15" customHeight="1" x14ac:dyDescent="0.25">
      <c r="C919" s="6"/>
      <c r="D919" s="6"/>
      <c r="E919" s="6"/>
      <c r="F919" s="6"/>
      <c r="G919" s="6"/>
      <c r="H919" s="6"/>
    </row>
  </sheetData>
  <mergeCells count="4">
    <mergeCell ref="J78:L78"/>
    <mergeCell ref="C63:E63"/>
    <mergeCell ref="C1:M1"/>
    <mergeCell ref="C2:M2"/>
  </mergeCells>
  <conditionalFormatting sqref="K83:M84">
    <cfRule type="cellIs" dxfId="92" priority="1" operator="lessThan">
      <formula>0</formula>
    </cfRule>
    <cfRule type="cellIs" dxfId="91" priority="2" operator="greaterThan">
      <formula>0</formula>
    </cfRule>
  </conditionalFormatting>
  <pageMargins left="0.7" right="0.7" top="0.75" bottom="0.75" header="0" footer="0"/>
  <pageSetup orientation="landscape"/>
  <ignoredErrors>
    <ignoredError sqref="D58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Q1000"/>
  <sheetViews>
    <sheetView showGridLines="0" topLeftCell="A101" zoomScale="70" zoomScaleNormal="70" workbookViewId="0">
      <selection activeCell="B131" sqref="B2:M131"/>
    </sheetView>
  </sheetViews>
  <sheetFormatPr defaultColWidth="14.42578125" defaultRowHeight="15" customHeight="1" x14ac:dyDescent="0.25"/>
  <cols>
    <col min="1" max="1" width="10.7109375" customWidth="1"/>
    <col min="2" max="2" width="33.28515625" customWidth="1"/>
    <col min="3" max="3" width="20.140625" customWidth="1"/>
    <col min="4" max="4" width="25" customWidth="1"/>
    <col min="5" max="5" width="19.140625" customWidth="1"/>
    <col min="6" max="6" width="17.5703125" customWidth="1"/>
    <col min="7" max="7" width="19.140625" customWidth="1"/>
    <col min="8" max="8" width="33" bestFit="1" customWidth="1"/>
    <col min="9" max="9" width="17.85546875" bestFit="1" customWidth="1"/>
    <col min="10" max="10" width="17.140625" customWidth="1"/>
    <col min="11" max="11" width="18.5703125" bestFit="1" customWidth="1"/>
    <col min="12" max="12" width="17.28515625" customWidth="1"/>
    <col min="13" max="13" width="18.28515625" customWidth="1"/>
    <col min="14" max="18" width="20.7109375" hidden="1" customWidth="1"/>
    <col min="19" max="19" width="18.42578125" customWidth="1"/>
    <col min="20" max="23" width="10.85546875" hidden="1" customWidth="1"/>
    <col min="24" max="69" width="1.85546875" hidden="1" customWidth="1"/>
  </cols>
  <sheetData>
    <row r="1" spans="2:69" ht="15.75" thickBot="1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476"/>
      <c r="AN1" s="6"/>
      <c r="AO1" s="6"/>
      <c r="AP1" s="6"/>
      <c r="AQ1" s="6"/>
      <c r="AR1" s="6"/>
      <c r="AS1" s="6"/>
      <c r="AT1" s="6"/>
      <c r="AU1" s="6"/>
      <c r="AV1" s="6"/>
      <c r="AW1" s="477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pans="2:69" ht="19.5" thickBot="1" x14ac:dyDescent="0.35">
      <c r="B2" s="1321" t="str">
        <f>'Monthly DCF'!B2</f>
        <v>Town Center - Cash Flow Projection</v>
      </c>
      <c r="C2" s="1322"/>
      <c r="D2" s="1322"/>
      <c r="E2" s="1322"/>
      <c r="F2" s="1322"/>
      <c r="G2" s="1322"/>
      <c r="H2" s="1323"/>
      <c r="I2" s="1324"/>
      <c r="J2" s="1277"/>
      <c r="K2" s="1277"/>
      <c r="L2" s="1277"/>
      <c r="M2" s="1278"/>
      <c r="N2" s="1277"/>
      <c r="O2" s="1277"/>
      <c r="P2" s="1277"/>
      <c r="Q2" s="1277"/>
      <c r="R2" s="12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9" t="s">
        <v>279</v>
      </c>
      <c r="AN2" s="478"/>
      <c r="AO2" s="478"/>
      <c r="AP2" s="478"/>
      <c r="AQ2" s="478"/>
      <c r="AR2" s="478"/>
      <c r="AS2" s="478"/>
      <c r="AT2" s="478"/>
      <c r="AU2" s="478"/>
      <c r="AV2" s="478"/>
      <c r="AW2" s="480" t="s">
        <v>43</v>
      </c>
      <c r="AX2" s="478"/>
      <c r="AY2" s="478"/>
      <c r="AZ2" s="478"/>
      <c r="BA2" s="478"/>
      <c r="BB2" s="478"/>
      <c r="BC2" s="478"/>
      <c r="BD2" s="478"/>
      <c r="BE2" s="478"/>
      <c r="BF2" s="478"/>
      <c r="BG2" s="478"/>
      <c r="BH2" s="478"/>
      <c r="BI2" s="478"/>
      <c r="BJ2" s="478"/>
      <c r="BK2" s="478"/>
      <c r="BL2" s="478"/>
      <c r="BM2" s="478"/>
      <c r="BN2" s="478"/>
      <c r="BO2" s="478"/>
      <c r="BP2" s="478"/>
      <c r="BQ2" s="478"/>
    </row>
    <row r="3" spans="2:69" x14ac:dyDescent="0.25">
      <c r="B3" s="1004"/>
      <c r="C3" s="1005" t="str">
        <f>'Monthly DCF'!C3</f>
        <v>Grand Opening</v>
      </c>
      <c r="D3" s="1005" t="str">
        <f>'Monthly DCF'!D3</f>
        <v>Sale Date</v>
      </c>
      <c r="E3" s="1005" t="str">
        <f>'Monthly DCF'!E3</f>
        <v>Sale Month</v>
      </c>
      <c r="F3" s="1005" t="str">
        <f>'Monthly DCF'!F3</f>
        <v>Sale Year</v>
      </c>
      <c r="G3" s="1068" t="str">
        <f>'Monthly DCF'!G3</f>
        <v>Date</v>
      </c>
      <c r="H3" s="1279">
        <v>0</v>
      </c>
      <c r="I3" s="1008">
        <v>1</v>
      </c>
      <c r="J3" s="1008">
        <v>2</v>
      </c>
      <c r="K3" s="1008">
        <v>3</v>
      </c>
      <c r="L3" s="1008">
        <f t="shared" ref="L3:R3" si="0">K3+1</f>
        <v>4</v>
      </c>
      <c r="M3" s="1280">
        <f t="shared" si="0"/>
        <v>5</v>
      </c>
      <c r="N3" s="1008">
        <f t="shared" si="0"/>
        <v>6</v>
      </c>
      <c r="O3" s="1008">
        <f t="shared" si="0"/>
        <v>7</v>
      </c>
      <c r="P3" s="1008">
        <f t="shared" si="0"/>
        <v>8</v>
      </c>
      <c r="Q3" s="1008">
        <f t="shared" si="0"/>
        <v>9</v>
      </c>
      <c r="R3" s="1280">
        <f t="shared" si="0"/>
        <v>10</v>
      </c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481"/>
      <c r="AM3" s="197"/>
      <c r="AN3" s="197"/>
      <c r="AO3" s="197"/>
      <c r="AP3" s="197"/>
      <c r="AQ3" s="197"/>
      <c r="AR3" s="197"/>
      <c r="AS3" s="197"/>
      <c r="AT3" s="197"/>
      <c r="AU3" s="197"/>
      <c r="AV3" s="482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</row>
    <row r="4" spans="2:69" x14ac:dyDescent="0.25">
      <c r="B4" s="1004"/>
      <c r="C4" s="1006">
        <f>'Monthly DCF'!C4</f>
        <v>47149</v>
      </c>
      <c r="D4" s="1006">
        <f>'Monthly DCF'!D4</f>
        <v>48213</v>
      </c>
      <c r="E4" s="1007">
        <f>'Monthly DCF'!E4</f>
        <v>60</v>
      </c>
      <c r="F4" s="1008">
        <f>'Monthly DCF'!F4</f>
        <v>5</v>
      </c>
      <c r="G4" s="1068" t="str">
        <f>'Monthly DCF'!G4</f>
        <v>Year</v>
      </c>
      <c r="H4" s="1281">
        <f>'Monthly DCF'!H3</f>
        <v>46387</v>
      </c>
      <c r="I4" s="654">
        <f t="shared" ref="I4:R4" si="1">IF(H3= "",$C$68,(IF(H4=$C$68,EDATE($C$68,1),EDATE(H4,12))))</f>
        <v>46752</v>
      </c>
      <c r="J4" s="654">
        <f t="shared" si="1"/>
        <v>47118</v>
      </c>
      <c r="K4" s="654">
        <f t="shared" si="1"/>
        <v>47483</v>
      </c>
      <c r="L4" s="654">
        <f t="shared" si="1"/>
        <v>47848</v>
      </c>
      <c r="M4" s="1282">
        <f t="shared" si="1"/>
        <v>48213</v>
      </c>
      <c r="N4" s="654">
        <f t="shared" si="1"/>
        <v>48579</v>
      </c>
      <c r="O4" s="654">
        <f t="shared" si="1"/>
        <v>48944</v>
      </c>
      <c r="P4" s="654">
        <f t="shared" si="1"/>
        <v>49309</v>
      </c>
      <c r="Q4" s="654">
        <f t="shared" si="1"/>
        <v>49674</v>
      </c>
      <c r="R4" s="1282">
        <f t="shared" si="1"/>
        <v>50040</v>
      </c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4"/>
      <c r="AN4" s="483"/>
      <c r="AO4" s="483"/>
      <c r="AP4" s="483"/>
      <c r="AQ4" s="483"/>
      <c r="AR4" s="483"/>
      <c r="AS4" s="483"/>
      <c r="AT4" s="483"/>
      <c r="AU4" s="483"/>
      <c r="AV4" s="483"/>
      <c r="AW4" s="485"/>
      <c r="AX4" s="483"/>
      <c r="AY4" s="483"/>
      <c r="AZ4" s="483"/>
      <c r="BA4" s="483"/>
      <c r="BB4" s="483"/>
      <c r="BC4" s="483"/>
      <c r="BD4" s="483"/>
      <c r="BE4" s="483"/>
      <c r="BF4" s="483"/>
      <c r="BG4" s="483"/>
      <c r="BH4" s="483"/>
      <c r="BI4" s="483"/>
      <c r="BJ4" s="483"/>
      <c r="BK4" s="483"/>
      <c r="BL4" s="483"/>
      <c r="BM4" s="483"/>
      <c r="BN4" s="483"/>
      <c r="BO4" s="483"/>
      <c r="BP4" s="483"/>
      <c r="BQ4" s="483"/>
    </row>
    <row r="5" spans="2:69" x14ac:dyDescent="0.25">
      <c r="B5" s="1004"/>
      <c r="C5" s="1009"/>
      <c r="D5" s="1009"/>
      <c r="E5" s="1009"/>
      <c r="F5" s="1009"/>
      <c r="G5" s="1068" t="str">
        <f>'Monthly DCF'!G5</f>
        <v>Month</v>
      </c>
      <c r="H5" s="1283"/>
      <c r="I5" s="1284"/>
      <c r="J5" s="1284"/>
      <c r="K5" s="1284"/>
      <c r="L5" s="1284"/>
      <c r="M5" s="1285"/>
      <c r="N5" s="1284"/>
      <c r="O5" s="1284"/>
      <c r="P5" s="1284"/>
      <c r="Q5" s="1284"/>
      <c r="R5" s="1285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7"/>
      <c r="AN5" s="486"/>
      <c r="AO5" s="486"/>
      <c r="AP5" s="486"/>
      <c r="AQ5" s="486"/>
      <c r="AR5" s="486"/>
      <c r="AS5" s="486"/>
      <c r="AT5" s="486"/>
      <c r="AU5" s="486"/>
      <c r="AV5" s="486"/>
      <c r="AW5" s="488"/>
      <c r="AX5" s="486"/>
      <c r="AY5" s="486"/>
      <c r="AZ5" s="486"/>
      <c r="BA5" s="486"/>
      <c r="BB5" s="486"/>
      <c r="BC5" s="486"/>
      <c r="BD5" s="486"/>
      <c r="BE5" s="486"/>
      <c r="BF5" s="486"/>
      <c r="BG5" s="486"/>
      <c r="BH5" s="486"/>
      <c r="BI5" s="486"/>
      <c r="BJ5" s="486"/>
      <c r="BK5" s="486"/>
      <c r="BL5" s="486"/>
      <c r="BM5" s="486"/>
      <c r="BN5" s="486"/>
      <c r="BO5" s="486"/>
      <c r="BP5" s="486"/>
      <c r="BQ5" s="486"/>
    </row>
    <row r="6" spans="2:69" x14ac:dyDescent="0.25">
      <c r="B6" s="1010"/>
      <c r="C6" s="1011"/>
      <c r="D6" s="1011"/>
      <c r="E6" s="1011"/>
      <c r="F6" s="1011"/>
      <c r="G6" s="1069" t="str">
        <f>'Monthly DCF'!G6</f>
        <v>Occ. %</v>
      </c>
      <c r="H6" s="1107">
        <f>IFERROR(H7/$C$39,0)</f>
        <v>0</v>
      </c>
      <c r="I6" s="1108">
        <f t="shared" ref="I6:R6" si="2">IFERROR(I7/$C$39,0)</f>
        <v>0</v>
      </c>
      <c r="J6" s="1108">
        <f t="shared" si="2"/>
        <v>0</v>
      </c>
      <c r="K6" s="1108">
        <f t="shared" si="2"/>
        <v>1</v>
      </c>
      <c r="L6" s="1108">
        <f t="shared" si="2"/>
        <v>1</v>
      </c>
      <c r="M6" s="1109">
        <f t="shared" si="2"/>
        <v>1</v>
      </c>
      <c r="N6" s="1108">
        <f t="shared" si="2"/>
        <v>1</v>
      </c>
      <c r="O6" s="1108">
        <f t="shared" si="2"/>
        <v>1</v>
      </c>
      <c r="P6" s="1108">
        <f t="shared" si="2"/>
        <v>1</v>
      </c>
      <c r="Q6" s="1108">
        <f t="shared" si="2"/>
        <v>1</v>
      </c>
      <c r="R6" s="1109">
        <f t="shared" si="2"/>
        <v>1</v>
      </c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489"/>
      <c r="AN6" s="51"/>
      <c r="AO6" s="51"/>
      <c r="AP6" s="51"/>
      <c r="AQ6" s="51"/>
      <c r="AR6" s="51"/>
      <c r="AS6" s="51"/>
      <c r="AT6" s="51"/>
      <c r="AU6" s="51"/>
      <c r="AV6" s="51"/>
      <c r="AW6" s="490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</row>
    <row r="7" spans="2:69" x14ac:dyDescent="0.25">
      <c r="B7" s="1012" t="str">
        <f>'Monthly DCF'!B7</f>
        <v>Rental Income</v>
      </c>
      <c r="C7" s="999"/>
      <c r="D7" s="999"/>
      <c r="E7" s="999"/>
      <c r="F7" s="999"/>
      <c r="G7" s="1069" t="str">
        <f>'Monthly DCF'!G7</f>
        <v>Occ. Units</v>
      </c>
      <c r="H7" s="1110" t="str">
        <f>_xlfn.XLOOKUP(H$4,'Monthly DCF'!$H$3:$EJ$3,'Monthly DCF'!$H7:$EJ7)</f>
        <v/>
      </c>
      <c r="I7" s="579" t="str">
        <f>_xlfn.XLOOKUP(I$4,'Monthly DCF'!$H$3:$EJ$3,'Monthly DCF'!$H7:$EJ7)</f>
        <v/>
      </c>
      <c r="J7" s="579" t="str">
        <f>_xlfn.XLOOKUP(J$4,'Monthly DCF'!$H$3:$EJ$3,'Monthly DCF'!$H7:$EJ7)</f>
        <v/>
      </c>
      <c r="K7" s="579">
        <f>_xlfn.XLOOKUP(K$4,'Monthly DCF'!$H$3:$EJ$3,'Monthly DCF'!$H7:$EJ7)</f>
        <v>82</v>
      </c>
      <c r="L7" s="579">
        <f>_xlfn.XLOOKUP(L$4,'Monthly DCF'!$H$3:$EJ$3,'Monthly DCF'!$H7:$EJ7)</f>
        <v>82</v>
      </c>
      <c r="M7" s="1114">
        <f>_xlfn.XLOOKUP(M$4,'Monthly DCF'!$H$3:$EJ$3,'Monthly DCF'!$H7:$EJ7)</f>
        <v>82</v>
      </c>
      <c r="N7" s="579">
        <f>_xlfn.XLOOKUP(N$4,'Monthly DCF'!$H$3:$EJ$3,'Monthly DCF'!$H7:$EJ7)</f>
        <v>82</v>
      </c>
      <c r="O7" s="579">
        <f>_xlfn.XLOOKUP(O$4,'Monthly DCF'!$H$3:$EJ$3,'Monthly DCF'!$H7:$EJ7)</f>
        <v>82</v>
      </c>
      <c r="P7" s="579">
        <f>_xlfn.XLOOKUP(P$4,'Monthly DCF'!$H$3:$EJ$3,'Monthly DCF'!$H7:$EJ7)</f>
        <v>82</v>
      </c>
      <c r="Q7" s="579">
        <f>_xlfn.XLOOKUP(Q$4,'Monthly DCF'!$H$3:$EJ$3,'Monthly DCF'!$H7:$EJ7)</f>
        <v>82</v>
      </c>
      <c r="R7" s="1114">
        <f>_xlfn.XLOOKUP(R$4,'Monthly DCF'!$H$3:$EJ$3,'Monthly DCF'!$H7:$EJ7)</f>
        <v>82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476"/>
      <c r="AN7" s="6"/>
      <c r="AO7" s="6"/>
      <c r="AP7" s="6"/>
      <c r="AQ7" s="6"/>
      <c r="AR7" s="6"/>
      <c r="AS7" s="6"/>
      <c r="AT7" s="6"/>
      <c r="AU7" s="6"/>
      <c r="AV7" s="6"/>
      <c r="AW7" s="477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</row>
    <row r="8" spans="2:69" x14ac:dyDescent="0.25">
      <c r="B8" s="1013"/>
      <c r="C8" s="1005"/>
      <c r="D8" s="999"/>
      <c r="E8" s="999"/>
      <c r="F8" s="1014"/>
      <c r="G8" s="999"/>
      <c r="H8" s="1110"/>
      <c r="I8" s="1286"/>
      <c r="J8" s="579"/>
      <c r="K8" s="579"/>
      <c r="L8" s="579"/>
      <c r="M8" s="1114"/>
      <c r="N8" s="579"/>
      <c r="O8" s="579"/>
      <c r="P8" s="579"/>
      <c r="Q8" s="579"/>
      <c r="R8" s="1114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476"/>
      <c r="AN8" s="6"/>
      <c r="AO8" s="6"/>
      <c r="AP8" s="6"/>
      <c r="AQ8" s="6"/>
      <c r="AR8" s="6"/>
      <c r="AS8" s="6"/>
      <c r="AT8" s="6"/>
      <c r="AU8" s="6"/>
      <c r="AV8" s="6"/>
      <c r="AW8" s="477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</row>
    <row r="9" spans="2:69" x14ac:dyDescent="0.25">
      <c r="B9" s="1010" t="str">
        <f>'Monthly DCF'!B9</f>
        <v>Unit Type</v>
      </c>
      <c r="C9" s="1005" t="str">
        <f>'Monthly DCF'!C9</f>
        <v># Units</v>
      </c>
      <c r="D9" s="1005" t="str">
        <f>'Monthly DCF'!D9</f>
        <v>SF</v>
      </c>
      <c r="E9" s="1005" t="str">
        <f>'Monthly DCF'!E9</f>
        <v>Rent/SF/Mo</v>
      </c>
      <c r="F9" s="1005" t="str">
        <f>'Monthly DCF'!F9</f>
        <v>Monthly Rent</v>
      </c>
      <c r="G9" s="1070" t="str">
        <f>'Monthly DCF'!G9</f>
        <v>Rent Growth</v>
      </c>
      <c r="H9" s="1115"/>
      <c r="I9" s="599"/>
      <c r="J9" s="599"/>
      <c r="K9" s="599"/>
      <c r="L9" s="599"/>
      <c r="M9" s="1117"/>
      <c r="N9" s="599"/>
      <c r="O9" s="599"/>
      <c r="P9" s="599"/>
      <c r="Q9" s="599"/>
      <c r="R9" s="1117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491"/>
      <c r="AN9" s="198"/>
      <c r="AO9" s="198"/>
      <c r="AP9" s="198"/>
      <c r="AQ9" s="198"/>
      <c r="AR9" s="198"/>
      <c r="AS9" s="198"/>
      <c r="AT9" s="198"/>
      <c r="AU9" s="198"/>
      <c r="AV9" s="198"/>
      <c r="AW9" s="492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</row>
    <row r="10" spans="2:69" x14ac:dyDescent="0.25">
      <c r="B10" s="1015" t="str">
        <f>'Monthly DCF'!B10</f>
        <v>Studio</v>
      </c>
      <c r="C10" s="1016">
        <f>'Monthly DCF'!C10</f>
        <v>5</v>
      </c>
      <c r="D10" s="1017">
        <f>'Monthly DCF'!D10</f>
        <v>516</v>
      </c>
      <c r="E10" s="1018">
        <f>'Monthly DCF'!E10</f>
        <v>3.8468992248062017</v>
      </c>
      <c r="F10" s="996">
        <f>'Monthly DCF'!F10</f>
        <v>1985</v>
      </c>
      <c r="G10" s="1071">
        <f>'Monthly DCF'!G10</f>
        <v>0.03</v>
      </c>
      <c r="H10" s="1115">
        <f>SUMIFS('Monthly DCF'!10:10,'Monthly DCF'!$4:$4,'Yearly DCF'!H$3,'Monthly DCF'!$3:$3,"&lt;=" &amp;Summary!$F$20)</f>
        <v>0</v>
      </c>
      <c r="I10" s="599">
        <f>SUMIFS('Monthly DCF'!10:10,'Monthly DCF'!$4:$4,'Yearly DCF'!I$3,'Monthly DCF'!$3:$3,"&lt;=" &amp;Summary!$F$20)</f>
        <v>0</v>
      </c>
      <c r="J10" s="599">
        <f>SUMIFS('Monthly DCF'!10:10,'Monthly DCF'!$4:$4,'Yearly DCF'!J$3,'Monthly DCF'!$3:$3,"&lt;=" &amp;Summary!$F$20)</f>
        <v>0</v>
      </c>
      <c r="K10" s="599">
        <f>SUMIFS('Monthly DCF'!10:10,'Monthly DCF'!$4:$4,'Yearly DCF'!K$3,'Monthly DCF'!$3:$3,"&lt;=" &amp;Summary!$F$20)</f>
        <v>80906.053443499986</v>
      </c>
      <c r="L10" s="599">
        <f>SUMIFS('Monthly DCF'!10:10,'Monthly DCF'!$4:$4,'Yearly DCF'!L$3,'Monthly DCF'!$3:$3,"&lt;=" &amp;Summary!$F$20)</f>
        <v>134048.09927099996</v>
      </c>
      <c r="M10" s="1117">
        <f>SUMIFS('Monthly DCF'!10:10,'Monthly DCF'!$4:$4,'Yearly DCF'!M$3,'Monthly DCF'!$3:$3,"&lt;=" &amp;Summary!$F$20)</f>
        <v>138069.54224913</v>
      </c>
      <c r="N10" s="599">
        <f>SUMIFS('Monthly DCF'!10:10,'Monthly DCF'!$4:$4,'Yearly DCF'!N$3,'Monthly DCF'!$3:$3,"&lt;=" &amp;Summary!$F$20)</f>
        <v>0</v>
      </c>
      <c r="O10" s="599">
        <f>SUMIFS('Monthly DCF'!10:10,'Monthly DCF'!$4:$4,'Yearly DCF'!O$3,'Monthly DCF'!$3:$3,"&lt;=" &amp;Summary!$F$20)</f>
        <v>0</v>
      </c>
      <c r="P10" s="599">
        <f>SUMIFS('Monthly DCF'!10:10,'Monthly DCF'!$4:$4,'Yearly DCF'!P$3,'Monthly DCF'!$3:$3,"&lt;=" &amp;Summary!$F$20)</f>
        <v>0</v>
      </c>
      <c r="Q10" s="599">
        <f>SUMIFS('Monthly DCF'!10:10,'Monthly DCF'!$4:$4,'Yearly DCF'!Q$3,'Monthly DCF'!$3:$3,"&lt;=" &amp;Summary!$F$20)</f>
        <v>0</v>
      </c>
      <c r="R10" s="1117">
        <f>SUMIFS('Monthly DCF'!10:10,'Monthly DCF'!$4:$4,'Yearly DCF'!R$3,'Monthly DCF'!$3:$3,"&lt;=" &amp;Summary!$F$20)</f>
        <v>0</v>
      </c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491"/>
      <c r="AN10" s="198"/>
      <c r="AO10" s="198"/>
      <c r="AP10" s="198"/>
      <c r="AQ10" s="198"/>
      <c r="AR10" s="198"/>
      <c r="AS10" s="198"/>
      <c r="AT10" s="198"/>
      <c r="AU10" s="198"/>
      <c r="AV10" s="198"/>
      <c r="AW10" s="492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</row>
    <row r="11" spans="2:69" x14ac:dyDescent="0.25">
      <c r="B11" s="1015" t="str">
        <f>'Monthly DCF'!B11</f>
        <v>1 Bed 1 Bath</v>
      </c>
      <c r="C11" s="1016">
        <f>'Monthly DCF'!C11</f>
        <v>67</v>
      </c>
      <c r="D11" s="1017">
        <f>'Monthly DCF'!D11</f>
        <v>594.37</v>
      </c>
      <c r="E11" s="1018">
        <f>'Monthly DCF'!E11</f>
        <v>4.1977219577031146</v>
      </c>
      <c r="F11" s="996">
        <f>'Monthly DCF'!F11</f>
        <v>2495</v>
      </c>
      <c r="G11" s="1072"/>
      <c r="H11" s="1115">
        <f>SUMIFS('Monthly DCF'!11:11,'Monthly DCF'!$4:$4,'Yearly DCF'!H$3,'Monthly DCF'!$3:$3,"&lt;=" &amp;Summary!$F$20)</f>
        <v>0</v>
      </c>
      <c r="I11" s="599">
        <f>SUMIFS('Monthly DCF'!11:11,'Monthly DCF'!$4:$4,'Yearly DCF'!I$3,'Monthly DCF'!$3:$3,"&lt;=" &amp;Summary!$F$20)</f>
        <v>0</v>
      </c>
      <c r="J11" s="599">
        <f>SUMIFS('Monthly DCF'!11:11,'Monthly DCF'!$4:$4,'Yearly DCF'!J$3,'Monthly DCF'!$3:$3,"&lt;=" &amp;Summary!$F$20)</f>
        <v>0</v>
      </c>
      <c r="K11" s="599">
        <f>SUMIFS('Monthly DCF'!11:11,'Monthly DCF'!$4:$4,'Yearly DCF'!K$3,'Monthly DCF'!$3:$3,"&lt;=" &amp;Summary!$F$20)</f>
        <v>1346818.8093099999</v>
      </c>
      <c r="L11" s="599">
        <f>SUMIFS('Monthly DCF'!11:11,'Monthly DCF'!$4:$4,'Yearly DCF'!L$3,'Monthly DCF'!$3:$3,"&lt;=" &amp;Summary!$F$20)</f>
        <v>2257748.1626838003</v>
      </c>
      <c r="M11" s="1117">
        <f>SUMIFS('Monthly DCF'!11:11,'Monthly DCF'!$4:$4,'Yearly DCF'!M$3,'Monthly DCF'!$3:$3,"&lt;=" &amp;Summary!$F$20)</f>
        <v>2325480.6075643138</v>
      </c>
      <c r="N11" s="599">
        <f>SUMIFS('Monthly DCF'!11:11,'Monthly DCF'!$4:$4,'Yearly DCF'!N$3,'Monthly DCF'!$3:$3,"&lt;=" &amp;Summary!$F$20)</f>
        <v>0</v>
      </c>
      <c r="O11" s="599">
        <f>SUMIFS('Monthly DCF'!11:11,'Monthly DCF'!$4:$4,'Yearly DCF'!O$3,'Monthly DCF'!$3:$3,"&lt;=" &amp;Summary!$F$20)</f>
        <v>0</v>
      </c>
      <c r="P11" s="599">
        <f>SUMIFS('Monthly DCF'!11:11,'Monthly DCF'!$4:$4,'Yearly DCF'!P$3,'Monthly DCF'!$3:$3,"&lt;=" &amp;Summary!$F$20)</f>
        <v>0</v>
      </c>
      <c r="Q11" s="599">
        <f>SUMIFS('Monthly DCF'!11:11,'Monthly DCF'!$4:$4,'Yearly DCF'!Q$3,'Monthly DCF'!$3:$3,"&lt;=" &amp;Summary!$F$20)</f>
        <v>0</v>
      </c>
      <c r="R11" s="1117">
        <f>SUMIFS('Monthly DCF'!11:11,'Monthly DCF'!$4:$4,'Yearly DCF'!R$3,'Monthly DCF'!$3:$3,"&lt;=" &amp;Summary!$F$20)</f>
        <v>0</v>
      </c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491"/>
      <c r="AN11" s="198"/>
      <c r="AO11" s="198"/>
      <c r="AP11" s="198"/>
      <c r="AQ11" s="198"/>
      <c r="AR11" s="198"/>
      <c r="AS11" s="198"/>
      <c r="AT11" s="198"/>
      <c r="AU11" s="198"/>
      <c r="AV11" s="198"/>
      <c r="AW11" s="492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</row>
    <row r="12" spans="2:69" ht="15" customHeight="1" x14ac:dyDescent="0.25">
      <c r="B12" s="1015" t="str">
        <f>'Monthly DCF'!B12</f>
        <v>2 Bed 2 Bath</v>
      </c>
      <c r="C12" s="1016">
        <f>'Monthly DCF'!C12</f>
        <v>10</v>
      </c>
      <c r="D12" s="1017">
        <f>'Monthly DCF'!D12</f>
        <v>948.5</v>
      </c>
      <c r="E12" s="1018">
        <f>'Monthly DCF'!E12</f>
        <v>3.4739061676331051</v>
      </c>
      <c r="F12" s="996">
        <f>'Monthly DCF'!F12</f>
        <v>3295</v>
      </c>
      <c r="G12" s="1072"/>
      <c r="H12" s="1115">
        <f>SUMIFS('Monthly DCF'!12:12,'Monthly DCF'!$4:$4,'Yearly DCF'!H$3,'Monthly DCF'!$3:$3,"&lt;=" &amp;Summary!$F$20)</f>
        <v>0</v>
      </c>
      <c r="I12" s="599">
        <f>SUMIFS('Monthly DCF'!12:12,'Monthly DCF'!$4:$4,'Yearly DCF'!I$3,'Monthly DCF'!$3:$3,"&lt;=" &amp;Summary!$F$20)</f>
        <v>0</v>
      </c>
      <c r="J12" s="599">
        <f>SUMIFS('Monthly DCF'!12:12,'Monthly DCF'!$4:$4,'Yearly DCF'!J$3,'Monthly DCF'!$3:$3,"&lt;=" &amp;Summary!$F$20)</f>
        <v>0</v>
      </c>
      <c r="K12" s="599">
        <f>SUMIFS('Monthly DCF'!12:12,'Monthly DCF'!$4:$4,'Yearly DCF'!K$3,'Monthly DCF'!$3:$3,"&lt;=" &amp;Summary!$F$20)</f>
        <v>259378.38009999998</v>
      </c>
      <c r="L12" s="599">
        <f>SUMIFS('Monthly DCF'!12:12,'Monthly DCF'!$4:$4,'Yearly DCF'!L$3,'Monthly DCF'!$3:$3,"&lt;=" &amp;Summary!$F$20)</f>
        <v>432064.25579999998</v>
      </c>
      <c r="M12" s="1117">
        <f>SUMIFS('Monthly DCF'!12:12,'Monthly DCF'!$4:$4,'Yearly DCF'!M$3,'Monthly DCF'!$3:$3,"&lt;=" &amp;Summary!$F$20)</f>
        <v>445026.18347400002</v>
      </c>
      <c r="N12" s="599">
        <f>SUMIFS('Monthly DCF'!12:12,'Monthly DCF'!$4:$4,'Yearly DCF'!N$3,'Monthly DCF'!$3:$3,"&lt;=" &amp;Summary!$F$20)</f>
        <v>0</v>
      </c>
      <c r="O12" s="599">
        <f>SUMIFS('Monthly DCF'!12:12,'Monthly DCF'!$4:$4,'Yearly DCF'!O$3,'Monthly DCF'!$3:$3,"&lt;=" &amp;Summary!$F$20)</f>
        <v>0</v>
      </c>
      <c r="P12" s="599">
        <f>SUMIFS('Monthly DCF'!12:12,'Monthly DCF'!$4:$4,'Yearly DCF'!P$3,'Monthly DCF'!$3:$3,"&lt;=" &amp;Summary!$F$20)</f>
        <v>0</v>
      </c>
      <c r="Q12" s="599">
        <f>SUMIFS('Monthly DCF'!12:12,'Monthly DCF'!$4:$4,'Yearly DCF'!Q$3,'Monthly DCF'!$3:$3,"&lt;=" &amp;Summary!$F$20)</f>
        <v>0</v>
      </c>
      <c r="R12" s="1117">
        <f>SUMIFS('Monthly DCF'!12:12,'Monthly DCF'!$4:$4,'Yearly DCF'!R$3,'Monthly DCF'!$3:$3,"&lt;=" &amp;Summary!$F$20)</f>
        <v>0</v>
      </c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491"/>
      <c r="AN12" s="198"/>
      <c r="AO12" s="198"/>
      <c r="AP12" s="198"/>
      <c r="AQ12" s="198"/>
      <c r="AR12" s="198"/>
      <c r="AS12" s="198"/>
      <c r="AT12" s="198"/>
      <c r="AU12" s="198"/>
      <c r="AV12" s="198"/>
      <c r="AW12" s="492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</row>
    <row r="13" spans="2:69" ht="15" hidden="1" customHeight="1" x14ac:dyDescent="0.25">
      <c r="B13" s="1015"/>
      <c r="C13" s="1016">
        <f>'Monthly DCF'!C13</f>
        <v>0</v>
      </c>
      <c r="D13" s="1017">
        <f>'Monthly DCF'!D13</f>
        <v>0</v>
      </c>
      <c r="E13" s="1018">
        <f>'Monthly DCF'!E13</f>
        <v>0</v>
      </c>
      <c r="F13" s="996">
        <f>'Monthly DCF'!F13</f>
        <v>0</v>
      </c>
      <c r="G13" s="1072">
        <f>'Monthly DCF'!G13</f>
        <v>0</v>
      </c>
      <c r="H13" s="1115">
        <f>SUMIFS('Monthly DCF'!13:13,'Monthly DCF'!$4:$4,'Yearly DCF'!H$3,'Monthly DCF'!$3:$3,"&lt;=" &amp;Summary!$F$20)</f>
        <v>0</v>
      </c>
      <c r="I13" s="599">
        <f>SUMIFS('Monthly DCF'!13:13,'Monthly DCF'!$4:$4,'Yearly DCF'!I$3,'Monthly DCF'!$3:$3,"&lt;=" &amp;Summary!$F$20)</f>
        <v>0</v>
      </c>
      <c r="J13" s="599">
        <f>SUMIFS('Monthly DCF'!13:13,'Monthly DCF'!$4:$4,'Yearly DCF'!J$3,'Monthly DCF'!$3:$3,"&lt;=" &amp;Summary!$F$20)</f>
        <v>0</v>
      </c>
      <c r="K13" s="599">
        <f>SUMIFS('Monthly DCF'!13:13,'Monthly DCF'!$4:$4,'Yearly DCF'!K$3,'Monthly DCF'!$3:$3,"&lt;=" &amp;Summary!$F$20)</f>
        <v>0</v>
      </c>
      <c r="L13" s="599">
        <f>SUMIFS('Monthly DCF'!13:13,'Monthly DCF'!$4:$4,'Yearly DCF'!L$3,'Monthly DCF'!$3:$3,"&lt;=" &amp;Summary!$F$20)</f>
        <v>0</v>
      </c>
      <c r="M13" s="1117">
        <f>SUMIFS('Monthly DCF'!13:13,'Monthly DCF'!$4:$4,'Yearly DCF'!M$3,'Monthly DCF'!$3:$3,"&lt;=" &amp;Summary!$F$20)</f>
        <v>0</v>
      </c>
      <c r="N13" s="599">
        <f>SUMIFS('Monthly DCF'!13:13,'Monthly DCF'!$4:$4,'Yearly DCF'!N$3,'Monthly DCF'!$3:$3,"&lt;=" &amp;Summary!$F$20)</f>
        <v>0</v>
      </c>
      <c r="O13" s="599">
        <f>SUMIFS('Monthly DCF'!13:13,'Monthly DCF'!$4:$4,'Yearly DCF'!O$3,'Monthly DCF'!$3:$3,"&lt;=" &amp;Summary!$F$20)</f>
        <v>0</v>
      </c>
      <c r="P13" s="599">
        <f>SUMIFS('Monthly DCF'!13:13,'Monthly DCF'!$4:$4,'Yearly DCF'!P$3,'Monthly DCF'!$3:$3,"&lt;=" &amp;Summary!$F$20)</f>
        <v>0</v>
      </c>
      <c r="Q13" s="599">
        <f>SUMIFS('Monthly DCF'!13:13,'Monthly DCF'!$4:$4,'Yearly DCF'!Q$3,'Monthly DCF'!$3:$3,"&lt;=" &amp;Summary!$F$20)</f>
        <v>0</v>
      </c>
      <c r="R13" s="1117">
        <f>SUMIFS('Monthly DCF'!13:13,'Monthly DCF'!$4:$4,'Yearly DCF'!R$3,'Monthly DCF'!$3:$3,"&lt;=" &amp;Summary!$F$20)</f>
        <v>0</v>
      </c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491"/>
      <c r="AN13" s="198"/>
      <c r="AO13" s="198"/>
      <c r="AP13" s="198"/>
      <c r="AQ13" s="198"/>
      <c r="AR13" s="198"/>
      <c r="AS13" s="198"/>
      <c r="AT13" s="198"/>
      <c r="AU13" s="198"/>
      <c r="AV13" s="198"/>
      <c r="AW13" s="492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</row>
    <row r="14" spans="2:69" ht="15" hidden="1" customHeight="1" x14ac:dyDescent="0.25">
      <c r="B14" s="1015" t="str">
        <f>'Monthly DCF'!B14</f>
        <v>Type (#BD/#BA)</v>
      </c>
      <c r="C14" s="1016">
        <f>'Monthly DCF'!C14</f>
        <v>0</v>
      </c>
      <c r="D14" s="1017">
        <f>'Monthly DCF'!D14</f>
        <v>0</v>
      </c>
      <c r="E14" s="1018">
        <f>'Monthly DCF'!E14</f>
        <v>0</v>
      </c>
      <c r="F14" s="996">
        <f>'Monthly DCF'!F14</f>
        <v>0</v>
      </c>
      <c r="G14" s="1072">
        <f>'Monthly DCF'!G14</f>
        <v>0</v>
      </c>
      <c r="H14" s="1115">
        <f>SUMIFS('Monthly DCF'!14:14,'Monthly DCF'!$4:$4,'Yearly DCF'!H$3,'Monthly DCF'!$3:$3,"&lt;=" &amp;Summary!$F$20)</f>
        <v>0</v>
      </c>
      <c r="I14" s="599">
        <f>SUMIFS('Monthly DCF'!14:14,'Monthly DCF'!$4:$4,'Yearly DCF'!I$3,'Monthly DCF'!$3:$3,"&lt;=" &amp;Summary!$F$20)</f>
        <v>0</v>
      </c>
      <c r="J14" s="599">
        <f>SUMIFS('Monthly DCF'!14:14,'Monthly DCF'!$4:$4,'Yearly DCF'!J$3,'Monthly DCF'!$3:$3,"&lt;=" &amp;Summary!$F$20)</f>
        <v>0</v>
      </c>
      <c r="K14" s="599">
        <f>SUMIFS('Monthly DCF'!14:14,'Monthly DCF'!$4:$4,'Yearly DCF'!K$3,'Monthly DCF'!$3:$3,"&lt;=" &amp;Summary!$F$20)</f>
        <v>0</v>
      </c>
      <c r="L14" s="599">
        <f>SUMIFS('Monthly DCF'!14:14,'Monthly DCF'!$4:$4,'Yearly DCF'!L$3,'Monthly DCF'!$3:$3,"&lt;=" &amp;Summary!$F$20)</f>
        <v>0</v>
      </c>
      <c r="M14" s="1117">
        <f>SUMIFS('Monthly DCF'!14:14,'Monthly DCF'!$4:$4,'Yearly DCF'!M$3,'Monthly DCF'!$3:$3,"&lt;=" &amp;Summary!$F$20)</f>
        <v>0</v>
      </c>
      <c r="N14" s="599">
        <f>SUMIFS('Monthly DCF'!14:14,'Monthly DCF'!$4:$4,'Yearly DCF'!N$3,'Monthly DCF'!$3:$3,"&lt;=" &amp;Summary!$F$20)</f>
        <v>0</v>
      </c>
      <c r="O14" s="599">
        <f>SUMIFS('Monthly DCF'!14:14,'Monthly DCF'!$4:$4,'Yearly DCF'!O$3,'Monthly DCF'!$3:$3,"&lt;=" &amp;Summary!$F$20)</f>
        <v>0</v>
      </c>
      <c r="P14" s="599">
        <f>SUMIFS('Monthly DCF'!14:14,'Monthly DCF'!$4:$4,'Yearly DCF'!P$3,'Monthly DCF'!$3:$3,"&lt;=" &amp;Summary!$F$20)</f>
        <v>0</v>
      </c>
      <c r="Q14" s="599">
        <f>SUMIFS('Monthly DCF'!14:14,'Monthly DCF'!$4:$4,'Yearly DCF'!Q$3,'Monthly DCF'!$3:$3,"&lt;=" &amp;Summary!$F$20)</f>
        <v>0</v>
      </c>
      <c r="R14" s="1117">
        <f>SUMIFS('Monthly DCF'!14:14,'Monthly DCF'!$4:$4,'Yearly DCF'!R$3,'Monthly DCF'!$3:$3,"&lt;=" &amp;Summary!$F$20)</f>
        <v>0</v>
      </c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491"/>
      <c r="AN14" s="198"/>
      <c r="AO14" s="198"/>
      <c r="AP14" s="198"/>
      <c r="AQ14" s="198"/>
      <c r="AR14" s="198"/>
      <c r="AS14" s="198"/>
      <c r="AT14" s="198"/>
      <c r="AU14" s="198"/>
      <c r="AV14" s="198"/>
      <c r="AW14" s="492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</row>
    <row r="15" spans="2:69" ht="15" hidden="1" customHeight="1" x14ac:dyDescent="0.25">
      <c r="B15" s="1015" t="str">
        <f>'Monthly DCF'!B15</f>
        <v>Type (#BD/#BA)</v>
      </c>
      <c r="C15" s="1016">
        <f>'Monthly DCF'!C15</f>
        <v>0</v>
      </c>
      <c r="D15" s="1017">
        <f>'Monthly DCF'!D15</f>
        <v>0</v>
      </c>
      <c r="E15" s="1018">
        <f>'Monthly DCF'!E15</f>
        <v>0</v>
      </c>
      <c r="F15" s="996">
        <f>'Monthly DCF'!F15</f>
        <v>0</v>
      </c>
      <c r="G15" s="1072">
        <f>'Monthly DCF'!G15</f>
        <v>0</v>
      </c>
      <c r="H15" s="1115">
        <f>SUMIFS('Monthly DCF'!15:15,'Monthly DCF'!$4:$4,'Yearly DCF'!H$3,'Monthly DCF'!$3:$3,"&lt;=" &amp;Summary!$F$20)</f>
        <v>0</v>
      </c>
      <c r="I15" s="599">
        <f>SUMIFS('Monthly DCF'!15:15,'Monthly DCF'!$4:$4,'Yearly DCF'!I$3,'Monthly DCF'!$3:$3,"&lt;=" &amp;Summary!$F$20)</f>
        <v>0</v>
      </c>
      <c r="J15" s="599">
        <f>SUMIFS('Monthly DCF'!15:15,'Monthly DCF'!$4:$4,'Yearly DCF'!J$3,'Monthly DCF'!$3:$3,"&lt;=" &amp;Summary!$F$20)</f>
        <v>0</v>
      </c>
      <c r="K15" s="599">
        <f>SUMIFS('Monthly DCF'!15:15,'Monthly DCF'!$4:$4,'Yearly DCF'!K$3,'Monthly DCF'!$3:$3,"&lt;=" &amp;Summary!$F$20)</f>
        <v>0</v>
      </c>
      <c r="L15" s="599">
        <f>SUMIFS('Monthly DCF'!15:15,'Monthly DCF'!$4:$4,'Yearly DCF'!L$3,'Monthly DCF'!$3:$3,"&lt;=" &amp;Summary!$F$20)</f>
        <v>0</v>
      </c>
      <c r="M15" s="1117">
        <f>SUMIFS('Monthly DCF'!15:15,'Monthly DCF'!$4:$4,'Yearly DCF'!M$3,'Monthly DCF'!$3:$3,"&lt;=" &amp;Summary!$F$20)</f>
        <v>0</v>
      </c>
      <c r="N15" s="599">
        <f>SUMIFS('Monthly DCF'!15:15,'Monthly DCF'!$4:$4,'Yearly DCF'!N$3,'Monthly DCF'!$3:$3,"&lt;=" &amp;Summary!$F$20)</f>
        <v>0</v>
      </c>
      <c r="O15" s="599">
        <f>SUMIFS('Monthly DCF'!15:15,'Monthly DCF'!$4:$4,'Yearly DCF'!O$3,'Monthly DCF'!$3:$3,"&lt;=" &amp;Summary!$F$20)</f>
        <v>0</v>
      </c>
      <c r="P15" s="599">
        <f>SUMIFS('Monthly DCF'!15:15,'Monthly DCF'!$4:$4,'Yearly DCF'!P$3,'Monthly DCF'!$3:$3,"&lt;=" &amp;Summary!$F$20)</f>
        <v>0</v>
      </c>
      <c r="Q15" s="599">
        <f>SUMIFS('Monthly DCF'!15:15,'Monthly DCF'!$4:$4,'Yearly DCF'!Q$3,'Monthly DCF'!$3:$3,"&lt;=" &amp;Summary!$F$20)</f>
        <v>0</v>
      </c>
      <c r="R15" s="1117">
        <f>SUMIFS('Monthly DCF'!15:15,'Monthly DCF'!$4:$4,'Yearly DCF'!R$3,'Monthly DCF'!$3:$3,"&lt;=" &amp;Summary!$F$20)</f>
        <v>0</v>
      </c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491"/>
      <c r="AN15" s="198"/>
      <c r="AO15" s="198"/>
      <c r="AP15" s="198"/>
      <c r="AQ15" s="198"/>
      <c r="AR15" s="198"/>
      <c r="AS15" s="198"/>
      <c r="AT15" s="198"/>
      <c r="AU15" s="198"/>
      <c r="AV15" s="198"/>
      <c r="AW15" s="492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</row>
    <row r="16" spans="2:69" ht="15" hidden="1" customHeight="1" x14ac:dyDescent="0.25">
      <c r="B16" s="1015" t="str">
        <f>'Monthly DCF'!B16</f>
        <v>Type (#BD/#BA)</v>
      </c>
      <c r="C16" s="1016">
        <f>'Monthly DCF'!C16</f>
        <v>0</v>
      </c>
      <c r="D16" s="1017">
        <f>'Monthly DCF'!D16</f>
        <v>0</v>
      </c>
      <c r="E16" s="1018">
        <f>'Monthly DCF'!E16</f>
        <v>0</v>
      </c>
      <c r="F16" s="996">
        <f>'Monthly DCF'!F16</f>
        <v>0</v>
      </c>
      <c r="G16" s="1072">
        <f>'Monthly DCF'!G16</f>
        <v>0</v>
      </c>
      <c r="H16" s="1115">
        <f>SUMIFS('Monthly DCF'!16:16,'Monthly DCF'!$4:$4,'Yearly DCF'!H$3,'Monthly DCF'!$3:$3,"&lt;=" &amp;Summary!$F$20)</f>
        <v>0</v>
      </c>
      <c r="I16" s="599">
        <f>SUMIFS('Monthly DCF'!16:16,'Monthly DCF'!$4:$4,'Yearly DCF'!I$3,'Monthly DCF'!$3:$3,"&lt;=" &amp;Summary!$F$20)</f>
        <v>0</v>
      </c>
      <c r="J16" s="599">
        <f>SUMIFS('Monthly DCF'!16:16,'Monthly DCF'!$4:$4,'Yearly DCF'!J$3,'Monthly DCF'!$3:$3,"&lt;=" &amp;Summary!$F$20)</f>
        <v>0</v>
      </c>
      <c r="K16" s="599">
        <f>SUMIFS('Monthly DCF'!16:16,'Monthly DCF'!$4:$4,'Yearly DCF'!K$3,'Monthly DCF'!$3:$3,"&lt;=" &amp;Summary!$F$20)</f>
        <v>0</v>
      </c>
      <c r="L16" s="599">
        <f>SUMIFS('Monthly DCF'!16:16,'Monthly DCF'!$4:$4,'Yearly DCF'!L$3,'Monthly DCF'!$3:$3,"&lt;=" &amp;Summary!$F$20)</f>
        <v>0</v>
      </c>
      <c r="M16" s="1117">
        <f>SUMIFS('Monthly DCF'!16:16,'Monthly DCF'!$4:$4,'Yearly DCF'!M$3,'Monthly DCF'!$3:$3,"&lt;=" &amp;Summary!$F$20)</f>
        <v>0</v>
      </c>
      <c r="N16" s="599">
        <f>SUMIFS('Monthly DCF'!16:16,'Monthly DCF'!$4:$4,'Yearly DCF'!N$3,'Monthly DCF'!$3:$3,"&lt;=" &amp;Summary!$F$20)</f>
        <v>0</v>
      </c>
      <c r="O16" s="599">
        <f>SUMIFS('Monthly DCF'!16:16,'Monthly DCF'!$4:$4,'Yearly DCF'!O$3,'Monthly DCF'!$3:$3,"&lt;=" &amp;Summary!$F$20)</f>
        <v>0</v>
      </c>
      <c r="P16" s="599">
        <f>SUMIFS('Monthly DCF'!16:16,'Monthly DCF'!$4:$4,'Yearly DCF'!P$3,'Monthly DCF'!$3:$3,"&lt;=" &amp;Summary!$F$20)</f>
        <v>0</v>
      </c>
      <c r="Q16" s="599">
        <f>SUMIFS('Monthly DCF'!16:16,'Monthly DCF'!$4:$4,'Yearly DCF'!Q$3,'Monthly DCF'!$3:$3,"&lt;=" &amp;Summary!$F$20)</f>
        <v>0</v>
      </c>
      <c r="R16" s="1117">
        <f>SUMIFS('Monthly DCF'!16:16,'Monthly DCF'!$4:$4,'Yearly DCF'!R$3,'Monthly DCF'!$3:$3,"&lt;=" &amp;Summary!$F$20)</f>
        <v>0</v>
      </c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491"/>
      <c r="AN16" s="198"/>
      <c r="AO16" s="198"/>
      <c r="AP16" s="198"/>
      <c r="AQ16" s="198"/>
      <c r="AR16" s="198"/>
      <c r="AS16" s="198"/>
      <c r="AT16" s="198"/>
      <c r="AU16" s="198"/>
      <c r="AV16" s="198"/>
      <c r="AW16" s="492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</row>
    <row r="17" spans="2:69" ht="15" hidden="1" customHeight="1" x14ac:dyDescent="0.25">
      <c r="B17" s="1015" t="str">
        <f>'Monthly DCF'!B17</f>
        <v>Type (#BD/#BA)</v>
      </c>
      <c r="C17" s="1016">
        <f>'Monthly DCF'!C17</f>
        <v>0</v>
      </c>
      <c r="D17" s="1017">
        <f>'Monthly DCF'!D17</f>
        <v>0</v>
      </c>
      <c r="E17" s="1018">
        <f>'Monthly DCF'!E17</f>
        <v>0</v>
      </c>
      <c r="F17" s="996">
        <f>'Monthly DCF'!F17</f>
        <v>0</v>
      </c>
      <c r="G17" s="1072">
        <f>'Monthly DCF'!G17</f>
        <v>0</v>
      </c>
      <c r="H17" s="1115">
        <f>SUMIFS('Monthly DCF'!17:17,'Monthly DCF'!$4:$4,'Yearly DCF'!H$3,'Monthly DCF'!$3:$3,"&lt;=" &amp;Summary!$F$20)</f>
        <v>0</v>
      </c>
      <c r="I17" s="599">
        <f>SUMIFS('Monthly DCF'!17:17,'Monthly DCF'!$4:$4,'Yearly DCF'!I$3,'Monthly DCF'!$3:$3,"&lt;=" &amp;Summary!$F$20)</f>
        <v>0</v>
      </c>
      <c r="J17" s="599">
        <f>SUMIFS('Monthly DCF'!17:17,'Monthly DCF'!$4:$4,'Yearly DCF'!J$3,'Monthly DCF'!$3:$3,"&lt;=" &amp;Summary!$F$20)</f>
        <v>0</v>
      </c>
      <c r="K17" s="599">
        <f>SUMIFS('Monthly DCF'!17:17,'Monthly DCF'!$4:$4,'Yearly DCF'!K$3,'Monthly DCF'!$3:$3,"&lt;=" &amp;Summary!$F$20)</f>
        <v>0</v>
      </c>
      <c r="L17" s="599">
        <f>SUMIFS('Monthly DCF'!17:17,'Monthly DCF'!$4:$4,'Yearly DCF'!L$3,'Monthly DCF'!$3:$3,"&lt;=" &amp;Summary!$F$20)</f>
        <v>0</v>
      </c>
      <c r="M17" s="1117">
        <f>SUMIFS('Monthly DCF'!17:17,'Monthly DCF'!$4:$4,'Yearly DCF'!M$3,'Monthly DCF'!$3:$3,"&lt;=" &amp;Summary!$F$20)</f>
        <v>0</v>
      </c>
      <c r="N17" s="599">
        <f>SUMIFS('Monthly DCF'!17:17,'Monthly DCF'!$4:$4,'Yearly DCF'!N$3,'Monthly DCF'!$3:$3,"&lt;=" &amp;Summary!$F$20)</f>
        <v>0</v>
      </c>
      <c r="O17" s="599">
        <f>SUMIFS('Monthly DCF'!17:17,'Monthly DCF'!$4:$4,'Yearly DCF'!O$3,'Monthly DCF'!$3:$3,"&lt;=" &amp;Summary!$F$20)</f>
        <v>0</v>
      </c>
      <c r="P17" s="599">
        <f>SUMIFS('Monthly DCF'!17:17,'Monthly DCF'!$4:$4,'Yearly DCF'!P$3,'Monthly DCF'!$3:$3,"&lt;=" &amp;Summary!$F$20)</f>
        <v>0</v>
      </c>
      <c r="Q17" s="599">
        <f>SUMIFS('Monthly DCF'!17:17,'Monthly DCF'!$4:$4,'Yearly DCF'!Q$3,'Monthly DCF'!$3:$3,"&lt;=" &amp;Summary!$F$20)</f>
        <v>0</v>
      </c>
      <c r="R17" s="1117">
        <f>SUMIFS('Monthly DCF'!17:17,'Monthly DCF'!$4:$4,'Yearly DCF'!R$3,'Monthly DCF'!$3:$3,"&lt;=" &amp;Summary!$F$20)</f>
        <v>0</v>
      </c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491"/>
      <c r="AN17" s="198"/>
      <c r="AO17" s="198"/>
      <c r="AP17" s="198"/>
      <c r="AQ17" s="198"/>
      <c r="AR17" s="198"/>
      <c r="AS17" s="198"/>
      <c r="AT17" s="198"/>
      <c r="AU17" s="198"/>
      <c r="AV17" s="198"/>
      <c r="AW17" s="492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</row>
    <row r="18" spans="2:69" ht="15" hidden="1" customHeight="1" x14ac:dyDescent="0.25">
      <c r="B18" s="1015" t="str">
        <f>'Monthly DCF'!B18</f>
        <v>Type (#BD/#BA)</v>
      </c>
      <c r="C18" s="1016">
        <f>'Monthly DCF'!C18</f>
        <v>0</v>
      </c>
      <c r="D18" s="1017">
        <f>'Monthly DCF'!D18</f>
        <v>0</v>
      </c>
      <c r="E18" s="1018">
        <f>'Monthly DCF'!E18</f>
        <v>0</v>
      </c>
      <c r="F18" s="996">
        <f>'Monthly DCF'!F18</f>
        <v>0</v>
      </c>
      <c r="G18" s="1072">
        <f>'Monthly DCF'!G18</f>
        <v>0</v>
      </c>
      <c r="H18" s="1115">
        <f>SUMIFS('Monthly DCF'!18:18,'Monthly DCF'!$4:$4,'Yearly DCF'!H$3,'Monthly DCF'!$3:$3,"&lt;=" &amp;Summary!$F$20)</f>
        <v>0</v>
      </c>
      <c r="I18" s="599">
        <f>SUMIFS('Monthly DCF'!18:18,'Monthly DCF'!$4:$4,'Yearly DCF'!I$3,'Monthly DCF'!$3:$3,"&lt;=" &amp;Summary!$F$20)</f>
        <v>0</v>
      </c>
      <c r="J18" s="599">
        <f>SUMIFS('Monthly DCF'!18:18,'Monthly DCF'!$4:$4,'Yearly DCF'!J$3,'Monthly DCF'!$3:$3,"&lt;=" &amp;Summary!$F$20)</f>
        <v>0</v>
      </c>
      <c r="K18" s="599">
        <f>SUMIFS('Monthly DCF'!18:18,'Monthly DCF'!$4:$4,'Yearly DCF'!K$3,'Monthly DCF'!$3:$3,"&lt;=" &amp;Summary!$F$20)</f>
        <v>0</v>
      </c>
      <c r="L18" s="599">
        <f>SUMIFS('Monthly DCF'!18:18,'Monthly DCF'!$4:$4,'Yearly DCF'!L$3,'Monthly DCF'!$3:$3,"&lt;=" &amp;Summary!$F$20)</f>
        <v>0</v>
      </c>
      <c r="M18" s="1117">
        <f>SUMIFS('Monthly DCF'!18:18,'Monthly DCF'!$4:$4,'Yearly DCF'!M$3,'Monthly DCF'!$3:$3,"&lt;=" &amp;Summary!$F$20)</f>
        <v>0</v>
      </c>
      <c r="N18" s="599">
        <f>SUMIFS('Monthly DCF'!18:18,'Monthly DCF'!$4:$4,'Yearly DCF'!N$3,'Monthly DCF'!$3:$3,"&lt;=" &amp;Summary!$F$20)</f>
        <v>0</v>
      </c>
      <c r="O18" s="599">
        <f>SUMIFS('Monthly DCF'!18:18,'Monthly DCF'!$4:$4,'Yearly DCF'!O$3,'Monthly DCF'!$3:$3,"&lt;=" &amp;Summary!$F$20)</f>
        <v>0</v>
      </c>
      <c r="P18" s="599">
        <f>SUMIFS('Monthly DCF'!18:18,'Monthly DCF'!$4:$4,'Yearly DCF'!P$3,'Monthly DCF'!$3:$3,"&lt;=" &amp;Summary!$F$20)</f>
        <v>0</v>
      </c>
      <c r="Q18" s="599">
        <f>SUMIFS('Monthly DCF'!18:18,'Monthly DCF'!$4:$4,'Yearly DCF'!Q$3,'Monthly DCF'!$3:$3,"&lt;=" &amp;Summary!$F$20)</f>
        <v>0</v>
      </c>
      <c r="R18" s="1117">
        <f>SUMIFS('Monthly DCF'!18:18,'Monthly DCF'!$4:$4,'Yearly DCF'!R$3,'Monthly DCF'!$3:$3,"&lt;=" &amp;Summary!$F$20)</f>
        <v>0</v>
      </c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491"/>
      <c r="AN18" s="198"/>
      <c r="AO18" s="198"/>
      <c r="AP18" s="198"/>
      <c r="AQ18" s="198"/>
      <c r="AR18" s="198"/>
      <c r="AS18" s="198"/>
      <c r="AT18" s="198"/>
      <c r="AU18" s="198"/>
      <c r="AV18" s="198"/>
      <c r="AW18" s="492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</row>
    <row r="19" spans="2:69" ht="15" hidden="1" customHeight="1" x14ac:dyDescent="0.25">
      <c r="B19" s="1015" t="str">
        <f>'Monthly DCF'!B19</f>
        <v>Type (#BD/#BA)</v>
      </c>
      <c r="C19" s="1016">
        <f>'Monthly DCF'!C19</f>
        <v>0</v>
      </c>
      <c r="D19" s="1017">
        <f>'Monthly DCF'!D19</f>
        <v>0</v>
      </c>
      <c r="E19" s="1018">
        <f>'Monthly DCF'!E19</f>
        <v>0</v>
      </c>
      <c r="F19" s="996">
        <f>'Monthly DCF'!F19</f>
        <v>0</v>
      </c>
      <c r="G19" s="1072">
        <f>'Monthly DCF'!G19</f>
        <v>0</v>
      </c>
      <c r="H19" s="1115">
        <f>SUMIFS('Monthly DCF'!19:19,'Monthly DCF'!$4:$4,'Yearly DCF'!H$3,'Monthly DCF'!$3:$3,"&lt;=" &amp;Summary!$F$20)</f>
        <v>0</v>
      </c>
      <c r="I19" s="599">
        <f>SUMIFS('Monthly DCF'!19:19,'Monthly DCF'!$4:$4,'Yearly DCF'!I$3,'Monthly DCF'!$3:$3,"&lt;=" &amp;Summary!$F$20)</f>
        <v>0</v>
      </c>
      <c r="J19" s="599">
        <f>SUMIFS('Monthly DCF'!19:19,'Monthly DCF'!$4:$4,'Yearly DCF'!J$3,'Monthly DCF'!$3:$3,"&lt;=" &amp;Summary!$F$20)</f>
        <v>0</v>
      </c>
      <c r="K19" s="599">
        <f>SUMIFS('Monthly DCF'!19:19,'Monthly DCF'!$4:$4,'Yearly DCF'!K$3,'Monthly DCF'!$3:$3,"&lt;=" &amp;Summary!$F$20)</f>
        <v>0</v>
      </c>
      <c r="L19" s="599">
        <f>SUMIFS('Monthly DCF'!19:19,'Monthly DCF'!$4:$4,'Yearly DCF'!L$3,'Monthly DCF'!$3:$3,"&lt;=" &amp;Summary!$F$20)</f>
        <v>0</v>
      </c>
      <c r="M19" s="1117">
        <f>SUMIFS('Monthly DCF'!19:19,'Monthly DCF'!$4:$4,'Yearly DCF'!M$3,'Monthly DCF'!$3:$3,"&lt;=" &amp;Summary!$F$20)</f>
        <v>0</v>
      </c>
      <c r="N19" s="599">
        <f>SUMIFS('Monthly DCF'!19:19,'Monthly DCF'!$4:$4,'Yearly DCF'!N$3,'Monthly DCF'!$3:$3,"&lt;=" &amp;Summary!$F$20)</f>
        <v>0</v>
      </c>
      <c r="O19" s="599">
        <f>SUMIFS('Monthly DCF'!19:19,'Monthly DCF'!$4:$4,'Yearly DCF'!O$3,'Monthly DCF'!$3:$3,"&lt;=" &amp;Summary!$F$20)</f>
        <v>0</v>
      </c>
      <c r="P19" s="599">
        <f>SUMIFS('Monthly DCF'!19:19,'Monthly DCF'!$4:$4,'Yearly DCF'!P$3,'Monthly DCF'!$3:$3,"&lt;=" &amp;Summary!$F$20)</f>
        <v>0</v>
      </c>
      <c r="Q19" s="599">
        <f>SUMIFS('Monthly DCF'!19:19,'Monthly DCF'!$4:$4,'Yearly DCF'!Q$3,'Monthly DCF'!$3:$3,"&lt;=" &amp;Summary!$F$20)</f>
        <v>0</v>
      </c>
      <c r="R19" s="1117">
        <f>SUMIFS('Monthly DCF'!19:19,'Monthly DCF'!$4:$4,'Yearly DCF'!R$3,'Monthly DCF'!$3:$3,"&lt;=" &amp;Summary!$F$20)</f>
        <v>0</v>
      </c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491"/>
      <c r="AN19" s="198"/>
      <c r="AO19" s="198"/>
      <c r="AP19" s="198"/>
      <c r="AQ19" s="198"/>
      <c r="AR19" s="198"/>
      <c r="AS19" s="198"/>
      <c r="AT19" s="198"/>
      <c r="AU19" s="198"/>
      <c r="AV19" s="198"/>
      <c r="AW19" s="492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</row>
    <row r="20" spans="2:69" ht="15" hidden="1" customHeight="1" x14ac:dyDescent="0.25">
      <c r="B20" s="1015" t="str">
        <f>'Monthly DCF'!B20</f>
        <v>Type (#BD/#BA)</v>
      </c>
      <c r="C20" s="1016">
        <f>'Monthly DCF'!C20</f>
        <v>0</v>
      </c>
      <c r="D20" s="1017">
        <f>'Monthly DCF'!D20</f>
        <v>0</v>
      </c>
      <c r="E20" s="1018">
        <f>'Monthly DCF'!E20</f>
        <v>0</v>
      </c>
      <c r="F20" s="996">
        <f>'Monthly DCF'!F20</f>
        <v>0</v>
      </c>
      <c r="G20" s="1072">
        <f>'Monthly DCF'!G20</f>
        <v>0</v>
      </c>
      <c r="H20" s="1115">
        <f>SUMIFS('Monthly DCF'!20:20,'Monthly DCF'!$4:$4,'Yearly DCF'!H$3,'Monthly DCF'!$3:$3,"&lt;=" &amp;Summary!$F$20)</f>
        <v>0</v>
      </c>
      <c r="I20" s="599">
        <f>SUMIFS('Monthly DCF'!20:20,'Monthly DCF'!$4:$4,'Yearly DCF'!I$3,'Monthly DCF'!$3:$3,"&lt;=" &amp;Summary!$F$20)</f>
        <v>0</v>
      </c>
      <c r="J20" s="599">
        <f>SUMIFS('Monthly DCF'!20:20,'Monthly DCF'!$4:$4,'Yearly DCF'!J$3,'Monthly DCF'!$3:$3,"&lt;=" &amp;Summary!$F$20)</f>
        <v>0</v>
      </c>
      <c r="K20" s="599">
        <f>SUMIFS('Monthly DCF'!20:20,'Monthly DCF'!$4:$4,'Yearly DCF'!K$3,'Monthly DCF'!$3:$3,"&lt;=" &amp;Summary!$F$20)</f>
        <v>0</v>
      </c>
      <c r="L20" s="599">
        <f>SUMIFS('Monthly DCF'!20:20,'Monthly DCF'!$4:$4,'Yearly DCF'!L$3,'Monthly DCF'!$3:$3,"&lt;=" &amp;Summary!$F$20)</f>
        <v>0</v>
      </c>
      <c r="M20" s="1117">
        <f>SUMIFS('Monthly DCF'!20:20,'Monthly DCF'!$4:$4,'Yearly DCF'!M$3,'Monthly DCF'!$3:$3,"&lt;=" &amp;Summary!$F$20)</f>
        <v>0</v>
      </c>
      <c r="N20" s="599">
        <f>SUMIFS('Monthly DCF'!20:20,'Monthly DCF'!$4:$4,'Yearly DCF'!N$3,'Monthly DCF'!$3:$3,"&lt;=" &amp;Summary!$F$20)</f>
        <v>0</v>
      </c>
      <c r="O20" s="599">
        <f>SUMIFS('Monthly DCF'!20:20,'Monthly DCF'!$4:$4,'Yearly DCF'!O$3,'Monthly DCF'!$3:$3,"&lt;=" &amp;Summary!$F$20)</f>
        <v>0</v>
      </c>
      <c r="P20" s="599">
        <f>SUMIFS('Monthly DCF'!20:20,'Monthly DCF'!$4:$4,'Yearly DCF'!P$3,'Monthly DCF'!$3:$3,"&lt;=" &amp;Summary!$F$20)</f>
        <v>0</v>
      </c>
      <c r="Q20" s="599">
        <f>SUMIFS('Monthly DCF'!20:20,'Monthly DCF'!$4:$4,'Yearly DCF'!Q$3,'Monthly DCF'!$3:$3,"&lt;=" &amp;Summary!$F$20)</f>
        <v>0</v>
      </c>
      <c r="R20" s="1117">
        <f>SUMIFS('Monthly DCF'!20:20,'Monthly DCF'!$4:$4,'Yearly DCF'!R$3,'Monthly DCF'!$3:$3,"&lt;=" &amp;Summary!$F$20)</f>
        <v>0</v>
      </c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491"/>
      <c r="AN20" s="198"/>
      <c r="AO20" s="198"/>
      <c r="AP20" s="198"/>
      <c r="AQ20" s="198"/>
      <c r="AR20" s="198"/>
      <c r="AS20" s="198"/>
      <c r="AT20" s="198"/>
      <c r="AU20" s="198"/>
      <c r="AV20" s="198"/>
      <c r="AW20" s="492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</row>
    <row r="21" spans="2:69" ht="15.75" hidden="1" customHeight="1" x14ac:dyDescent="0.25">
      <c r="B21" s="1015" t="str">
        <f>'Monthly DCF'!B21</f>
        <v>Type (#BD/#BA)</v>
      </c>
      <c r="C21" s="1016">
        <f>'Monthly DCF'!C21</f>
        <v>0</v>
      </c>
      <c r="D21" s="1017">
        <f>'Monthly DCF'!D21</f>
        <v>0</v>
      </c>
      <c r="E21" s="1018">
        <f>'Monthly DCF'!E21</f>
        <v>0</v>
      </c>
      <c r="F21" s="996">
        <f>'Monthly DCF'!F21</f>
        <v>0</v>
      </c>
      <c r="G21" s="1072">
        <f>'Monthly DCF'!G21</f>
        <v>0</v>
      </c>
      <c r="H21" s="1115">
        <f>SUMIFS('Monthly DCF'!21:21,'Monthly DCF'!$4:$4,'Yearly DCF'!H$3,'Monthly DCF'!$3:$3,"&lt;=" &amp;Summary!$F$20)</f>
        <v>0</v>
      </c>
      <c r="I21" s="599">
        <f>SUMIFS('Monthly DCF'!21:21,'Monthly DCF'!$4:$4,'Yearly DCF'!I$3,'Monthly DCF'!$3:$3,"&lt;=" &amp;Summary!$F$20)</f>
        <v>0</v>
      </c>
      <c r="J21" s="599">
        <f>SUMIFS('Monthly DCF'!21:21,'Monthly DCF'!$4:$4,'Yearly DCF'!J$3,'Monthly DCF'!$3:$3,"&lt;=" &amp;Summary!$F$20)</f>
        <v>0</v>
      </c>
      <c r="K21" s="599">
        <f>SUMIFS('Monthly DCF'!21:21,'Monthly DCF'!$4:$4,'Yearly DCF'!K$3,'Monthly DCF'!$3:$3,"&lt;=" &amp;Summary!$F$20)</f>
        <v>0</v>
      </c>
      <c r="L21" s="599">
        <f>SUMIFS('Monthly DCF'!21:21,'Monthly DCF'!$4:$4,'Yearly DCF'!L$3,'Monthly DCF'!$3:$3,"&lt;=" &amp;Summary!$F$20)</f>
        <v>0</v>
      </c>
      <c r="M21" s="1117">
        <f>SUMIFS('Monthly DCF'!21:21,'Monthly DCF'!$4:$4,'Yearly DCF'!M$3,'Monthly DCF'!$3:$3,"&lt;=" &amp;Summary!$F$20)</f>
        <v>0</v>
      </c>
      <c r="N21" s="599">
        <f>SUMIFS('Monthly DCF'!21:21,'Monthly DCF'!$4:$4,'Yearly DCF'!N$3,'Monthly DCF'!$3:$3,"&lt;=" &amp;Summary!$F$20)</f>
        <v>0</v>
      </c>
      <c r="O21" s="599">
        <f>SUMIFS('Monthly DCF'!21:21,'Monthly DCF'!$4:$4,'Yearly DCF'!O$3,'Monthly DCF'!$3:$3,"&lt;=" &amp;Summary!$F$20)</f>
        <v>0</v>
      </c>
      <c r="P21" s="599">
        <f>SUMIFS('Monthly DCF'!21:21,'Monthly DCF'!$4:$4,'Yearly DCF'!P$3,'Monthly DCF'!$3:$3,"&lt;=" &amp;Summary!$F$20)</f>
        <v>0</v>
      </c>
      <c r="Q21" s="599">
        <f>SUMIFS('Monthly DCF'!21:21,'Monthly DCF'!$4:$4,'Yearly DCF'!Q$3,'Monthly DCF'!$3:$3,"&lt;=" &amp;Summary!$F$20)</f>
        <v>0</v>
      </c>
      <c r="R21" s="1117">
        <f>SUMIFS('Monthly DCF'!21:21,'Monthly DCF'!$4:$4,'Yearly DCF'!R$3,'Monthly DCF'!$3:$3,"&lt;=" &amp;Summary!$F$20)</f>
        <v>0</v>
      </c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491"/>
      <c r="AN21" s="198"/>
      <c r="AO21" s="198"/>
      <c r="AP21" s="198"/>
      <c r="AQ21" s="198"/>
      <c r="AR21" s="198"/>
      <c r="AS21" s="198"/>
      <c r="AT21" s="198"/>
      <c r="AU21" s="198"/>
      <c r="AV21" s="198"/>
      <c r="AW21" s="492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</row>
    <row r="22" spans="2:69" ht="15.75" hidden="1" customHeight="1" x14ac:dyDescent="0.25">
      <c r="B22" s="1015" t="str">
        <f>'Monthly DCF'!B22</f>
        <v>Type (#BD/#BA)</v>
      </c>
      <c r="C22" s="1016">
        <f>'Monthly DCF'!C22</f>
        <v>0</v>
      </c>
      <c r="D22" s="1017">
        <f>'Monthly DCF'!D22</f>
        <v>0</v>
      </c>
      <c r="E22" s="1018">
        <f>'Monthly DCF'!E22</f>
        <v>0</v>
      </c>
      <c r="F22" s="996">
        <f>'Monthly DCF'!F22</f>
        <v>0</v>
      </c>
      <c r="G22" s="1072">
        <f>'Monthly DCF'!G22</f>
        <v>0</v>
      </c>
      <c r="H22" s="1115">
        <f>SUMIFS('Monthly DCF'!22:22,'Monthly DCF'!$4:$4,'Yearly DCF'!H$3,'Monthly DCF'!$3:$3,"&lt;=" &amp;Summary!$F$20)</f>
        <v>0</v>
      </c>
      <c r="I22" s="599">
        <f>SUMIFS('Monthly DCF'!22:22,'Monthly DCF'!$4:$4,'Yearly DCF'!I$3,'Monthly DCF'!$3:$3,"&lt;=" &amp;Summary!$F$20)</f>
        <v>0</v>
      </c>
      <c r="J22" s="599">
        <f>SUMIFS('Monthly DCF'!22:22,'Monthly DCF'!$4:$4,'Yearly DCF'!J$3,'Monthly DCF'!$3:$3,"&lt;=" &amp;Summary!$F$20)</f>
        <v>0</v>
      </c>
      <c r="K22" s="599">
        <f>SUMIFS('Monthly DCF'!22:22,'Monthly DCF'!$4:$4,'Yearly DCF'!K$3,'Monthly DCF'!$3:$3,"&lt;=" &amp;Summary!$F$20)</f>
        <v>0</v>
      </c>
      <c r="L22" s="599">
        <f>SUMIFS('Monthly DCF'!22:22,'Monthly DCF'!$4:$4,'Yearly DCF'!L$3,'Monthly DCF'!$3:$3,"&lt;=" &amp;Summary!$F$20)</f>
        <v>0</v>
      </c>
      <c r="M22" s="1117">
        <f>SUMIFS('Monthly DCF'!22:22,'Monthly DCF'!$4:$4,'Yearly DCF'!M$3,'Monthly DCF'!$3:$3,"&lt;=" &amp;Summary!$F$20)</f>
        <v>0</v>
      </c>
      <c r="N22" s="599">
        <f>SUMIFS('Monthly DCF'!22:22,'Monthly DCF'!$4:$4,'Yearly DCF'!N$3,'Monthly DCF'!$3:$3,"&lt;=" &amp;Summary!$F$20)</f>
        <v>0</v>
      </c>
      <c r="O22" s="599">
        <f>SUMIFS('Monthly DCF'!22:22,'Monthly DCF'!$4:$4,'Yearly DCF'!O$3,'Monthly DCF'!$3:$3,"&lt;=" &amp;Summary!$F$20)</f>
        <v>0</v>
      </c>
      <c r="P22" s="599">
        <f>SUMIFS('Monthly DCF'!22:22,'Monthly DCF'!$4:$4,'Yearly DCF'!P$3,'Monthly DCF'!$3:$3,"&lt;=" &amp;Summary!$F$20)</f>
        <v>0</v>
      </c>
      <c r="Q22" s="599">
        <f>SUMIFS('Monthly DCF'!22:22,'Monthly DCF'!$4:$4,'Yearly DCF'!Q$3,'Monthly DCF'!$3:$3,"&lt;=" &amp;Summary!$F$20)</f>
        <v>0</v>
      </c>
      <c r="R22" s="1117">
        <f>SUMIFS('Monthly DCF'!22:22,'Monthly DCF'!$4:$4,'Yearly DCF'!R$3,'Monthly DCF'!$3:$3,"&lt;=" &amp;Summary!$F$20)</f>
        <v>0</v>
      </c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491"/>
      <c r="AN22" s="198"/>
      <c r="AO22" s="198"/>
      <c r="AP22" s="198"/>
      <c r="AQ22" s="198"/>
      <c r="AR22" s="198"/>
      <c r="AS22" s="198"/>
      <c r="AT22" s="198"/>
      <c r="AU22" s="198"/>
      <c r="AV22" s="198"/>
      <c r="AW22" s="492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</row>
    <row r="23" spans="2:69" ht="15.75" hidden="1" customHeight="1" x14ac:dyDescent="0.25">
      <c r="B23" s="1015" t="str">
        <f>'Monthly DCF'!B23</f>
        <v>Type (#BD/#BA)</v>
      </c>
      <c r="C23" s="1016">
        <f>'Monthly DCF'!C23</f>
        <v>0</v>
      </c>
      <c r="D23" s="1017">
        <f>'Monthly DCF'!D23</f>
        <v>0</v>
      </c>
      <c r="E23" s="1018">
        <f>'Monthly DCF'!E23</f>
        <v>0</v>
      </c>
      <c r="F23" s="996">
        <f>'Monthly DCF'!F23</f>
        <v>0</v>
      </c>
      <c r="G23" s="1072">
        <f>'Monthly DCF'!G23</f>
        <v>0</v>
      </c>
      <c r="H23" s="1115">
        <f>SUMIFS('Monthly DCF'!23:23,'Monthly DCF'!$4:$4,'Yearly DCF'!H$3,'Monthly DCF'!$3:$3,"&lt;=" &amp;Summary!$F$20)</f>
        <v>0</v>
      </c>
      <c r="I23" s="599">
        <f>SUMIFS('Monthly DCF'!23:23,'Monthly DCF'!$4:$4,'Yearly DCF'!I$3,'Monthly DCF'!$3:$3,"&lt;=" &amp;Summary!$F$20)</f>
        <v>0</v>
      </c>
      <c r="J23" s="599">
        <f>SUMIFS('Monthly DCF'!23:23,'Monthly DCF'!$4:$4,'Yearly DCF'!J$3,'Monthly DCF'!$3:$3,"&lt;=" &amp;Summary!$F$20)</f>
        <v>0</v>
      </c>
      <c r="K23" s="599">
        <f>SUMIFS('Monthly DCF'!23:23,'Monthly DCF'!$4:$4,'Yearly DCF'!K$3,'Monthly DCF'!$3:$3,"&lt;=" &amp;Summary!$F$20)</f>
        <v>0</v>
      </c>
      <c r="L23" s="599">
        <f>SUMIFS('Monthly DCF'!23:23,'Monthly DCF'!$4:$4,'Yearly DCF'!L$3,'Monthly DCF'!$3:$3,"&lt;=" &amp;Summary!$F$20)</f>
        <v>0</v>
      </c>
      <c r="M23" s="1117">
        <f>SUMIFS('Monthly DCF'!23:23,'Monthly DCF'!$4:$4,'Yearly DCF'!M$3,'Monthly DCF'!$3:$3,"&lt;=" &amp;Summary!$F$20)</f>
        <v>0</v>
      </c>
      <c r="N23" s="599">
        <f>SUMIFS('Monthly DCF'!23:23,'Monthly DCF'!$4:$4,'Yearly DCF'!N$3,'Monthly DCF'!$3:$3,"&lt;=" &amp;Summary!$F$20)</f>
        <v>0</v>
      </c>
      <c r="O23" s="599">
        <f>SUMIFS('Monthly DCF'!23:23,'Monthly DCF'!$4:$4,'Yearly DCF'!O$3,'Monthly DCF'!$3:$3,"&lt;=" &amp;Summary!$F$20)</f>
        <v>0</v>
      </c>
      <c r="P23" s="599">
        <f>SUMIFS('Monthly DCF'!23:23,'Monthly DCF'!$4:$4,'Yearly DCF'!P$3,'Monthly DCF'!$3:$3,"&lt;=" &amp;Summary!$F$20)</f>
        <v>0</v>
      </c>
      <c r="Q23" s="599">
        <f>SUMIFS('Monthly DCF'!23:23,'Monthly DCF'!$4:$4,'Yearly DCF'!Q$3,'Monthly DCF'!$3:$3,"&lt;=" &amp;Summary!$F$20)</f>
        <v>0</v>
      </c>
      <c r="R23" s="1117">
        <f>SUMIFS('Monthly DCF'!23:23,'Monthly DCF'!$4:$4,'Yearly DCF'!R$3,'Monthly DCF'!$3:$3,"&lt;=" &amp;Summary!$F$20)</f>
        <v>0</v>
      </c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491"/>
      <c r="AN23" s="198"/>
      <c r="AO23" s="198"/>
      <c r="AP23" s="198"/>
      <c r="AQ23" s="198"/>
      <c r="AR23" s="198"/>
      <c r="AS23" s="198"/>
      <c r="AT23" s="198"/>
      <c r="AU23" s="198"/>
      <c r="AV23" s="198"/>
      <c r="AW23" s="492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</row>
    <row r="24" spans="2:69" ht="15.75" hidden="1" customHeight="1" x14ac:dyDescent="0.25">
      <c r="B24" s="1015" t="str">
        <f>'Monthly DCF'!B24</f>
        <v>Type (#BD/#BA)</v>
      </c>
      <c r="C24" s="1016">
        <f>'Monthly DCF'!C24</f>
        <v>0</v>
      </c>
      <c r="D24" s="1017">
        <f>'Monthly DCF'!D24</f>
        <v>0</v>
      </c>
      <c r="E24" s="1018">
        <f>'Monthly DCF'!E24</f>
        <v>0</v>
      </c>
      <c r="F24" s="996">
        <f>'Monthly DCF'!F24</f>
        <v>0</v>
      </c>
      <c r="G24" s="1072">
        <f>'Monthly DCF'!G24</f>
        <v>0</v>
      </c>
      <c r="H24" s="1115">
        <f>SUMIFS('Monthly DCF'!24:24,'Monthly DCF'!$4:$4,'Yearly DCF'!H$3,'Monthly DCF'!$3:$3,"&lt;=" &amp;Summary!$F$20)</f>
        <v>0</v>
      </c>
      <c r="I24" s="599">
        <f>SUMIFS('Monthly DCF'!24:24,'Monthly DCF'!$4:$4,'Yearly DCF'!I$3,'Monthly DCF'!$3:$3,"&lt;=" &amp;Summary!$F$20)</f>
        <v>0</v>
      </c>
      <c r="J24" s="599">
        <f>SUMIFS('Monthly DCF'!24:24,'Monthly DCF'!$4:$4,'Yearly DCF'!J$3,'Monthly DCF'!$3:$3,"&lt;=" &amp;Summary!$F$20)</f>
        <v>0</v>
      </c>
      <c r="K24" s="599">
        <f>SUMIFS('Monthly DCF'!24:24,'Monthly DCF'!$4:$4,'Yearly DCF'!K$3,'Monthly DCF'!$3:$3,"&lt;=" &amp;Summary!$F$20)</f>
        <v>0</v>
      </c>
      <c r="L24" s="599">
        <f>SUMIFS('Monthly DCF'!24:24,'Monthly DCF'!$4:$4,'Yearly DCF'!L$3,'Monthly DCF'!$3:$3,"&lt;=" &amp;Summary!$F$20)</f>
        <v>0</v>
      </c>
      <c r="M24" s="1117">
        <f>SUMIFS('Monthly DCF'!24:24,'Monthly DCF'!$4:$4,'Yearly DCF'!M$3,'Monthly DCF'!$3:$3,"&lt;=" &amp;Summary!$F$20)</f>
        <v>0</v>
      </c>
      <c r="N24" s="599">
        <f>SUMIFS('Monthly DCF'!24:24,'Monthly DCF'!$4:$4,'Yearly DCF'!N$3,'Monthly DCF'!$3:$3,"&lt;=" &amp;Summary!$F$20)</f>
        <v>0</v>
      </c>
      <c r="O24" s="599">
        <f>SUMIFS('Monthly DCF'!24:24,'Monthly DCF'!$4:$4,'Yearly DCF'!O$3,'Monthly DCF'!$3:$3,"&lt;=" &amp;Summary!$F$20)</f>
        <v>0</v>
      </c>
      <c r="P24" s="599">
        <f>SUMIFS('Monthly DCF'!24:24,'Monthly DCF'!$4:$4,'Yearly DCF'!P$3,'Monthly DCF'!$3:$3,"&lt;=" &amp;Summary!$F$20)</f>
        <v>0</v>
      </c>
      <c r="Q24" s="599">
        <f>SUMIFS('Monthly DCF'!24:24,'Monthly DCF'!$4:$4,'Yearly DCF'!Q$3,'Monthly DCF'!$3:$3,"&lt;=" &amp;Summary!$F$20)</f>
        <v>0</v>
      </c>
      <c r="R24" s="1117">
        <f>SUMIFS('Monthly DCF'!24:24,'Monthly DCF'!$4:$4,'Yearly DCF'!R$3,'Monthly DCF'!$3:$3,"&lt;=" &amp;Summary!$F$20)</f>
        <v>0</v>
      </c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491"/>
      <c r="AN24" s="198"/>
      <c r="AO24" s="198"/>
      <c r="AP24" s="198"/>
      <c r="AQ24" s="198"/>
      <c r="AR24" s="198"/>
      <c r="AS24" s="198"/>
      <c r="AT24" s="198"/>
      <c r="AU24" s="198"/>
      <c r="AV24" s="198"/>
      <c r="AW24" s="492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</row>
    <row r="25" spans="2:69" ht="15.75" hidden="1" customHeight="1" x14ac:dyDescent="0.25">
      <c r="B25" s="1015" t="str">
        <f>'Monthly DCF'!B25</f>
        <v>Type (#BD/#BA)</v>
      </c>
      <c r="C25" s="1016">
        <f>'Monthly DCF'!C25</f>
        <v>0</v>
      </c>
      <c r="D25" s="1017">
        <f>'Monthly DCF'!D25</f>
        <v>0</v>
      </c>
      <c r="E25" s="1018">
        <f>'Monthly DCF'!E25</f>
        <v>0</v>
      </c>
      <c r="F25" s="996">
        <f>'Monthly DCF'!F25</f>
        <v>0</v>
      </c>
      <c r="G25" s="1072">
        <f>'Monthly DCF'!G25</f>
        <v>0</v>
      </c>
      <c r="H25" s="1115">
        <f>SUMIFS('Monthly DCF'!25:25,'Monthly DCF'!$4:$4,'Yearly DCF'!H$3,'Monthly DCF'!$3:$3,"&lt;=" &amp;Summary!$F$20)</f>
        <v>0</v>
      </c>
      <c r="I25" s="599">
        <f>SUMIFS('Monthly DCF'!25:25,'Monthly DCF'!$4:$4,'Yearly DCF'!I$3,'Monthly DCF'!$3:$3,"&lt;=" &amp;Summary!$F$20)</f>
        <v>0</v>
      </c>
      <c r="J25" s="599">
        <f>SUMIFS('Monthly DCF'!25:25,'Monthly DCF'!$4:$4,'Yearly DCF'!J$3,'Monthly DCF'!$3:$3,"&lt;=" &amp;Summary!$F$20)</f>
        <v>0</v>
      </c>
      <c r="K25" s="599">
        <f>SUMIFS('Monthly DCF'!25:25,'Monthly DCF'!$4:$4,'Yearly DCF'!K$3,'Monthly DCF'!$3:$3,"&lt;=" &amp;Summary!$F$20)</f>
        <v>0</v>
      </c>
      <c r="L25" s="599">
        <f>SUMIFS('Monthly DCF'!25:25,'Monthly DCF'!$4:$4,'Yearly DCF'!L$3,'Monthly DCF'!$3:$3,"&lt;=" &amp;Summary!$F$20)</f>
        <v>0</v>
      </c>
      <c r="M25" s="1117">
        <f>SUMIFS('Monthly DCF'!25:25,'Monthly DCF'!$4:$4,'Yearly DCF'!M$3,'Monthly DCF'!$3:$3,"&lt;=" &amp;Summary!$F$20)</f>
        <v>0</v>
      </c>
      <c r="N25" s="599">
        <f>SUMIFS('Monthly DCF'!25:25,'Monthly DCF'!$4:$4,'Yearly DCF'!N$3,'Monthly DCF'!$3:$3,"&lt;=" &amp;Summary!$F$20)</f>
        <v>0</v>
      </c>
      <c r="O25" s="599">
        <f>SUMIFS('Monthly DCF'!25:25,'Monthly DCF'!$4:$4,'Yearly DCF'!O$3,'Monthly DCF'!$3:$3,"&lt;=" &amp;Summary!$F$20)</f>
        <v>0</v>
      </c>
      <c r="P25" s="599">
        <f>SUMIFS('Monthly DCF'!25:25,'Monthly DCF'!$4:$4,'Yearly DCF'!P$3,'Monthly DCF'!$3:$3,"&lt;=" &amp;Summary!$F$20)</f>
        <v>0</v>
      </c>
      <c r="Q25" s="599">
        <f>SUMIFS('Monthly DCF'!25:25,'Monthly DCF'!$4:$4,'Yearly DCF'!Q$3,'Monthly DCF'!$3:$3,"&lt;=" &amp;Summary!$F$20)</f>
        <v>0</v>
      </c>
      <c r="R25" s="1117">
        <f>SUMIFS('Monthly DCF'!25:25,'Monthly DCF'!$4:$4,'Yearly DCF'!R$3,'Monthly DCF'!$3:$3,"&lt;=" &amp;Summary!$F$20)</f>
        <v>0</v>
      </c>
      <c r="X25" s="362"/>
      <c r="Y25" s="362"/>
      <c r="Z25" s="362"/>
      <c r="AA25" s="362"/>
      <c r="AB25" s="362"/>
      <c r="AC25" s="362"/>
      <c r="AD25" s="362"/>
      <c r="AE25" s="362"/>
      <c r="AF25" s="362"/>
      <c r="AG25" s="362"/>
      <c r="AH25" s="362"/>
      <c r="AI25" s="362"/>
      <c r="AJ25" s="362"/>
      <c r="AK25" s="362"/>
      <c r="AL25" s="362"/>
      <c r="AM25" s="493"/>
      <c r="AN25" s="362"/>
      <c r="AO25" s="362"/>
      <c r="AP25" s="362"/>
      <c r="AQ25" s="362"/>
      <c r="AR25" s="362"/>
      <c r="AS25" s="362"/>
      <c r="AT25" s="362"/>
      <c r="AU25" s="362"/>
      <c r="AV25" s="362"/>
      <c r="AW25" s="494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362"/>
      <c r="BK25" s="362"/>
      <c r="BL25" s="362"/>
      <c r="BM25" s="362"/>
      <c r="BN25" s="362"/>
      <c r="BO25" s="362"/>
      <c r="BP25" s="362"/>
      <c r="BQ25" s="362"/>
    </row>
    <row r="26" spans="2:69" ht="15.75" hidden="1" customHeight="1" x14ac:dyDescent="0.25">
      <c r="B26" s="1015" t="str">
        <f>'Monthly DCF'!B26</f>
        <v>Type (#BD/#BA)</v>
      </c>
      <c r="C26" s="1016">
        <f>'Monthly DCF'!C26</f>
        <v>0</v>
      </c>
      <c r="D26" s="1017">
        <f>'Monthly DCF'!D26</f>
        <v>0</v>
      </c>
      <c r="E26" s="1018">
        <f>'Monthly DCF'!E26</f>
        <v>0</v>
      </c>
      <c r="F26" s="996">
        <f>'Monthly DCF'!F26</f>
        <v>0</v>
      </c>
      <c r="G26" s="1072">
        <f>'Monthly DCF'!G26</f>
        <v>0</v>
      </c>
      <c r="H26" s="1115">
        <f>SUMIFS('Monthly DCF'!26:26,'Monthly DCF'!$4:$4,'Yearly DCF'!H$3,'Monthly DCF'!$3:$3,"&lt;=" &amp;Summary!$F$20)</f>
        <v>0</v>
      </c>
      <c r="I26" s="599">
        <f>SUMIFS('Monthly DCF'!26:26,'Monthly DCF'!$4:$4,'Yearly DCF'!I$3,'Monthly DCF'!$3:$3,"&lt;=" &amp;Summary!$F$20)</f>
        <v>0</v>
      </c>
      <c r="J26" s="599">
        <f>SUMIFS('Monthly DCF'!26:26,'Monthly DCF'!$4:$4,'Yearly DCF'!J$3,'Monthly DCF'!$3:$3,"&lt;=" &amp;Summary!$F$20)</f>
        <v>0</v>
      </c>
      <c r="K26" s="599">
        <f>SUMIFS('Monthly DCF'!26:26,'Monthly DCF'!$4:$4,'Yearly DCF'!K$3,'Monthly DCF'!$3:$3,"&lt;=" &amp;Summary!$F$20)</f>
        <v>0</v>
      </c>
      <c r="L26" s="599">
        <f>SUMIFS('Monthly DCF'!26:26,'Monthly DCF'!$4:$4,'Yearly DCF'!L$3,'Monthly DCF'!$3:$3,"&lt;=" &amp;Summary!$F$20)</f>
        <v>0</v>
      </c>
      <c r="M26" s="1117">
        <f>SUMIFS('Monthly DCF'!26:26,'Monthly DCF'!$4:$4,'Yearly DCF'!M$3,'Monthly DCF'!$3:$3,"&lt;=" &amp;Summary!$F$20)</f>
        <v>0</v>
      </c>
      <c r="N26" s="599">
        <f>SUMIFS('Monthly DCF'!26:26,'Monthly DCF'!$4:$4,'Yearly DCF'!N$3,'Monthly DCF'!$3:$3,"&lt;=" &amp;Summary!$F$20)</f>
        <v>0</v>
      </c>
      <c r="O26" s="599">
        <f>SUMIFS('Monthly DCF'!26:26,'Monthly DCF'!$4:$4,'Yearly DCF'!O$3,'Monthly DCF'!$3:$3,"&lt;=" &amp;Summary!$F$20)</f>
        <v>0</v>
      </c>
      <c r="P26" s="599">
        <f>SUMIFS('Monthly DCF'!26:26,'Monthly DCF'!$4:$4,'Yearly DCF'!P$3,'Monthly DCF'!$3:$3,"&lt;=" &amp;Summary!$F$20)</f>
        <v>0</v>
      </c>
      <c r="Q26" s="599">
        <f>SUMIFS('Monthly DCF'!26:26,'Monthly DCF'!$4:$4,'Yearly DCF'!Q$3,'Monthly DCF'!$3:$3,"&lt;=" &amp;Summary!$F$20)</f>
        <v>0</v>
      </c>
      <c r="R26" s="1117">
        <f>SUMIFS('Monthly DCF'!26:26,'Monthly DCF'!$4:$4,'Yearly DCF'!R$3,'Monthly DCF'!$3:$3,"&lt;=" &amp;Summary!$F$20)</f>
        <v>0</v>
      </c>
      <c r="X26" s="362"/>
      <c r="Y26" s="362"/>
      <c r="Z26" s="362"/>
      <c r="AA26" s="362"/>
      <c r="AB26" s="362"/>
      <c r="AC26" s="362"/>
      <c r="AD26" s="362"/>
      <c r="AE26" s="362"/>
      <c r="AF26" s="362"/>
      <c r="AG26" s="362"/>
      <c r="AH26" s="362"/>
      <c r="AI26" s="362"/>
      <c r="AJ26" s="362"/>
      <c r="AK26" s="362"/>
      <c r="AL26" s="362"/>
      <c r="AM26" s="493"/>
      <c r="AN26" s="362"/>
      <c r="AO26" s="362"/>
      <c r="AP26" s="362"/>
      <c r="AQ26" s="362"/>
      <c r="AR26" s="362"/>
      <c r="AS26" s="362"/>
      <c r="AT26" s="362"/>
      <c r="AU26" s="362"/>
      <c r="AV26" s="362"/>
      <c r="AW26" s="494"/>
      <c r="AX26" s="362"/>
      <c r="AY26" s="362"/>
      <c r="AZ26" s="362"/>
      <c r="BA26" s="362"/>
      <c r="BB26" s="362"/>
      <c r="BC26" s="362"/>
      <c r="BD26" s="362"/>
      <c r="BE26" s="362"/>
      <c r="BF26" s="362"/>
      <c r="BG26" s="362"/>
      <c r="BH26" s="362"/>
      <c r="BI26" s="362"/>
      <c r="BJ26" s="362"/>
      <c r="BK26" s="362"/>
      <c r="BL26" s="362"/>
      <c r="BM26" s="362"/>
      <c r="BN26" s="362"/>
      <c r="BO26" s="362"/>
      <c r="BP26" s="362"/>
      <c r="BQ26" s="362"/>
    </row>
    <row r="27" spans="2:69" ht="15.75" hidden="1" customHeight="1" x14ac:dyDescent="0.25">
      <c r="B27" s="1015" t="str">
        <f>'Monthly DCF'!B27</f>
        <v>Type (#BD/#BA)</v>
      </c>
      <c r="C27" s="1016">
        <f>'Monthly DCF'!C27</f>
        <v>0</v>
      </c>
      <c r="D27" s="1017">
        <f>'Monthly DCF'!D27</f>
        <v>0</v>
      </c>
      <c r="E27" s="1018">
        <f>'Monthly DCF'!E27</f>
        <v>0</v>
      </c>
      <c r="F27" s="996">
        <f>'Monthly DCF'!F27</f>
        <v>0</v>
      </c>
      <c r="G27" s="1072">
        <f>'Monthly DCF'!G27</f>
        <v>0</v>
      </c>
      <c r="H27" s="1115">
        <f>SUMIFS('Monthly DCF'!27:27,'Monthly DCF'!$4:$4,'Yearly DCF'!H$3,'Monthly DCF'!$3:$3,"&lt;=" &amp;Summary!$F$20)</f>
        <v>0</v>
      </c>
      <c r="I27" s="599">
        <f>SUMIFS('Monthly DCF'!27:27,'Monthly DCF'!$4:$4,'Yearly DCF'!I$3,'Monthly DCF'!$3:$3,"&lt;=" &amp;Summary!$F$20)</f>
        <v>0</v>
      </c>
      <c r="J27" s="599">
        <f>SUMIFS('Monthly DCF'!27:27,'Monthly DCF'!$4:$4,'Yearly DCF'!J$3,'Monthly DCF'!$3:$3,"&lt;=" &amp;Summary!$F$20)</f>
        <v>0</v>
      </c>
      <c r="K27" s="599">
        <f>SUMIFS('Monthly DCF'!27:27,'Monthly DCF'!$4:$4,'Yearly DCF'!K$3,'Monthly DCF'!$3:$3,"&lt;=" &amp;Summary!$F$20)</f>
        <v>0</v>
      </c>
      <c r="L27" s="599">
        <f>SUMIFS('Monthly DCF'!27:27,'Monthly DCF'!$4:$4,'Yearly DCF'!L$3,'Monthly DCF'!$3:$3,"&lt;=" &amp;Summary!$F$20)</f>
        <v>0</v>
      </c>
      <c r="M27" s="1117">
        <f>SUMIFS('Monthly DCF'!27:27,'Monthly DCF'!$4:$4,'Yearly DCF'!M$3,'Monthly DCF'!$3:$3,"&lt;=" &amp;Summary!$F$20)</f>
        <v>0</v>
      </c>
      <c r="N27" s="599">
        <f>SUMIFS('Monthly DCF'!27:27,'Monthly DCF'!$4:$4,'Yearly DCF'!N$3,'Monthly DCF'!$3:$3,"&lt;=" &amp;Summary!$F$20)</f>
        <v>0</v>
      </c>
      <c r="O27" s="599">
        <f>SUMIFS('Monthly DCF'!27:27,'Monthly DCF'!$4:$4,'Yearly DCF'!O$3,'Monthly DCF'!$3:$3,"&lt;=" &amp;Summary!$F$20)</f>
        <v>0</v>
      </c>
      <c r="P27" s="599">
        <f>SUMIFS('Monthly DCF'!27:27,'Monthly DCF'!$4:$4,'Yearly DCF'!P$3,'Monthly DCF'!$3:$3,"&lt;=" &amp;Summary!$F$20)</f>
        <v>0</v>
      </c>
      <c r="Q27" s="599">
        <f>SUMIFS('Monthly DCF'!27:27,'Monthly DCF'!$4:$4,'Yearly DCF'!Q$3,'Monthly DCF'!$3:$3,"&lt;=" &amp;Summary!$F$20)</f>
        <v>0</v>
      </c>
      <c r="R27" s="1117">
        <f>SUMIFS('Monthly DCF'!27:27,'Monthly DCF'!$4:$4,'Yearly DCF'!R$3,'Monthly DCF'!$3:$3,"&lt;=" &amp;Summary!$F$20)</f>
        <v>0</v>
      </c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495"/>
      <c r="AN27" s="365"/>
      <c r="AO27" s="365"/>
      <c r="AP27" s="365"/>
      <c r="AQ27" s="365"/>
      <c r="AR27" s="365"/>
      <c r="AS27" s="365"/>
      <c r="AT27" s="365"/>
      <c r="AU27" s="365"/>
      <c r="AV27" s="365"/>
      <c r="AW27" s="496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</row>
    <row r="28" spans="2:69" ht="15.75" hidden="1" customHeight="1" x14ac:dyDescent="0.25">
      <c r="B28" s="1015" t="str">
        <f>'Monthly DCF'!B28</f>
        <v>Type (#BD/#BA)</v>
      </c>
      <c r="C28" s="1016">
        <f>'Monthly DCF'!C28</f>
        <v>0</v>
      </c>
      <c r="D28" s="1017">
        <f>'Monthly DCF'!D28</f>
        <v>0</v>
      </c>
      <c r="E28" s="1018">
        <f>'Monthly DCF'!E28</f>
        <v>0</v>
      </c>
      <c r="F28" s="996">
        <f>'Monthly DCF'!F28</f>
        <v>0</v>
      </c>
      <c r="G28" s="1072">
        <f>'Monthly DCF'!G28</f>
        <v>0</v>
      </c>
      <c r="H28" s="1115">
        <f>SUMIFS('Monthly DCF'!28:28,'Monthly DCF'!$4:$4,'Yearly DCF'!H$3,'Monthly DCF'!$3:$3,"&lt;=" &amp;Summary!$F$20)</f>
        <v>0</v>
      </c>
      <c r="I28" s="599">
        <f>SUMIFS('Monthly DCF'!28:28,'Monthly DCF'!$4:$4,'Yearly DCF'!I$3,'Monthly DCF'!$3:$3,"&lt;=" &amp;Summary!$F$20)</f>
        <v>0</v>
      </c>
      <c r="J28" s="599">
        <f>SUMIFS('Monthly DCF'!28:28,'Monthly DCF'!$4:$4,'Yearly DCF'!J$3,'Monthly DCF'!$3:$3,"&lt;=" &amp;Summary!$F$20)</f>
        <v>0</v>
      </c>
      <c r="K28" s="599">
        <f>SUMIFS('Monthly DCF'!28:28,'Monthly DCF'!$4:$4,'Yearly DCF'!K$3,'Monthly DCF'!$3:$3,"&lt;=" &amp;Summary!$F$20)</f>
        <v>0</v>
      </c>
      <c r="L28" s="599">
        <f>SUMIFS('Monthly DCF'!28:28,'Monthly DCF'!$4:$4,'Yearly DCF'!L$3,'Monthly DCF'!$3:$3,"&lt;=" &amp;Summary!$F$20)</f>
        <v>0</v>
      </c>
      <c r="M28" s="1117">
        <f>SUMIFS('Monthly DCF'!28:28,'Monthly DCF'!$4:$4,'Yearly DCF'!M$3,'Monthly DCF'!$3:$3,"&lt;=" &amp;Summary!$F$20)</f>
        <v>0</v>
      </c>
      <c r="N28" s="599">
        <f>SUMIFS('Monthly DCF'!28:28,'Monthly DCF'!$4:$4,'Yearly DCF'!N$3,'Monthly DCF'!$3:$3,"&lt;=" &amp;Summary!$F$20)</f>
        <v>0</v>
      </c>
      <c r="O28" s="599">
        <f>SUMIFS('Monthly DCF'!28:28,'Monthly DCF'!$4:$4,'Yearly DCF'!O$3,'Monthly DCF'!$3:$3,"&lt;=" &amp;Summary!$F$20)</f>
        <v>0</v>
      </c>
      <c r="P28" s="599">
        <f>SUMIFS('Monthly DCF'!28:28,'Monthly DCF'!$4:$4,'Yearly DCF'!P$3,'Monthly DCF'!$3:$3,"&lt;=" &amp;Summary!$F$20)</f>
        <v>0</v>
      </c>
      <c r="Q28" s="599">
        <f>SUMIFS('Monthly DCF'!28:28,'Monthly DCF'!$4:$4,'Yearly DCF'!Q$3,'Monthly DCF'!$3:$3,"&lt;=" &amp;Summary!$F$20)</f>
        <v>0</v>
      </c>
      <c r="R28" s="1117">
        <f>SUMIFS('Monthly DCF'!28:28,'Monthly DCF'!$4:$4,'Yearly DCF'!R$3,'Monthly DCF'!$3:$3,"&lt;=" &amp;Summary!$F$20)</f>
        <v>0</v>
      </c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491"/>
      <c r="AN28" s="198"/>
      <c r="AO28" s="198"/>
      <c r="AP28" s="198"/>
      <c r="AQ28" s="198"/>
      <c r="AR28" s="198"/>
      <c r="AS28" s="198"/>
      <c r="AT28" s="198"/>
      <c r="AU28" s="198"/>
      <c r="AV28" s="198"/>
      <c r="AW28" s="492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360"/>
      <c r="BP28" s="360"/>
      <c r="BQ28" s="360"/>
    </row>
    <row r="29" spans="2:69" ht="15.75" hidden="1" customHeight="1" x14ac:dyDescent="0.25">
      <c r="B29" s="1015" t="str">
        <f>'Monthly DCF'!B29</f>
        <v>Type (#BD/#BA)</v>
      </c>
      <c r="C29" s="1016">
        <f>'Monthly DCF'!C29</f>
        <v>0</v>
      </c>
      <c r="D29" s="1017">
        <f>'Monthly DCF'!D29</f>
        <v>0</v>
      </c>
      <c r="E29" s="1018">
        <f>'Monthly DCF'!E29</f>
        <v>0</v>
      </c>
      <c r="F29" s="996">
        <f>'Monthly DCF'!F29</f>
        <v>0</v>
      </c>
      <c r="G29" s="1072">
        <f>'Monthly DCF'!G29</f>
        <v>0</v>
      </c>
      <c r="H29" s="1115">
        <f>SUMIFS('Monthly DCF'!29:29,'Monthly DCF'!$4:$4,'Yearly DCF'!H$3,'Monthly DCF'!$3:$3,"&lt;=" &amp;Summary!$F$20)</f>
        <v>0</v>
      </c>
      <c r="I29" s="599">
        <f>SUMIFS('Monthly DCF'!29:29,'Monthly DCF'!$4:$4,'Yearly DCF'!I$3,'Monthly DCF'!$3:$3,"&lt;=" &amp;Summary!$F$20)</f>
        <v>0</v>
      </c>
      <c r="J29" s="599">
        <f>SUMIFS('Monthly DCF'!29:29,'Monthly DCF'!$4:$4,'Yearly DCF'!J$3,'Monthly DCF'!$3:$3,"&lt;=" &amp;Summary!$F$20)</f>
        <v>0</v>
      </c>
      <c r="K29" s="599">
        <f>SUMIFS('Monthly DCF'!29:29,'Monthly DCF'!$4:$4,'Yearly DCF'!K$3,'Monthly DCF'!$3:$3,"&lt;=" &amp;Summary!$F$20)</f>
        <v>0</v>
      </c>
      <c r="L29" s="599">
        <f>SUMIFS('Monthly DCF'!29:29,'Monthly DCF'!$4:$4,'Yearly DCF'!L$3,'Monthly DCF'!$3:$3,"&lt;=" &amp;Summary!$F$20)</f>
        <v>0</v>
      </c>
      <c r="M29" s="1117">
        <f>SUMIFS('Monthly DCF'!29:29,'Monthly DCF'!$4:$4,'Yearly DCF'!M$3,'Monthly DCF'!$3:$3,"&lt;=" &amp;Summary!$F$20)</f>
        <v>0</v>
      </c>
      <c r="N29" s="599">
        <f>SUMIFS('Monthly DCF'!29:29,'Monthly DCF'!$4:$4,'Yearly DCF'!N$3,'Monthly DCF'!$3:$3,"&lt;=" &amp;Summary!$F$20)</f>
        <v>0</v>
      </c>
      <c r="O29" s="599">
        <f>SUMIFS('Monthly DCF'!29:29,'Monthly DCF'!$4:$4,'Yearly DCF'!O$3,'Monthly DCF'!$3:$3,"&lt;=" &amp;Summary!$F$20)</f>
        <v>0</v>
      </c>
      <c r="P29" s="599">
        <f>SUMIFS('Monthly DCF'!29:29,'Monthly DCF'!$4:$4,'Yearly DCF'!P$3,'Monthly DCF'!$3:$3,"&lt;=" &amp;Summary!$F$20)</f>
        <v>0</v>
      </c>
      <c r="Q29" s="599">
        <f>SUMIFS('Monthly DCF'!29:29,'Monthly DCF'!$4:$4,'Yearly DCF'!Q$3,'Monthly DCF'!$3:$3,"&lt;=" &amp;Summary!$F$20)</f>
        <v>0</v>
      </c>
      <c r="R29" s="1117">
        <f>SUMIFS('Monthly DCF'!29:29,'Monthly DCF'!$4:$4,'Yearly DCF'!R$3,'Monthly DCF'!$3:$3,"&lt;=" &amp;Summary!$F$20)</f>
        <v>0</v>
      </c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491"/>
      <c r="AN29" s="198"/>
      <c r="AO29" s="198"/>
      <c r="AP29" s="198"/>
      <c r="AQ29" s="198"/>
      <c r="AR29" s="198"/>
      <c r="AS29" s="198"/>
      <c r="AT29" s="198"/>
      <c r="AU29" s="198"/>
      <c r="AV29" s="198"/>
      <c r="AW29" s="492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360"/>
      <c r="BP29" s="360"/>
      <c r="BQ29" s="360"/>
    </row>
    <row r="30" spans="2:69" ht="15.75" hidden="1" customHeight="1" x14ac:dyDescent="0.25">
      <c r="B30" s="1015" t="str">
        <f>'Monthly DCF'!B30</f>
        <v>Type (#BD/#BA)</v>
      </c>
      <c r="C30" s="1016">
        <f>'Monthly DCF'!C30</f>
        <v>0</v>
      </c>
      <c r="D30" s="1017">
        <f>'Monthly DCF'!D30</f>
        <v>0</v>
      </c>
      <c r="E30" s="1018">
        <f>'Monthly DCF'!E30</f>
        <v>0</v>
      </c>
      <c r="F30" s="996">
        <f>'Monthly DCF'!F30</f>
        <v>0</v>
      </c>
      <c r="G30" s="1072">
        <f>'Monthly DCF'!G30</f>
        <v>0</v>
      </c>
      <c r="H30" s="1115">
        <f>SUMIFS('Monthly DCF'!30:30,'Monthly DCF'!$4:$4,'Yearly DCF'!H$3,'Monthly DCF'!$3:$3,"&lt;=" &amp;Summary!$F$20)</f>
        <v>0</v>
      </c>
      <c r="I30" s="599">
        <f>SUMIFS('Monthly DCF'!30:30,'Monthly DCF'!$4:$4,'Yearly DCF'!I$3,'Monthly DCF'!$3:$3,"&lt;=" &amp;Summary!$F$20)</f>
        <v>0</v>
      </c>
      <c r="J30" s="599">
        <f>SUMIFS('Monthly DCF'!30:30,'Monthly DCF'!$4:$4,'Yearly DCF'!J$3,'Monthly DCF'!$3:$3,"&lt;=" &amp;Summary!$F$20)</f>
        <v>0</v>
      </c>
      <c r="K30" s="599">
        <f>SUMIFS('Monthly DCF'!30:30,'Monthly DCF'!$4:$4,'Yearly DCF'!K$3,'Monthly DCF'!$3:$3,"&lt;=" &amp;Summary!$F$20)</f>
        <v>0</v>
      </c>
      <c r="L30" s="599">
        <f>SUMIFS('Monthly DCF'!30:30,'Monthly DCF'!$4:$4,'Yearly DCF'!L$3,'Monthly DCF'!$3:$3,"&lt;=" &amp;Summary!$F$20)</f>
        <v>0</v>
      </c>
      <c r="M30" s="1117">
        <f>SUMIFS('Monthly DCF'!30:30,'Monthly DCF'!$4:$4,'Yearly DCF'!M$3,'Monthly DCF'!$3:$3,"&lt;=" &amp;Summary!$F$20)</f>
        <v>0</v>
      </c>
      <c r="N30" s="599">
        <f>SUMIFS('Monthly DCF'!30:30,'Monthly DCF'!$4:$4,'Yearly DCF'!N$3,'Monthly DCF'!$3:$3,"&lt;=" &amp;Summary!$F$20)</f>
        <v>0</v>
      </c>
      <c r="O30" s="599">
        <f>SUMIFS('Monthly DCF'!30:30,'Monthly DCF'!$4:$4,'Yearly DCF'!O$3,'Monthly DCF'!$3:$3,"&lt;=" &amp;Summary!$F$20)</f>
        <v>0</v>
      </c>
      <c r="P30" s="599">
        <f>SUMIFS('Monthly DCF'!30:30,'Monthly DCF'!$4:$4,'Yearly DCF'!P$3,'Monthly DCF'!$3:$3,"&lt;=" &amp;Summary!$F$20)</f>
        <v>0</v>
      </c>
      <c r="Q30" s="599">
        <f>SUMIFS('Monthly DCF'!30:30,'Monthly DCF'!$4:$4,'Yearly DCF'!Q$3,'Monthly DCF'!$3:$3,"&lt;=" &amp;Summary!$F$20)</f>
        <v>0</v>
      </c>
      <c r="R30" s="1117">
        <f>SUMIFS('Monthly DCF'!30:30,'Monthly DCF'!$4:$4,'Yearly DCF'!R$3,'Monthly DCF'!$3:$3,"&lt;=" &amp;Summary!$F$20)</f>
        <v>0</v>
      </c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491"/>
      <c r="AN30" s="198"/>
      <c r="AO30" s="198"/>
      <c r="AP30" s="198"/>
      <c r="AQ30" s="198"/>
      <c r="AR30" s="198"/>
      <c r="AS30" s="198"/>
      <c r="AT30" s="198"/>
      <c r="AU30" s="198"/>
      <c r="AV30" s="198"/>
      <c r="AW30" s="492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360"/>
      <c r="BP30" s="360"/>
      <c r="BQ30" s="360"/>
    </row>
    <row r="31" spans="2:69" ht="15.75" hidden="1" customHeight="1" x14ac:dyDescent="0.25">
      <c r="B31" s="1015" t="str">
        <f>'Monthly DCF'!B31</f>
        <v>Type (#BD/#BA)</v>
      </c>
      <c r="C31" s="1016">
        <f>'Monthly DCF'!C31</f>
        <v>0</v>
      </c>
      <c r="D31" s="1017">
        <f>'Monthly DCF'!D31</f>
        <v>0</v>
      </c>
      <c r="E31" s="1018">
        <f>'Monthly DCF'!E31</f>
        <v>0</v>
      </c>
      <c r="F31" s="996">
        <f>'Monthly DCF'!F31</f>
        <v>0</v>
      </c>
      <c r="G31" s="1072">
        <f>'Monthly DCF'!G31</f>
        <v>0</v>
      </c>
      <c r="H31" s="1115">
        <f>SUMIFS('Monthly DCF'!31:31,'Monthly DCF'!$4:$4,'Yearly DCF'!H$3,'Monthly DCF'!$3:$3,"&lt;=" &amp;Summary!$F$20)</f>
        <v>0</v>
      </c>
      <c r="I31" s="599">
        <f>SUMIFS('Monthly DCF'!31:31,'Monthly DCF'!$4:$4,'Yearly DCF'!I$3,'Monthly DCF'!$3:$3,"&lt;=" &amp;Summary!$F$20)</f>
        <v>0</v>
      </c>
      <c r="J31" s="599">
        <f>SUMIFS('Monthly DCF'!31:31,'Monthly DCF'!$4:$4,'Yearly DCF'!J$3,'Monthly DCF'!$3:$3,"&lt;=" &amp;Summary!$F$20)</f>
        <v>0</v>
      </c>
      <c r="K31" s="599">
        <f>SUMIFS('Monthly DCF'!31:31,'Monthly DCF'!$4:$4,'Yearly DCF'!K$3,'Monthly DCF'!$3:$3,"&lt;=" &amp;Summary!$F$20)</f>
        <v>0</v>
      </c>
      <c r="L31" s="599">
        <f>SUMIFS('Monthly DCF'!31:31,'Monthly DCF'!$4:$4,'Yearly DCF'!L$3,'Monthly DCF'!$3:$3,"&lt;=" &amp;Summary!$F$20)</f>
        <v>0</v>
      </c>
      <c r="M31" s="1117">
        <f>SUMIFS('Monthly DCF'!31:31,'Monthly DCF'!$4:$4,'Yearly DCF'!M$3,'Monthly DCF'!$3:$3,"&lt;=" &amp;Summary!$F$20)</f>
        <v>0</v>
      </c>
      <c r="N31" s="599">
        <f>SUMIFS('Monthly DCF'!31:31,'Monthly DCF'!$4:$4,'Yearly DCF'!N$3,'Monthly DCF'!$3:$3,"&lt;=" &amp;Summary!$F$20)</f>
        <v>0</v>
      </c>
      <c r="O31" s="599">
        <f>SUMIFS('Monthly DCF'!31:31,'Monthly DCF'!$4:$4,'Yearly DCF'!O$3,'Monthly DCF'!$3:$3,"&lt;=" &amp;Summary!$F$20)</f>
        <v>0</v>
      </c>
      <c r="P31" s="599">
        <f>SUMIFS('Monthly DCF'!31:31,'Monthly DCF'!$4:$4,'Yearly DCF'!P$3,'Monthly DCF'!$3:$3,"&lt;=" &amp;Summary!$F$20)</f>
        <v>0</v>
      </c>
      <c r="Q31" s="599">
        <f>SUMIFS('Monthly DCF'!31:31,'Monthly DCF'!$4:$4,'Yearly DCF'!Q$3,'Monthly DCF'!$3:$3,"&lt;=" &amp;Summary!$F$20)</f>
        <v>0</v>
      </c>
      <c r="R31" s="1117">
        <f>SUMIFS('Monthly DCF'!31:31,'Monthly DCF'!$4:$4,'Yearly DCF'!R$3,'Monthly DCF'!$3:$3,"&lt;=" &amp;Summary!$F$20)</f>
        <v>0</v>
      </c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493"/>
      <c r="AN31" s="362"/>
      <c r="AO31" s="362"/>
      <c r="AP31" s="362"/>
      <c r="AQ31" s="362"/>
      <c r="AR31" s="362"/>
      <c r="AS31" s="362"/>
      <c r="AT31" s="362"/>
      <c r="AU31" s="362"/>
      <c r="AV31" s="362"/>
      <c r="AW31" s="494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362"/>
      <c r="BK31" s="362"/>
      <c r="BL31" s="362"/>
      <c r="BM31" s="362"/>
      <c r="BN31" s="362"/>
      <c r="BO31" s="362"/>
      <c r="BP31" s="362"/>
      <c r="BQ31" s="362"/>
    </row>
    <row r="32" spans="2:69" ht="15.75" hidden="1" customHeight="1" x14ac:dyDescent="0.25">
      <c r="B32" s="1015" t="str">
        <f>'Monthly DCF'!B32</f>
        <v>Type (#BD/#BA)</v>
      </c>
      <c r="C32" s="1016">
        <f>'Monthly DCF'!C32</f>
        <v>0</v>
      </c>
      <c r="D32" s="1017">
        <f>'Monthly DCF'!D32</f>
        <v>0</v>
      </c>
      <c r="E32" s="1018">
        <f>'Monthly DCF'!E32</f>
        <v>0</v>
      </c>
      <c r="F32" s="996">
        <f>'Monthly DCF'!F32</f>
        <v>0</v>
      </c>
      <c r="G32" s="1072">
        <f>'Monthly DCF'!G32</f>
        <v>0</v>
      </c>
      <c r="H32" s="1115">
        <f>SUMIFS('Monthly DCF'!32:32,'Monthly DCF'!$4:$4,'Yearly DCF'!H$3,'Monthly DCF'!$3:$3,"&lt;=" &amp;Summary!$F$20)</f>
        <v>0</v>
      </c>
      <c r="I32" s="599">
        <f>SUMIFS('Monthly DCF'!32:32,'Monthly DCF'!$4:$4,'Yearly DCF'!I$3,'Monthly DCF'!$3:$3,"&lt;=" &amp;Summary!$F$20)</f>
        <v>0</v>
      </c>
      <c r="J32" s="599">
        <f>SUMIFS('Monthly DCF'!32:32,'Monthly DCF'!$4:$4,'Yearly DCF'!J$3,'Monthly DCF'!$3:$3,"&lt;=" &amp;Summary!$F$20)</f>
        <v>0</v>
      </c>
      <c r="K32" s="599">
        <f>SUMIFS('Monthly DCF'!32:32,'Monthly DCF'!$4:$4,'Yearly DCF'!K$3,'Monthly DCF'!$3:$3,"&lt;=" &amp;Summary!$F$20)</f>
        <v>0</v>
      </c>
      <c r="L32" s="599">
        <f>SUMIFS('Monthly DCF'!32:32,'Monthly DCF'!$4:$4,'Yearly DCF'!L$3,'Monthly DCF'!$3:$3,"&lt;=" &amp;Summary!$F$20)</f>
        <v>0</v>
      </c>
      <c r="M32" s="1117">
        <f>SUMIFS('Monthly DCF'!32:32,'Monthly DCF'!$4:$4,'Yearly DCF'!M$3,'Monthly DCF'!$3:$3,"&lt;=" &amp;Summary!$F$20)</f>
        <v>0</v>
      </c>
      <c r="N32" s="599">
        <f>SUMIFS('Monthly DCF'!32:32,'Monthly DCF'!$4:$4,'Yearly DCF'!N$3,'Monthly DCF'!$3:$3,"&lt;=" &amp;Summary!$F$20)</f>
        <v>0</v>
      </c>
      <c r="O32" s="599">
        <f>SUMIFS('Monthly DCF'!32:32,'Monthly DCF'!$4:$4,'Yearly DCF'!O$3,'Monthly DCF'!$3:$3,"&lt;=" &amp;Summary!$F$20)</f>
        <v>0</v>
      </c>
      <c r="P32" s="599">
        <f>SUMIFS('Monthly DCF'!32:32,'Monthly DCF'!$4:$4,'Yearly DCF'!P$3,'Monthly DCF'!$3:$3,"&lt;=" &amp;Summary!$F$20)</f>
        <v>0</v>
      </c>
      <c r="Q32" s="599">
        <f>SUMIFS('Monthly DCF'!32:32,'Monthly DCF'!$4:$4,'Yearly DCF'!Q$3,'Monthly DCF'!$3:$3,"&lt;=" &amp;Summary!$F$20)</f>
        <v>0</v>
      </c>
      <c r="R32" s="1117">
        <f>SUMIFS('Monthly DCF'!32:32,'Monthly DCF'!$4:$4,'Yearly DCF'!R$3,'Monthly DCF'!$3:$3,"&lt;=" &amp;Summary!$F$20)</f>
        <v>0</v>
      </c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491"/>
      <c r="AN32" s="198"/>
      <c r="AO32" s="198"/>
      <c r="AP32" s="198"/>
      <c r="AQ32" s="198"/>
      <c r="AR32" s="198"/>
      <c r="AS32" s="198"/>
      <c r="AT32" s="198"/>
      <c r="AU32" s="198"/>
      <c r="AV32" s="198"/>
      <c r="AW32" s="492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360"/>
      <c r="BP32" s="360"/>
      <c r="BQ32" s="360"/>
    </row>
    <row r="33" spans="2:69" ht="15.75" hidden="1" customHeight="1" x14ac:dyDescent="0.25">
      <c r="B33" s="1015" t="str">
        <f>'Monthly DCF'!B33</f>
        <v>Type (#BD/#BA)</v>
      </c>
      <c r="C33" s="1016">
        <f>'Monthly DCF'!C33</f>
        <v>0</v>
      </c>
      <c r="D33" s="1017">
        <f>'Monthly DCF'!D33</f>
        <v>0</v>
      </c>
      <c r="E33" s="1018">
        <f>'Monthly DCF'!E33</f>
        <v>0</v>
      </c>
      <c r="F33" s="996">
        <f>'Monthly DCF'!F33</f>
        <v>0</v>
      </c>
      <c r="G33" s="1072">
        <f>'Monthly DCF'!G33</f>
        <v>0</v>
      </c>
      <c r="H33" s="1115">
        <f>SUMIFS('Monthly DCF'!33:33,'Monthly DCF'!$4:$4,'Yearly DCF'!H$3,'Monthly DCF'!$3:$3,"&lt;=" &amp;Summary!$F$20)</f>
        <v>0</v>
      </c>
      <c r="I33" s="599">
        <f>SUMIFS('Monthly DCF'!33:33,'Monthly DCF'!$4:$4,'Yearly DCF'!I$3,'Monthly DCF'!$3:$3,"&lt;=" &amp;Summary!$F$20)</f>
        <v>0</v>
      </c>
      <c r="J33" s="599">
        <f>SUMIFS('Monthly DCF'!33:33,'Monthly DCF'!$4:$4,'Yearly DCF'!J$3,'Monthly DCF'!$3:$3,"&lt;=" &amp;Summary!$F$20)</f>
        <v>0</v>
      </c>
      <c r="K33" s="599">
        <f>SUMIFS('Monthly DCF'!33:33,'Monthly DCF'!$4:$4,'Yearly DCF'!K$3,'Monthly DCF'!$3:$3,"&lt;=" &amp;Summary!$F$20)</f>
        <v>0</v>
      </c>
      <c r="L33" s="599">
        <f>SUMIFS('Monthly DCF'!33:33,'Monthly DCF'!$4:$4,'Yearly DCF'!L$3,'Monthly DCF'!$3:$3,"&lt;=" &amp;Summary!$F$20)</f>
        <v>0</v>
      </c>
      <c r="M33" s="1117">
        <f>SUMIFS('Monthly DCF'!33:33,'Monthly DCF'!$4:$4,'Yearly DCF'!M$3,'Monthly DCF'!$3:$3,"&lt;=" &amp;Summary!$F$20)</f>
        <v>0</v>
      </c>
      <c r="N33" s="599">
        <f>SUMIFS('Monthly DCF'!33:33,'Monthly DCF'!$4:$4,'Yearly DCF'!N$3,'Monthly DCF'!$3:$3,"&lt;=" &amp;Summary!$F$20)</f>
        <v>0</v>
      </c>
      <c r="O33" s="599">
        <f>SUMIFS('Monthly DCF'!33:33,'Monthly DCF'!$4:$4,'Yearly DCF'!O$3,'Monthly DCF'!$3:$3,"&lt;=" &amp;Summary!$F$20)</f>
        <v>0</v>
      </c>
      <c r="P33" s="599">
        <f>SUMIFS('Monthly DCF'!33:33,'Monthly DCF'!$4:$4,'Yearly DCF'!P$3,'Monthly DCF'!$3:$3,"&lt;=" &amp;Summary!$F$20)</f>
        <v>0</v>
      </c>
      <c r="Q33" s="599">
        <f>SUMIFS('Monthly DCF'!33:33,'Monthly DCF'!$4:$4,'Yearly DCF'!Q$3,'Monthly DCF'!$3:$3,"&lt;=" &amp;Summary!$F$20)</f>
        <v>0</v>
      </c>
      <c r="R33" s="1117">
        <f>SUMIFS('Monthly DCF'!33:33,'Monthly DCF'!$4:$4,'Yearly DCF'!R$3,'Monthly DCF'!$3:$3,"&lt;=" &amp;Summary!$F$20)</f>
        <v>0</v>
      </c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491"/>
      <c r="AN33" s="198"/>
      <c r="AO33" s="198"/>
      <c r="AP33" s="198"/>
      <c r="AQ33" s="198"/>
      <c r="AR33" s="198"/>
      <c r="AS33" s="198"/>
      <c r="AT33" s="198"/>
      <c r="AU33" s="198"/>
      <c r="AV33" s="198"/>
      <c r="AW33" s="492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360"/>
      <c r="BP33" s="360"/>
      <c r="BQ33" s="360"/>
    </row>
    <row r="34" spans="2:69" ht="15.75" hidden="1" customHeight="1" x14ac:dyDescent="0.25">
      <c r="B34" s="1015" t="str">
        <f>'Monthly DCF'!B34</f>
        <v>Type (#BD/#BA)</v>
      </c>
      <c r="C34" s="1016">
        <f>'Monthly DCF'!C34</f>
        <v>0</v>
      </c>
      <c r="D34" s="1017">
        <f>'Monthly DCF'!D34</f>
        <v>0</v>
      </c>
      <c r="E34" s="1018">
        <f>'Monthly DCF'!E34</f>
        <v>0</v>
      </c>
      <c r="F34" s="996">
        <f>'Monthly DCF'!F34</f>
        <v>0</v>
      </c>
      <c r="G34" s="1072">
        <f>'Monthly DCF'!G34</f>
        <v>0</v>
      </c>
      <c r="H34" s="1115">
        <f>SUMIFS('Monthly DCF'!34:34,'Monthly DCF'!$4:$4,'Yearly DCF'!H$3,'Monthly DCF'!$3:$3,"&lt;=" &amp;Summary!$F$20)</f>
        <v>0</v>
      </c>
      <c r="I34" s="599">
        <f>SUMIFS('Monthly DCF'!34:34,'Monthly DCF'!$4:$4,'Yearly DCF'!I$3,'Monthly DCF'!$3:$3,"&lt;=" &amp;Summary!$F$20)</f>
        <v>0</v>
      </c>
      <c r="J34" s="599">
        <f>SUMIFS('Monthly DCF'!34:34,'Monthly DCF'!$4:$4,'Yearly DCF'!J$3,'Monthly DCF'!$3:$3,"&lt;=" &amp;Summary!$F$20)</f>
        <v>0</v>
      </c>
      <c r="K34" s="599">
        <f>SUMIFS('Monthly DCF'!34:34,'Monthly DCF'!$4:$4,'Yearly DCF'!K$3,'Monthly DCF'!$3:$3,"&lt;=" &amp;Summary!$F$20)</f>
        <v>0</v>
      </c>
      <c r="L34" s="599">
        <f>SUMIFS('Monthly DCF'!34:34,'Monthly DCF'!$4:$4,'Yearly DCF'!L$3,'Monthly DCF'!$3:$3,"&lt;=" &amp;Summary!$F$20)</f>
        <v>0</v>
      </c>
      <c r="M34" s="1117">
        <f>SUMIFS('Monthly DCF'!34:34,'Monthly DCF'!$4:$4,'Yearly DCF'!M$3,'Monthly DCF'!$3:$3,"&lt;=" &amp;Summary!$F$20)</f>
        <v>0</v>
      </c>
      <c r="N34" s="599">
        <f>SUMIFS('Monthly DCF'!34:34,'Monthly DCF'!$4:$4,'Yearly DCF'!N$3,'Monthly DCF'!$3:$3,"&lt;=" &amp;Summary!$F$20)</f>
        <v>0</v>
      </c>
      <c r="O34" s="599">
        <f>SUMIFS('Monthly DCF'!34:34,'Monthly DCF'!$4:$4,'Yearly DCF'!O$3,'Monthly DCF'!$3:$3,"&lt;=" &amp;Summary!$F$20)</f>
        <v>0</v>
      </c>
      <c r="P34" s="599">
        <f>SUMIFS('Monthly DCF'!34:34,'Monthly DCF'!$4:$4,'Yearly DCF'!P$3,'Monthly DCF'!$3:$3,"&lt;=" &amp;Summary!$F$20)</f>
        <v>0</v>
      </c>
      <c r="Q34" s="599">
        <f>SUMIFS('Monthly DCF'!34:34,'Monthly DCF'!$4:$4,'Yearly DCF'!Q$3,'Monthly DCF'!$3:$3,"&lt;=" &amp;Summary!$F$20)</f>
        <v>0</v>
      </c>
      <c r="R34" s="1117">
        <f>SUMIFS('Monthly DCF'!34:34,'Monthly DCF'!$4:$4,'Yearly DCF'!R$3,'Monthly DCF'!$3:$3,"&lt;=" &amp;Summary!$F$20)</f>
        <v>0</v>
      </c>
      <c r="X34" s="362"/>
      <c r="Y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62"/>
      <c r="AJ34" s="362"/>
      <c r="AK34" s="362"/>
      <c r="AL34" s="362"/>
      <c r="AM34" s="493"/>
      <c r="AN34" s="362"/>
      <c r="AO34" s="362"/>
      <c r="AP34" s="362"/>
      <c r="AQ34" s="362"/>
      <c r="AR34" s="362"/>
      <c r="AS34" s="362"/>
      <c r="AT34" s="362"/>
      <c r="AU34" s="362"/>
      <c r="AV34" s="362"/>
      <c r="AW34" s="494"/>
      <c r="AX34" s="362"/>
      <c r="AY34" s="362"/>
      <c r="AZ34" s="362"/>
      <c r="BA34" s="362"/>
      <c r="BB34" s="362"/>
      <c r="BC34" s="362"/>
      <c r="BD34" s="362"/>
      <c r="BE34" s="362"/>
      <c r="BF34" s="362"/>
      <c r="BG34" s="362"/>
      <c r="BH34" s="362"/>
      <c r="BI34" s="362"/>
      <c r="BJ34" s="362"/>
      <c r="BK34" s="362"/>
      <c r="BL34" s="362"/>
      <c r="BM34" s="362"/>
      <c r="BN34" s="362"/>
      <c r="BO34" s="362"/>
      <c r="BP34" s="362"/>
      <c r="BQ34" s="362"/>
    </row>
    <row r="35" spans="2:69" ht="15.75" hidden="1" customHeight="1" x14ac:dyDescent="0.25">
      <c r="B35" s="1015" t="str">
        <f>'Monthly DCF'!B35</f>
        <v>Type (#BD/#BA)</v>
      </c>
      <c r="C35" s="1016">
        <f>'Monthly DCF'!C35</f>
        <v>0</v>
      </c>
      <c r="D35" s="1017">
        <f>'Monthly DCF'!D35</f>
        <v>0</v>
      </c>
      <c r="E35" s="1018">
        <f>'Monthly DCF'!E35</f>
        <v>0</v>
      </c>
      <c r="F35" s="996">
        <f>'Monthly DCF'!F35</f>
        <v>0</v>
      </c>
      <c r="G35" s="1072">
        <f>'Monthly DCF'!G35</f>
        <v>0</v>
      </c>
      <c r="H35" s="1115">
        <f>SUMIFS('Monthly DCF'!35:35,'Monthly DCF'!$4:$4,'Yearly DCF'!H$3,'Monthly DCF'!$3:$3,"&lt;=" &amp;Summary!$F$20)</f>
        <v>0</v>
      </c>
      <c r="I35" s="599">
        <f>SUMIFS('Monthly DCF'!35:35,'Monthly DCF'!$4:$4,'Yearly DCF'!I$3,'Monthly DCF'!$3:$3,"&lt;=" &amp;Summary!$F$20)</f>
        <v>0</v>
      </c>
      <c r="J35" s="599">
        <f>SUMIFS('Monthly DCF'!35:35,'Monthly DCF'!$4:$4,'Yearly DCF'!J$3,'Monthly DCF'!$3:$3,"&lt;=" &amp;Summary!$F$20)</f>
        <v>0</v>
      </c>
      <c r="K35" s="599">
        <f>SUMIFS('Monthly DCF'!35:35,'Monthly DCF'!$4:$4,'Yearly DCF'!K$3,'Monthly DCF'!$3:$3,"&lt;=" &amp;Summary!$F$20)</f>
        <v>0</v>
      </c>
      <c r="L35" s="599">
        <f>SUMIFS('Monthly DCF'!35:35,'Monthly DCF'!$4:$4,'Yearly DCF'!L$3,'Monthly DCF'!$3:$3,"&lt;=" &amp;Summary!$F$20)</f>
        <v>0</v>
      </c>
      <c r="M35" s="1117">
        <f>SUMIFS('Monthly DCF'!35:35,'Monthly DCF'!$4:$4,'Yearly DCF'!M$3,'Monthly DCF'!$3:$3,"&lt;=" &amp;Summary!$F$20)</f>
        <v>0</v>
      </c>
      <c r="N35" s="599">
        <f>SUMIFS('Monthly DCF'!35:35,'Monthly DCF'!$4:$4,'Yearly DCF'!N$3,'Monthly DCF'!$3:$3,"&lt;=" &amp;Summary!$F$20)</f>
        <v>0</v>
      </c>
      <c r="O35" s="599">
        <f>SUMIFS('Monthly DCF'!35:35,'Monthly DCF'!$4:$4,'Yearly DCF'!O$3,'Monthly DCF'!$3:$3,"&lt;=" &amp;Summary!$F$20)</f>
        <v>0</v>
      </c>
      <c r="P35" s="599">
        <f>SUMIFS('Monthly DCF'!35:35,'Monthly DCF'!$4:$4,'Yearly DCF'!P$3,'Monthly DCF'!$3:$3,"&lt;=" &amp;Summary!$F$20)</f>
        <v>0</v>
      </c>
      <c r="Q35" s="599">
        <f>SUMIFS('Monthly DCF'!35:35,'Monthly DCF'!$4:$4,'Yearly DCF'!Q$3,'Monthly DCF'!$3:$3,"&lt;=" &amp;Summary!$F$20)</f>
        <v>0</v>
      </c>
      <c r="R35" s="1117">
        <f>SUMIFS('Monthly DCF'!35:35,'Monthly DCF'!$4:$4,'Yearly DCF'!R$3,'Monthly DCF'!$3:$3,"&lt;=" &amp;Summary!$F$20)</f>
        <v>0</v>
      </c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495"/>
      <c r="AN35" s="365"/>
      <c r="AO35" s="365"/>
      <c r="AP35" s="365"/>
      <c r="AQ35" s="365"/>
      <c r="AR35" s="365"/>
      <c r="AS35" s="365"/>
      <c r="AT35" s="365"/>
      <c r="AU35" s="365"/>
      <c r="AV35" s="365"/>
      <c r="AW35" s="496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</row>
    <row r="36" spans="2:69" ht="15.75" hidden="1" customHeight="1" x14ac:dyDescent="0.25">
      <c r="B36" s="1015" t="str">
        <f>'Monthly DCF'!B36</f>
        <v>Type (#BD/#BA)</v>
      </c>
      <c r="C36" s="1016">
        <f>'Monthly DCF'!C36</f>
        <v>0</v>
      </c>
      <c r="D36" s="1017">
        <f>'Monthly DCF'!D36</f>
        <v>0</v>
      </c>
      <c r="E36" s="1018">
        <f>'Monthly DCF'!E36</f>
        <v>0</v>
      </c>
      <c r="F36" s="996">
        <f>'Monthly DCF'!F36</f>
        <v>0</v>
      </c>
      <c r="G36" s="1072">
        <f>'Monthly DCF'!G36</f>
        <v>0</v>
      </c>
      <c r="H36" s="1115">
        <f>SUMIFS('Monthly DCF'!36:36,'Monthly DCF'!$4:$4,'Yearly DCF'!H$3,'Monthly DCF'!$3:$3,"&lt;=" &amp;Summary!$F$20)</f>
        <v>0</v>
      </c>
      <c r="I36" s="599">
        <f>SUMIFS('Monthly DCF'!36:36,'Monthly DCF'!$4:$4,'Yearly DCF'!I$3,'Monthly DCF'!$3:$3,"&lt;=" &amp;Summary!$F$20)</f>
        <v>0</v>
      </c>
      <c r="J36" s="599">
        <f>SUMIFS('Monthly DCF'!36:36,'Monthly DCF'!$4:$4,'Yearly DCF'!J$3,'Monthly DCF'!$3:$3,"&lt;=" &amp;Summary!$F$20)</f>
        <v>0</v>
      </c>
      <c r="K36" s="599">
        <f>SUMIFS('Monthly DCF'!36:36,'Monthly DCF'!$4:$4,'Yearly DCF'!K$3,'Monthly DCF'!$3:$3,"&lt;=" &amp;Summary!$F$20)</f>
        <v>0</v>
      </c>
      <c r="L36" s="599">
        <f>SUMIFS('Monthly DCF'!36:36,'Monthly DCF'!$4:$4,'Yearly DCF'!L$3,'Monthly DCF'!$3:$3,"&lt;=" &amp;Summary!$F$20)</f>
        <v>0</v>
      </c>
      <c r="M36" s="1117">
        <f>SUMIFS('Monthly DCF'!36:36,'Monthly DCF'!$4:$4,'Yearly DCF'!M$3,'Monthly DCF'!$3:$3,"&lt;=" &amp;Summary!$F$20)</f>
        <v>0</v>
      </c>
      <c r="N36" s="599">
        <f>SUMIFS('Monthly DCF'!36:36,'Monthly DCF'!$4:$4,'Yearly DCF'!N$3,'Monthly DCF'!$3:$3,"&lt;=" &amp;Summary!$F$20)</f>
        <v>0</v>
      </c>
      <c r="O36" s="599">
        <f>SUMIFS('Monthly DCF'!36:36,'Monthly DCF'!$4:$4,'Yearly DCF'!O$3,'Monthly DCF'!$3:$3,"&lt;=" &amp;Summary!$F$20)</f>
        <v>0</v>
      </c>
      <c r="P36" s="599">
        <f>SUMIFS('Monthly DCF'!36:36,'Monthly DCF'!$4:$4,'Yearly DCF'!P$3,'Monthly DCF'!$3:$3,"&lt;=" &amp;Summary!$F$20)</f>
        <v>0</v>
      </c>
      <c r="Q36" s="599">
        <f>SUMIFS('Monthly DCF'!36:36,'Monthly DCF'!$4:$4,'Yearly DCF'!Q$3,'Monthly DCF'!$3:$3,"&lt;=" &amp;Summary!$F$20)</f>
        <v>0</v>
      </c>
      <c r="R36" s="1117">
        <f>SUMIFS('Monthly DCF'!36:36,'Monthly DCF'!$4:$4,'Yearly DCF'!R$3,'Monthly DCF'!$3:$3,"&lt;=" &amp;Summary!$F$20)</f>
        <v>0</v>
      </c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5"/>
      <c r="AL36" s="365"/>
      <c r="AM36" s="495"/>
      <c r="AN36" s="365"/>
      <c r="AO36" s="365"/>
      <c r="AP36" s="365"/>
      <c r="AQ36" s="365"/>
      <c r="AR36" s="365"/>
      <c r="AS36" s="365"/>
      <c r="AT36" s="365"/>
      <c r="AU36" s="365"/>
      <c r="AV36" s="365"/>
      <c r="AW36" s="496"/>
      <c r="AX36" s="365"/>
      <c r="AY36" s="365"/>
      <c r="AZ36" s="365"/>
      <c r="BA36" s="365"/>
      <c r="BB36" s="365"/>
      <c r="BC36" s="365"/>
      <c r="BD36" s="365"/>
      <c r="BE36" s="365"/>
      <c r="BF36" s="365"/>
      <c r="BG36" s="365"/>
      <c r="BH36" s="365"/>
      <c r="BI36" s="365"/>
      <c r="BJ36" s="365"/>
      <c r="BK36" s="365"/>
      <c r="BL36" s="365"/>
      <c r="BM36" s="365"/>
      <c r="BN36" s="365"/>
      <c r="BO36" s="365"/>
      <c r="BP36" s="365"/>
      <c r="BQ36" s="365"/>
    </row>
    <row r="37" spans="2:69" ht="15.75" hidden="1" customHeight="1" x14ac:dyDescent="0.25">
      <c r="B37" s="1015" t="str">
        <f>'Monthly DCF'!B37</f>
        <v>Type (#BD/#BA)</v>
      </c>
      <c r="C37" s="1016">
        <f>'Monthly DCF'!C37</f>
        <v>0</v>
      </c>
      <c r="D37" s="1017">
        <f>'Monthly DCF'!D37</f>
        <v>0</v>
      </c>
      <c r="E37" s="1018">
        <f>'Monthly DCF'!E37</f>
        <v>0</v>
      </c>
      <c r="F37" s="996">
        <f>'Monthly DCF'!F37</f>
        <v>0</v>
      </c>
      <c r="G37" s="1072">
        <f>'Monthly DCF'!G37</f>
        <v>0</v>
      </c>
      <c r="H37" s="1115">
        <f>SUMIFS('Monthly DCF'!37:37,'Monthly DCF'!$4:$4,'Yearly DCF'!H$3,'Monthly DCF'!$3:$3,"&lt;=" &amp;Summary!$F$20)</f>
        <v>0</v>
      </c>
      <c r="I37" s="599">
        <f>SUMIFS('Monthly DCF'!37:37,'Monthly DCF'!$4:$4,'Yearly DCF'!I$3,'Monthly DCF'!$3:$3,"&lt;=" &amp;Summary!$F$20)</f>
        <v>0</v>
      </c>
      <c r="J37" s="599">
        <f>SUMIFS('Monthly DCF'!37:37,'Monthly DCF'!$4:$4,'Yearly DCF'!J$3,'Monthly DCF'!$3:$3,"&lt;=" &amp;Summary!$F$20)</f>
        <v>0</v>
      </c>
      <c r="K37" s="599">
        <f>SUMIFS('Monthly DCF'!37:37,'Monthly DCF'!$4:$4,'Yearly DCF'!K$3,'Monthly DCF'!$3:$3,"&lt;=" &amp;Summary!$F$20)</f>
        <v>0</v>
      </c>
      <c r="L37" s="599">
        <f>SUMIFS('Monthly DCF'!37:37,'Monthly DCF'!$4:$4,'Yearly DCF'!L$3,'Monthly DCF'!$3:$3,"&lt;=" &amp;Summary!$F$20)</f>
        <v>0</v>
      </c>
      <c r="M37" s="1117">
        <f>SUMIFS('Monthly DCF'!37:37,'Monthly DCF'!$4:$4,'Yearly DCF'!M$3,'Monthly DCF'!$3:$3,"&lt;=" &amp;Summary!$F$20)</f>
        <v>0</v>
      </c>
      <c r="N37" s="599">
        <f>SUMIFS('Monthly DCF'!37:37,'Monthly DCF'!$4:$4,'Yearly DCF'!N$3,'Monthly DCF'!$3:$3,"&lt;=" &amp;Summary!$F$20)</f>
        <v>0</v>
      </c>
      <c r="O37" s="599">
        <f>SUMIFS('Monthly DCF'!37:37,'Monthly DCF'!$4:$4,'Yearly DCF'!O$3,'Monthly DCF'!$3:$3,"&lt;=" &amp;Summary!$F$20)</f>
        <v>0</v>
      </c>
      <c r="P37" s="599">
        <f>SUMIFS('Monthly DCF'!37:37,'Monthly DCF'!$4:$4,'Yearly DCF'!P$3,'Monthly DCF'!$3:$3,"&lt;=" &amp;Summary!$F$20)</f>
        <v>0</v>
      </c>
      <c r="Q37" s="599">
        <f>SUMIFS('Monthly DCF'!37:37,'Monthly DCF'!$4:$4,'Yearly DCF'!Q$3,'Monthly DCF'!$3:$3,"&lt;=" &amp;Summary!$F$20)</f>
        <v>0</v>
      </c>
      <c r="R37" s="1117">
        <f>SUMIFS('Monthly DCF'!37:37,'Monthly DCF'!$4:$4,'Yearly DCF'!R$3,'Monthly DCF'!$3:$3,"&lt;=" &amp;Summary!$F$20)</f>
        <v>0</v>
      </c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5"/>
      <c r="AL37" s="365"/>
      <c r="AM37" s="495"/>
      <c r="AN37" s="365"/>
      <c r="AO37" s="365"/>
      <c r="AP37" s="365"/>
      <c r="AQ37" s="365"/>
      <c r="AR37" s="365"/>
      <c r="AS37" s="365"/>
      <c r="AT37" s="365"/>
      <c r="AU37" s="365"/>
      <c r="AV37" s="365"/>
      <c r="AW37" s="496"/>
      <c r="AX37" s="365"/>
      <c r="AY37" s="365"/>
      <c r="AZ37" s="365"/>
      <c r="BA37" s="365"/>
      <c r="BB37" s="365"/>
      <c r="BC37" s="365"/>
      <c r="BD37" s="365"/>
      <c r="BE37" s="365"/>
      <c r="BF37" s="365"/>
      <c r="BG37" s="365"/>
      <c r="BH37" s="365"/>
      <c r="BI37" s="365"/>
      <c r="BJ37" s="365"/>
      <c r="BK37" s="365"/>
      <c r="BL37" s="365"/>
      <c r="BM37" s="365"/>
      <c r="BN37" s="365"/>
      <c r="BO37" s="365"/>
      <c r="BP37" s="365"/>
      <c r="BQ37" s="365"/>
    </row>
    <row r="38" spans="2:69" ht="15.75" hidden="1" customHeight="1" x14ac:dyDescent="0.25">
      <c r="B38" s="1019" t="str">
        <f>'Monthly DCF'!B38</f>
        <v>Type (#BD/#BA)</v>
      </c>
      <c r="C38" s="1020">
        <f>'Monthly DCF'!C38</f>
        <v>0</v>
      </c>
      <c r="D38" s="1021">
        <f>'Monthly DCF'!D38</f>
        <v>0</v>
      </c>
      <c r="E38" s="1022">
        <f>'Monthly DCF'!E38</f>
        <v>0</v>
      </c>
      <c r="F38" s="994">
        <f>'Monthly DCF'!F38</f>
        <v>0</v>
      </c>
      <c r="G38" s="1073">
        <f>'Monthly DCF'!G38</f>
        <v>0</v>
      </c>
      <c r="H38" s="1118">
        <f>SUMIFS('Monthly DCF'!38:38,'Monthly DCF'!$4:$4,'Yearly DCF'!H$3,'Monthly DCF'!$3:$3,"&lt;=" &amp;Summary!$F$20)</f>
        <v>0</v>
      </c>
      <c r="I38" s="1119">
        <f>SUMIFS('Monthly DCF'!38:38,'Monthly DCF'!$4:$4,'Yearly DCF'!I$3,'Monthly DCF'!$3:$3,"&lt;=" &amp;Summary!$F$20)</f>
        <v>0</v>
      </c>
      <c r="J38" s="1119">
        <f>SUMIFS('Monthly DCF'!38:38,'Monthly DCF'!$4:$4,'Yearly DCF'!J$3,'Monthly DCF'!$3:$3,"&lt;=" &amp;Summary!$F$20)</f>
        <v>0</v>
      </c>
      <c r="K38" s="1119">
        <f>SUMIFS('Monthly DCF'!38:38,'Monthly DCF'!$4:$4,'Yearly DCF'!K$3,'Monthly DCF'!$3:$3,"&lt;=" &amp;Summary!$F$20)</f>
        <v>0</v>
      </c>
      <c r="L38" s="1119">
        <f>SUMIFS('Monthly DCF'!38:38,'Monthly DCF'!$4:$4,'Yearly DCF'!L$3,'Monthly DCF'!$3:$3,"&lt;=" &amp;Summary!$F$20)</f>
        <v>0</v>
      </c>
      <c r="M38" s="1120">
        <f>SUMIFS('Monthly DCF'!38:38,'Monthly DCF'!$4:$4,'Yearly DCF'!M$3,'Monthly DCF'!$3:$3,"&lt;=" &amp;Summary!$F$20)</f>
        <v>0</v>
      </c>
      <c r="N38" s="1119">
        <f>SUMIFS('Monthly DCF'!38:38,'Monthly DCF'!$4:$4,'Yearly DCF'!N$3,'Monthly DCF'!$3:$3,"&lt;=" &amp;Summary!$F$20)</f>
        <v>0</v>
      </c>
      <c r="O38" s="1119">
        <f>SUMIFS('Monthly DCF'!38:38,'Monthly DCF'!$4:$4,'Yearly DCF'!O$3,'Monthly DCF'!$3:$3,"&lt;=" &amp;Summary!$F$20)</f>
        <v>0</v>
      </c>
      <c r="P38" s="1119">
        <f>SUMIFS('Monthly DCF'!38:38,'Monthly DCF'!$4:$4,'Yearly DCF'!P$3,'Monthly DCF'!$3:$3,"&lt;=" &amp;Summary!$F$20)</f>
        <v>0</v>
      </c>
      <c r="Q38" s="1119">
        <f>SUMIFS('Monthly DCF'!38:38,'Monthly DCF'!$4:$4,'Yearly DCF'!Q$3,'Monthly DCF'!$3:$3,"&lt;=" &amp;Summary!$F$20)</f>
        <v>0</v>
      </c>
      <c r="R38" s="1120">
        <f>SUMIFS('Monthly DCF'!38:38,'Monthly DCF'!$4:$4,'Yearly DCF'!R$3,'Monthly DCF'!$3:$3,"&lt;=" &amp;Summary!$F$20)</f>
        <v>0</v>
      </c>
      <c r="X38" s="365"/>
      <c r="Y38" s="365"/>
      <c r="Z38" s="365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5"/>
      <c r="AL38" s="365"/>
      <c r="AM38" s="495"/>
      <c r="AN38" s="365"/>
      <c r="AO38" s="365"/>
      <c r="AP38" s="365"/>
      <c r="AQ38" s="365"/>
      <c r="AR38" s="365"/>
      <c r="AS38" s="365"/>
      <c r="AT38" s="365"/>
      <c r="AU38" s="365"/>
      <c r="AV38" s="365"/>
      <c r="AW38" s="496"/>
      <c r="AX38" s="365"/>
      <c r="AY38" s="365"/>
      <c r="AZ38" s="365"/>
      <c r="BA38" s="365"/>
      <c r="BB38" s="365"/>
      <c r="BC38" s="365"/>
      <c r="BD38" s="365"/>
      <c r="BE38" s="365"/>
      <c r="BF38" s="365"/>
      <c r="BG38" s="365"/>
      <c r="BH38" s="365"/>
      <c r="BI38" s="365"/>
      <c r="BJ38" s="365"/>
      <c r="BK38" s="365"/>
      <c r="BL38" s="365"/>
      <c r="BM38" s="365"/>
      <c r="BN38" s="365"/>
      <c r="BO38" s="365"/>
      <c r="BP38" s="365"/>
      <c r="BQ38" s="365"/>
    </row>
    <row r="39" spans="2:69" ht="15.75" customHeight="1" thickBot="1" x14ac:dyDescent="0.3">
      <c r="B39" s="1023" t="str">
        <f>'Monthly DCF'!B39</f>
        <v>Totals:</v>
      </c>
      <c r="C39" s="1024">
        <f>'Monthly DCF'!C39</f>
        <v>82</v>
      </c>
      <c r="D39" s="1025">
        <f>'Monthly DCF'!D39</f>
        <v>51887.79</v>
      </c>
      <c r="E39" s="1025">
        <f>'Monthly DCF'!E39</f>
        <v>0</v>
      </c>
      <c r="F39" s="1026">
        <f>'Monthly DCF'!F39</f>
        <v>210040</v>
      </c>
      <c r="G39" s="1074"/>
      <c r="H39" s="1121">
        <f>SUMIFS('Monthly DCF'!39:39,'Monthly DCF'!$4:$4,'Yearly DCF'!H$3,'Monthly DCF'!$3:$3,"&lt;=" &amp;Summary!$F$20)</f>
        <v>0</v>
      </c>
      <c r="I39" s="1122">
        <f>SUMIFS('Monthly DCF'!39:39,'Monthly DCF'!$4:$4,'Yearly DCF'!I$3,'Monthly DCF'!$3:$3,"&lt;=" &amp;Summary!$F$20)</f>
        <v>0</v>
      </c>
      <c r="J39" s="1122">
        <f>SUMIFS('Monthly DCF'!39:39,'Monthly DCF'!$4:$4,'Yearly DCF'!J$3,'Monthly DCF'!$3:$3,"&lt;=" &amp;Summary!$F$20)</f>
        <v>0</v>
      </c>
      <c r="K39" s="1122">
        <f>SUMIFS('Monthly DCF'!39:39,'Monthly DCF'!$4:$4,'Yearly DCF'!K$3,'Monthly DCF'!$3:$3,"&lt;=" &amp;Summary!$F$20)</f>
        <v>1687103.2428534999</v>
      </c>
      <c r="L39" s="1122">
        <f>SUMIFS('Monthly DCF'!39:39,'Monthly DCF'!$4:$4,'Yearly DCF'!L$3,'Monthly DCF'!$3:$3,"&lt;=" &amp;Summary!$F$20)</f>
        <v>2823860.5177548002</v>
      </c>
      <c r="M39" s="1123">
        <f>SUMIFS('Monthly DCF'!39:39,'Monthly DCF'!$4:$4,'Yearly DCF'!M$3,'Monthly DCF'!$3:$3,"&lt;=" &amp;Summary!$F$20)</f>
        <v>2908576.3332874435</v>
      </c>
      <c r="N39" s="1122">
        <f>SUMIFS('Monthly DCF'!39:39,'Monthly DCF'!$4:$4,'Yearly DCF'!N$3,'Monthly DCF'!$3:$3,"&lt;=" &amp;Summary!$F$20)</f>
        <v>0</v>
      </c>
      <c r="O39" s="1122">
        <f>SUMIFS('Monthly DCF'!39:39,'Monthly DCF'!$4:$4,'Yearly DCF'!O$3,'Monthly DCF'!$3:$3,"&lt;=" &amp;Summary!$F$20)</f>
        <v>0</v>
      </c>
      <c r="P39" s="1122">
        <f>SUMIFS('Monthly DCF'!39:39,'Monthly DCF'!$4:$4,'Yearly DCF'!P$3,'Monthly DCF'!$3:$3,"&lt;=" &amp;Summary!$F$20)</f>
        <v>0</v>
      </c>
      <c r="Q39" s="1122">
        <f>SUMIFS('Monthly DCF'!39:39,'Monthly DCF'!$4:$4,'Yearly DCF'!Q$3,'Monthly DCF'!$3:$3,"&lt;=" &amp;Summary!$F$20)</f>
        <v>0</v>
      </c>
      <c r="R39" s="1123">
        <f>SUMIFS('Monthly DCF'!39:39,'Monthly DCF'!$4:$4,'Yearly DCF'!R$3,'Monthly DCF'!$3:$3,"&lt;=" &amp;Summary!$F$20)</f>
        <v>0</v>
      </c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369"/>
      <c r="AI39" s="370"/>
      <c r="AJ39" s="370"/>
      <c r="AK39" s="370"/>
      <c r="AL39" s="370"/>
      <c r="AM39" s="497"/>
      <c r="AN39" s="370"/>
      <c r="AO39" s="370"/>
      <c r="AP39" s="370"/>
      <c r="AQ39" s="370"/>
      <c r="AR39" s="370"/>
      <c r="AS39" s="370"/>
      <c r="AT39" s="370"/>
      <c r="AU39" s="370"/>
      <c r="AV39" s="370"/>
      <c r="AW39" s="498"/>
      <c r="AX39" s="370"/>
      <c r="AY39" s="370"/>
      <c r="AZ39" s="370"/>
      <c r="BA39" s="370"/>
      <c r="BB39" s="370"/>
      <c r="BC39" s="370"/>
      <c r="BD39" s="370"/>
      <c r="BE39" s="370"/>
      <c r="BF39" s="370"/>
      <c r="BG39" s="370"/>
      <c r="BH39" s="370"/>
      <c r="BI39" s="370"/>
      <c r="BJ39" s="370"/>
      <c r="BK39" s="370"/>
      <c r="BL39" s="370"/>
      <c r="BM39" s="370"/>
      <c r="BN39" s="370"/>
      <c r="BO39" s="370"/>
      <c r="BP39" s="370"/>
      <c r="BQ39" s="370"/>
    </row>
    <row r="40" spans="2:69" ht="15.75" customHeight="1" thickBot="1" x14ac:dyDescent="0.3">
      <c r="B40" s="1027" t="str">
        <f>'Monthly DCF'!B40</f>
        <v>Averages:</v>
      </c>
      <c r="C40" s="1028"/>
      <c r="D40" s="1029">
        <f>'Monthly DCF'!D40</f>
        <v>632.77792682926827</v>
      </c>
      <c r="E40" s="1030">
        <f>'Monthly DCF'!E40</f>
        <v>4.0479658123809097</v>
      </c>
      <c r="F40" s="1031">
        <f>'Monthly DCF'!F40</f>
        <v>2561.4634146341464</v>
      </c>
      <c r="G40" s="999"/>
      <c r="H40" s="1115">
        <f>SUMIFS('Monthly DCF'!40:40,'Monthly DCF'!$4:$4,'Yearly DCF'!H$3,'Monthly DCF'!$3:$3,"&lt;=" &amp;Summary!$F$20)</f>
        <v>0</v>
      </c>
      <c r="I40" s="599">
        <f>SUMIFS('Monthly DCF'!40:40,'Monthly DCF'!$4:$4,'Yearly DCF'!I$3,'Monthly DCF'!$3:$3,"&lt;=" &amp;Summary!$F$20)</f>
        <v>0</v>
      </c>
      <c r="J40" s="599">
        <f>SUMIFS('Monthly DCF'!40:40,'Monthly DCF'!$4:$4,'Yearly DCF'!J$3,'Monthly DCF'!$3:$3,"&lt;=" &amp;Summary!$F$20)</f>
        <v>0</v>
      </c>
      <c r="K40" s="599">
        <f>SUMIFS('Monthly DCF'!40:40,'Monthly DCF'!$4:$4,'Yearly DCF'!K$3,'Monthly DCF'!$3:$3,"&lt;=" &amp;Summary!$F$20)</f>
        <v>0</v>
      </c>
      <c r="L40" s="599">
        <f>SUMIFS('Monthly DCF'!40:40,'Monthly DCF'!$4:$4,'Yearly DCF'!L$3,'Monthly DCF'!$3:$3,"&lt;=" &amp;Summary!$F$20)</f>
        <v>0</v>
      </c>
      <c r="M40" s="1117">
        <f>SUMIFS('Monthly DCF'!40:40,'Monthly DCF'!$4:$4,'Yearly DCF'!M$3,'Monthly DCF'!$3:$3,"&lt;=" &amp;Summary!$F$20)</f>
        <v>0</v>
      </c>
      <c r="N40" s="599">
        <f>SUMIFS('Monthly DCF'!40:40,'Monthly DCF'!$4:$4,'Yearly DCF'!N$3,'Monthly DCF'!$3:$3,"&lt;=" &amp;Summary!$F$20)</f>
        <v>0</v>
      </c>
      <c r="O40" s="599">
        <f>SUMIFS('Monthly DCF'!40:40,'Monthly DCF'!$4:$4,'Yearly DCF'!O$3,'Monthly DCF'!$3:$3,"&lt;=" &amp;Summary!$F$20)</f>
        <v>0</v>
      </c>
      <c r="P40" s="599">
        <f>SUMIFS('Monthly DCF'!40:40,'Monthly DCF'!$4:$4,'Yearly DCF'!P$3,'Monthly DCF'!$3:$3,"&lt;=" &amp;Summary!$F$20)</f>
        <v>0</v>
      </c>
      <c r="Q40" s="599">
        <f>SUMIFS('Monthly DCF'!40:40,'Monthly DCF'!$4:$4,'Yearly DCF'!Q$3,'Monthly DCF'!$3:$3,"&lt;=" &amp;Summary!$F$20)</f>
        <v>0</v>
      </c>
      <c r="R40" s="1117">
        <f>SUMIFS('Monthly DCF'!40:40,'Monthly DCF'!$4:$4,'Yearly DCF'!R$3,'Monthly DCF'!$3:$3,"&lt;=" &amp;Summary!$F$20)</f>
        <v>0</v>
      </c>
      <c r="X40" s="499"/>
      <c r="Y40" s="499"/>
      <c r="Z40" s="499"/>
      <c r="AA40" s="499"/>
      <c r="AB40" s="499"/>
      <c r="AC40" s="499"/>
      <c r="AD40" s="499"/>
      <c r="AE40" s="499"/>
      <c r="AF40" s="499"/>
      <c r="AG40" s="499"/>
      <c r="AH40" s="499"/>
      <c r="AI40" s="499"/>
      <c r="AJ40" s="499"/>
      <c r="AK40" s="499"/>
      <c r="AL40" s="499"/>
      <c r="AM40" s="500"/>
      <c r="AN40" s="499"/>
      <c r="AO40" s="499"/>
      <c r="AP40" s="499"/>
      <c r="AQ40" s="499"/>
      <c r="AR40" s="499"/>
      <c r="AS40" s="499"/>
      <c r="AT40" s="499"/>
      <c r="AU40" s="499"/>
      <c r="AV40" s="499"/>
      <c r="AW40" s="501"/>
      <c r="AX40" s="499"/>
      <c r="AY40" s="499"/>
      <c r="AZ40" s="499"/>
      <c r="BA40" s="499"/>
      <c r="BB40" s="499"/>
      <c r="BC40" s="499"/>
      <c r="BD40" s="499"/>
      <c r="BE40" s="499"/>
      <c r="BF40" s="499"/>
      <c r="BG40" s="499"/>
      <c r="BH40" s="499"/>
      <c r="BI40" s="499"/>
      <c r="BJ40" s="499"/>
      <c r="BK40" s="499"/>
      <c r="BL40" s="499"/>
      <c r="BM40" s="499"/>
      <c r="BN40" s="499"/>
      <c r="BO40" s="499"/>
      <c r="BP40" s="499"/>
      <c r="BQ40" s="499"/>
    </row>
    <row r="41" spans="2:69" ht="15.75" customHeight="1" x14ac:dyDescent="0.25">
      <c r="B41" s="1027"/>
      <c r="C41" s="999"/>
      <c r="D41" s="1029"/>
      <c r="E41" s="1032"/>
      <c r="F41" s="1033"/>
      <c r="G41" s="999"/>
      <c r="H41" s="1115">
        <f>SUMIFS('Monthly DCF'!41:41,'Monthly DCF'!$4:$4,'Yearly DCF'!H$3,'Monthly DCF'!$3:$3,"&lt;=" &amp;Summary!$F$20)</f>
        <v>0</v>
      </c>
      <c r="I41" s="599">
        <f>SUMIFS('Monthly DCF'!41:41,'Monthly DCF'!$4:$4,'Yearly DCF'!I$3,'Monthly DCF'!$3:$3,"&lt;=" &amp;Summary!$F$20)</f>
        <v>0</v>
      </c>
      <c r="J41" s="599">
        <f>SUMIFS('Monthly DCF'!41:41,'Monthly DCF'!$4:$4,'Yearly DCF'!J$3,'Monthly DCF'!$3:$3,"&lt;=" &amp;Summary!$F$20)</f>
        <v>0</v>
      </c>
      <c r="K41" s="599">
        <f>SUMIFS('Monthly DCF'!41:41,'Monthly DCF'!$4:$4,'Yearly DCF'!K$3,'Monthly DCF'!$3:$3,"&lt;=" &amp;Summary!$F$20)</f>
        <v>0</v>
      </c>
      <c r="L41" s="599">
        <f>SUMIFS('Monthly DCF'!41:41,'Monthly DCF'!$4:$4,'Yearly DCF'!L$3,'Monthly DCF'!$3:$3,"&lt;=" &amp;Summary!$F$20)</f>
        <v>0</v>
      </c>
      <c r="M41" s="1117">
        <f>SUMIFS('Monthly DCF'!41:41,'Monthly DCF'!$4:$4,'Yearly DCF'!M$3,'Monthly DCF'!$3:$3,"&lt;=" &amp;Summary!$F$20)</f>
        <v>0</v>
      </c>
      <c r="N41" s="599">
        <f>SUMIFS('Monthly DCF'!41:41,'Monthly DCF'!$4:$4,'Yearly DCF'!N$3,'Monthly DCF'!$3:$3,"&lt;=" &amp;Summary!$F$20)</f>
        <v>0</v>
      </c>
      <c r="O41" s="599">
        <f>SUMIFS('Monthly DCF'!41:41,'Monthly DCF'!$4:$4,'Yearly DCF'!O$3,'Monthly DCF'!$3:$3,"&lt;=" &amp;Summary!$F$20)</f>
        <v>0</v>
      </c>
      <c r="P41" s="599">
        <f>SUMIFS('Monthly DCF'!41:41,'Monthly DCF'!$4:$4,'Yearly DCF'!P$3,'Monthly DCF'!$3:$3,"&lt;=" &amp;Summary!$F$20)</f>
        <v>0</v>
      </c>
      <c r="Q41" s="599">
        <f>SUMIFS('Monthly DCF'!41:41,'Monthly DCF'!$4:$4,'Yearly DCF'!Q$3,'Monthly DCF'!$3:$3,"&lt;=" &amp;Summary!$F$20)</f>
        <v>0</v>
      </c>
      <c r="R41" s="1117">
        <f>SUMIFS('Monthly DCF'!41:41,'Monthly DCF'!$4:$4,'Yearly DCF'!R$3,'Monthly DCF'!$3:$3,"&lt;=" &amp;Summary!$F$20)</f>
        <v>0</v>
      </c>
      <c r="X41" s="360"/>
      <c r="Y41" s="360"/>
      <c r="Z41" s="360"/>
      <c r="AA41" s="360"/>
      <c r="AB41" s="360"/>
      <c r="AC41" s="360"/>
      <c r="AD41" s="360"/>
      <c r="AE41" s="360"/>
      <c r="AF41" s="360"/>
      <c r="AG41" s="360"/>
      <c r="AH41" s="360"/>
      <c r="AI41" s="360"/>
      <c r="AJ41" s="360"/>
      <c r="AK41" s="360"/>
      <c r="AL41" s="360"/>
      <c r="AM41" s="502"/>
      <c r="AN41" s="360"/>
      <c r="AO41" s="360"/>
      <c r="AP41" s="360"/>
      <c r="AQ41" s="360"/>
      <c r="AR41" s="360"/>
      <c r="AS41" s="360"/>
      <c r="AT41" s="360"/>
      <c r="AU41" s="360"/>
      <c r="AV41" s="360"/>
      <c r="AW41" s="503"/>
      <c r="AX41" s="360"/>
      <c r="AY41" s="360"/>
      <c r="AZ41" s="360"/>
      <c r="BA41" s="360"/>
      <c r="BB41" s="360"/>
      <c r="BC41" s="360"/>
      <c r="BD41" s="360"/>
      <c r="BE41" s="360"/>
      <c r="BF41" s="360"/>
      <c r="BG41" s="360"/>
      <c r="BH41" s="360"/>
      <c r="BI41" s="360"/>
      <c r="BJ41" s="360"/>
      <c r="BK41" s="360"/>
      <c r="BL41" s="360"/>
      <c r="BM41" s="360"/>
      <c r="BN41" s="360"/>
      <c r="BO41" s="360"/>
      <c r="BP41" s="360"/>
      <c r="BQ41" s="360"/>
    </row>
    <row r="42" spans="2:69" ht="15.75" customHeight="1" x14ac:dyDescent="0.25">
      <c r="B42" s="1012" t="str">
        <f>'Monthly DCF'!B42</f>
        <v>Other Income</v>
      </c>
      <c r="C42" s="999"/>
      <c r="D42" s="1034" t="str">
        <f>'Monthly DCF'!D42</f>
        <v>$/Unit/Mo</v>
      </c>
      <c r="E42" s="1005" t="str">
        <f>'Monthly DCF'!E42</f>
        <v>Monthly Income</v>
      </c>
      <c r="F42" s="1005" t="str">
        <f>'Monthly DCF'!F42</f>
        <v>Annual Income</v>
      </c>
      <c r="G42" s="999"/>
      <c r="H42" s="1115">
        <f>SUMIFS('Monthly DCF'!42:42,'Monthly DCF'!$4:$4,'Yearly DCF'!H$3,'Monthly DCF'!$3:$3,"&lt;=" &amp;Summary!$F$20)</f>
        <v>0</v>
      </c>
      <c r="I42" s="599">
        <f>SUMIFS('Monthly DCF'!42:42,'Monthly DCF'!$4:$4,'Yearly DCF'!I$3,'Monthly DCF'!$3:$3,"&lt;=" &amp;Summary!$F$20)</f>
        <v>0</v>
      </c>
      <c r="J42" s="599">
        <f>SUMIFS('Monthly DCF'!42:42,'Monthly DCF'!$4:$4,'Yearly DCF'!J$3,'Monthly DCF'!$3:$3,"&lt;=" &amp;Summary!$F$20)</f>
        <v>0</v>
      </c>
      <c r="K42" s="599">
        <f>SUMIFS('Monthly DCF'!42:42,'Monthly DCF'!$4:$4,'Yearly DCF'!K$3,'Monthly DCF'!$3:$3,"&lt;=" &amp;Summary!$F$20)</f>
        <v>0</v>
      </c>
      <c r="L42" s="599">
        <f>SUMIFS('Monthly DCF'!42:42,'Monthly DCF'!$4:$4,'Yearly DCF'!L$3,'Monthly DCF'!$3:$3,"&lt;=" &amp;Summary!$F$20)</f>
        <v>0</v>
      </c>
      <c r="M42" s="1117">
        <f>SUMIFS('Monthly DCF'!42:42,'Monthly DCF'!$4:$4,'Yearly DCF'!M$3,'Monthly DCF'!$3:$3,"&lt;=" &amp;Summary!$F$20)</f>
        <v>0</v>
      </c>
      <c r="N42" s="599">
        <f>SUMIFS('Monthly DCF'!42:42,'Monthly DCF'!$4:$4,'Yearly DCF'!N$3,'Monthly DCF'!$3:$3,"&lt;=" &amp;Summary!$F$20)</f>
        <v>0</v>
      </c>
      <c r="O42" s="599">
        <f>SUMIFS('Monthly DCF'!42:42,'Monthly DCF'!$4:$4,'Yearly DCF'!O$3,'Monthly DCF'!$3:$3,"&lt;=" &amp;Summary!$F$20)</f>
        <v>0</v>
      </c>
      <c r="P42" s="599">
        <f>SUMIFS('Monthly DCF'!42:42,'Monthly DCF'!$4:$4,'Yearly DCF'!P$3,'Monthly DCF'!$3:$3,"&lt;=" &amp;Summary!$F$20)</f>
        <v>0</v>
      </c>
      <c r="Q42" s="599">
        <f>SUMIFS('Monthly DCF'!42:42,'Monthly DCF'!$4:$4,'Yearly DCF'!Q$3,'Monthly DCF'!$3:$3,"&lt;=" &amp;Summary!$F$20)</f>
        <v>0</v>
      </c>
      <c r="R42" s="1117">
        <f>SUMIFS('Monthly DCF'!42:42,'Monthly DCF'!$4:$4,'Yearly DCF'!R$3,'Monthly DCF'!$3:$3,"&lt;=" &amp;Summary!$F$20)</f>
        <v>0</v>
      </c>
      <c r="X42" s="360"/>
      <c r="Y42" s="360"/>
      <c r="Z42" s="360"/>
      <c r="AA42" s="360"/>
      <c r="AB42" s="360"/>
      <c r="AC42" s="360"/>
      <c r="AD42" s="360"/>
      <c r="AE42" s="360"/>
      <c r="AF42" s="360"/>
      <c r="AG42" s="360"/>
      <c r="AH42" s="360"/>
      <c r="AI42" s="360"/>
      <c r="AJ42" s="360"/>
      <c r="AK42" s="360"/>
      <c r="AL42" s="360"/>
      <c r="AM42" s="502"/>
      <c r="AN42" s="360"/>
      <c r="AO42" s="360"/>
      <c r="AP42" s="360"/>
      <c r="AQ42" s="360"/>
      <c r="AR42" s="360"/>
      <c r="AS42" s="360"/>
      <c r="AT42" s="360"/>
      <c r="AU42" s="360"/>
      <c r="AV42" s="360"/>
      <c r="AW42" s="503"/>
      <c r="AX42" s="360"/>
      <c r="AY42" s="360"/>
      <c r="AZ42" s="360"/>
      <c r="BA42" s="360"/>
      <c r="BB42" s="360"/>
      <c r="BC42" s="360"/>
      <c r="BD42" s="360"/>
      <c r="BE42" s="360"/>
      <c r="BF42" s="360"/>
      <c r="BG42" s="360"/>
      <c r="BH42" s="360"/>
      <c r="BI42" s="360"/>
      <c r="BJ42" s="360"/>
      <c r="BK42" s="360"/>
      <c r="BL42" s="360"/>
      <c r="BM42" s="360"/>
      <c r="BN42" s="360"/>
      <c r="BO42" s="360"/>
      <c r="BP42" s="360"/>
      <c r="BQ42" s="360"/>
    </row>
    <row r="43" spans="2:69" ht="15.75" customHeight="1" x14ac:dyDescent="0.25">
      <c r="B43" s="1035" t="str">
        <f>'Monthly DCF'!B43</f>
        <v>Other Income</v>
      </c>
      <c r="C43" s="995"/>
      <c r="D43" s="996">
        <f>'Monthly DCF'!D43</f>
        <v>25</v>
      </c>
      <c r="E43" s="996">
        <f>'Monthly DCF'!E43</f>
        <v>2050</v>
      </c>
      <c r="F43" s="996">
        <f>'Monthly DCF'!F43</f>
        <v>24600</v>
      </c>
      <c r="G43" s="1075"/>
      <c r="H43" s="1115">
        <f>SUMIFS('Monthly DCF'!43:43,'Monthly DCF'!$4:$4,'Yearly DCF'!H$3,'Monthly DCF'!$3:$3,"&lt;=" &amp;Summary!$F$20)</f>
        <v>0</v>
      </c>
      <c r="I43" s="599">
        <f>SUMIFS('Monthly DCF'!43:43,'Monthly DCF'!$4:$4,'Yearly DCF'!I$3,'Monthly DCF'!$3:$3,"&lt;=" &amp;Summary!$F$20)</f>
        <v>0</v>
      </c>
      <c r="J43" s="599">
        <f>SUMIFS('Monthly DCF'!43:43,'Monthly DCF'!$4:$4,'Yearly DCF'!J$3,'Monthly DCF'!$3:$3,"&lt;=" &amp;Summary!$F$20)</f>
        <v>0</v>
      </c>
      <c r="K43" s="599">
        <f>SUMIFS('Monthly DCF'!43:43,'Monthly DCF'!$4:$4,'Yearly DCF'!K$3,'Monthly DCF'!$3:$3,"&lt;=" &amp;Summary!$F$20)</f>
        <v>16500.1777</v>
      </c>
      <c r="L43" s="599">
        <f>SUMIFS('Monthly DCF'!43:43,'Monthly DCF'!$4:$4,'Yearly DCF'!L$3,'Monthly DCF'!$3:$3,"&lt;=" &amp;Summary!$F$20)</f>
        <v>27687.516725999998</v>
      </c>
      <c r="M43" s="1117">
        <f>SUMIFS('Monthly DCF'!43:43,'Monthly DCF'!$4:$4,'Yearly DCF'!M$3,'Monthly DCF'!$3:$3,"&lt;=" &amp;Summary!$F$20)</f>
        <v>28518.142227780001</v>
      </c>
      <c r="N43" s="599">
        <f>SUMIFS('Monthly DCF'!43:43,'Monthly DCF'!$4:$4,'Yearly DCF'!N$3,'Monthly DCF'!$3:$3,"&lt;=" &amp;Summary!$F$20)</f>
        <v>0</v>
      </c>
      <c r="O43" s="599">
        <f>SUMIFS('Monthly DCF'!43:43,'Monthly DCF'!$4:$4,'Yearly DCF'!O$3,'Monthly DCF'!$3:$3,"&lt;=" &amp;Summary!$F$20)</f>
        <v>0</v>
      </c>
      <c r="P43" s="599">
        <f>SUMIFS('Monthly DCF'!43:43,'Monthly DCF'!$4:$4,'Yearly DCF'!P$3,'Monthly DCF'!$3:$3,"&lt;=" &amp;Summary!$F$20)</f>
        <v>0</v>
      </c>
      <c r="Q43" s="599">
        <f>SUMIFS('Monthly DCF'!43:43,'Monthly DCF'!$4:$4,'Yearly DCF'!Q$3,'Monthly DCF'!$3:$3,"&lt;=" &amp;Summary!$F$20)</f>
        <v>0</v>
      </c>
      <c r="R43" s="1117">
        <f>SUMIFS('Monthly DCF'!43:43,'Monthly DCF'!$4:$4,'Yearly DCF'!R$3,'Monthly DCF'!$3:$3,"&lt;=" &amp;Summary!$F$20)</f>
        <v>0</v>
      </c>
      <c r="X43" s="6"/>
      <c r="Y43" s="6"/>
      <c r="Z43" s="6"/>
      <c r="AA43" s="6"/>
      <c r="AB43" s="6"/>
      <c r="AC43" s="360"/>
      <c r="AD43" s="6"/>
      <c r="AE43" s="6"/>
      <c r="AF43" s="6"/>
      <c r="AG43" s="6"/>
      <c r="AH43" s="6"/>
      <c r="AI43" s="6"/>
      <c r="AJ43" s="6"/>
      <c r="AK43" s="6"/>
      <c r="AL43" s="6"/>
      <c r="AM43" s="476"/>
      <c r="AN43" s="6"/>
      <c r="AO43" s="6"/>
      <c r="AP43" s="6"/>
      <c r="AQ43" s="6"/>
      <c r="AR43" s="6"/>
      <c r="AS43" s="6"/>
      <c r="AT43" s="6"/>
      <c r="AU43" s="6"/>
      <c r="AV43" s="6"/>
      <c r="AW43" s="492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</row>
    <row r="44" spans="2:69" ht="15.75" customHeight="1" x14ac:dyDescent="0.25">
      <c r="B44" s="1012" t="str">
        <f>'Monthly DCF'!B44</f>
        <v>Commercial Income</v>
      </c>
      <c r="C44" s="995"/>
      <c r="D44" s="996"/>
      <c r="E44" s="996"/>
      <c r="F44" s="996"/>
      <c r="G44" s="1075"/>
      <c r="H44" s="1115">
        <f>SUMIFS('Monthly DCF'!44:44,'Monthly DCF'!$4:$4,'Yearly DCF'!H$3,'Monthly DCF'!$3:$3,"&lt;=" &amp;Summary!$F$20)</f>
        <v>0</v>
      </c>
      <c r="I44" s="599">
        <f>SUMIFS('Monthly DCF'!44:44,'Monthly DCF'!$4:$4,'Yearly DCF'!I$3,'Monthly DCF'!$3:$3,"&lt;=" &amp;Summary!$F$20)</f>
        <v>0</v>
      </c>
      <c r="J44" s="599">
        <f>SUMIFS('Monthly DCF'!44:44,'Monthly DCF'!$4:$4,'Yearly DCF'!J$3,'Monthly DCF'!$3:$3,"&lt;=" &amp;Summary!$F$20)</f>
        <v>0</v>
      </c>
      <c r="K44" s="599">
        <f>SUMIFS('Monthly DCF'!44:44,'Monthly DCF'!$4:$4,'Yearly DCF'!K$3,'Monthly DCF'!$3:$3,"&lt;=" &amp;Summary!$F$20)</f>
        <v>0</v>
      </c>
      <c r="L44" s="599">
        <f>SUMIFS('Monthly DCF'!44:44,'Monthly DCF'!$4:$4,'Yearly DCF'!L$3,'Monthly DCF'!$3:$3,"&lt;=" &amp;Summary!$F$20)</f>
        <v>0</v>
      </c>
      <c r="M44" s="1117">
        <f>SUMIFS('Monthly DCF'!44:44,'Monthly DCF'!$4:$4,'Yearly DCF'!M$3,'Monthly DCF'!$3:$3,"&lt;=" &amp;Summary!$F$20)</f>
        <v>0</v>
      </c>
      <c r="N44" s="599">
        <f>SUMIFS('Monthly DCF'!44:44,'Monthly DCF'!$4:$4,'Yearly DCF'!N$3,'Monthly DCF'!$3:$3,"&lt;=" &amp;Summary!$F$20)</f>
        <v>0</v>
      </c>
      <c r="O44" s="599">
        <f>SUMIFS('Monthly DCF'!44:44,'Monthly DCF'!$4:$4,'Yearly DCF'!O$3,'Monthly DCF'!$3:$3,"&lt;=" &amp;Summary!$F$20)</f>
        <v>0</v>
      </c>
      <c r="P44" s="599">
        <f>SUMIFS('Monthly DCF'!44:44,'Monthly DCF'!$4:$4,'Yearly DCF'!P$3,'Monthly DCF'!$3:$3,"&lt;=" &amp;Summary!$F$20)</f>
        <v>0</v>
      </c>
      <c r="Q44" s="599">
        <f>SUMIFS('Monthly DCF'!44:44,'Monthly DCF'!$4:$4,'Yearly DCF'!Q$3,'Monthly DCF'!$3:$3,"&lt;=" &amp;Summary!$F$20)</f>
        <v>0</v>
      </c>
      <c r="R44" s="1117">
        <f>SUMIFS('Monthly DCF'!44:44,'Monthly DCF'!$4:$4,'Yearly DCF'!R$3,'Monthly DCF'!$3:$3,"&lt;=" &amp;Summary!$F$20)</f>
        <v>0</v>
      </c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491"/>
      <c r="AN44" s="198"/>
      <c r="AO44" s="198"/>
      <c r="AP44" s="198"/>
      <c r="AQ44" s="198"/>
      <c r="AR44" s="198"/>
      <c r="AS44" s="198"/>
      <c r="AT44" s="198"/>
      <c r="AU44" s="198"/>
      <c r="AV44" s="198"/>
      <c r="AW44" s="492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</row>
    <row r="45" spans="2:69" ht="15.75" customHeight="1" x14ac:dyDescent="0.25">
      <c r="B45" s="1035" t="str">
        <f>'Monthly DCF'!B45</f>
        <v>Leased Income</v>
      </c>
      <c r="C45" s="995"/>
      <c r="D45" s="1018">
        <f>'Monthly DCF'!D45</f>
        <v>1.75</v>
      </c>
      <c r="E45" s="996">
        <f>'Monthly DCF'!E45</f>
        <v>9828</v>
      </c>
      <c r="F45" s="996">
        <f>'Monthly DCF'!F45</f>
        <v>117936</v>
      </c>
      <c r="G45" s="1075"/>
      <c r="H45" s="1115">
        <f>SUMIFS('Monthly DCF'!45:45,'Monthly DCF'!$4:$4,'Yearly DCF'!H$3,'Monthly DCF'!$3:$3,"&lt;=" &amp;Summary!$F$20)</f>
        <v>0</v>
      </c>
      <c r="I45" s="599">
        <f>SUMIFS('Monthly DCF'!45:45,'Monthly DCF'!$4:$4,'Yearly DCF'!I$3,'Monthly DCF'!$3:$3,"&lt;=" &amp;Summary!$F$20)</f>
        <v>0</v>
      </c>
      <c r="J45" s="599">
        <f>SUMIFS('Monthly DCF'!45:45,'Monthly DCF'!$4:$4,'Yearly DCF'!J$3,'Monthly DCF'!$3:$3,"&lt;=" &amp;Summary!$F$20)</f>
        <v>0</v>
      </c>
      <c r="K45" s="599">
        <f>SUMIFS('Monthly DCF'!45:45,'Monthly DCF'!$4:$4,'Yearly DCF'!K$3,'Monthly DCF'!$3:$3,"&lt;=" &amp;Summary!$F$20)</f>
        <v>128871.85147199997</v>
      </c>
      <c r="L45" s="599">
        <f>SUMIFS('Monthly DCF'!45:45,'Monthly DCF'!$4:$4,'Yearly DCF'!L$3,'Monthly DCF'!$3:$3,"&lt;=" &amp;Summary!$F$20)</f>
        <v>132738.00701616003</v>
      </c>
      <c r="M45" s="1117">
        <f>SUMIFS('Monthly DCF'!45:45,'Monthly DCF'!$4:$4,'Yearly DCF'!M$3,'Monthly DCF'!$3:$3,"&lt;=" &amp;Summary!$F$20)</f>
        <v>136720.14722664483</v>
      </c>
      <c r="N45" s="599">
        <f>SUMIFS('Monthly DCF'!45:45,'Monthly DCF'!$4:$4,'Yearly DCF'!N$3,'Monthly DCF'!$3:$3,"&lt;=" &amp;Summary!$F$20)</f>
        <v>0</v>
      </c>
      <c r="O45" s="599">
        <f>SUMIFS('Monthly DCF'!45:45,'Monthly DCF'!$4:$4,'Yearly DCF'!O$3,'Monthly DCF'!$3:$3,"&lt;=" &amp;Summary!$F$20)</f>
        <v>0</v>
      </c>
      <c r="P45" s="599">
        <f>SUMIFS('Monthly DCF'!45:45,'Monthly DCF'!$4:$4,'Yearly DCF'!P$3,'Monthly DCF'!$3:$3,"&lt;=" &amp;Summary!$F$20)</f>
        <v>0</v>
      </c>
      <c r="Q45" s="599">
        <f>SUMIFS('Monthly DCF'!45:45,'Monthly DCF'!$4:$4,'Yearly DCF'!Q$3,'Monthly DCF'!$3:$3,"&lt;=" &amp;Summary!$F$20)</f>
        <v>0</v>
      </c>
      <c r="R45" s="1117">
        <f>SUMIFS('Monthly DCF'!45:45,'Monthly DCF'!$4:$4,'Yearly DCF'!R$3,'Monthly DCF'!$3:$3,"&lt;=" &amp;Summary!$F$20)</f>
        <v>0</v>
      </c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491"/>
      <c r="AN45" s="198"/>
      <c r="AO45" s="198"/>
      <c r="AP45" s="198"/>
      <c r="AQ45" s="198"/>
      <c r="AR45" s="198"/>
      <c r="AS45" s="198"/>
      <c r="AT45" s="198"/>
      <c r="AU45" s="198"/>
      <c r="AV45" s="198"/>
      <c r="AW45" s="492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</row>
    <row r="46" spans="2:69" ht="15.75" customHeight="1" x14ac:dyDescent="0.25">
      <c r="B46" s="1036"/>
      <c r="C46" s="1000"/>
      <c r="D46" s="1001"/>
      <c r="E46" s="1001"/>
      <c r="F46" s="1001"/>
      <c r="G46" s="1076"/>
      <c r="H46" s="1125">
        <f>SUMIFS('Monthly DCF'!46:46,'Monthly DCF'!$4:$4,'Yearly DCF'!H$3,'Monthly DCF'!$3:$3,"&lt;=" &amp;Summary!$F$20)</f>
        <v>0</v>
      </c>
      <c r="I46" s="600">
        <f>SUMIFS('Monthly DCF'!46:46,'Monthly DCF'!$4:$4,'Yearly DCF'!I$3,'Monthly DCF'!$3:$3,"&lt;=" &amp;Summary!$F$20)</f>
        <v>0</v>
      </c>
      <c r="J46" s="600">
        <f>SUMIFS('Monthly DCF'!46:46,'Monthly DCF'!$4:$4,'Yearly DCF'!J$3,'Monthly DCF'!$3:$3,"&lt;=" &amp;Summary!$F$20)</f>
        <v>0</v>
      </c>
      <c r="K46" s="600">
        <f>SUMIFS('Monthly DCF'!46:46,'Monthly DCF'!$4:$4,'Yearly DCF'!K$3,'Monthly DCF'!$3:$3,"&lt;=" &amp;Summary!$F$20)</f>
        <v>0</v>
      </c>
      <c r="L46" s="600">
        <f>SUMIFS('Monthly DCF'!46:46,'Monthly DCF'!$4:$4,'Yearly DCF'!L$3,'Monthly DCF'!$3:$3,"&lt;=" &amp;Summary!$F$20)</f>
        <v>0</v>
      </c>
      <c r="M46" s="1126">
        <f>SUMIFS('Monthly DCF'!46:46,'Monthly DCF'!$4:$4,'Yearly DCF'!M$3,'Monthly DCF'!$3:$3,"&lt;=" &amp;Summary!$F$20)</f>
        <v>0</v>
      </c>
      <c r="N46" s="600">
        <f>SUMIFS('Monthly DCF'!46:46,'Monthly DCF'!$4:$4,'Yearly DCF'!N$3,'Monthly DCF'!$3:$3,"&lt;=" &amp;Summary!$F$20)</f>
        <v>0</v>
      </c>
      <c r="O46" s="600">
        <f>SUMIFS('Monthly DCF'!46:46,'Monthly DCF'!$4:$4,'Yearly DCF'!O$3,'Monthly DCF'!$3:$3,"&lt;=" &amp;Summary!$F$20)</f>
        <v>0</v>
      </c>
      <c r="P46" s="600">
        <f>SUMIFS('Monthly DCF'!46:46,'Monthly DCF'!$4:$4,'Yearly DCF'!P$3,'Monthly DCF'!$3:$3,"&lt;=" &amp;Summary!$F$20)</f>
        <v>0</v>
      </c>
      <c r="Q46" s="600">
        <f>SUMIFS('Monthly DCF'!46:46,'Monthly DCF'!$4:$4,'Yearly DCF'!Q$3,'Monthly DCF'!$3:$3,"&lt;=" &amp;Summary!$F$20)</f>
        <v>0</v>
      </c>
      <c r="R46" s="1126">
        <f>SUMIFS('Monthly DCF'!46:46,'Monthly DCF'!$4:$4,'Yearly DCF'!R$3,'Monthly DCF'!$3:$3,"&lt;=" &amp;Summary!$F$20)</f>
        <v>0</v>
      </c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491"/>
      <c r="AN46" s="198"/>
      <c r="AO46" s="198"/>
      <c r="AP46" s="198"/>
      <c r="AQ46" s="198"/>
      <c r="AR46" s="198"/>
      <c r="AS46" s="198"/>
      <c r="AT46" s="198"/>
      <c r="AU46" s="198"/>
      <c r="AV46" s="198"/>
      <c r="AW46" s="492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</row>
    <row r="47" spans="2:69" ht="15.75" customHeight="1" x14ac:dyDescent="0.25">
      <c r="B47" s="1037" t="str">
        <f>'Monthly DCF'!B47</f>
        <v>Gross Potential Income</v>
      </c>
      <c r="C47" s="997"/>
      <c r="D47" s="997"/>
      <c r="E47" s="997"/>
      <c r="F47" s="997"/>
      <c r="G47" s="1077"/>
      <c r="H47" s="1127">
        <f>SUMIFS('Monthly DCF'!47:47,'Monthly DCF'!$4:$4,'Yearly DCF'!H$3,'Monthly DCF'!$3:$3,"&lt;=" &amp;Summary!$F$20)</f>
        <v>0</v>
      </c>
      <c r="I47" s="998">
        <f>SUMIFS('Monthly DCF'!47:47,'Monthly DCF'!$4:$4,'Yearly DCF'!I$3,'Monthly DCF'!$3:$3,"&lt;=" &amp;Summary!$F$20)</f>
        <v>0</v>
      </c>
      <c r="J47" s="998">
        <f>SUMIFS('Monthly DCF'!47:47,'Monthly DCF'!$4:$4,'Yearly DCF'!J$3,'Monthly DCF'!$3:$3,"&lt;=" &amp;Summary!$F$20)</f>
        <v>0</v>
      </c>
      <c r="K47" s="998">
        <f>SUMIFS('Monthly DCF'!47:47,'Monthly DCF'!$4:$4,'Yearly DCF'!K$3,'Monthly DCF'!$3:$3,"&lt;=" &amp;Summary!$F$20)</f>
        <v>1832475.2720255002</v>
      </c>
      <c r="L47" s="998">
        <f>SUMIFS('Monthly DCF'!47:47,'Monthly DCF'!$4:$4,'Yearly DCF'!L$3,'Monthly DCF'!$3:$3,"&lt;=" &amp;Summary!$F$20)</f>
        <v>2984286.041496959</v>
      </c>
      <c r="M47" s="1128">
        <f>SUMIFS('Monthly DCF'!47:47,'Monthly DCF'!$4:$4,'Yearly DCF'!M$3,'Monthly DCF'!$3:$3,"&lt;=" &amp;Summary!$F$20)</f>
        <v>3073814.6227418687</v>
      </c>
      <c r="N47" s="998">
        <f>SUMIFS('Monthly DCF'!47:47,'Monthly DCF'!$4:$4,'Yearly DCF'!N$3,'Monthly DCF'!$3:$3,"&lt;=" &amp;Summary!$F$20)</f>
        <v>0</v>
      </c>
      <c r="O47" s="998">
        <f>SUMIFS('Monthly DCF'!47:47,'Monthly DCF'!$4:$4,'Yearly DCF'!O$3,'Monthly DCF'!$3:$3,"&lt;=" &amp;Summary!$F$20)</f>
        <v>0</v>
      </c>
      <c r="P47" s="998">
        <f>SUMIFS('Monthly DCF'!47:47,'Monthly DCF'!$4:$4,'Yearly DCF'!P$3,'Monthly DCF'!$3:$3,"&lt;=" &amp;Summary!$F$20)</f>
        <v>0</v>
      </c>
      <c r="Q47" s="998">
        <f>SUMIFS('Monthly DCF'!47:47,'Monthly DCF'!$4:$4,'Yearly DCF'!Q$3,'Monthly DCF'!$3:$3,"&lt;=" &amp;Summary!$F$20)</f>
        <v>0</v>
      </c>
      <c r="R47" s="1128">
        <f>SUMIFS('Monthly DCF'!47:47,'Monthly DCF'!$4:$4,'Yearly DCF'!R$3,'Monthly DCF'!$3:$3,"&lt;=" &amp;Summary!$F$20)</f>
        <v>0</v>
      </c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491"/>
      <c r="AN47" s="198"/>
      <c r="AO47" s="198"/>
      <c r="AP47" s="198"/>
      <c r="AQ47" s="198"/>
      <c r="AR47" s="198"/>
      <c r="AS47" s="198"/>
      <c r="AT47" s="198"/>
      <c r="AU47" s="198"/>
      <c r="AV47" s="198"/>
      <c r="AW47" s="492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</row>
    <row r="48" spans="2:69" ht="15.75" hidden="1" customHeight="1" x14ac:dyDescent="0.25">
      <c r="B48" s="1038" t="str">
        <f>'Monthly DCF'!B48</f>
        <v xml:space="preserve">   Add: Expense Reimbuirsement</v>
      </c>
      <c r="C48" s="1011"/>
      <c r="D48" s="1011"/>
      <c r="E48" s="999"/>
      <c r="F48" s="1011"/>
      <c r="G48" s="1078">
        <f>'Monthly DCF'!G48</f>
        <v>0</v>
      </c>
      <c r="H48" s="1129">
        <f>SUMIFS('Monthly DCF'!48:48,'Monthly DCF'!$4:$4,'Yearly DCF'!H$3,'Monthly DCF'!$3:$3,"&lt;=" &amp;Summary!$F$20)</f>
        <v>0</v>
      </c>
      <c r="I48" s="1130">
        <f>SUMIFS('Monthly DCF'!48:48,'Monthly DCF'!$4:$4,'Yearly DCF'!I$3,'Monthly DCF'!$3:$3,"&lt;=" &amp;Summary!$F$20)</f>
        <v>0</v>
      </c>
      <c r="J48" s="1130">
        <f>SUMIFS('Monthly DCF'!48:48,'Monthly DCF'!$4:$4,'Yearly DCF'!J$3,'Monthly DCF'!$3:$3,"&lt;=" &amp;Summary!$F$20)</f>
        <v>0</v>
      </c>
      <c r="K48" s="1130">
        <f>SUMIFS('Monthly DCF'!48:48,'Monthly DCF'!$4:$4,'Yearly DCF'!K$3,'Monthly DCF'!$3:$3,"&lt;=" &amp;Summary!$F$20)</f>
        <v>0</v>
      </c>
      <c r="L48" s="1130">
        <f>SUMIFS('Monthly DCF'!48:48,'Monthly DCF'!$4:$4,'Yearly DCF'!L$3,'Monthly DCF'!$3:$3,"&lt;=" &amp;Summary!$F$20)</f>
        <v>0</v>
      </c>
      <c r="M48" s="1131">
        <f>SUMIFS('Monthly DCF'!48:48,'Monthly DCF'!$4:$4,'Yearly DCF'!M$3,'Monthly DCF'!$3:$3,"&lt;=" &amp;Summary!$F$20)</f>
        <v>0</v>
      </c>
      <c r="N48" s="1130">
        <f>SUMIFS('Monthly DCF'!48:48,'Monthly DCF'!$4:$4,'Yearly DCF'!N$3,'Monthly DCF'!$3:$3,"&lt;=" &amp;Summary!$F$20)</f>
        <v>0</v>
      </c>
      <c r="O48" s="1130">
        <f>SUMIFS('Monthly DCF'!48:48,'Monthly DCF'!$4:$4,'Yearly DCF'!O$3,'Monthly DCF'!$3:$3,"&lt;=" &amp;Summary!$F$20)</f>
        <v>0</v>
      </c>
      <c r="P48" s="1130">
        <f>SUMIFS('Monthly DCF'!48:48,'Monthly DCF'!$4:$4,'Yearly DCF'!P$3,'Monthly DCF'!$3:$3,"&lt;=" &amp;Summary!$F$20)</f>
        <v>0</v>
      </c>
      <c r="Q48" s="1130">
        <f>SUMIFS('Monthly DCF'!48:48,'Monthly DCF'!$4:$4,'Yearly DCF'!Q$3,'Monthly DCF'!$3:$3,"&lt;=" &amp;Summary!$F$20)</f>
        <v>0</v>
      </c>
      <c r="R48" s="1131">
        <f>SUMIFS('Monthly DCF'!48:48,'Monthly DCF'!$4:$4,'Yearly DCF'!R$3,'Monthly DCF'!$3:$3,"&lt;=" &amp;Summary!$F$20)</f>
        <v>0</v>
      </c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491"/>
      <c r="AN48" s="198"/>
      <c r="AO48" s="198"/>
      <c r="AP48" s="198"/>
      <c r="AQ48" s="198"/>
      <c r="AR48" s="198"/>
      <c r="AS48" s="198"/>
      <c r="AT48" s="198"/>
      <c r="AU48" s="198"/>
      <c r="AV48" s="198"/>
      <c r="AW48" s="492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</row>
    <row r="49" spans="2:69" ht="15.75" customHeight="1" x14ac:dyDescent="0.25">
      <c r="B49" s="1038" t="str">
        <f>'Monthly DCF'!B49</f>
        <v>Less: Vacancy</v>
      </c>
      <c r="C49" s="999"/>
      <c r="D49" s="999"/>
      <c r="E49" s="999"/>
      <c r="F49" s="1005"/>
      <c r="G49" s="1079">
        <f>'Monthly DCF'!G49</f>
        <v>0.05</v>
      </c>
      <c r="H49" s="1129">
        <f>SUMIFS('Monthly DCF'!49:49,'Monthly DCF'!$4:$4,'Yearly DCF'!H$3,'Monthly DCF'!$3:$3,"&lt;=" &amp;Summary!$F$20)</f>
        <v>0</v>
      </c>
      <c r="I49" s="1130">
        <f>SUMIFS('Monthly DCF'!49:49,'Monthly DCF'!$4:$4,'Yearly DCF'!I$3,'Monthly DCF'!$3:$3,"&lt;=" &amp;Summary!$F$20)</f>
        <v>0</v>
      </c>
      <c r="J49" s="1130">
        <f>SUMIFS('Monthly DCF'!49:49,'Monthly DCF'!$4:$4,'Yearly DCF'!J$3,'Monthly DCF'!$3:$3,"&lt;=" &amp;Summary!$F$20)</f>
        <v>0</v>
      </c>
      <c r="K49" s="1130">
        <f>SUMIFS('Monthly DCF'!49:49,'Monthly DCF'!$4:$4,'Yearly DCF'!K$3,'Monthly DCF'!$3:$3,"&lt;=" &amp;Summary!$F$20)</f>
        <v>-22846.767943000003</v>
      </c>
      <c r="L49" s="1130">
        <f>SUMIFS('Monthly DCF'!49:49,'Monthly DCF'!$4:$4,'Yearly DCF'!L$3,'Monthly DCF'!$3:$3,"&lt;=" &amp;Summary!$F$20)</f>
        <v>-141193.02588773999</v>
      </c>
      <c r="M49" s="1131">
        <f>SUMIFS('Monthly DCF'!49:49,'Monthly DCF'!$4:$4,'Yearly DCF'!M$3,'Monthly DCF'!$3:$3,"&lt;=" &amp;Summary!$F$20)</f>
        <v>-145428.81666437219</v>
      </c>
      <c r="N49" s="1130">
        <f>SUMIFS('Monthly DCF'!49:49,'Monthly DCF'!$4:$4,'Yearly DCF'!N$3,'Monthly DCF'!$3:$3,"&lt;=" &amp;Summary!$F$20)</f>
        <v>0</v>
      </c>
      <c r="O49" s="1130">
        <f>SUMIFS('Monthly DCF'!49:49,'Monthly DCF'!$4:$4,'Yearly DCF'!O$3,'Monthly DCF'!$3:$3,"&lt;=" &amp;Summary!$F$20)</f>
        <v>0</v>
      </c>
      <c r="P49" s="1130">
        <f>SUMIFS('Monthly DCF'!49:49,'Monthly DCF'!$4:$4,'Yearly DCF'!P$3,'Monthly DCF'!$3:$3,"&lt;=" &amp;Summary!$F$20)</f>
        <v>0</v>
      </c>
      <c r="Q49" s="1130">
        <f>SUMIFS('Monthly DCF'!49:49,'Monthly DCF'!$4:$4,'Yearly DCF'!Q$3,'Monthly DCF'!$3:$3,"&lt;=" &amp;Summary!$F$20)</f>
        <v>0</v>
      </c>
      <c r="R49" s="1131">
        <f>SUMIFS('Monthly DCF'!49:49,'Monthly DCF'!$4:$4,'Yearly DCF'!R$3,'Monthly DCF'!$3:$3,"&lt;=" &amp;Summary!$F$20)</f>
        <v>0</v>
      </c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491"/>
      <c r="AN49" s="198"/>
      <c r="AO49" s="198"/>
      <c r="AP49" s="198"/>
      <c r="AQ49" s="198"/>
      <c r="AR49" s="198"/>
      <c r="AS49" s="198"/>
      <c r="AT49" s="198"/>
      <c r="AU49" s="198"/>
      <c r="AV49" s="198"/>
      <c r="AW49" s="492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</row>
    <row r="50" spans="2:69" ht="15.75" customHeight="1" x14ac:dyDescent="0.25">
      <c r="B50" s="1314" t="str">
        <f>'Monthly DCF'!B50</f>
        <v>Less: Commercial Vacancy</v>
      </c>
      <c r="C50" s="993"/>
      <c r="D50" s="993"/>
      <c r="E50" s="993"/>
      <c r="F50" s="993"/>
      <c r="G50" s="1315">
        <f>'Monthly DCF'!G50</f>
        <v>0.05</v>
      </c>
      <c r="H50" s="1132">
        <f>SUMIFS('Monthly DCF'!50:50,'Monthly DCF'!$4:$4,'Yearly DCF'!H$3,'Monthly DCF'!$3:$3,"&lt;=" &amp;Summary!$F$20)</f>
        <v>0</v>
      </c>
      <c r="I50" s="1133">
        <f>SUMIFS('Monthly DCF'!50:50,'Monthly DCF'!$4:$4,'Yearly DCF'!I$3,'Monthly DCF'!$3:$3,"&lt;=" &amp;Summary!$F$20)</f>
        <v>0</v>
      </c>
      <c r="J50" s="1133">
        <f>SUMIFS('Monthly DCF'!50:50,'Monthly DCF'!$4:$4,'Yearly DCF'!J$3,'Monthly DCF'!$3:$3,"&lt;=" &amp;Summary!$F$20)</f>
        <v>0</v>
      </c>
      <c r="K50" s="1133">
        <f>SUMIFS('Monthly DCF'!50:50,'Monthly DCF'!$4:$4,'Yearly DCF'!K$3,'Monthly DCF'!$3:$3,"&lt;=" &amp;Summary!$F$20)</f>
        <v>-6443.5925735999981</v>
      </c>
      <c r="L50" s="1133">
        <f>SUMIFS('Monthly DCF'!50:50,'Monthly DCF'!$4:$4,'Yearly DCF'!L$3,'Monthly DCF'!$3:$3,"&lt;=" &amp;Summary!$F$20)</f>
        <v>-6636.9003508079995</v>
      </c>
      <c r="M50" s="1134">
        <f>SUMIFS('Monthly DCF'!50:50,'Monthly DCF'!$4:$4,'Yearly DCF'!M$3,'Monthly DCF'!$3:$3,"&lt;=" &amp;Summary!$F$20)</f>
        <v>-6836.0073613322393</v>
      </c>
      <c r="N50" s="1133">
        <f>SUMIFS('Monthly DCF'!50:50,'Monthly DCF'!$4:$4,'Yearly DCF'!N$3,'Monthly DCF'!$3:$3,"&lt;=" &amp;Summary!$F$20)</f>
        <v>0</v>
      </c>
      <c r="O50" s="1133">
        <f>SUMIFS('Monthly DCF'!50:50,'Monthly DCF'!$4:$4,'Yearly DCF'!O$3,'Monthly DCF'!$3:$3,"&lt;=" &amp;Summary!$F$20)</f>
        <v>0</v>
      </c>
      <c r="P50" s="1133">
        <f>SUMIFS('Monthly DCF'!50:50,'Monthly DCF'!$4:$4,'Yearly DCF'!P$3,'Monthly DCF'!$3:$3,"&lt;=" &amp;Summary!$F$20)</f>
        <v>0</v>
      </c>
      <c r="Q50" s="1133">
        <f>SUMIFS('Monthly DCF'!50:50,'Monthly DCF'!$4:$4,'Yearly DCF'!Q$3,'Monthly DCF'!$3:$3,"&lt;=" &amp;Summary!$F$20)</f>
        <v>0</v>
      </c>
      <c r="R50" s="1134">
        <f>SUMIFS('Monthly DCF'!50:50,'Monthly DCF'!$4:$4,'Yearly DCF'!R$3,'Monthly DCF'!$3:$3,"&lt;=" &amp;Summary!$F$20)</f>
        <v>0</v>
      </c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491"/>
      <c r="AN50" s="198"/>
      <c r="AO50" s="198"/>
      <c r="AP50" s="198"/>
      <c r="AQ50" s="198"/>
      <c r="AR50" s="198"/>
      <c r="AS50" s="198"/>
      <c r="AT50" s="198"/>
      <c r="AU50" s="198"/>
      <c r="AV50" s="198"/>
      <c r="AW50" s="492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</row>
    <row r="51" spans="2:69" ht="15.75" customHeight="1" thickBot="1" x14ac:dyDescent="0.3">
      <c r="B51" s="364"/>
      <c r="C51" s="358"/>
      <c r="D51" s="358"/>
      <c r="E51" s="368"/>
      <c r="F51" s="358"/>
      <c r="G51" s="999"/>
      <c r="H51" s="1129">
        <f>SUMIFS('Monthly DCF'!51:51,'Monthly DCF'!$4:$4,'Yearly DCF'!H$3,'Monthly DCF'!$3:$3,"&lt;=" &amp;Summary!$F$20)</f>
        <v>0</v>
      </c>
      <c r="I51" s="1130">
        <f>SUMIFS('Monthly DCF'!51:51,'Monthly DCF'!$4:$4,'Yearly DCF'!I$3,'Monthly DCF'!$3:$3,"&lt;=" &amp;Summary!$F$20)</f>
        <v>0</v>
      </c>
      <c r="J51" s="599">
        <f>SUMIFS('Monthly DCF'!51:51,'Monthly DCF'!$4:$4,'Yearly DCF'!J$3,'Monthly DCF'!$3:$3,"&lt;=" &amp;Summary!$F$20)</f>
        <v>0</v>
      </c>
      <c r="K51" s="599">
        <f>SUMIFS('Monthly DCF'!51:51,'Monthly DCF'!$4:$4,'Yearly DCF'!K$3,'Monthly DCF'!$3:$3,"&lt;=" &amp;Summary!$F$20)</f>
        <v>0</v>
      </c>
      <c r="L51" s="599">
        <f>SUMIFS('Monthly DCF'!51:51,'Monthly DCF'!$4:$4,'Yearly DCF'!L$3,'Monthly DCF'!$3:$3,"&lt;=" &amp;Summary!$F$20)</f>
        <v>0</v>
      </c>
      <c r="M51" s="1117">
        <f>SUMIFS('Monthly DCF'!51:51,'Monthly DCF'!$4:$4,'Yearly DCF'!M$3,'Monthly DCF'!$3:$3,"&lt;=" &amp;Summary!$F$20)</f>
        <v>0</v>
      </c>
      <c r="N51" s="599">
        <f>SUMIFS('Monthly DCF'!51:51,'Monthly DCF'!$4:$4,'Yearly DCF'!N$3,'Monthly DCF'!$3:$3,"&lt;=" &amp;Summary!$F$20)</f>
        <v>0</v>
      </c>
      <c r="O51" s="599">
        <f>SUMIFS('Monthly DCF'!51:51,'Monthly DCF'!$4:$4,'Yearly DCF'!O$3,'Monthly DCF'!$3:$3,"&lt;=" &amp;Summary!$F$20)</f>
        <v>0</v>
      </c>
      <c r="P51" s="599">
        <f>SUMIFS('Monthly DCF'!51:51,'Monthly DCF'!$4:$4,'Yearly DCF'!P$3,'Monthly DCF'!$3:$3,"&lt;=" &amp;Summary!$F$20)</f>
        <v>0</v>
      </c>
      <c r="Q51" s="599">
        <f>SUMIFS('Monthly DCF'!51:51,'Monthly DCF'!$4:$4,'Yearly DCF'!Q$3,'Monthly DCF'!$3:$3,"&lt;=" &amp;Summary!$F$20)</f>
        <v>0</v>
      </c>
      <c r="R51" s="1117">
        <f>SUMIFS('Monthly DCF'!51:51,'Monthly DCF'!$4:$4,'Yearly DCF'!R$3,'Monthly DCF'!$3:$3,"&lt;=" &amp;Summary!$F$20)</f>
        <v>0</v>
      </c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491"/>
      <c r="AN51" s="198"/>
      <c r="AO51" s="198"/>
      <c r="AP51" s="198"/>
      <c r="AQ51" s="198"/>
      <c r="AR51" s="198"/>
      <c r="AS51" s="198"/>
      <c r="AT51" s="198"/>
      <c r="AU51" s="198"/>
      <c r="AV51" s="198"/>
      <c r="AW51" s="492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</row>
    <row r="52" spans="2:69" ht="15.75" customHeight="1" thickBot="1" x14ac:dyDescent="0.3">
      <c r="B52" s="372" t="str">
        <f>'Monthly DCF'!B52</f>
        <v>Effective Gross Income</v>
      </c>
      <c r="C52" s="373"/>
      <c r="D52" s="373"/>
      <c r="E52" s="373"/>
      <c r="F52" s="373"/>
      <c r="G52" s="1080"/>
      <c r="H52" s="1138">
        <f>SUMIFS('Monthly DCF'!52:52,'Monthly DCF'!$4:$4,'Yearly DCF'!H$3,'Monthly DCF'!$3:$3,"&lt;=" &amp;Summary!$F$20)</f>
        <v>0</v>
      </c>
      <c r="I52" s="1139">
        <f>SUMIFS('Monthly DCF'!52:52,'Monthly DCF'!$4:$4,'Yearly DCF'!I$3,'Monthly DCF'!$3:$3,"&lt;=" &amp;Summary!$F$20)</f>
        <v>0</v>
      </c>
      <c r="J52" s="1139">
        <f>SUMIFS('Monthly DCF'!52:52,'Monthly DCF'!$4:$4,'Yearly DCF'!J$3,'Monthly DCF'!$3:$3,"&lt;=" &amp;Summary!$F$20)</f>
        <v>0</v>
      </c>
      <c r="K52" s="1139">
        <f>SUMIFS('Monthly DCF'!52:52,'Monthly DCF'!$4:$4,'Yearly DCF'!K$3,'Monthly DCF'!$3:$3,"&lt;=" &amp;Summary!$F$20)</f>
        <v>1803184.9115089001</v>
      </c>
      <c r="L52" s="1139">
        <f>SUMIFS('Monthly DCF'!52:52,'Monthly DCF'!$4:$4,'Yearly DCF'!L$3,'Monthly DCF'!$3:$3,"&lt;=" &amp;Summary!$F$20)</f>
        <v>2836456.115258412</v>
      </c>
      <c r="M52" s="1140">
        <f>SUMIFS('Monthly DCF'!52:52,'Monthly DCF'!$4:$4,'Yearly DCF'!M$3,'Monthly DCF'!$3:$3,"&lt;=" &amp;Summary!$F$20)</f>
        <v>2921549.7987161633</v>
      </c>
      <c r="N52" s="1139">
        <f>SUMIFS('Monthly DCF'!52:52,'Monthly DCF'!$4:$4,'Yearly DCF'!N$3,'Monthly DCF'!$3:$3,"&lt;=" &amp;Summary!$F$20)</f>
        <v>0</v>
      </c>
      <c r="O52" s="1139">
        <f>SUMIFS('Monthly DCF'!52:52,'Monthly DCF'!$4:$4,'Yearly DCF'!O$3,'Monthly DCF'!$3:$3,"&lt;=" &amp;Summary!$F$20)</f>
        <v>0</v>
      </c>
      <c r="P52" s="1139">
        <f>SUMIFS('Monthly DCF'!52:52,'Monthly DCF'!$4:$4,'Yearly DCF'!P$3,'Monthly DCF'!$3:$3,"&lt;=" &amp;Summary!$F$20)</f>
        <v>0</v>
      </c>
      <c r="Q52" s="1139">
        <f>SUMIFS('Monthly DCF'!52:52,'Monthly DCF'!$4:$4,'Yearly DCF'!Q$3,'Monthly DCF'!$3:$3,"&lt;=" &amp;Summary!$F$20)</f>
        <v>0</v>
      </c>
      <c r="R52" s="1140">
        <f>SUMIFS('Monthly DCF'!52:52,'Monthly DCF'!$4:$4,'Yearly DCF'!R$3,'Monthly DCF'!$3:$3,"&lt;=" &amp;Summary!$F$20)</f>
        <v>0</v>
      </c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491"/>
      <c r="AN52" s="198"/>
      <c r="AO52" s="198"/>
      <c r="AP52" s="198"/>
      <c r="AQ52" s="198"/>
      <c r="AR52" s="198"/>
      <c r="AS52" s="198"/>
      <c r="AT52" s="198"/>
      <c r="AU52" s="198"/>
      <c r="AV52" s="198"/>
      <c r="AW52" s="492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</row>
    <row r="53" spans="2:69" ht="15.75" customHeight="1" x14ac:dyDescent="0.25">
      <c r="B53" s="364"/>
      <c r="C53" s="359"/>
      <c r="D53" s="374"/>
      <c r="E53" s="358"/>
      <c r="F53" s="358"/>
      <c r="G53" s="999"/>
      <c r="H53" s="1141"/>
      <c r="I53" s="1116"/>
      <c r="J53" s="1116"/>
      <c r="K53" s="1116"/>
      <c r="L53" s="1116"/>
      <c r="M53" s="1124"/>
      <c r="N53" s="1116"/>
      <c r="O53" s="1116"/>
      <c r="P53" s="1116"/>
      <c r="Q53" s="1116"/>
      <c r="R53" s="1124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491"/>
      <c r="AN53" s="198"/>
      <c r="AO53" s="198"/>
      <c r="AP53" s="198"/>
      <c r="AQ53" s="198"/>
      <c r="AR53" s="198"/>
      <c r="AS53" s="198"/>
      <c r="AT53" s="198"/>
      <c r="AU53" s="198"/>
      <c r="AV53" s="198"/>
      <c r="AW53" s="492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</row>
    <row r="54" spans="2:69" ht="15.75" customHeight="1" x14ac:dyDescent="0.25">
      <c r="B54" s="357" t="str">
        <f>'Monthly DCF'!B54</f>
        <v>Expenses</v>
      </c>
      <c r="C54" s="358"/>
      <c r="D54" s="358"/>
      <c r="E54" s="375"/>
      <c r="F54" s="358"/>
      <c r="G54" s="999"/>
      <c r="H54" s="1110"/>
      <c r="I54" s="579"/>
      <c r="J54" s="1116"/>
      <c r="K54" s="1116"/>
      <c r="L54" s="1116"/>
      <c r="M54" s="1124"/>
      <c r="N54" s="1116"/>
      <c r="O54" s="1116"/>
      <c r="P54" s="1116"/>
      <c r="Q54" s="1116"/>
      <c r="R54" s="1124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491"/>
      <c r="AN54" s="198"/>
      <c r="AO54" s="198"/>
      <c r="AP54" s="198"/>
      <c r="AQ54" s="198"/>
      <c r="AR54" s="198"/>
      <c r="AS54" s="198"/>
      <c r="AT54" s="198"/>
      <c r="AU54" s="198"/>
      <c r="AV54" s="198"/>
      <c r="AW54" s="492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</row>
    <row r="55" spans="2:69" ht="15.75" customHeight="1" x14ac:dyDescent="0.25">
      <c r="B55" s="376"/>
      <c r="C55" s="377" t="str">
        <f>'Monthly DCF'!C55</f>
        <v>Annual Expense</v>
      </c>
      <c r="D55" s="211" t="str">
        <f>'Monthly DCF'!D55</f>
        <v>Expense Inflation p.a.</v>
      </c>
      <c r="E55" s="211" t="str">
        <f>'Monthly DCF'!E55</f>
        <v>Occ. Dependent?</v>
      </c>
      <c r="F55" s="358"/>
      <c r="G55" s="1070" t="str">
        <f>'Monthly DCF'!G55</f>
        <v>Expense Growth</v>
      </c>
      <c r="H55" s="1110"/>
      <c r="I55" s="579"/>
      <c r="J55" s="579"/>
      <c r="K55" s="579"/>
      <c r="L55" s="579"/>
      <c r="M55" s="1114"/>
      <c r="N55" s="579"/>
      <c r="O55" s="579"/>
      <c r="P55" s="579"/>
      <c r="Q55" s="579"/>
      <c r="R55" s="1114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491"/>
      <c r="AN55" s="198"/>
      <c r="AO55" s="198"/>
      <c r="AP55" s="198"/>
      <c r="AQ55" s="198"/>
      <c r="AR55" s="198"/>
      <c r="AS55" s="198"/>
      <c r="AT55" s="198"/>
      <c r="AU55" s="198"/>
      <c r="AV55" s="198"/>
      <c r="AW55" s="492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</row>
    <row r="56" spans="2:69" ht="15.75" customHeight="1" x14ac:dyDescent="0.25">
      <c r="B56" s="378" t="str">
        <f>'Monthly DCF'!B56</f>
        <v>Repairs and Maintenance</v>
      </c>
      <c r="C56" s="989">
        <f>'Monthly DCF'!C56</f>
        <v>75382.728671785691</v>
      </c>
      <c r="D56" s="379">
        <f>'Monthly DCF'!D56</f>
        <v>0.03</v>
      </c>
      <c r="E56" s="380" t="str">
        <f>'Monthly DCF'!E56</f>
        <v>YES</v>
      </c>
      <c r="F56" s="358"/>
      <c r="G56" s="1071">
        <f>'Monthly DCF'!G56</f>
        <v>0.03</v>
      </c>
      <c r="H56" s="1115">
        <f>SUMIFS('Monthly DCF'!56:56,'Monthly DCF'!$4:$4,'Yearly DCF'!H$3,'Monthly DCF'!$3:$3,"&lt;=" &amp;Summary!$F$20)</f>
        <v>0</v>
      </c>
      <c r="I56" s="599">
        <f>SUMIFS('Monthly DCF'!56:56,'Monthly DCF'!$4:$4,'Yearly DCF'!I$3,'Monthly DCF'!$3:$3,"&lt;=" &amp;Summary!$F$20)</f>
        <v>0</v>
      </c>
      <c r="J56" s="599">
        <f>SUMIFS('Monthly DCF'!56:56,'Monthly DCF'!$4:$4,'Yearly DCF'!J$3,'Monthly DCF'!$3:$3,"&lt;=" &amp;Summary!$F$20)</f>
        <v>0</v>
      </c>
      <c r="K56" s="599">
        <f>SUMIFS('Monthly DCF'!56:56,'Monthly DCF'!$4:$4,'Yearly DCF'!K$3,'Monthly DCF'!$3:$3,"&lt;=" &amp;Summary!$F$20)</f>
        <v>-50562.130837209312</v>
      </c>
      <c r="L56" s="599">
        <f>SUMIFS('Monthly DCF'!56:56,'Monthly DCF'!$4:$4,'Yearly DCF'!L$3,'Monthly DCF'!$3:$3,"&lt;=" &amp;Summary!$F$20)</f>
        <v>-84843.925241934412</v>
      </c>
      <c r="M56" s="1117">
        <f>SUMIFS('Monthly DCF'!56:56,'Monthly DCF'!$4:$4,'Yearly DCF'!M$3,'Monthly DCF'!$3:$3,"&lt;=" &amp;Summary!$F$20)</f>
        <v>-87389.242999192429</v>
      </c>
      <c r="N56" s="599">
        <f>SUMIFS('Monthly DCF'!56:56,'Monthly DCF'!$4:$4,'Yearly DCF'!N$3,'Monthly DCF'!$3:$3,"&lt;=" &amp;Summary!$F$20)</f>
        <v>0</v>
      </c>
      <c r="O56" s="599">
        <f>SUMIFS('Monthly DCF'!56:56,'Monthly DCF'!$4:$4,'Yearly DCF'!O$3,'Monthly DCF'!$3:$3,"&lt;=" &amp;Summary!$F$20)</f>
        <v>0</v>
      </c>
      <c r="P56" s="599">
        <f>SUMIFS('Monthly DCF'!56:56,'Monthly DCF'!$4:$4,'Yearly DCF'!P$3,'Monthly DCF'!$3:$3,"&lt;=" &amp;Summary!$F$20)</f>
        <v>0</v>
      </c>
      <c r="Q56" s="599">
        <f>SUMIFS('Monthly DCF'!56:56,'Monthly DCF'!$4:$4,'Yearly DCF'!Q$3,'Monthly DCF'!$3:$3,"&lt;=" &amp;Summary!$F$20)</f>
        <v>0</v>
      </c>
      <c r="R56" s="1117">
        <f>SUMIFS('Monthly DCF'!56:56,'Monthly DCF'!$4:$4,'Yearly DCF'!R$3,'Monthly DCF'!$3:$3,"&lt;=" &amp;Summary!$F$20)</f>
        <v>0</v>
      </c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491"/>
      <c r="AN56" s="198"/>
      <c r="AO56" s="198"/>
      <c r="AP56" s="198"/>
      <c r="AQ56" s="198"/>
      <c r="AR56" s="198"/>
      <c r="AS56" s="198"/>
      <c r="AT56" s="198"/>
      <c r="AU56" s="198"/>
      <c r="AV56" s="198"/>
      <c r="AW56" s="492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</row>
    <row r="57" spans="2:69" ht="15.75" customHeight="1" x14ac:dyDescent="0.25">
      <c r="B57" s="378" t="str">
        <f>'Monthly DCF'!B57</f>
        <v>Security</v>
      </c>
      <c r="C57" s="989">
        <f>'Monthly DCF'!C57</f>
        <v>65200.498182214265</v>
      </c>
      <c r="D57" s="381">
        <f>'Monthly DCF'!D57</f>
        <v>0.03</v>
      </c>
      <c r="E57" s="382" t="str">
        <f>'Monthly DCF'!E57</f>
        <v>YES</v>
      </c>
      <c r="F57" s="358"/>
      <c r="G57" s="999"/>
      <c r="H57" s="1115">
        <f>SUMIFS('Monthly DCF'!57:57,'Monthly DCF'!$4:$4,'Yearly DCF'!H$3,'Monthly DCF'!$3:$3,"&lt;=" &amp;Summary!$F$20)</f>
        <v>0</v>
      </c>
      <c r="I57" s="599">
        <f>SUMIFS('Monthly DCF'!57:57,'Monthly DCF'!$4:$4,'Yearly DCF'!I$3,'Monthly DCF'!$3:$3,"&lt;=" &amp;Summary!$F$20)</f>
        <v>0</v>
      </c>
      <c r="J57" s="599">
        <f>SUMIFS('Monthly DCF'!57:57,'Monthly DCF'!$4:$4,'Yearly DCF'!J$3,'Monthly DCF'!$3:$3,"&lt;=" &amp;Summary!$F$20)</f>
        <v>0</v>
      </c>
      <c r="K57" s="599">
        <f>SUMIFS('Monthly DCF'!57:57,'Monthly DCF'!$4:$4,'Yearly DCF'!K$3,'Monthly DCF'!$3:$3,"&lt;=" &amp;Summary!$F$20)</f>
        <v>-43732.51244451473</v>
      </c>
      <c r="L57" s="599">
        <f>SUMIFS('Monthly DCF'!57:57,'Monthly DCF'!$4:$4,'Yearly DCF'!L$3,'Monthly DCF'!$3:$3,"&lt;=" &amp;Summary!$F$20)</f>
        <v>-73383.735120471145</v>
      </c>
      <c r="M57" s="1117">
        <f>SUMIFS('Monthly DCF'!57:57,'Monthly DCF'!$4:$4,'Yearly DCF'!M$3,'Monthly DCF'!$3:$3,"&lt;=" &amp;Summary!$F$20)</f>
        <v>-75585.247174085278</v>
      </c>
      <c r="N57" s="599">
        <f>SUMIFS('Monthly DCF'!57:57,'Monthly DCF'!$4:$4,'Yearly DCF'!N$3,'Monthly DCF'!$3:$3,"&lt;=" &amp;Summary!$F$20)</f>
        <v>0</v>
      </c>
      <c r="O57" s="599">
        <f>SUMIFS('Monthly DCF'!57:57,'Monthly DCF'!$4:$4,'Yearly DCF'!O$3,'Monthly DCF'!$3:$3,"&lt;=" &amp;Summary!$F$20)</f>
        <v>0</v>
      </c>
      <c r="P57" s="599">
        <f>SUMIFS('Monthly DCF'!57:57,'Monthly DCF'!$4:$4,'Yearly DCF'!P$3,'Monthly DCF'!$3:$3,"&lt;=" &amp;Summary!$F$20)</f>
        <v>0</v>
      </c>
      <c r="Q57" s="599">
        <f>SUMIFS('Monthly DCF'!57:57,'Monthly DCF'!$4:$4,'Yearly DCF'!Q$3,'Monthly DCF'!$3:$3,"&lt;=" &amp;Summary!$F$20)</f>
        <v>0</v>
      </c>
      <c r="R57" s="1117">
        <f>SUMIFS('Monthly DCF'!57:57,'Monthly DCF'!$4:$4,'Yearly DCF'!R$3,'Monthly DCF'!$3:$3,"&lt;=" &amp;Summary!$F$20)</f>
        <v>0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491"/>
      <c r="AN57" s="198"/>
      <c r="AO57" s="198"/>
      <c r="AP57" s="198"/>
      <c r="AQ57" s="198"/>
      <c r="AR57" s="198"/>
      <c r="AS57" s="198"/>
      <c r="AT57" s="198"/>
      <c r="AU57" s="198"/>
      <c r="AV57" s="198"/>
      <c r="AW57" s="492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</row>
    <row r="58" spans="2:69" ht="15.75" customHeight="1" x14ac:dyDescent="0.25">
      <c r="B58" s="378" t="str">
        <f>'Monthly DCF'!B58</f>
        <v>Landscaping</v>
      </c>
      <c r="C58" s="989">
        <f>'Monthly DCF'!C58</f>
        <v>75382.728671785691</v>
      </c>
      <c r="D58" s="381">
        <f>'Monthly DCF'!D58</f>
        <v>0.03</v>
      </c>
      <c r="E58" s="382" t="str">
        <f>'Monthly DCF'!E58</f>
        <v>YES</v>
      </c>
      <c r="F58" s="358"/>
      <c r="G58" s="999"/>
      <c r="H58" s="1115">
        <f>SUMIFS('Monthly DCF'!58:58,'Monthly DCF'!$4:$4,'Yearly DCF'!H$3,'Monthly DCF'!$3:$3,"&lt;=" &amp;Summary!$F$20)</f>
        <v>0</v>
      </c>
      <c r="I58" s="599">
        <f>SUMIFS('Monthly DCF'!58:58,'Monthly DCF'!$4:$4,'Yearly DCF'!I$3,'Monthly DCF'!$3:$3,"&lt;=" &amp;Summary!$F$20)</f>
        <v>0</v>
      </c>
      <c r="J58" s="599">
        <f>SUMIFS('Monthly DCF'!58:58,'Monthly DCF'!$4:$4,'Yearly DCF'!J$3,'Monthly DCF'!$3:$3,"&lt;=" &amp;Summary!$F$20)</f>
        <v>0</v>
      </c>
      <c r="K58" s="599">
        <f>SUMIFS('Monthly DCF'!58:58,'Monthly DCF'!$4:$4,'Yearly DCF'!K$3,'Monthly DCF'!$3:$3,"&lt;=" &amp;Summary!$F$20)</f>
        <v>-50562.130837209312</v>
      </c>
      <c r="L58" s="599">
        <f>SUMIFS('Monthly DCF'!58:58,'Monthly DCF'!$4:$4,'Yearly DCF'!L$3,'Monthly DCF'!$3:$3,"&lt;=" &amp;Summary!$F$20)</f>
        <v>-84843.925241934412</v>
      </c>
      <c r="M58" s="1117">
        <f>SUMIFS('Monthly DCF'!58:58,'Monthly DCF'!$4:$4,'Yearly DCF'!M$3,'Monthly DCF'!$3:$3,"&lt;=" &amp;Summary!$F$20)</f>
        <v>-87389.242999192429</v>
      </c>
      <c r="N58" s="599">
        <f>SUMIFS('Monthly DCF'!58:58,'Monthly DCF'!$4:$4,'Yearly DCF'!N$3,'Monthly DCF'!$3:$3,"&lt;=" &amp;Summary!$F$20)</f>
        <v>0</v>
      </c>
      <c r="O58" s="599">
        <f>SUMIFS('Monthly DCF'!58:58,'Monthly DCF'!$4:$4,'Yearly DCF'!O$3,'Monthly DCF'!$3:$3,"&lt;=" &amp;Summary!$F$20)</f>
        <v>0</v>
      </c>
      <c r="P58" s="599">
        <f>SUMIFS('Monthly DCF'!58:58,'Monthly DCF'!$4:$4,'Yearly DCF'!P$3,'Monthly DCF'!$3:$3,"&lt;=" &amp;Summary!$F$20)</f>
        <v>0</v>
      </c>
      <c r="Q58" s="599">
        <f>SUMIFS('Monthly DCF'!58:58,'Monthly DCF'!$4:$4,'Yearly DCF'!Q$3,'Monthly DCF'!$3:$3,"&lt;=" &amp;Summary!$F$20)</f>
        <v>0</v>
      </c>
      <c r="R58" s="1117">
        <f>SUMIFS('Monthly DCF'!58:58,'Monthly DCF'!$4:$4,'Yearly DCF'!R$3,'Monthly DCF'!$3:$3,"&lt;=" &amp;Summary!$F$20)</f>
        <v>0</v>
      </c>
      <c r="X58" s="365"/>
      <c r="Y58" s="365"/>
      <c r="Z58" s="365"/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5"/>
      <c r="AL58" s="365"/>
      <c r="AM58" s="495"/>
      <c r="AN58" s="365"/>
      <c r="AO58" s="365"/>
      <c r="AP58" s="365"/>
      <c r="AQ58" s="365"/>
      <c r="AR58" s="365"/>
      <c r="AS58" s="365"/>
      <c r="AT58" s="365"/>
      <c r="AU58" s="365"/>
      <c r="AV58" s="365"/>
      <c r="AW58" s="492"/>
      <c r="AX58" s="365"/>
      <c r="AY58" s="365"/>
      <c r="AZ58" s="365"/>
      <c r="BA58" s="365"/>
      <c r="BB58" s="365"/>
      <c r="BC58" s="365"/>
      <c r="BD58" s="365"/>
      <c r="BE58" s="365"/>
      <c r="BF58" s="365"/>
      <c r="BG58" s="365"/>
      <c r="BH58" s="365"/>
      <c r="BI58" s="365"/>
      <c r="BJ58" s="365"/>
      <c r="BK58" s="365"/>
      <c r="BL58" s="365"/>
      <c r="BM58" s="365"/>
      <c r="BN58" s="365"/>
      <c r="BO58" s="365"/>
      <c r="BP58" s="365"/>
      <c r="BQ58" s="365"/>
    </row>
    <row r="59" spans="2:69" ht="15.75" customHeight="1" x14ac:dyDescent="0.25">
      <c r="B59" s="378" t="str">
        <f>'Monthly DCF'!B59</f>
        <v>Administrative</v>
      </c>
      <c r="C59" s="989">
        <f>'Monthly DCF'!C59</f>
        <v>20364.460979142852</v>
      </c>
      <c r="D59" s="381">
        <f>'Monthly DCF'!D59</f>
        <v>0.03</v>
      </c>
      <c r="E59" s="382" t="str">
        <f>'Monthly DCF'!E59</f>
        <v>YES</v>
      </c>
      <c r="F59" s="358"/>
      <c r="G59" s="999"/>
      <c r="H59" s="1115">
        <f>SUMIFS('Monthly DCF'!59:59,'Monthly DCF'!$4:$4,'Yearly DCF'!H$3,'Monthly DCF'!$3:$3,"&lt;=" &amp;Summary!$F$20)</f>
        <v>0</v>
      </c>
      <c r="I59" s="599">
        <f>SUMIFS('Monthly DCF'!59:59,'Monthly DCF'!$4:$4,'Yearly DCF'!I$3,'Monthly DCF'!$3:$3,"&lt;=" &amp;Summary!$F$20)</f>
        <v>0</v>
      </c>
      <c r="J59" s="599">
        <f>SUMIFS('Monthly DCF'!59:59,'Monthly DCF'!$4:$4,'Yearly DCF'!J$3,'Monthly DCF'!$3:$3,"&lt;=" &amp;Summary!$F$20)</f>
        <v>0</v>
      </c>
      <c r="K59" s="599">
        <f>SUMIFS('Monthly DCF'!59:59,'Monthly DCF'!$4:$4,'Yearly DCF'!K$3,'Monthly DCF'!$3:$3,"&lt;=" &amp;Summary!$F$20)</f>
        <v>-13659.236785389148</v>
      </c>
      <c r="L59" s="599">
        <f>SUMIFS('Monthly DCF'!59:59,'Monthly DCF'!$4:$4,'Yearly DCF'!L$3,'Monthly DCF'!$3:$3,"&lt;=" &amp;Summary!$F$20)</f>
        <v>-22920.380242926502</v>
      </c>
      <c r="M59" s="1117">
        <f>SUMIFS('Monthly DCF'!59:59,'Monthly DCF'!$4:$4,'Yearly DCF'!M$3,'Monthly DCF'!$3:$3,"&lt;=" &amp;Summary!$F$20)</f>
        <v>-23607.991650214299</v>
      </c>
      <c r="N59" s="599">
        <f>SUMIFS('Monthly DCF'!59:59,'Monthly DCF'!$4:$4,'Yearly DCF'!N$3,'Monthly DCF'!$3:$3,"&lt;=" &amp;Summary!$F$20)</f>
        <v>0</v>
      </c>
      <c r="O59" s="599">
        <f>SUMIFS('Monthly DCF'!59:59,'Monthly DCF'!$4:$4,'Yearly DCF'!O$3,'Monthly DCF'!$3:$3,"&lt;=" &amp;Summary!$F$20)</f>
        <v>0</v>
      </c>
      <c r="P59" s="599">
        <f>SUMIFS('Monthly DCF'!59:59,'Monthly DCF'!$4:$4,'Yearly DCF'!P$3,'Monthly DCF'!$3:$3,"&lt;=" &amp;Summary!$F$20)</f>
        <v>0</v>
      </c>
      <c r="Q59" s="599">
        <f>SUMIFS('Monthly DCF'!59:59,'Monthly DCF'!$4:$4,'Yearly DCF'!Q$3,'Monthly DCF'!$3:$3,"&lt;=" &amp;Summary!$F$20)</f>
        <v>0</v>
      </c>
      <c r="R59" s="1117">
        <f>SUMIFS('Monthly DCF'!59:59,'Monthly DCF'!$4:$4,'Yearly DCF'!R$3,'Monthly DCF'!$3:$3,"&lt;=" &amp;Summary!$F$20)</f>
        <v>0</v>
      </c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5"/>
      <c r="AN59" s="504"/>
      <c r="AO59" s="504"/>
      <c r="AP59" s="504"/>
      <c r="AQ59" s="504"/>
      <c r="AR59" s="504"/>
      <c r="AS59" s="504"/>
      <c r="AT59" s="504"/>
      <c r="AU59" s="504"/>
      <c r="AV59" s="504"/>
      <c r="AW59" s="506"/>
      <c r="AX59" s="504"/>
      <c r="AY59" s="504"/>
      <c r="AZ59" s="504"/>
      <c r="BA59" s="504"/>
      <c r="BB59" s="504"/>
      <c r="BC59" s="504"/>
      <c r="BD59" s="504"/>
      <c r="BE59" s="504"/>
      <c r="BF59" s="504"/>
      <c r="BG59" s="504"/>
      <c r="BH59" s="504"/>
      <c r="BI59" s="504"/>
      <c r="BJ59" s="504"/>
      <c r="BK59" s="504"/>
      <c r="BL59" s="504"/>
      <c r="BM59" s="504"/>
      <c r="BN59" s="504"/>
      <c r="BO59" s="504"/>
      <c r="BP59" s="504"/>
      <c r="BQ59" s="504"/>
    </row>
    <row r="60" spans="2:69" ht="15.75" customHeight="1" thickBot="1" x14ac:dyDescent="0.3">
      <c r="B60" s="378" t="str">
        <f>'Monthly DCF'!B60</f>
        <v>Advertising/Marketing</v>
      </c>
      <c r="C60" s="989">
        <f>'Monthly DCF'!C60</f>
        <v>34653.806713499987</v>
      </c>
      <c r="D60" s="381">
        <f>'Monthly DCF'!D60</f>
        <v>0.03</v>
      </c>
      <c r="E60" s="382" t="str">
        <f>'Monthly DCF'!E60</f>
        <v>YES</v>
      </c>
      <c r="F60" s="358"/>
      <c r="G60" s="999"/>
      <c r="H60" s="1115">
        <f>SUMIFS('Monthly DCF'!60:60,'Monthly DCF'!$4:$4,'Yearly DCF'!H$3,'Monthly DCF'!$3:$3,"&lt;=" &amp;Summary!$F$20)</f>
        <v>0</v>
      </c>
      <c r="I60" s="599">
        <f>SUMIFS('Monthly DCF'!60:60,'Monthly DCF'!$4:$4,'Yearly DCF'!I$3,'Monthly DCF'!$3:$3,"&lt;=" &amp;Summary!$F$20)</f>
        <v>0</v>
      </c>
      <c r="J60" s="599">
        <f>SUMIFS('Monthly DCF'!60:60,'Monthly DCF'!$4:$4,'Yearly DCF'!J$3,'Monthly DCF'!$3:$3,"&lt;=" &amp;Summary!$F$20)</f>
        <v>0</v>
      </c>
      <c r="K60" s="599">
        <f>SUMIFS('Monthly DCF'!60:60,'Monthly DCF'!$4:$4,'Yearly DCF'!K$3,'Monthly DCF'!$3:$3,"&lt;=" &amp;Summary!$F$20)</f>
        <v>-23243.657266431008</v>
      </c>
      <c r="L60" s="599">
        <f>SUMIFS('Monthly DCF'!60:60,'Monthly DCF'!$4:$4,'Yearly DCF'!L$3,'Monthly DCF'!$3:$3,"&lt;=" &amp;Summary!$F$20)</f>
        <v>-39003.164756081365</v>
      </c>
      <c r="M60" s="1117">
        <f>SUMIFS('Monthly DCF'!60:60,'Monthly DCF'!$4:$4,'Yearly DCF'!M$3,'Monthly DCF'!$3:$3,"&lt;=" &amp;Summary!$F$20)</f>
        <v>-40173.259698763832</v>
      </c>
      <c r="N60" s="599">
        <f>SUMIFS('Monthly DCF'!60:60,'Monthly DCF'!$4:$4,'Yearly DCF'!N$3,'Monthly DCF'!$3:$3,"&lt;=" &amp;Summary!$F$20)</f>
        <v>0</v>
      </c>
      <c r="O60" s="599">
        <f>SUMIFS('Monthly DCF'!60:60,'Monthly DCF'!$4:$4,'Yearly DCF'!O$3,'Monthly DCF'!$3:$3,"&lt;=" &amp;Summary!$F$20)</f>
        <v>0</v>
      </c>
      <c r="P60" s="599">
        <f>SUMIFS('Monthly DCF'!60:60,'Monthly DCF'!$4:$4,'Yearly DCF'!P$3,'Monthly DCF'!$3:$3,"&lt;=" &amp;Summary!$F$20)</f>
        <v>0</v>
      </c>
      <c r="Q60" s="599">
        <f>SUMIFS('Monthly DCF'!60:60,'Monthly DCF'!$4:$4,'Yearly DCF'!Q$3,'Monthly DCF'!$3:$3,"&lt;=" &amp;Summary!$F$20)</f>
        <v>0</v>
      </c>
      <c r="R60" s="1117">
        <f>SUMIFS('Monthly DCF'!60:60,'Monthly DCF'!$4:$4,'Yearly DCF'!R$3,'Monthly DCF'!$3:$3,"&lt;=" &amp;Summary!$F$20)</f>
        <v>0</v>
      </c>
      <c r="X60" s="389"/>
      <c r="Y60" s="389"/>
      <c r="Z60" s="389"/>
      <c r="AA60" s="389"/>
      <c r="AB60" s="389"/>
      <c r="AC60" s="389"/>
      <c r="AD60" s="389"/>
      <c r="AE60" s="389"/>
      <c r="AF60" s="389"/>
      <c r="AG60" s="389"/>
      <c r="AH60" s="389"/>
      <c r="AI60" s="389"/>
      <c r="AJ60" s="389"/>
      <c r="AK60" s="389"/>
      <c r="AL60" s="389"/>
      <c r="AM60" s="507"/>
      <c r="AN60" s="389"/>
      <c r="AO60" s="389"/>
      <c r="AP60" s="389"/>
      <c r="AQ60" s="389"/>
      <c r="AR60" s="389"/>
      <c r="AS60" s="389"/>
      <c r="AT60" s="389"/>
      <c r="AU60" s="389"/>
      <c r="AV60" s="389"/>
      <c r="AW60" s="508"/>
      <c r="AX60" s="389"/>
      <c r="AY60" s="389"/>
      <c r="AZ60" s="389"/>
      <c r="BA60" s="389"/>
      <c r="BB60" s="389"/>
      <c r="BC60" s="389"/>
      <c r="BD60" s="389"/>
      <c r="BE60" s="389"/>
      <c r="BF60" s="389"/>
      <c r="BG60" s="389"/>
      <c r="BH60" s="389"/>
      <c r="BI60" s="389"/>
      <c r="BJ60" s="389"/>
      <c r="BK60" s="389"/>
      <c r="BL60" s="389"/>
      <c r="BM60" s="389"/>
      <c r="BN60" s="389"/>
      <c r="BO60" s="389"/>
      <c r="BP60" s="389"/>
      <c r="BQ60" s="389"/>
    </row>
    <row r="61" spans="2:69" ht="15.75" customHeight="1" thickBot="1" x14ac:dyDescent="0.3">
      <c r="B61" s="378" t="str">
        <f>'Monthly DCF'!B61</f>
        <v>Payroll</v>
      </c>
      <c r="C61" s="989">
        <f>'Monthly DCF'!C61</f>
        <v>120218.76587485711</v>
      </c>
      <c r="D61" s="381">
        <f>'Monthly DCF'!D61</f>
        <v>0.03</v>
      </c>
      <c r="E61" s="382" t="str">
        <f>'Monthly DCF'!E61</f>
        <v>YES</v>
      </c>
      <c r="F61" s="358"/>
      <c r="G61" s="999"/>
      <c r="H61" s="1115">
        <f>SUMIFS('Monthly DCF'!61:61,'Monthly DCF'!$4:$4,'Yearly DCF'!H$3,'Monthly DCF'!$3:$3,"&lt;=" &amp;Summary!$F$20)</f>
        <v>0</v>
      </c>
      <c r="I61" s="599">
        <f>SUMIFS('Monthly DCF'!61:61,'Monthly DCF'!$4:$4,'Yearly DCF'!I$3,'Monthly DCF'!$3:$3,"&lt;=" &amp;Summary!$F$20)</f>
        <v>0</v>
      </c>
      <c r="J61" s="599">
        <f>SUMIFS('Monthly DCF'!61:61,'Monthly DCF'!$4:$4,'Yearly DCF'!J$3,'Monthly DCF'!$3:$3,"&lt;=" &amp;Summary!$F$20)</f>
        <v>0</v>
      </c>
      <c r="K61" s="599">
        <f>SUMIFS('Monthly DCF'!61:61,'Monthly DCF'!$4:$4,'Yearly DCF'!K$3,'Monthly DCF'!$3:$3,"&lt;=" &amp;Summary!$F$20)</f>
        <v>-80635.406496334879</v>
      </c>
      <c r="L61" s="599">
        <f>SUMIFS('Monthly DCF'!61:61,'Monthly DCF'!$4:$4,'Yearly DCF'!L$3,'Monthly DCF'!$3:$3,"&lt;=" &amp;Summary!$F$20)</f>
        <v>-135307.28011947902</v>
      </c>
      <c r="M61" s="1117">
        <f>SUMIFS('Monthly DCF'!61:61,'Monthly DCF'!$4:$4,'Yearly DCF'!M$3,'Monthly DCF'!$3:$3,"&lt;=" &amp;Summary!$F$20)</f>
        <v>-139366.4985230634</v>
      </c>
      <c r="N61" s="599">
        <f>SUMIFS('Monthly DCF'!61:61,'Monthly DCF'!$4:$4,'Yearly DCF'!N$3,'Monthly DCF'!$3:$3,"&lt;=" &amp;Summary!$F$20)</f>
        <v>0</v>
      </c>
      <c r="O61" s="599">
        <f>SUMIFS('Monthly DCF'!61:61,'Monthly DCF'!$4:$4,'Yearly DCF'!O$3,'Monthly DCF'!$3:$3,"&lt;=" &amp;Summary!$F$20)</f>
        <v>0</v>
      </c>
      <c r="P61" s="599">
        <f>SUMIFS('Monthly DCF'!61:61,'Monthly DCF'!$4:$4,'Yearly DCF'!P$3,'Monthly DCF'!$3:$3,"&lt;=" &amp;Summary!$F$20)</f>
        <v>0</v>
      </c>
      <c r="Q61" s="599">
        <f>SUMIFS('Monthly DCF'!61:61,'Monthly DCF'!$4:$4,'Yearly DCF'!Q$3,'Monthly DCF'!$3:$3,"&lt;=" &amp;Summary!$F$20)</f>
        <v>0</v>
      </c>
      <c r="R61" s="1117">
        <f>SUMIFS('Monthly DCF'!61:61,'Monthly DCF'!$4:$4,'Yearly DCF'!R$3,'Monthly DCF'!$3:$3,"&lt;=" &amp;Summary!$F$20)</f>
        <v>0</v>
      </c>
      <c r="X61" s="499"/>
      <c r="Y61" s="499"/>
      <c r="Z61" s="499"/>
      <c r="AA61" s="499"/>
      <c r="AB61" s="499"/>
      <c r="AC61" s="499"/>
      <c r="AD61" s="499"/>
      <c r="AE61" s="509"/>
      <c r="AF61" s="499"/>
      <c r="AG61" s="499"/>
      <c r="AH61" s="499"/>
      <c r="AI61" s="499"/>
      <c r="AJ61" s="499"/>
      <c r="AK61" s="499"/>
      <c r="AL61" s="499"/>
      <c r="AM61" s="500"/>
      <c r="AN61" s="499"/>
      <c r="AO61" s="499"/>
      <c r="AP61" s="499"/>
      <c r="AQ61" s="499"/>
      <c r="AR61" s="499"/>
      <c r="AS61" s="499"/>
      <c r="AT61" s="499"/>
      <c r="AU61" s="499"/>
      <c r="AV61" s="499"/>
      <c r="AW61" s="501"/>
      <c r="AX61" s="499"/>
      <c r="AY61" s="499"/>
      <c r="AZ61" s="499"/>
      <c r="BA61" s="499"/>
      <c r="BB61" s="499"/>
      <c r="BC61" s="499"/>
      <c r="BD61" s="499"/>
      <c r="BE61" s="499"/>
      <c r="BF61" s="499"/>
      <c r="BG61" s="499"/>
      <c r="BH61" s="499"/>
      <c r="BI61" s="499"/>
      <c r="BJ61" s="499"/>
      <c r="BK61" s="499"/>
      <c r="BL61" s="499"/>
      <c r="BM61" s="499"/>
      <c r="BN61" s="499"/>
      <c r="BO61" s="499"/>
      <c r="BP61" s="499"/>
      <c r="BQ61" s="499"/>
    </row>
    <row r="62" spans="2:69" ht="15.75" customHeight="1" x14ac:dyDescent="0.25">
      <c r="B62" s="378" t="str">
        <f>'Monthly DCF'!B62</f>
        <v>Utilities</v>
      </c>
      <c r="C62" s="989">
        <f>'Monthly DCF'!C62</f>
        <v>85564.959161357125</v>
      </c>
      <c r="D62" s="381">
        <f>'Monthly DCF'!D62</f>
        <v>0.03</v>
      </c>
      <c r="E62" s="382" t="str">
        <f>'Monthly DCF'!E62</f>
        <v>YES</v>
      </c>
      <c r="F62" s="359"/>
      <c r="G62" s="1014"/>
      <c r="H62" s="1115">
        <f>SUMIFS('Monthly DCF'!62:62,'Monthly DCF'!$4:$4,'Yearly DCF'!H$3,'Monthly DCF'!$3:$3,"&lt;=" &amp;Summary!$F$20)</f>
        <v>0</v>
      </c>
      <c r="I62" s="599">
        <f>SUMIFS('Monthly DCF'!62:62,'Monthly DCF'!$4:$4,'Yearly DCF'!I$3,'Monthly DCF'!$3:$3,"&lt;=" &amp;Summary!$F$20)</f>
        <v>0</v>
      </c>
      <c r="J62" s="599">
        <f>SUMIFS('Monthly DCF'!62:62,'Monthly DCF'!$4:$4,'Yearly DCF'!J$3,'Monthly DCF'!$3:$3,"&lt;=" &amp;Summary!$F$20)</f>
        <v>0</v>
      </c>
      <c r="K62" s="599">
        <f>SUMIFS('Monthly DCF'!62:62,'Monthly DCF'!$4:$4,'Yearly DCF'!K$3,'Monthly DCF'!$3:$3,"&lt;=" &amp;Summary!$F$20)</f>
        <v>-57391.749229903886</v>
      </c>
      <c r="L62" s="599">
        <f>SUMIFS('Monthly DCF'!62:62,'Monthly DCF'!$4:$4,'Yearly DCF'!L$3,'Monthly DCF'!$3:$3,"&lt;=" &amp;Summary!$F$20)</f>
        <v>-96304.11536339765</v>
      </c>
      <c r="M62" s="1117">
        <f>SUMIFS('Monthly DCF'!62:62,'Monthly DCF'!$4:$4,'Yearly DCF'!M$3,'Monthly DCF'!$3:$3,"&lt;=" &amp;Summary!$F$20)</f>
        <v>-99193.23882429958</v>
      </c>
      <c r="N62" s="599">
        <f>SUMIFS('Monthly DCF'!62:62,'Monthly DCF'!$4:$4,'Yearly DCF'!N$3,'Monthly DCF'!$3:$3,"&lt;=" &amp;Summary!$F$20)</f>
        <v>0</v>
      </c>
      <c r="O62" s="599">
        <f>SUMIFS('Monthly DCF'!62:62,'Monthly DCF'!$4:$4,'Yearly DCF'!O$3,'Monthly DCF'!$3:$3,"&lt;=" &amp;Summary!$F$20)</f>
        <v>0</v>
      </c>
      <c r="P62" s="599">
        <f>SUMIFS('Monthly DCF'!62:62,'Monthly DCF'!$4:$4,'Yearly DCF'!P$3,'Monthly DCF'!$3:$3,"&lt;=" &amp;Summary!$F$20)</f>
        <v>0</v>
      </c>
      <c r="Q62" s="599">
        <f>SUMIFS('Monthly DCF'!62:62,'Monthly DCF'!$4:$4,'Yearly DCF'!Q$3,'Monthly DCF'!$3:$3,"&lt;=" &amp;Summary!$F$20)</f>
        <v>0</v>
      </c>
      <c r="R62" s="1117">
        <f>SUMIFS('Monthly DCF'!62:62,'Monthly DCF'!$4:$4,'Yearly DCF'!R$3,'Monthly DCF'!$3:$3,"&lt;=" &amp;Summary!$F$20)</f>
        <v>0</v>
      </c>
      <c r="X62" s="365"/>
      <c r="Y62" s="365"/>
      <c r="Z62" s="365"/>
      <c r="AA62" s="365"/>
      <c r="AB62" s="365"/>
      <c r="AC62" s="365"/>
      <c r="AD62" s="365"/>
      <c r="AE62" s="399"/>
      <c r="AF62" s="365"/>
      <c r="AG62" s="365"/>
      <c r="AH62" s="365"/>
      <c r="AI62" s="365"/>
      <c r="AJ62" s="365"/>
      <c r="AK62" s="365"/>
      <c r="AL62" s="365"/>
      <c r="AM62" s="495"/>
      <c r="AN62" s="365"/>
      <c r="AO62" s="365"/>
      <c r="AP62" s="365"/>
      <c r="AQ62" s="365"/>
      <c r="AR62" s="365"/>
      <c r="AS62" s="365"/>
      <c r="AT62" s="365"/>
      <c r="AU62" s="365"/>
      <c r="AV62" s="365"/>
      <c r="AW62" s="496"/>
      <c r="AX62" s="365"/>
      <c r="AY62" s="365"/>
      <c r="AZ62" s="365"/>
      <c r="BA62" s="365"/>
      <c r="BB62" s="365"/>
      <c r="BC62" s="365"/>
      <c r="BD62" s="365"/>
      <c r="BE62" s="365"/>
      <c r="BF62" s="365"/>
      <c r="BG62" s="365"/>
      <c r="BH62" s="365"/>
      <c r="BI62" s="365"/>
      <c r="BJ62" s="365"/>
      <c r="BK62" s="365"/>
      <c r="BL62" s="365"/>
      <c r="BM62" s="365"/>
      <c r="BN62" s="365"/>
      <c r="BO62" s="365"/>
      <c r="BP62" s="365"/>
      <c r="BQ62" s="365"/>
    </row>
    <row r="63" spans="2:69" ht="15.75" customHeight="1" x14ac:dyDescent="0.25">
      <c r="B63" s="378" t="str">
        <f>'Monthly DCF'!B63</f>
        <v>Property Insurance</v>
      </c>
      <c r="C63" s="989">
        <f>'Monthly DCF'!C63</f>
        <v>25455.576223928565</v>
      </c>
      <c r="D63" s="381">
        <f>'Monthly DCF'!D63</f>
        <v>0.03</v>
      </c>
      <c r="E63" s="382" t="str">
        <f>'Monthly DCF'!E63</f>
        <v>YES</v>
      </c>
      <c r="F63" s="358"/>
      <c r="G63" s="999"/>
      <c r="H63" s="1115">
        <f>SUMIFS('Monthly DCF'!63:63,'Monthly DCF'!$4:$4,'Yearly DCF'!H$3,'Monthly DCF'!$3:$3,"&lt;=" &amp;Summary!$F$20)</f>
        <v>0</v>
      </c>
      <c r="I63" s="599">
        <f>SUMIFS('Monthly DCF'!63:63,'Monthly DCF'!$4:$4,'Yearly DCF'!I$3,'Monthly DCF'!$3:$3,"&lt;=" &amp;Summary!$F$20)</f>
        <v>0</v>
      </c>
      <c r="J63" s="599">
        <f>SUMIFS('Monthly DCF'!63:63,'Monthly DCF'!$4:$4,'Yearly DCF'!J$3,'Monthly DCF'!$3:$3,"&lt;=" &amp;Summary!$F$20)</f>
        <v>0</v>
      </c>
      <c r="K63" s="599">
        <f>SUMIFS('Monthly DCF'!63:63,'Monthly DCF'!$4:$4,'Yearly DCF'!K$3,'Monthly DCF'!$3:$3,"&lt;=" &amp;Summary!$F$20)</f>
        <v>-17074.045981736435</v>
      </c>
      <c r="L63" s="599">
        <f>SUMIFS('Monthly DCF'!63:63,'Monthly DCF'!$4:$4,'Yearly DCF'!L$3,'Monthly DCF'!$3:$3,"&lt;=" &amp;Summary!$F$20)</f>
        <v>-28650.475303658128</v>
      </c>
      <c r="M63" s="1117">
        <f>SUMIFS('Monthly DCF'!63:63,'Monthly DCF'!$4:$4,'Yearly DCF'!M$3,'Monthly DCF'!$3:$3,"&lt;=" &amp;Summary!$F$20)</f>
        <v>-29509.989562767874</v>
      </c>
      <c r="N63" s="599">
        <f>SUMIFS('Monthly DCF'!63:63,'Monthly DCF'!$4:$4,'Yearly DCF'!N$3,'Monthly DCF'!$3:$3,"&lt;=" &amp;Summary!$F$20)</f>
        <v>0</v>
      </c>
      <c r="O63" s="599">
        <f>SUMIFS('Monthly DCF'!63:63,'Monthly DCF'!$4:$4,'Yearly DCF'!O$3,'Monthly DCF'!$3:$3,"&lt;=" &amp;Summary!$F$20)</f>
        <v>0</v>
      </c>
      <c r="P63" s="599">
        <f>SUMIFS('Monthly DCF'!63:63,'Monthly DCF'!$4:$4,'Yearly DCF'!P$3,'Monthly DCF'!$3:$3,"&lt;=" &amp;Summary!$F$20)</f>
        <v>0</v>
      </c>
      <c r="Q63" s="599">
        <f>SUMIFS('Monthly DCF'!63:63,'Monthly DCF'!$4:$4,'Yearly DCF'!Q$3,'Monthly DCF'!$3:$3,"&lt;=" &amp;Summary!$F$20)</f>
        <v>0</v>
      </c>
      <c r="R63" s="1117">
        <f>SUMIFS('Monthly DCF'!63:63,'Monthly DCF'!$4:$4,'Yearly DCF'!R$3,'Monthly DCF'!$3:$3,"&lt;=" &amp;Summary!$F$20)</f>
        <v>0</v>
      </c>
      <c r="X63" s="365"/>
      <c r="Y63" s="365"/>
      <c r="Z63" s="365"/>
      <c r="AA63" s="365"/>
      <c r="AB63" s="365"/>
      <c r="AC63" s="365"/>
      <c r="AD63" s="365"/>
      <c r="AE63" s="399"/>
      <c r="AF63" s="365"/>
      <c r="AG63" s="365"/>
      <c r="AH63" s="365"/>
      <c r="AI63" s="365"/>
      <c r="AJ63" s="365"/>
      <c r="AK63" s="365"/>
      <c r="AL63" s="365"/>
      <c r="AM63" s="495"/>
      <c r="AN63" s="365"/>
      <c r="AO63" s="365"/>
      <c r="AP63" s="365"/>
      <c r="AQ63" s="365"/>
      <c r="AR63" s="365"/>
      <c r="AS63" s="365"/>
      <c r="AT63" s="365"/>
      <c r="AU63" s="365"/>
      <c r="AV63" s="365"/>
      <c r="AW63" s="496"/>
      <c r="AX63" s="365"/>
      <c r="AY63" s="365"/>
      <c r="AZ63" s="365"/>
      <c r="BA63" s="365"/>
      <c r="BB63" s="365"/>
      <c r="BC63" s="365"/>
      <c r="BD63" s="365"/>
      <c r="BE63" s="365"/>
      <c r="BF63" s="365"/>
      <c r="BG63" s="365"/>
      <c r="BH63" s="365"/>
      <c r="BI63" s="365"/>
      <c r="BJ63" s="365"/>
      <c r="BK63" s="365"/>
      <c r="BL63" s="365"/>
      <c r="BM63" s="365"/>
      <c r="BN63" s="365"/>
      <c r="BO63" s="365"/>
      <c r="BP63" s="365"/>
      <c r="BQ63" s="365"/>
    </row>
    <row r="64" spans="2:69" ht="15.75" customHeight="1" x14ac:dyDescent="0.25">
      <c r="B64" s="378" t="str">
        <f>'Monthly DCF'!B64</f>
        <v>Property Management</v>
      </c>
      <c r="C64" s="989">
        <f>'Monthly DCF'!C64</f>
        <v>105659.808</v>
      </c>
      <c r="D64" s="381">
        <f>'Monthly DCF'!D64</f>
        <v>0.03</v>
      </c>
      <c r="E64" s="382" t="str">
        <f>'Monthly DCF'!E64</f>
        <v>YES</v>
      </c>
      <c r="F64" s="358"/>
      <c r="G64" s="999"/>
      <c r="H64" s="1115">
        <f>SUMIFS('Monthly DCF'!64:64,'Monthly DCF'!$4:$4,'Yearly DCF'!H$3,'Monthly DCF'!$3:$3,"&lt;=" &amp;Summary!$F$20)</f>
        <v>0</v>
      </c>
      <c r="I64" s="599">
        <f>SUMIFS('Monthly DCF'!64:64,'Monthly DCF'!$4:$4,'Yearly DCF'!I$3,'Monthly DCF'!$3:$3,"&lt;=" &amp;Summary!$F$20)</f>
        <v>0</v>
      </c>
      <c r="J64" s="599">
        <f>SUMIFS('Monthly DCF'!64:64,'Monthly DCF'!$4:$4,'Yearly DCF'!J$3,'Monthly DCF'!$3:$3,"&lt;=" &amp;Summary!$F$20)</f>
        <v>0</v>
      </c>
      <c r="K64" s="599">
        <f>SUMIFS('Monthly DCF'!64:64,'Monthly DCF'!$4:$4,'Yearly DCF'!K$3,'Monthly DCF'!$3:$3,"&lt;=" &amp;Summary!$F$20)</f>
        <v>-70870.146656417957</v>
      </c>
      <c r="L64" s="599">
        <f>SUMIFS('Monthly DCF'!64:64,'Monthly DCF'!$4:$4,'Yearly DCF'!L$3,'Monthly DCF'!$3:$3,"&lt;=" &amp;Summary!$F$20)</f>
        <v>-118921.0447669085</v>
      </c>
      <c r="M64" s="1117">
        <f>SUMIFS('Monthly DCF'!64:64,'Monthly DCF'!$4:$4,'Yearly DCF'!M$3,'Monthly DCF'!$3:$3,"&lt;=" &amp;Summary!$F$20)</f>
        <v>-122488.67610991576</v>
      </c>
      <c r="N64" s="599">
        <f>SUMIFS('Monthly DCF'!64:64,'Monthly DCF'!$4:$4,'Yearly DCF'!N$3,'Monthly DCF'!$3:$3,"&lt;=" &amp;Summary!$F$20)</f>
        <v>0</v>
      </c>
      <c r="O64" s="599">
        <f>SUMIFS('Monthly DCF'!64:64,'Monthly DCF'!$4:$4,'Yearly DCF'!O$3,'Monthly DCF'!$3:$3,"&lt;=" &amp;Summary!$F$20)</f>
        <v>0</v>
      </c>
      <c r="P64" s="599">
        <f>SUMIFS('Monthly DCF'!64:64,'Monthly DCF'!$4:$4,'Yearly DCF'!P$3,'Monthly DCF'!$3:$3,"&lt;=" &amp;Summary!$F$20)</f>
        <v>0</v>
      </c>
      <c r="Q64" s="599">
        <f>SUMIFS('Monthly DCF'!64:64,'Monthly DCF'!$4:$4,'Yearly DCF'!Q$3,'Monthly DCF'!$3:$3,"&lt;=" &amp;Summary!$F$20)</f>
        <v>0</v>
      </c>
      <c r="R64" s="1117">
        <f>SUMIFS('Monthly DCF'!64:64,'Monthly DCF'!$4:$4,'Yearly DCF'!R$3,'Monthly DCF'!$3:$3,"&lt;=" &amp;Summary!$F$20)</f>
        <v>0</v>
      </c>
      <c r="X64" s="365"/>
      <c r="Y64" s="365"/>
      <c r="Z64" s="365"/>
      <c r="AA64" s="365"/>
      <c r="AB64" s="365"/>
      <c r="AC64" s="365"/>
      <c r="AD64" s="365"/>
      <c r="AE64" s="399"/>
      <c r="AF64" s="365"/>
      <c r="AG64" s="365"/>
      <c r="AH64" s="365"/>
      <c r="AI64" s="365"/>
      <c r="AJ64" s="365"/>
      <c r="AK64" s="365"/>
      <c r="AL64" s="365"/>
      <c r="AM64" s="495"/>
      <c r="AN64" s="365"/>
      <c r="AO64" s="365"/>
      <c r="AP64" s="365"/>
      <c r="AQ64" s="365"/>
      <c r="AR64" s="365"/>
      <c r="AS64" s="365"/>
      <c r="AT64" s="365"/>
      <c r="AU64" s="365"/>
      <c r="AV64" s="365"/>
      <c r="AW64" s="496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</row>
    <row r="65" spans="2:69" ht="15.75" customHeight="1" x14ac:dyDescent="0.25">
      <c r="B65" s="378" t="str">
        <f>'Monthly DCF'!B65</f>
        <v>Real Estate Taxes</v>
      </c>
      <c r="C65" s="989">
        <f>'Monthly DCF'!C65</f>
        <v>258792</v>
      </c>
      <c r="D65" s="381">
        <f>'Monthly DCF'!D65</f>
        <v>0.03</v>
      </c>
      <c r="E65" s="651" t="str">
        <f>'Monthly DCF'!E65</f>
        <v>YES</v>
      </c>
      <c r="F65" s="358"/>
      <c r="G65" s="999"/>
      <c r="H65" s="1115">
        <f>SUMIFS('Monthly DCF'!65:65,'Monthly DCF'!$4:$4,'Yearly DCF'!H$3,'Monthly DCF'!$3:$3,"&lt;=" &amp;Summary!$F$20)</f>
        <v>0</v>
      </c>
      <c r="I65" s="599">
        <f>SUMIFS('Monthly DCF'!65:65,'Monthly DCF'!$4:$4,'Yearly DCF'!I$3,'Monthly DCF'!$3:$3,"&lt;=" &amp;Summary!$F$20)</f>
        <v>0</v>
      </c>
      <c r="J65" s="599">
        <f>SUMIFS('Monthly DCF'!65:65,'Monthly DCF'!$4:$4,'Yearly DCF'!J$3,'Monthly DCF'!$3:$3,"&lt;=" &amp;Summary!$F$20)</f>
        <v>0</v>
      </c>
      <c r="K65" s="599">
        <f>SUMIFS('Monthly DCF'!65:65,'Monthly DCF'!$4:$4,'Yearly DCF'!K$3,'Monthly DCF'!$3:$3,"&lt;=" &amp;Summary!$F$20)</f>
        <v>-173581.86940400003</v>
      </c>
      <c r="L65" s="599">
        <f>SUMIFS('Monthly DCF'!65:65,'Monthly DCF'!$4:$4,'Yearly DCF'!L$3,'Monthly DCF'!$3:$3,"&lt;=" &amp;Summary!$F$20)</f>
        <v>-291272.67595751991</v>
      </c>
      <c r="M65" s="1117">
        <f>SUMIFS('Monthly DCF'!65:65,'Monthly DCF'!$4:$4,'Yearly DCF'!M$3,'Monthly DCF'!$3:$3,"&lt;=" &amp;Summary!$F$20)</f>
        <v>-300010.8562362456</v>
      </c>
      <c r="N65" s="599">
        <f>SUMIFS('Monthly DCF'!65:65,'Monthly DCF'!$4:$4,'Yearly DCF'!N$3,'Monthly DCF'!$3:$3,"&lt;=" &amp;Summary!$F$20)</f>
        <v>0</v>
      </c>
      <c r="O65" s="599">
        <f>SUMIFS('Monthly DCF'!65:65,'Monthly DCF'!$4:$4,'Yearly DCF'!O$3,'Monthly DCF'!$3:$3,"&lt;=" &amp;Summary!$F$20)</f>
        <v>0</v>
      </c>
      <c r="P65" s="599">
        <f>SUMIFS('Monthly DCF'!65:65,'Monthly DCF'!$4:$4,'Yearly DCF'!P$3,'Monthly DCF'!$3:$3,"&lt;=" &amp;Summary!$F$20)</f>
        <v>0</v>
      </c>
      <c r="Q65" s="599">
        <f>SUMIFS('Monthly DCF'!65:65,'Monthly DCF'!$4:$4,'Yearly DCF'!Q$3,'Monthly DCF'!$3:$3,"&lt;=" &amp;Summary!$F$20)</f>
        <v>0</v>
      </c>
      <c r="R65" s="1117">
        <f>SUMIFS('Monthly DCF'!65:65,'Monthly DCF'!$4:$4,'Yearly DCF'!R$3,'Monthly DCF'!$3:$3,"&lt;=" &amp;Summary!$F$20)</f>
        <v>0</v>
      </c>
      <c r="X65" s="365"/>
      <c r="Y65" s="365"/>
      <c r="Z65" s="365"/>
      <c r="AA65" s="365"/>
      <c r="AB65" s="365"/>
      <c r="AC65" s="365"/>
      <c r="AD65" s="365"/>
      <c r="AE65" s="399"/>
      <c r="AF65" s="365"/>
      <c r="AG65" s="365"/>
      <c r="AH65" s="365"/>
      <c r="AI65" s="365"/>
      <c r="AJ65" s="365"/>
      <c r="AK65" s="365"/>
      <c r="AL65" s="365"/>
      <c r="AM65" s="495"/>
      <c r="AN65" s="365"/>
      <c r="AO65" s="365"/>
      <c r="AP65" s="365"/>
      <c r="AQ65" s="365"/>
      <c r="AR65" s="365"/>
      <c r="AS65" s="365"/>
      <c r="AT65" s="365"/>
      <c r="AU65" s="365"/>
      <c r="AV65" s="365"/>
      <c r="AW65" s="496"/>
      <c r="AX65" s="365"/>
      <c r="AY65" s="365"/>
      <c r="AZ65" s="365"/>
      <c r="BA65" s="365"/>
      <c r="BB65" s="365"/>
      <c r="BC65" s="365"/>
      <c r="BD65" s="365"/>
      <c r="BE65" s="365"/>
      <c r="BF65" s="365"/>
      <c r="BG65" s="365"/>
      <c r="BH65" s="365"/>
      <c r="BI65" s="365"/>
      <c r="BJ65" s="365"/>
      <c r="BK65" s="365"/>
      <c r="BL65" s="365"/>
      <c r="BM65" s="365"/>
      <c r="BN65" s="365"/>
      <c r="BO65" s="365"/>
      <c r="BP65" s="365"/>
      <c r="BQ65" s="365"/>
    </row>
    <row r="66" spans="2:69" ht="15.75" customHeight="1" x14ac:dyDescent="0.25">
      <c r="B66" s="378" t="str">
        <f>'Monthly DCF'!B66</f>
        <v>Replacement Reserves</v>
      </c>
      <c r="C66" s="990">
        <f>'Monthly DCF'!C66</f>
        <v>40929.120000000003</v>
      </c>
      <c r="D66" s="991">
        <f>'Monthly DCF'!D66</f>
        <v>0.03</v>
      </c>
      <c r="E66" s="992" t="str">
        <f>'Monthly DCF'!E66</f>
        <v>YES</v>
      </c>
      <c r="F66" s="993"/>
      <c r="G66" s="993"/>
      <c r="H66" s="1125">
        <f>SUMIFS('Monthly DCF'!66:66,'Monthly DCF'!$4:$4,'Yearly DCF'!H$3,'Monthly DCF'!$3:$3,"&lt;=" &amp;Summary!$F$20)</f>
        <v>0</v>
      </c>
      <c r="I66" s="600">
        <f>SUMIFS('Monthly DCF'!66:66,'Monthly DCF'!$4:$4,'Yearly DCF'!I$3,'Monthly DCF'!$3:$3,"&lt;=" &amp;Summary!$F$20)</f>
        <v>0</v>
      </c>
      <c r="J66" s="600">
        <f>SUMIFS('Monthly DCF'!66:66,'Monthly DCF'!$4:$4,'Yearly DCF'!J$3,'Monthly DCF'!$3:$3,"&lt;=" &amp;Summary!$F$20)</f>
        <v>0</v>
      </c>
      <c r="K66" s="600">
        <f>SUMIFS('Monthly DCF'!66:66,'Monthly DCF'!$4:$4,'Yearly DCF'!K$3,'Monthly DCF'!$3:$3,"&lt;=" &amp;Summary!$F$20)</f>
        <v>-27452.75419124488</v>
      </c>
      <c r="L66" s="600">
        <f>SUMIFS('Monthly DCF'!66:66,'Monthly DCF'!$4:$4,'Yearly DCF'!L$3,'Monthly DCF'!$3:$3,"&lt;=" &amp;Summary!$F$20)</f>
        <v>-46066.0851455472</v>
      </c>
      <c r="M66" s="1126">
        <f>SUMIFS('Monthly DCF'!66:66,'Monthly DCF'!$4:$4,'Yearly DCF'!M$3,'Monthly DCF'!$3:$3,"&lt;=" &amp;Summary!$F$20)</f>
        <v>-47448.067699913612</v>
      </c>
      <c r="N66" s="600">
        <f>SUMIFS('Monthly DCF'!66:66,'Monthly DCF'!$4:$4,'Yearly DCF'!N$3,'Monthly DCF'!$3:$3,"&lt;=" &amp;Summary!$F$20)</f>
        <v>0</v>
      </c>
      <c r="O66" s="600">
        <f>SUMIFS('Monthly DCF'!66:66,'Monthly DCF'!$4:$4,'Yearly DCF'!O$3,'Monthly DCF'!$3:$3,"&lt;=" &amp;Summary!$F$20)</f>
        <v>0</v>
      </c>
      <c r="P66" s="600">
        <f>SUMIFS('Monthly DCF'!66:66,'Monthly DCF'!$4:$4,'Yearly DCF'!P$3,'Monthly DCF'!$3:$3,"&lt;=" &amp;Summary!$F$20)</f>
        <v>0</v>
      </c>
      <c r="Q66" s="600">
        <f>SUMIFS('Monthly DCF'!66:66,'Monthly DCF'!$4:$4,'Yearly DCF'!Q$3,'Monthly DCF'!$3:$3,"&lt;=" &amp;Summary!$F$20)</f>
        <v>0</v>
      </c>
      <c r="R66" s="1126">
        <f>SUMIFS('Monthly DCF'!66:66,'Monthly DCF'!$4:$4,'Yearly DCF'!R$3,'Monthly DCF'!$3:$3,"&lt;=" &amp;Summary!$F$20)</f>
        <v>0</v>
      </c>
      <c r="X66" s="365"/>
      <c r="Y66" s="365"/>
      <c r="Z66" s="365"/>
      <c r="AA66" s="365"/>
      <c r="AB66" s="365"/>
      <c r="AC66" s="365"/>
      <c r="AD66" s="365"/>
      <c r="AE66" s="399"/>
      <c r="AF66" s="365"/>
      <c r="AG66" s="365"/>
      <c r="AH66" s="365"/>
      <c r="AI66" s="365"/>
      <c r="AJ66" s="365"/>
      <c r="AK66" s="365"/>
      <c r="AL66" s="365"/>
      <c r="AM66" s="495"/>
      <c r="AN66" s="365"/>
      <c r="AO66" s="365"/>
      <c r="AP66" s="365"/>
      <c r="AQ66" s="365"/>
      <c r="AR66" s="365"/>
      <c r="AS66" s="365"/>
      <c r="AT66" s="365"/>
      <c r="AU66" s="365"/>
      <c r="AV66" s="365"/>
      <c r="AW66" s="496"/>
      <c r="AX66" s="365"/>
      <c r="AY66" s="365"/>
      <c r="AZ66" s="365"/>
      <c r="BA66" s="365"/>
      <c r="BB66" s="365"/>
      <c r="BC66" s="365"/>
      <c r="BD66" s="365"/>
      <c r="BE66" s="365"/>
      <c r="BF66" s="365"/>
      <c r="BG66" s="365"/>
      <c r="BH66" s="365"/>
      <c r="BI66" s="365"/>
      <c r="BJ66" s="365"/>
      <c r="BK66" s="365"/>
      <c r="BL66" s="365"/>
      <c r="BM66" s="365"/>
      <c r="BN66" s="365"/>
      <c r="BO66" s="365"/>
      <c r="BP66" s="365"/>
      <c r="BQ66" s="365"/>
    </row>
    <row r="67" spans="2:69" ht="15.75" hidden="1" customHeight="1" x14ac:dyDescent="0.25">
      <c r="B67" s="378"/>
      <c r="C67" s="989">
        <f>'Monthly DCF'!C67</f>
        <v>0</v>
      </c>
      <c r="D67" s="381">
        <f>'Monthly DCF'!D67</f>
        <v>0</v>
      </c>
      <c r="E67" s="382" t="str">
        <f>'Monthly DCF'!E67</f>
        <v>YES</v>
      </c>
      <c r="F67" s="358"/>
      <c r="G67" s="999"/>
      <c r="H67" s="1115">
        <f>SUMIFS('Monthly DCF'!67:67,'Monthly DCF'!$4:$4,'Yearly DCF'!H$3,'Monthly DCF'!$3:$3,"&lt;=" &amp;Summary!$F$20)</f>
        <v>0</v>
      </c>
      <c r="I67" s="599">
        <f>SUMIFS('Monthly DCF'!67:67,'Monthly DCF'!$4:$4,'Yearly DCF'!I$3,'Monthly DCF'!$3:$3,"&lt;=" &amp;Summary!$F$20)</f>
        <v>0</v>
      </c>
      <c r="J67" s="599">
        <f>SUMIFS('Monthly DCF'!67:67,'Monthly DCF'!$4:$4,'Yearly DCF'!J$3,'Monthly DCF'!$3:$3,"&lt;=" &amp;Summary!$F$20)</f>
        <v>0</v>
      </c>
      <c r="K67" s="599">
        <f>SUMIFS('Monthly DCF'!67:67,'Monthly DCF'!$4:$4,'Yearly DCF'!K$3,'Monthly DCF'!$3:$3,"&lt;=" &amp;Summary!$F$20)</f>
        <v>0</v>
      </c>
      <c r="L67" s="599">
        <f>SUMIFS('Monthly DCF'!67:67,'Monthly DCF'!$4:$4,'Yearly DCF'!L$3,'Monthly DCF'!$3:$3,"&lt;=" &amp;Summary!$F$20)</f>
        <v>0</v>
      </c>
      <c r="M67" s="1117">
        <f>SUMIFS('Monthly DCF'!67:67,'Monthly DCF'!$4:$4,'Yearly DCF'!M$3,'Monthly DCF'!$3:$3,"&lt;=" &amp;Summary!$F$20)</f>
        <v>0</v>
      </c>
      <c r="N67" s="599">
        <f>SUMIFS('Monthly DCF'!67:67,'Monthly DCF'!$4:$4,'Yearly DCF'!N$3,'Monthly DCF'!$3:$3,"&lt;=" &amp;Summary!$F$20)</f>
        <v>0</v>
      </c>
      <c r="O67" s="599">
        <f>SUMIFS('Monthly DCF'!67:67,'Monthly DCF'!$4:$4,'Yearly DCF'!O$3,'Monthly DCF'!$3:$3,"&lt;=" &amp;Summary!$F$20)</f>
        <v>0</v>
      </c>
      <c r="P67" s="599">
        <f>SUMIFS('Monthly DCF'!67:67,'Monthly DCF'!$4:$4,'Yearly DCF'!P$3,'Monthly DCF'!$3:$3,"&lt;=" &amp;Summary!$F$20)</f>
        <v>0</v>
      </c>
      <c r="Q67" s="599">
        <f>SUMIFS('Monthly DCF'!67:67,'Monthly DCF'!$4:$4,'Yearly DCF'!Q$3,'Monthly DCF'!$3:$3,"&lt;=" &amp;Summary!$F$20)</f>
        <v>0</v>
      </c>
      <c r="R67" s="1117">
        <f>SUMIFS('Monthly DCF'!67:67,'Monthly DCF'!$4:$4,'Yearly DCF'!R$3,'Monthly DCF'!$3:$3,"&lt;=" &amp;Summary!$F$20)</f>
        <v>0</v>
      </c>
      <c r="X67" s="365"/>
      <c r="Y67" s="365"/>
      <c r="Z67" s="365"/>
      <c r="AA67" s="365"/>
      <c r="AB67" s="365"/>
      <c r="AC67" s="365"/>
      <c r="AD67" s="365"/>
      <c r="AE67" s="399"/>
      <c r="AF67" s="365"/>
      <c r="AG67" s="365"/>
      <c r="AH67" s="365"/>
      <c r="AI67" s="365"/>
      <c r="AJ67" s="365"/>
      <c r="AK67" s="365"/>
      <c r="AL67" s="365"/>
      <c r="AM67" s="495"/>
      <c r="AN67" s="365"/>
      <c r="AO67" s="365"/>
      <c r="AP67" s="365"/>
      <c r="AQ67" s="365"/>
      <c r="AR67" s="365"/>
      <c r="AS67" s="365"/>
      <c r="AT67" s="365"/>
      <c r="AU67" s="365"/>
      <c r="AV67" s="365"/>
      <c r="AW67" s="496"/>
      <c r="AX67" s="365"/>
      <c r="AY67" s="365"/>
      <c r="AZ67" s="365"/>
      <c r="BA67" s="365"/>
      <c r="BB67" s="365"/>
      <c r="BC67" s="365"/>
      <c r="BD67" s="365"/>
      <c r="BE67" s="365"/>
      <c r="BF67" s="365"/>
      <c r="BG67" s="365"/>
      <c r="BH67" s="365"/>
      <c r="BI67" s="365"/>
      <c r="BJ67" s="365"/>
      <c r="BK67" s="365"/>
      <c r="BL67" s="365"/>
      <c r="BM67" s="365"/>
      <c r="BN67" s="365"/>
      <c r="BO67" s="365"/>
      <c r="BP67" s="365"/>
      <c r="BQ67" s="365"/>
    </row>
    <row r="68" spans="2:69" ht="15.75" hidden="1" customHeight="1" x14ac:dyDescent="0.25">
      <c r="B68" s="378"/>
      <c r="C68" s="989">
        <f>'Monthly DCF'!C68</f>
        <v>0</v>
      </c>
      <c r="D68" s="381">
        <f>'Monthly DCF'!D68</f>
        <v>0</v>
      </c>
      <c r="E68" s="382" t="str">
        <f>'Monthly DCF'!E68</f>
        <v>YES</v>
      </c>
      <c r="F68" s="358"/>
      <c r="G68" s="999"/>
      <c r="H68" s="1115">
        <f>SUMIFS('Monthly DCF'!68:68,'Monthly DCF'!$4:$4,'Yearly DCF'!H$3,'Monthly DCF'!$3:$3,"&lt;=" &amp;Summary!$F$20)</f>
        <v>0</v>
      </c>
      <c r="I68" s="599">
        <f>SUMIFS('Monthly DCF'!68:68,'Monthly DCF'!$4:$4,'Yearly DCF'!I$3,'Monthly DCF'!$3:$3,"&lt;=" &amp;Summary!$F$20)</f>
        <v>0</v>
      </c>
      <c r="J68" s="599">
        <f>SUMIFS('Monthly DCF'!68:68,'Monthly DCF'!$4:$4,'Yearly DCF'!J$3,'Monthly DCF'!$3:$3,"&lt;=" &amp;Summary!$F$20)</f>
        <v>0</v>
      </c>
      <c r="K68" s="599">
        <f>SUMIFS('Monthly DCF'!68:68,'Monthly DCF'!$4:$4,'Yearly DCF'!K$3,'Monthly DCF'!$3:$3,"&lt;=" &amp;Summary!$F$20)</f>
        <v>0</v>
      </c>
      <c r="L68" s="599">
        <f>SUMIFS('Monthly DCF'!68:68,'Monthly DCF'!$4:$4,'Yearly DCF'!L$3,'Monthly DCF'!$3:$3,"&lt;=" &amp;Summary!$F$20)</f>
        <v>0</v>
      </c>
      <c r="M68" s="1117">
        <f>SUMIFS('Monthly DCF'!68:68,'Monthly DCF'!$4:$4,'Yearly DCF'!M$3,'Monthly DCF'!$3:$3,"&lt;=" &amp;Summary!$F$20)</f>
        <v>0</v>
      </c>
      <c r="N68" s="599">
        <f>SUMIFS('Monthly DCF'!68:68,'Monthly DCF'!$4:$4,'Yearly DCF'!N$3,'Monthly DCF'!$3:$3,"&lt;=" &amp;Summary!$F$20)</f>
        <v>0</v>
      </c>
      <c r="O68" s="599">
        <f>SUMIFS('Monthly DCF'!68:68,'Monthly DCF'!$4:$4,'Yearly DCF'!O$3,'Monthly DCF'!$3:$3,"&lt;=" &amp;Summary!$F$20)</f>
        <v>0</v>
      </c>
      <c r="P68" s="599">
        <f>SUMIFS('Monthly DCF'!68:68,'Monthly DCF'!$4:$4,'Yearly DCF'!P$3,'Monthly DCF'!$3:$3,"&lt;=" &amp;Summary!$F$20)</f>
        <v>0</v>
      </c>
      <c r="Q68" s="599">
        <f>SUMIFS('Monthly DCF'!68:68,'Monthly DCF'!$4:$4,'Yearly DCF'!Q$3,'Monthly DCF'!$3:$3,"&lt;=" &amp;Summary!$F$20)</f>
        <v>0</v>
      </c>
      <c r="R68" s="1117">
        <f>SUMIFS('Monthly DCF'!68:68,'Monthly DCF'!$4:$4,'Yearly DCF'!R$3,'Monthly DCF'!$3:$3,"&lt;=" &amp;Summary!$F$20)</f>
        <v>0</v>
      </c>
      <c r="X68" s="365"/>
      <c r="Y68" s="365"/>
      <c r="Z68" s="365"/>
      <c r="AA68" s="365"/>
      <c r="AB68" s="365"/>
      <c r="AC68" s="365"/>
      <c r="AD68" s="365"/>
      <c r="AE68" s="399"/>
      <c r="AF68" s="365"/>
      <c r="AG68" s="365"/>
      <c r="AH68" s="365"/>
      <c r="AI68" s="365"/>
      <c r="AJ68" s="365"/>
      <c r="AK68" s="365"/>
      <c r="AL68" s="365"/>
      <c r="AM68" s="495"/>
      <c r="AN68" s="365"/>
      <c r="AO68" s="365"/>
      <c r="AP68" s="365"/>
      <c r="AQ68" s="365"/>
      <c r="AR68" s="365"/>
      <c r="AS68" s="365"/>
      <c r="AT68" s="365"/>
      <c r="AU68" s="365"/>
      <c r="AV68" s="365"/>
      <c r="AW68" s="496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</row>
    <row r="69" spans="2:69" ht="15.75" hidden="1" customHeight="1" x14ac:dyDescent="0.25">
      <c r="B69" s="378"/>
      <c r="C69" s="990">
        <f>'Monthly DCF'!C69</f>
        <v>0</v>
      </c>
      <c r="D69" s="383">
        <f>'Monthly DCF'!D69</f>
        <v>0.03</v>
      </c>
      <c r="E69" s="652" t="str">
        <f>'Monthly DCF'!E69</f>
        <v>YES</v>
      </c>
      <c r="F69" s="366"/>
      <c r="G69" s="1081"/>
      <c r="H69" s="1125">
        <f>SUMIFS('Monthly DCF'!69:69,'Monthly DCF'!$4:$4,'Yearly DCF'!H$3,'Monthly DCF'!$3:$3,"&lt;=" &amp;Summary!$F$20)</f>
        <v>0</v>
      </c>
      <c r="I69" s="600">
        <f>SUMIFS('Monthly DCF'!69:69,'Monthly DCF'!$4:$4,'Yearly DCF'!I$3,'Monthly DCF'!$3:$3,"&lt;=" &amp;Summary!$F$20)</f>
        <v>0</v>
      </c>
      <c r="J69" s="600">
        <f>SUMIFS('Monthly DCF'!69:69,'Monthly DCF'!$4:$4,'Yearly DCF'!J$3,'Monthly DCF'!$3:$3,"&lt;=" &amp;Summary!$F$20)</f>
        <v>0</v>
      </c>
      <c r="K69" s="600">
        <f>SUMIFS('Monthly DCF'!69:69,'Monthly DCF'!$4:$4,'Yearly DCF'!K$3,'Monthly DCF'!$3:$3,"&lt;=" &amp;Summary!$F$20)</f>
        <v>0</v>
      </c>
      <c r="L69" s="600">
        <f>SUMIFS('Monthly DCF'!69:69,'Monthly DCF'!$4:$4,'Yearly DCF'!L$3,'Monthly DCF'!$3:$3,"&lt;=" &amp;Summary!$F$20)</f>
        <v>0</v>
      </c>
      <c r="M69" s="1126">
        <f>SUMIFS('Monthly DCF'!69:69,'Monthly DCF'!$4:$4,'Yearly DCF'!M$3,'Monthly DCF'!$3:$3,"&lt;=" &amp;Summary!$F$20)</f>
        <v>0</v>
      </c>
      <c r="N69" s="600">
        <f>SUMIFS('Monthly DCF'!69:69,'Monthly DCF'!$4:$4,'Yearly DCF'!N$3,'Monthly DCF'!$3:$3,"&lt;=" &amp;Summary!$F$20)</f>
        <v>0</v>
      </c>
      <c r="O69" s="600">
        <f>SUMIFS('Monthly DCF'!69:69,'Monthly DCF'!$4:$4,'Yearly DCF'!O$3,'Monthly DCF'!$3:$3,"&lt;=" &amp;Summary!$F$20)</f>
        <v>0</v>
      </c>
      <c r="P69" s="600">
        <f>SUMIFS('Monthly DCF'!69:69,'Monthly DCF'!$4:$4,'Yearly DCF'!P$3,'Monthly DCF'!$3:$3,"&lt;=" &amp;Summary!$F$20)</f>
        <v>0</v>
      </c>
      <c r="Q69" s="600">
        <f>SUMIFS('Monthly DCF'!69:69,'Monthly DCF'!$4:$4,'Yearly DCF'!Q$3,'Monthly DCF'!$3:$3,"&lt;=" &amp;Summary!$F$20)</f>
        <v>0</v>
      </c>
      <c r="R69" s="1126">
        <f>SUMIFS('Monthly DCF'!69:69,'Monthly DCF'!$4:$4,'Yearly DCF'!R$3,'Monthly DCF'!$3:$3,"&lt;=" &amp;Summary!$F$20)</f>
        <v>0</v>
      </c>
      <c r="X69" s="510"/>
      <c r="Y69" s="510"/>
      <c r="Z69" s="510"/>
      <c r="AA69" s="510"/>
      <c r="AB69" s="510"/>
      <c r="AC69" s="510"/>
      <c r="AD69" s="510"/>
      <c r="AE69" s="510"/>
      <c r="AF69" s="510"/>
      <c r="AG69" s="510"/>
      <c r="AH69" s="510"/>
      <c r="AI69" s="510"/>
      <c r="AJ69" s="510"/>
      <c r="AK69" s="510"/>
      <c r="AL69" s="510"/>
      <c r="AM69" s="511"/>
      <c r="AN69" s="510"/>
      <c r="AO69" s="510"/>
      <c r="AP69" s="510"/>
      <c r="AQ69" s="510"/>
      <c r="AR69" s="510"/>
      <c r="AS69" s="510"/>
      <c r="AT69" s="510"/>
      <c r="AU69" s="510"/>
      <c r="AV69" s="510"/>
      <c r="AW69" s="512"/>
      <c r="AX69" s="510"/>
      <c r="AY69" s="510"/>
      <c r="AZ69" s="510"/>
      <c r="BA69" s="510"/>
      <c r="BB69" s="510"/>
      <c r="BC69" s="510"/>
      <c r="BD69" s="510"/>
      <c r="BE69" s="510"/>
      <c r="BF69" s="510"/>
      <c r="BG69" s="510"/>
      <c r="BH69" s="510"/>
      <c r="BI69" s="510"/>
      <c r="BJ69" s="510"/>
      <c r="BK69" s="510"/>
      <c r="BL69" s="510"/>
      <c r="BM69" s="510"/>
      <c r="BN69" s="510"/>
      <c r="BO69" s="510"/>
      <c r="BP69" s="510"/>
      <c r="BQ69" s="510"/>
    </row>
    <row r="70" spans="2:69" ht="15.75" customHeight="1" x14ac:dyDescent="0.25">
      <c r="B70" s="384" t="str">
        <f>'Monthly DCF'!B70</f>
        <v>Less: Total Expenses</v>
      </c>
      <c r="C70" s="363">
        <f>'Monthly DCF'!C70</f>
        <v>907604.45247857133</v>
      </c>
      <c r="D70" s="358"/>
      <c r="E70" s="358"/>
      <c r="F70" s="358"/>
      <c r="G70" s="1082"/>
      <c r="H70" s="1115">
        <f>SUMIFS('Monthly DCF'!70:70,'Monthly DCF'!$4:$4,'Yearly DCF'!H$3,'Monthly DCF'!$3:$3,"&lt;=" &amp;Summary!$F$20)</f>
        <v>0</v>
      </c>
      <c r="I70" s="599">
        <f>SUMIFS('Monthly DCF'!70:70,'Monthly DCF'!$4:$4,'Yearly DCF'!I$3,'Monthly DCF'!$3:$3,"&lt;=" &amp;Summary!$F$20)</f>
        <v>0</v>
      </c>
      <c r="J70" s="599">
        <f>SUMIFS('Monthly DCF'!70:70,'Monthly DCF'!$4:$4,'Yearly DCF'!J$3,'Monthly DCF'!$3:$3,"&lt;=" &amp;Summary!$F$20)</f>
        <v>0</v>
      </c>
      <c r="K70" s="599">
        <f>SUMIFS('Monthly DCF'!70:70,'Monthly DCF'!$4:$4,'Yearly DCF'!K$3,'Monthly DCF'!$3:$3,"&lt;=" &amp;Summary!$F$20)</f>
        <v>-608765.64013039158</v>
      </c>
      <c r="L70" s="599">
        <f>SUMIFS('Monthly DCF'!70:70,'Monthly DCF'!$4:$4,'Yearly DCF'!L$3,'Monthly DCF'!$3:$3,"&lt;=" &amp;Summary!$F$20)</f>
        <v>-1021516.8072598585</v>
      </c>
      <c r="M70" s="1117">
        <f>SUMIFS('Monthly DCF'!70:70,'Monthly DCF'!$4:$4,'Yearly DCF'!M$3,'Monthly DCF'!$3:$3,"&lt;=" &amp;Summary!$F$20)</f>
        <v>-1052162.3114776539</v>
      </c>
      <c r="N70" s="599">
        <f>SUMIFS('Monthly DCF'!70:70,'Monthly DCF'!$4:$4,'Yearly DCF'!N$3,'Monthly DCF'!$3:$3,"&lt;=" &amp;Summary!$F$20)</f>
        <v>0</v>
      </c>
      <c r="O70" s="599">
        <f>SUMIFS('Monthly DCF'!70:70,'Monthly DCF'!$4:$4,'Yearly DCF'!O$3,'Monthly DCF'!$3:$3,"&lt;=" &amp;Summary!$F$20)</f>
        <v>0</v>
      </c>
      <c r="P70" s="599">
        <f>SUMIFS('Monthly DCF'!70:70,'Monthly DCF'!$4:$4,'Yearly DCF'!P$3,'Monthly DCF'!$3:$3,"&lt;=" &amp;Summary!$F$20)</f>
        <v>0</v>
      </c>
      <c r="Q70" s="599">
        <f>SUMIFS('Monthly DCF'!70:70,'Monthly DCF'!$4:$4,'Yearly DCF'!Q$3,'Monthly DCF'!$3:$3,"&lt;=" &amp;Summary!$F$20)</f>
        <v>0</v>
      </c>
      <c r="R70" s="1117">
        <f>SUMIFS('Monthly DCF'!70:70,'Monthly DCF'!$4:$4,'Yearly DCF'!R$3,'Monthly DCF'!$3:$3,"&lt;=" &amp;Summary!$F$20)</f>
        <v>0</v>
      </c>
      <c r="X70" s="510"/>
      <c r="Y70" s="510"/>
      <c r="Z70" s="510"/>
      <c r="AA70" s="510"/>
      <c r="AB70" s="510"/>
      <c r="AC70" s="510"/>
      <c r="AD70" s="510"/>
      <c r="AE70" s="510"/>
      <c r="AF70" s="510"/>
      <c r="AG70" s="510"/>
      <c r="AH70" s="510"/>
      <c r="AI70" s="510"/>
      <c r="AJ70" s="510"/>
      <c r="AK70" s="510"/>
      <c r="AL70" s="510"/>
      <c r="AM70" s="511"/>
      <c r="AN70" s="510"/>
      <c r="AO70" s="510"/>
      <c r="AP70" s="510"/>
      <c r="AQ70" s="510"/>
      <c r="AR70" s="510"/>
      <c r="AS70" s="510"/>
      <c r="AT70" s="510"/>
      <c r="AU70" s="510"/>
      <c r="AV70" s="510"/>
      <c r="AW70" s="512"/>
      <c r="AX70" s="510"/>
      <c r="AY70" s="510"/>
      <c r="AZ70" s="510"/>
      <c r="BA70" s="510"/>
      <c r="BB70" s="510"/>
      <c r="BC70" s="510"/>
      <c r="BD70" s="510"/>
      <c r="BE70" s="510"/>
      <c r="BF70" s="510"/>
      <c r="BG70" s="510"/>
      <c r="BH70" s="510"/>
      <c r="BI70" s="510"/>
      <c r="BJ70" s="510"/>
      <c r="BK70" s="510"/>
      <c r="BL70" s="510"/>
      <c r="BM70" s="510"/>
      <c r="BN70" s="510"/>
      <c r="BO70" s="510"/>
      <c r="BP70" s="510"/>
      <c r="BQ70" s="510"/>
    </row>
    <row r="71" spans="2:69" ht="15.75" customHeight="1" x14ac:dyDescent="0.25">
      <c r="B71" s="385"/>
      <c r="C71" s="386"/>
      <c r="D71" s="386"/>
      <c r="E71" s="386"/>
      <c r="F71" s="386"/>
      <c r="G71" s="591" t="s">
        <v>301</v>
      </c>
      <c r="H71" s="1142">
        <f>IFERROR(-H64/H52,0)</f>
        <v>0</v>
      </c>
      <c r="I71" s="591">
        <f>IFERROR(-I64/I52,0)</f>
        <v>0</v>
      </c>
      <c r="J71" s="591">
        <f t="shared" ref="J71:R71" si="3">IFERROR(-J64/J52,0)</f>
        <v>0</v>
      </c>
      <c r="K71" s="591">
        <f t="shared" si="3"/>
        <v>3.9302761577077537E-2</v>
      </c>
      <c r="L71" s="591">
        <f t="shared" si="3"/>
        <v>4.1925924440426018E-2</v>
      </c>
      <c r="M71" s="1143">
        <f t="shared" si="3"/>
        <v>4.1925924440426039E-2</v>
      </c>
      <c r="N71" s="591">
        <f t="shared" si="3"/>
        <v>0</v>
      </c>
      <c r="O71" s="591">
        <f t="shared" si="3"/>
        <v>0</v>
      </c>
      <c r="P71" s="591">
        <f t="shared" si="3"/>
        <v>0</v>
      </c>
      <c r="Q71" s="591">
        <f t="shared" si="3"/>
        <v>0</v>
      </c>
      <c r="R71" s="1143">
        <f t="shared" si="3"/>
        <v>0</v>
      </c>
      <c r="X71" s="365"/>
      <c r="Y71" s="399"/>
      <c r="Z71" s="365"/>
      <c r="AA71" s="365"/>
      <c r="AB71" s="365"/>
      <c r="AC71" s="365"/>
      <c r="AD71" s="365"/>
      <c r="AE71" s="399"/>
      <c r="AF71" s="365"/>
      <c r="AG71" s="365"/>
      <c r="AH71" s="365"/>
      <c r="AI71" s="365"/>
      <c r="AJ71" s="365"/>
      <c r="AK71" s="365"/>
      <c r="AL71" s="365"/>
      <c r="AM71" s="495"/>
      <c r="AN71" s="365"/>
      <c r="AO71" s="365"/>
      <c r="AP71" s="365"/>
      <c r="AQ71" s="365"/>
      <c r="AR71" s="365"/>
      <c r="AS71" s="365"/>
      <c r="AT71" s="365"/>
      <c r="AU71" s="365"/>
      <c r="AV71" s="365"/>
      <c r="AW71" s="496"/>
      <c r="AX71" s="365"/>
      <c r="AY71" s="365"/>
      <c r="AZ71" s="365"/>
      <c r="BA71" s="365"/>
      <c r="BB71" s="365"/>
      <c r="BC71" s="365"/>
      <c r="BD71" s="365"/>
      <c r="BE71" s="365"/>
      <c r="BF71" s="365"/>
      <c r="BG71" s="365"/>
      <c r="BH71" s="365"/>
      <c r="BI71" s="365"/>
      <c r="BJ71" s="365"/>
      <c r="BK71" s="365"/>
      <c r="BL71" s="365"/>
      <c r="BM71" s="365"/>
      <c r="BN71" s="365"/>
      <c r="BO71" s="365"/>
      <c r="BP71" s="365"/>
      <c r="BQ71" s="365"/>
    </row>
    <row r="72" spans="2:69" ht="15.75" customHeight="1" x14ac:dyDescent="0.25">
      <c r="B72" s="589"/>
      <c r="C72" s="590"/>
      <c r="D72" s="590"/>
      <c r="E72" s="590"/>
      <c r="F72" s="590"/>
      <c r="G72" s="1083" t="s">
        <v>511</v>
      </c>
      <c r="H72" s="1142">
        <f>IFERROR(-H70/H52,0)</f>
        <v>0</v>
      </c>
      <c r="I72" s="591">
        <f t="shared" ref="I72:R72" si="4">IFERROR(-I70/I52,0)</f>
        <v>0</v>
      </c>
      <c r="J72" s="591">
        <f t="shared" si="4"/>
        <v>0</v>
      </c>
      <c r="K72" s="591">
        <f t="shared" si="4"/>
        <v>0.33760577533946762</v>
      </c>
      <c r="L72" s="591">
        <f t="shared" si="4"/>
        <v>0.36013841418688558</v>
      </c>
      <c r="M72" s="1143">
        <f t="shared" si="4"/>
        <v>0.36013841418688564</v>
      </c>
      <c r="N72" s="591">
        <f t="shared" si="4"/>
        <v>0</v>
      </c>
      <c r="O72" s="591">
        <f t="shared" si="4"/>
        <v>0</v>
      </c>
      <c r="P72" s="591">
        <f t="shared" si="4"/>
        <v>0</v>
      </c>
      <c r="Q72" s="591">
        <f t="shared" si="4"/>
        <v>0</v>
      </c>
      <c r="R72" s="1143">
        <f t="shared" si="4"/>
        <v>0</v>
      </c>
      <c r="X72" s="367"/>
      <c r="Y72" s="404"/>
      <c r="Z72" s="367"/>
      <c r="AA72" s="367"/>
      <c r="AB72" s="367"/>
      <c r="AC72" s="367"/>
      <c r="AD72" s="367"/>
      <c r="AE72" s="404"/>
      <c r="AF72" s="367"/>
      <c r="AG72" s="367"/>
      <c r="AH72" s="367"/>
      <c r="AI72" s="367"/>
      <c r="AJ72" s="367"/>
      <c r="AK72" s="367"/>
      <c r="AL72" s="367"/>
      <c r="AM72" s="513"/>
      <c r="AN72" s="367"/>
      <c r="AO72" s="367"/>
      <c r="AP72" s="367"/>
      <c r="AQ72" s="367"/>
      <c r="AR72" s="367"/>
      <c r="AS72" s="367"/>
      <c r="AT72" s="367"/>
      <c r="AU72" s="367"/>
      <c r="AV72" s="367"/>
      <c r="AW72" s="514"/>
      <c r="AX72" s="367"/>
      <c r="AY72" s="367"/>
      <c r="AZ72" s="367"/>
      <c r="BA72" s="367"/>
      <c r="BB72" s="367"/>
      <c r="BC72" s="367"/>
      <c r="BD72" s="367"/>
      <c r="BE72" s="367"/>
      <c r="BF72" s="367"/>
      <c r="BG72" s="367"/>
      <c r="BH72" s="367"/>
      <c r="BI72" s="367"/>
      <c r="BJ72" s="367"/>
      <c r="BK72" s="367"/>
      <c r="BL72" s="367"/>
      <c r="BM72" s="367"/>
      <c r="BN72" s="367"/>
      <c r="BO72" s="367"/>
      <c r="BP72" s="367"/>
      <c r="BQ72" s="367"/>
    </row>
    <row r="73" spans="2:69" ht="15.75" customHeight="1" thickBot="1" x14ac:dyDescent="0.3">
      <c r="B73" s="387"/>
      <c r="C73" s="388"/>
      <c r="D73" s="388"/>
      <c r="E73" s="388"/>
      <c r="F73" s="388"/>
      <c r="G73" s="388"/>
      <c r="H73" s="1144"/>
      <c r="I73" s="591"/>
      <c r="J73" s="1145"/>
      <c r="K73" s="1145"/>
      <c r="L73" s="1145"/>
      <c r="M73" s="1146"/>
      <c r="N73" s="1145"/>
      <c r="O73" s="1145"/>
      <c r="P73" s="1145"/>
      <c r="Q73" s="1145"/>
      <c r="R73" s="1146"/>
      <c r="X73" s="367"/>
      <c r="Y73" s="404"/>
      <c r="Z73" s="367"/>
      <c r="AA73" s="367"/>
      <c r="AB73" s="367"/>
      <c r="AC73" s="367"/>
      <c r="AD73" s="367"/>
      <c r="AE73" s="404"/>
      <c r="AF73" s="367"/>
      <c r="AG73" s="367"/>
      <c r="AH73" s="367"/>
      <c r="AI73" s="367"/>
      <c r="AJ73" s="367"/>
      <c r="AK73" s="367"/>
      <c r="AL73" s="367"/>
      <c r="AM73" s="513"/>
      <c r="AN73" s="367"/>
      <c r="AO73" s="367"/>
      <c r="AP73" s="367"/>
      <c r="AQ73" s="367"/>
      <c r="AR73" s="367"/>
      <c r="AS73" s="367"/>
      <c r="AT73" s="367"/>
      <c r="AU73" s="367"/>
      <c r="AV73" s="367"/>
      <c r="AW73" s="514"/>
      <c r="AX73" s="367"/>
      <c r="AY73" s="367"/>
      <c r="AZ73" s="367"/>
      <c r="BA73" s="367"/>
      <c r="BB73" s="367"/>
      <c r="BC73" s="367"/>
      <c r="BD73" s="367"/>
      <c r="BE73" s="367"/>
      <c r="BF73" s="367"/>
      <c r="BG73" s="367"/>
      <c r="BH73" s="367"/>
      <c r="BI73" s="367"/>
      <c r="BJ73" s="367"/>
      <c r="BK73" s="367"/>
      <c r="BL73" s="367"/>
      <c r="BM73" s="367"/>
      <c r="BN73" s="367"/>
      <c r="BO73" s="367"/>
      <c r="BP73" s="367"/>
      <c r="BQ73" s="367"/>
    </row>
    <row r="74" spans="2:69" ht="15.75" customHeight="1" thickBot="1" x14ac:dyDescent="0.3">
      <c r="B74" s="391" t="str">
        <f>'Monthly DCF'!B74</f>
        <v>Net Operating Income</v>
      </c>
      <c r="C74" s="392"/>
      <c r="D74" s="392"/>
      <c r="E74" s="392"/>
      <c r="F74" s="392"/>
      <c r="G74" s="1084"/>
      <c r="H74" s="1147">
        <f>SUMIFS('Monthly DCF'!74:74,'Monthly DCF'!$4:$4,'Yearly DCF'!H$3,'Monthly DCF'!$3:$3,"&lt;=" &amp;Summary!$F$20)</f>
        <v>0</v>
      </c>
      <c r="I74" s="1148">
        <f>SUMIFS('Monthly DCF'!74:74,'Monthly DCF'!$4:$4,'Yearly DCF'!I$3,'Monthly DCF'!$3:$3,"&lt;=" &amp;Summary!$F$20)</f>
        <v>0</v>
      </c>
      <c r="J74" s="1148">
        <f>SUMIFS('Monthly DCF'!74:74,'Monthly DCF'!$4:$4,'Yearly DCF'!J$3,'Monthly DCF'!$3:$3,"&lt;=" &amp;Summary!$F$20)</f>
        <v>0</v>
      </c>
      <c r="K74" s="1148">
        <f>SUMIFS('Monthly DCF'!74:74,'Monthly DCF'!$4:$4,'Yearly DCF'!K$3,'Monthly DCF'!$3:$3,"&lt;=" &amp;Summary!$F$20)</f>
        <v>1194419.2713785085</v>
      </c>
      <c r="L74" s="1148">
        <f>SUMIFS('Monthly DCF'!74:74,'Monthly DCF'!$4:$4,'Yearly DCF'!L$3,'Monthly DCF'!$3:$3,"&lt;=" &amp;Summary!$F$20)</f>
        <v>1814939.3079985536</v>
      </c>
      <c r="M74" s="1149">
        <f>SUMIFS('Monthly DCF'!74:74,'Monthly DCF'!$4:$4,'Yearly DCF'!M$3,'Monthly DCF'!$3:$3,"&lt;=" &amp;Summary!$F$20)</f>
        <v>1869387.4872385089</v>
      </c>
      <c r="N74" s="1148">
        <f>SUMIFS('Monthly DCF'!74:74,'Monthly DCF'!$4:$4,'Yearly DCF'!N$3,'Monthly DCF'!$3:$3,"&lt;=" &amp;Summary!$F$20)</f>
        <v>0</v>
      </c>
      <c r="O74" s="1148">
        <f>SUMIFS('Monthly DCF'!74:74,'Monthly DCF'!$4:$4,'Yearly DCF'!O$3,'Monthly DCF'!$3:$3,"&lt;=" &amp;Summary!$F$20)</f>
        <v>0</v>
      </c>
      <c r="P74" s="1148">
        <f>SUMIFS('Monthly DCF'!74:74,'Monthly DCF'!$4:$4,'Yearly DCF'!P$3,'Monthly DCF'!$3:$3,"&lt;=" &amp;Summary!$F$20)</f>
        <v>0</v>
      </c>
      <c r="Q74" s="1148">
        <f>SUMIFS('Monthly DCF'!74:74,'Monthly DCF'!$4:$4,'Yearly DCF'!Q$3,'Monthly DCF'!$3:$3,"&lt;=" &amp;Summary!$F$20)</f>
        <v>0</v>
      </c>
      <c r="R74" s="1149">
        <f>SUMIFS('Monthly DCF'!74:74,'Monthly DCF'!$4:$4,'Yearly DCF'!R$3,'Monthly DCF'!$3:$3,"&lt;=" &amp;Summary!$F$20)</f>
        <v>0</v>
      </c>
      <c r="X74" s="365"/>
      <c r="Y74" s="399"/>
      <c r="Z74" s="365"/>
      <c r="AA74" s="365"/>
      <c r="AB74" s="365"/>
      <c r="AC74" s="365"/>
      <c r="AD74" s="365"/>
      <c r="AE74" s="399"/>
      <c r="AF74" s="365"/>
      <c r="AG74" s="365"/>
      <c r="AH74" s="365"/>
      <c r="AI74" s="365"/>
      <c r="AJ74" s="365"/>
      <c r="AK74" s="365"/>
      <c r="AL74" s="365"/>
      <c r="AM74" s="495"/>
      <c r="AN74" s="365"/>
      <c r="AO74" s="365"/>
      <c r="AP74" s="365"/>
      <c r="AQ74" s="365"/>
      <c r="AR74" s="365"/>
      <c r="AS74" s="365"/>
      <c r="AT74" s="365"/>
      <c r="AU74" s="365"/>
      <c r="AV74" s="365"/>
      <c r="AW74" s="496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</row>
    <row r="75" spans="2:69" ht="15.75" customHeight="1" x14ac:dyDescent="0.25">
      <c r="B75" s="393"/>
      <c r="C75" s="358"/>
      <c r="D75" s="386" t="str">
        <f>'Monthly DCF'!D75</f>
        <v>Steepness</v>
      </c>
      <c r="E75" s="394">
        <f>'Monthly DCF'!E75</f>
        <v>1</v>
      </c>
      <c r="F75" s="358"/>
      <c r="G75" s="1069"/>
      <c r="H75" s="1150">
        <f>SUMIFS('Monthly DCF'!75:75,'Monthly DCF'!$4:$4,'Yearly DCF'!H$3,'Monthly DCF'!$3:$3,"&lt;=" &amp;Summary!$F$20)</f>
        <v>0</v>
      </c>
      <c r="I75" s="1151">
        <f>SUMIFS('Monthly DCF'!75:75,'Monthly DCF'!$4:$4,'Yearly DCF'!I$3,'Monthly DCF'!$3:$3,"&lt;=" &amp;Summary!$F$20)</f>
        <v>0.5</v>
      </c>
      <c r="J75" s="1151">
        <f>SUMIFS('Monthly DCF'!75:75,'Monthly DCF'!$4:$4,'Yearly DCF'!J$3,'Monthly DCF'!$3:$3,"&lt;=" &amp;Summary!$F$20)</f>
        <v>0.50000000000000011</v>
      </c>
      <c r="K75" s="1151">
        <f>SUMIFS('Monthly DCF'!75:75,'Monthly DCF'!$4:$4,'Yearly DCF'!K$3,'Monthly DCF'!$3:$3,"&lt;=" &amp;Summary!$F$20)</f>
        <v>0</v>
      </c>
      <c r="L75" s="1151">
        <f>SUMIFS('Monthly DCF'!75:75,'Monthly DCF'!$4:$4,'Yearly DCF'!L$3,'Monthly DCF'!$3:$3,"&lt;=" &amp;Summary!$F$20)</f>
        <v>0</v>
      </c>
      <c r="M75" s="1153">
        <f>SUMIFS('Monthly DCF'!75:75,'Monthly DCF'!$4:$4,'Yearly DCF'!M$3,'Monthly DCF'!$3:$3,"&lt;=" &amp;Summary!$F$20)</f>
        <v>0</v>
      </c>
      <c r="N75" s="1151">
        <f>SUMIFS('Monthly DCF'!75:75,'Monthly DCF'!$4:$4,'Yearly DCF'!N$3,'Monthly DCF'!$3:$3,"&lt;=" &amp;Summary!$F$20)</f>
        <v>0</v>
      </c>
      <c r="O75" s="1151">
        <f>SUMIFS('Monthly DCF'!75:75,'Monthly DCF'!$4:$4,'Yearly DCF'!O$3,'Monthly DCF'!$3:$3,"&lt;=" &amp;Summary!$F$20)</f>
        <v>0</v>
      </c>
      <c r="P75" s="1151">
        <f>SUMIFS('Monthly DCF'!75:75,'Monthly DCF'!$4:$4,'Yearly DCF'!P$3,'Monthly DCF'!$3:$3,"&lt;=" &amp;Summary!$F$20)</f>
        <v>0</v>
      </c>
      <c r="Q75" s="1151">
        <f>SUMIFS('Monthly DCF'!75:75,'Monthly DCF'!$4:$4,'Yearly DCF'!Q$3,'Monthly DCF'!$3:$3,"&lt;=" &amp;Summary!$F$20)</f>
        <v>0</v>
      </c>
      <c r="R75" s="1153">
        <f>SUMIFS('Monthly DCF'!75:75,'Monthly DCF'!$4:$4,'Yearly DCF'!R$3,'Monthly DCF'!$3:$3,"&lt;=" &amp;Summary!$F$20)</f>
        <v>0</v>
      </c>
      <c r="X75" s="365"/>
      <c r="Y75" s="399"/>
      <c r="Z75" s="365"/>
      <c r="AA75" s="365"/>
      <c r="AB75" s="365"/>
      <c r="AC75" s="365"/>
      <c r="AD75" s="365"/>
      <c r="AE75" s="399"/>
      <c r="AF75" s="365"/>
      <c r="AG75" s="365"/>
      <c r="AH75" s="365"/>
      <c r="AI75" s="365"/>
      <c r="AJ75" s="365"/>
      <c r="AK75" s="365"/>
      <c r="AL75" s="365"/>
      <c r="AM75" s="495"/>
      <c r="AN75" s="365"/>
      <c r="AO75" s="365"/>
      <c r="AP75" s="365"/>
      <c r="AQ75" s="365"/>
      <c r="AR75" s="365"/>
      <c r="AS75" s="365"/>
      <c r="AT75" s="365"/>
      <c r="AU75" s="365"/>
      <c r="AV75" s="365"/>
      <c r="AW75" s="496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</row>
    <row r="76" spans="2:69" ht="15.75" hidden="1" customHeight="1" x14ac:dyDescent="0.25">
      <c r="B76" s="393"/>
      <c r="C76" s="358"/>
      <c r="D76" s="386" t="str">
        <f>'Monthly DCF'!D76</f>
        <v>Steepness</v>
      </c>
      <c r="E76" s="394">
        <f>'Monthly DCF'!E76</f>
        <v>8</v>
      </c>
      <c r="F76" s="358"/>
      <c r="G76" s="1069"/>
      <c r="H76" s="1150">
        <f>SUMIFS('Monthly DCF'!76:76,'Monthly DCF'!$4:$4,'Yearly DCF'!H$3,'Monthly DCF'!$3:$3,"&lt;=" &amp;Summary!$F$20)</f>
        <v>0</v>
      </c>
      <c r="I76" s="1151">
        <f>SUMIFS('Monthly DCF'!76:76,'Monthly DCF'!$4:$4,'Yearly DCF'!I$3,'Monthly DCF'!$3:$3,"&lt;=" &amp;Summary!$F$20)</f>
        <v>0</v>
      </c>
      <c r="J76" s="1151">
        <f>SUMIFS('Monthly DCF'!76:76,'Monthly DCF'!$4:$4,'Yearly DCF'!J$3,'Monthly DCF'!$3:$3,"&lt;=" &amp;Summary!$F$20)</f>
        <v>0</v>
      </c>
      <c r="K76" s="1151">
        <f>SUMIFS('Monthly DCF'!76:76,'Monthly DCF'!$4:$4,'Yearly DCF'!K$3,'Monthly DCF'!$3:$3,"&lt;=" &amp;Summary!$F$20)</f>
        <v>0</v>
      </c>
      <c r="L76" s="1151">
        <f>SUMIFS('Monthly DCF'!76:76,'Monthly DCF'!$4:$4,'Yearly DCF'!L$3,'Monthly DCF'!$3:$3,"&lt;=" &amp;Summary!$F$20)</f>
        <v>0</v>
      </c>
      <c r="M76" s="1153">
        <f>SUMIFS('Monthly DCF'!76:76,'Monthly DCF'!$4:$4,'Yearly DCF'!M$3,'Monthly DCF'!$3:$3,"&lt;=" &amp;Summary!$F$20)</f>
        <v>0</v>
      </c>
      <c r="N76" s="1151">
        <f>SUMIFS('Monthly DCF'!76:76,'Monthly DCF'!$4:$4,'Yearly DCF'!N$3,'Monthly DCF'!$3:$3,"&lt;=" &amp;Summary!$F$20)</f>
        <v>0</v>
      </c>
      <c r="O76" s="1151">
        <f>SUMIFS('Monthly DCF'!76:76,'Monthly DCF'!$4:$4,'Yearly DCF'!O$3,'Monthly DCF'!$3:$3,"&lt;=" &amp;Summary!$F$20)</f>
        <v>0</v>
      </c>
      <c r="P76" s="1151">
        <f>SUMIFS('Monthly DCF'!76:76,'Monthly DCF'!$4:$4,'Yearly DCF'!P$3,'Monthly DCF'!$3:$3,"&lt;=" &amp;Summary!$F$20)</f>
        <v>0</v>
      </c>
      <c r="Q76" s="1151">
        <f>SUMIFS('Monthly DCF'!76:76,'Monthly DCF'!$4:$4,'Yearly DCF'!Q$3,'Monthly DCF'!$3:$3,"&lt;=" &amp;Summary!$F$20)</f>
        <v>0</v>
      </c>
      <c r="R76" s="1153">
        <f>SUMIFS('Monthly DCF'!76:76,'Monthly DCF'!$4:$4,'Yearly DCF'!R$3,'Monthly DCF'!$3:$3,"&lt;=" &amp;Summary!$F$20)</f>
        <v>0</v>
      </c>
      <c r="X76" s="365"/>
      <c r="Y76" s="399"/>
      <c r="Z76" s="365"/>
      <c r="AA76" s="365"/>
      <c r="AB76" s="365"/>
      <c r="AC76" s="365"/>
      <c r="AD76" s="365"/>
      <c r="AE76" s="399"/>
      <c r="AF76" s="365"/>
      <c r="AG76" s="365"/>
      <c r="AH76" s="365"/>
      <c r="AI76" s="365"/>
      <c r="AJ76" s="365"/>
      <c r="AK76" s="365"/>
      <c r="AL76" s="365"/>
      <c r="AM76" s="495"/>
      <c r="AN76" s="365"/>
      <c r="AO76" s="365"/>
      <c r="AP76" s="365"/>
      <c r="AQ76" s="365"/>
      <c r="AR76" s="365"/>
      <c r="AS76" s="365"/>
      <c r="AT76" s="365"/>
      <c r="AU76" s="365"/>
      <c r="AV76" s="365"/>
      <c r="AW76" s="496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</row>
    <row r="77" spans="2:69" ht="15.75" hidden="1" customHeight="1" x14ac:dyDescent="0.25">
      <c r="B77" s="393"/>
      <c r="C77" s="358"/>
      <c r="D77" s="386" t="str">
        <f>'Monthly DCF'!D77</f>
        <v>Steepness</v>
      </c>
      <c r="E77" s="394">
        <f>'Monthly DCF'!E77</f>
        <v>8</v>
      </c>
      <c r="F77" s="358"/>
      <c r="G77" s="1069"/>
      <c r="H77" s="1150">
        <f>SUMIFS('Monthly DCF'!77:77,'Monthly DCF'!$4:$4,'Yearly DCF'!H$3,'Monthly DCF'!$3:$3,"&lt;=" &amp;Summary!$F$20)</f>
        <v>0</v>
      </c>
      <c r="I77" s="1151">
        <f>SUMIFS('Monthly DCF'!77:77,'Monthly DCF'!$4:$4,'Yearly DCF'!I$3,'Monthly DCF'!$3:$3,"&lt;=" &amp;Summary!$F$20)</f>
        <v>0</v>
      </c>
      <c r="J77" s="1151">
        <f>SUMIFS('Monthly DCF'!77:77,'Monthly DCF'!$4:$4,'Yearly DCF'!J$3,'Monthly DCF'!$3:$3,"&lt;=" &amp;Summary!$F$20)</f>
        <v>0</v>
      </c>
      <c r="K77" s="1151">
        <f>SUMIFS('Monthly DCF'!77:77,'Monthly DCF'!$4:$4,'Yearly DCF'!K$3,'Monthly DCF'!$3:$3,"&lt;=" &amp;Summary!$F$20)</f>
        <v>0</v>
      </c>
      <c r="L77" s="1151">
        <f>SUMIFS('Monthly DCF'!77:77,'Monthly DCF'!$4:$4,'Yearly DCF'!L$3,'Monthly DCF'!$3:$3,"&lt;=" &amp;Summary!$F$20)</f>
        <v>0</v>
      </c>
      <c r="M77" s="1153">
        <f>SUMIFS('Monthly DCF'!77:77,'Monthly DCF'!$4:$4,'Yearly DCF'!M$3,'Monthly DCF'!$3:$3,"&lt;=" &amp;Summary!$F$20)</f>
        <v>0</v>
      </c>
      <c r="N77" s="1151">
        <f>SUMIFS('Monthly DCF'!77:77,'Monthly DCF'!$4:$4,'Yearly DCF'!N$3,'Monthly DCF'!$3:$3,"&lt;=" &amp;Summary!$F$20)</f>
        <v>0</v>
      </c>
      <c r="O77" s="1151">
        <f>SUMIFS('Monthly DCF'!77:77,'Monthly DCF'!$4:$4,'Yearly DCF'!O$3,'Monthly DCF'!$3:$3,"&lt;=" &amp;Summary!$F$20)</f>
        <v>0</v>
      </c>
      <c r="P77" s="1151">
        <f>SUMIFS('Monthly DCF'!77:77,'Monthly DCF'!$4:$4,'Yearly DCF'!P$3,'Monthly DCF'!$3:$3,"&lt;=" &amp;Summary!$F$20)</f>
        <v>0</v>
      </c>
      <c r="Q77" s="1151">
        <f>SUMIFS('Monthly DCF'!77:77,'Monthly DCF'!$4:$4,'Yearly DCF'!Q$3,'Monthly DCF'!$3:$3,"&lt;=" &amp;Summary!$F$20)</f>
        <v>0</v>
      </c>
      <c r="R77" s="1153">
        <f>SUMIFS('Monthly DCF'!77:77,'Monthly DCF'!$4:$4,'Yearly DCF'!R$3,'Monthly DCF'!$3:$3,"&lt;=" &amp;Summary!$F$20)</f>
        <v>0</v>
      </c>
      <c r="X77" s="365"/>
      <c r="Y77" s="399"/>
      <c r="Z77" s="365"/>
      <c r="AA77" s="365"/>
      <c r="AB77" s="365"/>
      <c r="AC77" s="365"/>
      <c r="AD77" s="365"/>
      <c r="AE77" s="399"/>
      <c r="AF77" s="365"/>
      <c r="AG77" s="365"/>
      <c r="AH77" s="365"/>
      <c r="AI77" s="365"/>
      <c r="AJ77" s="365"/>
      <c r="AK77" s="365"/>
      <c r="AL77" s="365"/>
      <c r="AM77" s="495"/>
      <c r="AN77" s="365"/>
      <c r="AO77" s="365"/>
      <c r="AP77" s="365"/>
      <c r="AQ77" s="365"/>
      <c r="AR77" s="365"/>
      <c r="AS77" s="365"/>
      <c r="AT77" s="365"/>
      <c r="AU77" s="365"/>
      <c r="AV77" s="365"/>
      <c r="AW77" s="496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</row>
    <row r="78" spans="2:69" ht="15.75" hidden="1" customHeight="1" x14ac:dyDescent="0.25">
      <c r="B78" s="393"/>
      <c r="C78" s="358"/>
      <c r="D78" s="386" t="str">
        <f>'Monthly DCF'!D78</f>
        <v>Steepness</v>
      </c>
      <c r="E78" s="394">
        <f>'Monthly DCF'!E78</f>
        <v>8</v>
      </c>
      <c r="F78" s="358"/>
      <c r="G78" s="1069"/>
      <c r="H78" s="1150">
        <f>SUMIFS('Monthly DCF'!78:78,'Monthly DCF'!$4:$4,'Yearly DCF'!H$3,'Monthly DCF'!$3:$3,"&lt;=" &amp;Summary!$F$20)</f>
        <v>0</v>
      </c>
      <c r="I78" s="1151">
        <f>SUMIFS('Monthly DCF'!78:78,'Monthly DCF'!$4:$4,'Yearly DCF'!I$3,'Monthly DCF'!$3:$3,"&lt;=" &amp;Summary!$F$20)</f>
        <v>0</v>
      </c>
      <c r="J78" s="1151">
        <f>SUMIFS('Monthly DCF'!78:78,'Monthly DCF'!$4:$4,'Yearly DCF'!J$3,'Monthly DCF'!$3:$3,"&lt;=" &amp;Summary!$F$20)</f>
        <v>0</v>
      </c>
      <c r="K78" s="1151">
        <f>SUMIFS('Monthly DCF'!78:78,'Monthly DCF'!$4:$4,'Yearly DCF'!K$3,'Monthly DCF'!$3:$3,"&lt;=" &amp;Summary!$F$20)</f>
        <v>0</v>
      </c>
      <c r="L78" s="1151">
        <f>SUMIFS('Monthly DCF'!78:78,'Monthly DCF'!$4:$4,'Yearly DCF'!L$3,'Monthly DCF'!$3:$3,"&lt;=" &amp;Summary!$F$20)</f>
        <v>0</v>
      </c>
      <c r="M78" s="1153">
        <f>SUMIFS('Monthly DCF'!78:78,'Monthly DCF'!$4:$4,'Yearly DCF'!M$3,'Monthly DCF'!$3:$3,"&lt;=" &amp;Summary!$F$20)</f>
        <v>0</v>
      </c>
      <c r="N78" s="1151">
        <f>SUMIFS('Monthly DCF'!78:78,'Monthly DCF'!$4:$4,'Yearly DCF'!N$3,'Monthly DCF'!$3:$3,"&lt;=" &amp;Summary!$F$20)</f>
        <v>0</v>
      </c>
      <c r="O78" s="1151">
        <f>SUMIFS('Monthly DCF'!78:78,'Monthly DCF'!$4:$4,'Yearly DCF'!O$3,'Monthly DCF'!$3:$3,"&lt;=" &amp;Summary!$F$20)</f>
        <v>0</v>
      </c>
      <c r="P78" s="1151">
        <f>SUMIFS('Monthly DCF'!78:78,'Monthly DCF'!$4:$4,'Yearly DCF'!P$3,'Monthly DCF'!$3:$3,"&lt;=" &amp;Summary!$F$20)</f>
        <v>0</v>
      </c>
      <c r="Q78" s="1151">
        <f>SUMIFS('Monthly DCF'!78:78,'Monthly DCF'!$4:$4,'Yearly DCF'!Q$3,'Monthly DCF'!$3:$3,"&lt;=" &amp;Summary!$F$20)</f>
        <v>0</v>
      </c>
      <c r="R78" s="1153">
        <f>SUMIFS('Monthly DCF'!78:78,'Monthly DCF'!$4:$4,'Yearly DCF'!R$3,'Monthly DCF'!$3:$3,"&lt;=" &amp;Summary!$F$20)</f>
        <v>0</v>
      </c>
      <c r="X78" s="367"/>
      <c r="Y78" s="404"/>
      <c r="Z78" s="367"/>
      <c r="AA78" s="367"/>
      <c r="AB78" s="367"/>
      <c r="AC78" s="367"/>
      <c r="AD78" s="367"/>
      <c r="AE78" s="404"/>
      <c r="AF78" s="367"/>
      <c r="AG78" s="367"/>
      <c r="AH78" s="367"/>
      <c r="AI78" s="367"/>
      <c r="AJ78" s="367"/>
      <c r="AK78" s="367"/>
      <c r="AL78" s="367"/>
      <c r="AM78" s="513"/>
      <c r="AN78" s="367"/>
      <c r="AO78" s="367"/>
      <c r="AP78" s="367"/>
      <c r="AQ78" s="367"/>
      <c r="AR78" s="367"/>
      <c r="AS78" s="367"/>
      <c r="AT78" s="367"/>
      <c r="AU78" s="367"/>
      <c r="AV78" s="367"/>
      <c r="AW78" s="514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</row>
    <row r="79" spans="2:69" ht="15.75" customHeight="1" x14ac:dyDescent="0.25">
      <c r="B79" s="357" t="str">
        <f>'Monthly DCF'!B79</f>
        <v>Development Costs</v>
      </c>
      <c r="C79" s="358"/>
      <c r="D79" s="386"/>
      <c r="E79" s="358"/>
      <c r="F79" s="358"/>
      <c r="G79" s="1069"/>
      <c r="H79" s="1150"/>
      <c r="I79" s="1151"/>
      <c r="J79" s="1151"/>
      <c r="K79" s="1151"/>
      <c r="L79" s="1151"/>
      <c r="M79" s="1153"/>
      <c r="N79" s="1151"/>
      <c r="O79" s="1151"/>
      <c r="P79" s="1151"/>
      <c r="Q79" s="1151"/>
      <c r="R79" s="1153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495"/>
      <c r="AN79" s="365"/>
      <c r="AO79" s="365"/>
      <c r="AP79" s="365"/>
      <c r="AQ79" s="365"/>
      <c r="AR79" s="365"/>
      <c r="AS79" s="365"/>
      <c r="AT79" s="365"/>
      <c r="AU79" s="365"/>
      <c r="AV79" s="365"/>
      <c r="AW79" s="496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</row>
    <row r="80" spans="2:69" ht="15.75" customHeight="1" x14ac:dyDescent="0.25">
      <c r="B80" s="376"/>
      <c r="C80" s="358"/>
      <c r="D80" s="660" t="str">
        <f>'Monthly DCF'!D80</f>
        <v>Start Date</v>
      </c>
      <c r="E80" s="211" t="str">
        <f>'Monthly DCF'!E80</f>
        <v>Construction Periods</v>
      </c>
      <c r="F80" s="358"/>
      <c r="G80" s="1085"/>
      <c r="H80" s="1150"/>
      <c r="I80" s="1151"/>
      <c r="J80" s="1151"/>
      <c r="K80" s="1151"/>
      <c r="L80" s="1151"/>
      <c r="M80" s="1153"/>
      <c r="N80" s="1151"/>
      <c r="O80" s="1151"/>
      <c r="P80" s="1151"/>
      <c r="Q80" s="1151"/>
      <c r="R80" s="1153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476"/>
      <c r="AN80" s="6"/>
      <c r="AO80" s="6"/>
      <c r="AP80" s="6"/>
      <c r="AQ80" s="6"/>
      <c r="AR80" s="6"/>
      <c r="AS80" s="6"/>
      <c r="AT80" s="6"/>
      <c r="AU80" s="6"/>
      <c r="AV80" s="6"/>
      <c r="AW80" s="477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</row>
    <row r="81" spans="2:69" ht="15.75" customHeight="1" x14ac:dyDescent="0.25">
      <c r="B81" s="393"/>
      <c r="C81" s="358"/>
      <c r="D81" s="395">
        <f>'Monthly DCF'!D81</f>
        <v>46388</v>
      </c>
      <c r="E81" s="396">
        <f>'Monthly DCF'!E81</f>
        <v>24</v>
      </c>
      <c r="F81" s="358"/>
      <c r="G81" s="1085"/>
      <c r="H81" s="1150"/>
      <c r="I81" s="1151"/>
      <c r="J81" s="1151"/>
      <c r="K81" s="1151"/>
      <c r="L81" s="1151"/>
      <c r="M81" s="1153"/>
      <c r="N81" s="1151"/>
      <c r="O81" s="1151"/>
      <c r="P81" s="1151"/>
      <c r="Q81" s="1151"/>
      <c r="R81" s="1153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476"/>
      <c r="AN81" s="6"/>
      <c r="AO81" s="6"/>
      <c r="AP81" s="6"/>
      <c r="AQ81" s="6"/>
      <c r="AR81" s="6"/>
      <c r="AS81" s="6"/>
      <c r="AT81" s="6"/>
      <c r="AU81" s="6"/>
      <c r="AV81" s="6"/>
      <c r="AW81" s="477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</row>
    <row r="82" spans="2:69" ht="15.75" customHeight="1" x14ac:dyDescent="0.25">
      <c r="B82" s="393"/>
      <c r="C82" s="358"/>
      <c r="D82" s="397"/>
      <c r="E82" s="397"/>
      <c r="F82" s="358"/>
      <c r="G82" s="1070"/>
      <c r="H82" s="1150"/>
      <c r="I82" s="1151"/>
      <c r="J82" s="1151"/>
      <c r="K82" s="1151"/>
      <c r="L82" s="1151"/>
      <c r="M82" s="1153"/>
      <c r="N82" s="1151"/>
      <c r="O82" s="1151"/>
      <c r="P82" s="1151"/>
      <c r="Q82" s="1151"/>
      <c r="R82" s="1153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476"/>
      <c r="AN82" s="6"/>
      <c r="AO82" s="6"/>
      <c r="AP82" s="6"/>
      <c r="AQ82" s="6"/>
      <c r="AR82" s="6"/>
      <c r="AS82" s="6"/>
      <c r="AT82" s="6"/>
      <c r="AU82" s="6"/>
      <c r="AV82" s="6"/>
      <c r="AW82" s="477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</row>
    <row r="83" spans="2:69" ht="15.75" customHeight="1" x14ac:dyDescent="0.25">
      <c r="B83" s="384" t="str">
        <f>'Monthly DCF'!B83</f>
        <v>Land Acquisition Cost</v>
      </c>
      <c r="C83" s="377" t="str">
        <f>'Monthly DCF'!C83</f>
        <v>Start Date</v>
      </c>
      <c r="D83" s="211" t="str">
        <f>'Monthly DCF'!D83</f>
        <v>Periods</v>
      </c>
      <c r="E83" s="398" t="str">
        <f>'Monthly DCF'!E83</f>
        <v>Starting Month</v>
      </c>
      <c r="F83" s="358"/>
      <c r="G83" s="1070" t="str">
        <f>'Monthly DCF'!G82</f>
        <v>Totals</v>
      </c>
      <c r="H83" s="1129">
        <f>SUMIFS('Monthly DCF'!83:83,'Monthly DCF'!$4:$4,'Yearly DCF'!H$3,'Monthly DCF'!$3:$3,"&lt;=" &amp;Summary!$F$20)</f>
        <v>0</v>
      </c>
      <c r="I83" s="1130">
        <f>SUMIFS('Monthly DCF'!83:83,'Monthly DCF'!$4:$4,'Yearly DCF'!I$3,'Monthly DCF'!$3:$3,"&lt;=" &amp;Summary!$F$20)</f>
        <v>0</v>
      </c>
      <c r="J83" s="1130">
        <f>SUMIFS('Monthly DCF'!83:83,'Monthly DCF'!$4:$4,'Yearly DCF'!J$3,'Monthly DCF'!$3:$3,"&lt;=" &amp;Summary!$F$20)</f>
        <v>0</v>
      </c>
      <c r="K83" s="1130">
        <f>SUMIFS('Monthly DCF'!83:83,'Monthly DCF'!$4:$4,'Yearly DCF'!K$3,'Monthly DCF'!$3:$3,"&lt;=" &amp;Summary!$F$20)</f>
        <v>0</v>
      </c>
      <c r="L83" s="1130">
        <f>SUMIFS('Monthly DCF'!83:83,'Monthly DCF'!$4:$4,'Yearly DCF'!L$3,'Monthly DCF'!$3:$3,"&lt;=" &amp;Summary!$F$20)</f>
        <v>0</v>
      </c>
      <c r="M83" s="1131">
        <f>SUMIFS('Monthly DCF'!83:83,'Monthly DCF'!$4:$4,'Yearly DCF'!M$3,'Monthly DCF'!$3:$3,"&lt;=" &amp;Summary!$F$20)</f>
        <v>0</v>
      </c>
      <c r="N83" s="1130">
        <f>SUMIFS('Monthly DCF'!83:83,'Monthly DCF'!$4:$4,'Yearly DCF'!N$3,'Monthly DCF'!$3:$3,"&lt;=" &amp;Summary!$F$20)</f>
        <v>0</v>
      </c>
      <c r="O83" s="1130">
        <f>SUMIFS('Monthly DCF'!83:83,'Monthly DCF'!$4:$4,'Yearly DCF'!O$3,'Monthly DCF'!$3:$3,"&lt;=" &amp;Summary!$F$20)</f>
        <v>0</v>
      </c>
      <c r="P83" s="1130">
        <f>SUMIFS('Monthly DCF'!83:83,'Monthly DCF'!$4:$4,'Yearly DCF'!P$3,'Monthly DCF'!$3:$3,"&lt;=" &amp;Summary!$F$20)</f>
        <v>0</v>
      </c>
      <c r="Q83" s="1130">
        <f>SUMIFS('Monthly DCF'!83:83,'Monthly DCF'!$4:$4,'Yearly DCF'!Q$3,'Monthly DCF'!$3:$3,"&lt;=" &amp;Summary!$F$20)</f>
        <v>0</v>
      </c>
      <c r="R83" s="1131">
        <f>SUMIFS('Monthly DCF'!83:83,'Monthly DCF'!$4:$4,'Yearly DCF'!R$3,'Monthly DCF'!$3:$3,"&lt;=" &amp;Summary!$F$20)</f>
        <v>0</v>
      </c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491"/>
      <c r="AN83" s="198"/>
      <c r="AO83" s="198"/>
      <c r="AP83" s="198"/>
      <c r="AQ83" s="198"/>
      <c r="AR83" s="198"/>
      <c r="AS83" s="198"/>
      <c r="AT83" s="198"/>
      <c r="AU83" s="198"/>
      <c r="AV83" s="198"/>
      <c r="AW83" s="492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198"/>
      <c r="BP83" s="198"/>
      <c r="BQ83" s="198"/>
    </row>
    <row r="84" spans="2:69" ht="15.75" customHeight="1" x14ac:dyDescent="0.25">
      <c r="B84" s="364" t="str">
        <f>'Monthly DCF'!B84</f>
        <v>Land Purchase Price</v>
      </c>
      <c r="C84" s="398">
        <f>'Monthly DCF'!C84</f>
        <v>46387</v>
      </c>
      <c r="D84" s="400">
        <f>'Monthly DCF'!D84</f>
        <v>1</v>
      </c>
      <c r="E84" s="401">
        <f>'Monthly DCF'!E84</f>
        <v>0</v>
      </c>
      <c r="F84" s="358"/>
      <c r="G84" s="999">
        <f>'Monthly DCF'!G83</f>
        <v>0</v>
      </c>
      <c r="H84" s="1115">
        <f>SUMIFS('Monthly DCF'!84:84,'Monthly DCF'!$4:$4,'Yearly DCF'!H$3,'Monthly DCF'!$3:$3,"&lt;=" &amp;Summary!$F$20)</f>
        <v>3280000</v>
      </c>
      <c r="I84" s="599">
        <f>SUMIFS('Monthly DCF'!84:84,'Monthly DCF'!$4:$4,'Yearly DCF'!I$3,'Monthly DCF'!$3:$3,"&lt;=" &amp;Summary!$F$20)</f>
        <v>0</v>
      </c>
      <c r="J84" s="599">
        <f>SUMIFS('Monthly DCF'!84:84,'Monthly DCF'!$4:$4,'Yearly DCF'!J$3,'Monthly DCF'!$3:$3,"&lt;=" &amp;Summary!$F$20)</f>
        <v>0</v>
      </c>
      <c r="K84" s="599">
        <f>SUMIFS('Monthly DCF'!84:84,'Monthly DCF'!$4:$4,'Yearly DCF'!K$3,'Monthly DCF'!$3:$3,"&lt;=" &amp;Summary!$F$20)</f>
        <v>0</v>
      </c>
      <c r="L84" s="599">
        <f>SUMIFS('Monthly DCF'!84:84,'Monthly DCF'!$4:$4,'Yearly DCF'!L$3,'Monthly DCF'!$3:$3,"&lt;=" &amp;Summary!$F$20)</f>
        <v>0</v>
      </c>
      <c r="M84" s="1117">
        <f>SUMIFS('Monthly DCF'!84:84,'Monthly DCF'!$4:$4,'Yearly DCF'!M$3,'Monthly DCF'!$3:$3,"&lt;=" &amp;Summary!$F$20)</f>
        <v>0</v>
      </c>
      <c r="N84" s="599">
        <f>SUMIFS('Monthly DCF'!84:84,'Monthly DCF'!$4:$4,'Yearly DCF'!N$3,'Monthly DCF'!$3:$3,"&lt;=" &amp;Summary!$F$20)</f>
        <v>0</v>
      </c>
      <c r="O84" s="599">
        <f>SUMIFS('Monthly DCF'!84:84,'Monthly DCF'!$4:$4,'Yearly DCF'!O$3,'Monthly DCF'!$3:$3,"&lt;=" &amp;Summary!$F$20)</f>
        <v>0</v>
      </c>
      <c r="P84" s="599">
        <f>SUMIFS('Monthly DCF'!84:84,'Monthly DCF'!$4:$4,'Yearly DCF'!P$3,'Monthly DCF'!$3:$3,"&lt;=" &amp;Summary!$F$20)</f>
        <v>0</v>
      </c>
      <c r="Q84" s="599">
        <f>SUMIFS('Monthly DCF'!84:84,'Monthly DCF'!$4:$4,'Yearly DCF'!Q$3,'Monthly DCF'!$3:$3,"&lt;=" &amp;Summary!$F$20)</f>
        <v>0</v>
      </c>
      <c r="R84" s="1117">
        <f>SUMIFS('Monthly DCF'!84:84,'Monthly DCF'!$4:$4,'Yearly DCF'!R$3,'Monthly DCF'!$3:$3,"&lt;=" &amp;Summary!$F$20)</f>
        <v>0</v>
      </c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491"/>
      <c r="AN84" s="198"/>
      <c r="AO84" s="198"/>
      <c r="AP84" s="198"/>
      <c r="AQ84" s="198"/>
      <c r="AR84" s="198"/>
      <c r="AS84" s="198"/>
      <c r="AT84" s="198"/>
      <c r="AU84" s="198"/>
      <c r="AV84" s="198"/>
      <c r="AW84" s="492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8"/>
    </row>
    <row r="85" spans="2:69" ht="15.75" customHeight="1" x14ac:dyDescent="0.25">
      <c r="B85" s="364"/>
      <c r="C85" s="402"/>
      <c r="D85" s="403"/>
      <c r="E85" s="397"/>
      <c r="F85" s="358"/>
      <c r="G85" s="1086">
        <f>'Monthly DCF'!G84</f>
        <v>3280000</v>
      </c>
      <c r="H85" s="1115">
        <f>SUMIFS('Monthly DCF'!85:85,'Monthly DCF'!$4:$4,'Yearly DCF'!H$3,'Monthly DCF'!$3:$3,"&lt;=" &amp;Summary!$F$20)</f>
        <v>0</v>
      </c>
      <c r="I85" s="1133">
        <f>SUMIFS('Monthly DCF'!85:85,'Monthly DCF'!$4:$4,'Yearly DCF'!I$3,'Monthly DCF'!$3:$3,"&lt;=" &amp;Summary!$F$20)</f>
        <v>0</v>
      </c>
      <c r="J85" s="1133">
        <f>SUMIFS('Monthly DCF'!85:85,'Monthly DCF'!$4:$4,'Yearly DCF'!J$3,'Monthly DCF'!$3:$3,"&lt;=" &amp;Summary!$F$20)</f>
        <v>0</v>
      </c>
      <c r="K85" s="1133">
        <f>SUMIFS('Monthly DCF'!85:85,'Monthly DCF'!$4:$4,'Yearly DCF'!K$3,'Monthly DCF'!$3:$3,"&lt;=" &amp;Summary!$F$20)</f>
        <v>0</v>
      </c>
      <c r="L85" s="1133">
        <f>SUMIFS('Monthly DCF'!85:85,'Monthly DCF'!$4:$4,'Yearly DCF'!L$3,'Monthly DCF'!$3:$3,"&lt;=" &amp;Summary!$F$20)</f>
        <v>0</v>
      </c>
      <c r="M85" s="1134">
        <f>SUMIFS('Monthly DCF'!85:85,'Monthly DCF'!$4:$4,'Yearly DCF'!M$3,'Monthly DCF'!$3:$3,"&lt;=" &amp;Summary!$F$20)</f>
        <v>0</v>
      </c>
      <c r="N85" s="1133">
        <f>SUMIFS('Monthly DCF'!85:85,'Monthly DCF'!$4:$4,'Yearly DCF'!N$3,'Monthly DCF'!$3:$3,"&lt;=" &amp;Summary!$F$20)</f>
        <v>0</v>
      </c>
      <c r="O85" s="1133">
        <f>SUMIFS('Monthly DCF'!85:85,'Monthly DCF'!$4:$4,'Yearly DCF'!O$3,'Monthly DCF'!$3:$3,"&lt;=" &amp;Summary!$F$20)</f>
        <v>0</v>
      </c>
      <c r="P85" s="1133">
        <f>SUMIFS('Monthly DCF'!85:85,'Monthly DCF'!$4:$4,'Yearly DCF'!P$3,'Monthly DCF'!$3:$3,"&lt;=" &amp;Summary!$F$20)</f>
        <v>0</v>
      </c>
      <c r="Q85" s="1133">
        <f>SUMIFS('Monthly DCF'!85:85,'Monthly DCF'!$4:$4,'Yearly DCF'!Q$3,'Monthly DCF'!$3:$3,"&lt;=" &amp;Summary!$F$20)</f>
        <v>0</v>
      </c>
      <c r="R85" s="1134">
        <f>SUMIFS('Monthly DCF'!85:85,'Monthly DCF'!$4:$4,'Yearly DCF'!R$3,'Monthly DCF'!$3:$3,"&lt;=" &amp;Summary!$F$20)</f>
        <v>0</v>
      </c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491"/>
      <c r="AN85" s="198"/>
      <c r="AO85" s="198"/>
      <c r="AP85" s="198"/>
      <c r="AQ85" s="198"/>
      <c r="AR85" s="198"/>
      <c r="AS85" s="198"/>
      <c r="AT85" s="198"/>
      <c r="AU85" s="198"/>
      <c r="AV85" s="198"/>
      <c r="AW85" s="492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198"/>
      <c r="BJ85" s="198"/>
      <c r="BK85" s="198"/>
      <c r="BL85" s="198"/>
      <c r="BM85" s="198"/>
      <c r="BN85" s="198"/>
      <c r="BO85" s="198"/>
      <c r="BP85" s="198"/>
      <c r="BQ85" s="198"/>
    </row>
    <row r="86" spans="2:69" ht="15.75" customHeight="1" x14ac:dyDescent="0.25">
      <c r="B86" s="384" t="str">
        <f>'Monthly DCF'!B86</f>
        <v>Subtotal Land Acquisition</v>
      </c>
      <c r="C86" s="211"/>
      <c r="D86" s="405"/>
      <c r="E86" s="406"/>
      <c r="F86" s="358"/>
      <c r="G86" s="1087">
        <f>'Monthly DCF'!G85</f>
        <v>0</v>
      </c>
      <c r="H86" s="1121">
        <f>SUMIFS('Monthly DCF'!86:86,'Monthly DCF'!$4:$4,'Yearly DCF'!H$3,'Monthly DCF'!$3:$3,"&lt;=" &amp;Summary!$F$20)</f>
        <v>3280000</v>
      </c>
      <c r="I86" s="1122">
        <f>SUMIFS('Monthly DCF'!86:86,'Monthly DCF'!$4:$4,'Yearly DCF'!I$3,'Monthly DCF'!$3:$3,"&lt;=" &amp;Summary!$F$20)</f>
        <v>0</v>
      </c>
      <c r="J86" s="1122">
        <f>SUMIFS('Monthly DCF'!86:86,'Monthly DCF'!$4:$4,'Yearly DCF'!J$3,'Monthly DCF'!$3:$3,"&lt;=" &amp;Summary!$F$20)</f>
        <v>0</v>
      </c>
      <c r="K86" s="1122">
        <f>SUMIFS('Monthly DCF'!86:86,'Monthly DCF'!$4:$4,'Yearly DCF'!K$3,'Monthly DCF'!$3:$3,"&lt;=" &amp;Summary!$F$20)</f>
        <v>0</v>
      </c>
      <c r="L86" s="1122">
        <f>SUMIFS('Monthly DCF'!86:86,'Monthly DCF'!$4:$4,'Yearly DCF'!L$3,'Monthly DCF'!$3:$3,"&lt;=" &amp;Summary!$F$20)</f>
        <v>0</v>
      </c>
      <c r="M86" s="1123">
        <f>SUMIFS('Monthly DCF'!86:86,'Monthly DCF'!$4:$4,'Yearly DCF'!M$3,'Monthly DCF'!$3:$3,"&lt;=" &amp;Summary!$F$20)</f>
        <v>0</v>
      </c>
      <c r="N86" s="1122">
        <f>SUMIFS('Monthly DCF'!86:86,'Monthly DCF'!$4:$4,'Yearly DCF'!N$3,'Monthly DCF'!$3:$3,"&lt;=" &amp;Summary!$F$20)</f>
        <v>0</v>
      </c>
      <c r="O86" s="1122">
        <f>SUMIFS('Monthly DCF'!86:86,'Monthly DCF'!$4:$4,'Yearly DCF'!O$3,'Monthly DCF'!$3:$3,"&lt;=" &amp;Summary!$F$20)</f>
        <v>0</v>
      </c>
      <c r="P86" s="1122">
        <f>SUMIFS('Monthly DCF'!86:86,'Monthly DCF'!$4:$4,'Yearly DCF'!P$3,'Monthly DCF'!$3:$3,"&lt;=" &amp;Summary!$F$20)</f>
        <v>0</v>
      </c>
      <c r="Q86" s="1122">
        <f>SUMIFS('Monthly DCF'!86:86,'Monthly DCF'!$4:$4,'Yearly DCF'!Q$3,'Monthly DCF'!$3:$3,"&lt;=" &amp;Summary!$F$20)</f>
        <v>0</v>
      </c>
      <c r="R86" s="1123">
        <f>SUMIFS('Monthly DCF'!86:86,'Monthly DCF'!$4:$4,'Yearly DCF'!R$3,'Monthly DCF'!$3:$3,"&lt;=" &amp;Summary!$F$20)</f>
        <v>0</v>
      </c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491"/>
      <c r="AN86" s="198"/>
      <c r="AO86" s="198"/>
      <c r="AP86" s="198"/>
      <c r="AQ86" s="198"/>
      <c r="AR86" s="198"/>
      <c r="AS86" s="198"/>
      <c r="AT86" s="198"/>
      <c r="AU86" s="198"/>
      <c r="AV86" s="198"/>
      <c r="AW86" s="492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</row>
    <row r="87" spans="2:69" ht="15.75" customHeight="1" x14ac:dyDescent="0.25">
      <c r="B87" s="384"/>
      <c r="C87" s="211"/>
      <c r="D87" s="405"/>
      <c r="E87" s="406"/>
      <c r="F87" s="358"/>
      <c r="G87" s="1088">
        <f>'Monthly DCF'!G86</f>
        <v>3280000</v>
      </c>
      <c r="H87" s="1129">
        <f>SUMIFS('Monthly DCF'!87:87,'Monthly DCF'!$4:$4,'Yearly DCF'!H$3,'Monthly DCF'!$3:$3,"&lt;=" &amp;Summary!$F$20)</f>
        <v>0</v>
      </c>
      <c r="I87" s="1130">
        <f>SUMIFS('Monthly DCF'!87:87,'Monthly DCF'!$4:$4,'Yearly DCF'!I$3,'Monthly DCF'!$3:$3,"&lt;=" &amp;Summary!$F$20)</f>
        <v>0</v>
      </c>
      <c r="J87" s="1130">
        <f>SUMIFS('Monthly DCF'!87:87,'Monthly DCF'!$4:$4,'Yearly DCF'!J$3,'Monthly DCF'!$3:$3,"&lt;=" &amp;Summary!$F$20)</f>
        <v>0</v>
      </c>
      <c r="K87" s="1130">
        <f>SUMIFS('Monthly DCF'!87:87,'Monthly DCF'!$4:$4,'Yearly DCF'!K$3,'Monthly DCF'!$3:$3,"&lt;=" &amp;Summary!$F$20)</f>
        <v>0</v>
      </c>
      <c r="L87" s="1130">
        <f>SUMIFS('Monthly DCF'!87:87,'Monthly DCF'!$4:$4,'Yearly DCF'!L$3,'Monthly DCF'!$3:$3,"&lt;=" &amp;Summary!$F$20)</f>
        <v>0</v>
      </c>
      <c r="M87" s="1131">
        <f>SUMIFS('Monthly DCF'!87:87,'Monthly DCF'!$4:$4,'Yearly DCF'!M$3,'Monthly DCF'!$3:$3,"&lt;=" &amp;Summary!$F$20)</f>
        <v>0</v>
      </c>
      <c r="N87" s="1130">
        <f>SUMIFS('Monthly DCF'!87:87,'Monthly DCF'!$4:$4,'Yearly DCF'!N$3,'Monthly DCF'!$3:$3,"&lt;=" &amp;Summary!$F$20)</f>
        <v>0</v>
      </c>
      <c r="O87" s="1130">
        <f>SUMIFS('Monthly DCF'!87:87,'Monthly DCF'!$4:$4,'Yearly DCF'!O$3,'Monthly DCF'!$3:$3,"&lt;=" &amp;Summary!$F$20)</f>
        <v>0</v>
      </c>
      <c r="P87" s="1130">
        <f>SUMIFS('Monthly DCF'!87:87,'Monthly DCF'!$4:$4,'Yearly DCF'!P$3,'Monthly DCF'!$3:$3,"&lt;=" &amp;Summary!$F$20)</f>
        <v>0</v>
      </c>
      <c r="Q87" s="1130">
        <f>SUMIFS('Monthly DCF'!87:87,'Monthly DCF'!$4:$4,'Yearly DCF'!Q$3,'Monthly DCF'!$3:$3,"&lt;=" &amp;Summary!$F$20)</f>
        <v>0</v>
      </c>
      <c r="R87" s="1131">
        <f>SUMIFS('Monthly DCF'!87:87,'Monthly DCF'!$4:$4,'Yearly DCF'!R$3,'Monthly DCF'!$3:$3,"&lt;=" &amp;Summary!$F$20)</f>
        <v>0</v>
      </c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491"/>
      <c r="AN87" s="198"/>
      <c r="AO87" s="198"/>
      <c r="AP87" s="198"/>
      <c r="AQ87" s="198"/>
      <c r="AR87" s="198"/>
      <c r="AS87" s="198"/>
      <c r="AT87" s="198"/>
      <c r="AU87" s="198"/>
      <c r="AV87" s="198"/>
      <c r="AW87" s="492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198"/>
      <c r="BJ87" s="198"/>
      <c r="BK87" s="198"/>
      <c r="BL87" s="198"/>
      <c r="BM87" s="198"/>
      <c r="BN87" s="198"/>
      <c r="BO87" s="198"/>
      <c r="BP87" s="198"/>
      <c r="BQ87" s="198"/>
    </row>
    <row r="88" spans="2:69" ht="15.75" customHeight="1" x14ac:dyDescent="0.25">
      <c r="B88" s="384" t="str">
        <f>'Monthly DCF'!B88</f>
        <v>Soft Costs</v>
      </c>
      <c r="C88" s="407" t="str">
        <f>'Monthly DCF'!C88</f>
        <v>Start Date</v>
      </c>
      <c r="D88" s="398" t="str">
        <f>'Monthly DCF'!D88</f>
        <v>Periods</v>
      </c>
      <c r="E88" s="398" t="str">
        <f>'Monthly DCF'!E88</f>
        <v>Starting Month</v>
      </c>
      <c r="F88" s="358"/>
      <c r="G88" s="999">
        <f>'Monthly DCF'!G87</f>
        <v>0</v>
      </c>
      <c r="H88" s="1129">
        <f>SUMIFS('Monthly DCF'!88:88,'Monthly DCF'!$4:$4,'Yearly DCF'!H$3,'Monthly DCF'!$3:$3,"&lt;=" &amp;Summary!$F$20)</f>
        <v>0</v>
      </c>
      <c r="I88" s="1130">
        <f>SUMIFS('Monthly DCF'!88:88,'Monthly DCF'!$4:$4,'Yearly DCF'!I$3,'Monthly DCF'!$3:$3,"&lt;=" &amp;Summary!$F$20)</f>
        <v>0</v>
      </c>
      <c r="J88" s="1130">
        <f>SUMIFS('Monthly DCF'!88:88,'Monthly DCF'!$4:$4,'Yearly DCF'!J$3,'Monthly DCF'!$3:$3,"&lt;=" &amp;Summary!$F$20)</f>
        <v>0</v>
      </c>
      <c r="K88" s="1130">
        <f>SUMIFS('Monthly DCF'!88:88,'Monthly DCF'!$4:$4,'Yearly DCF'!K$3,'Monthly DCF'!$3:$3,"&lt;=" &amp;Summary!$F$20)</f>
        <v>0</v>
      </c>
      <c r="L88" s="1130">
        <f>SUMIFS('Monthly DCF'!88:88,'Monthly DCF'!$4:$4,'Yearly DCF'!L$3,'Monthly DCF'!$3:$3,"&lt;=" &amp;Summary!$F$20)</f>
        <v>0</v>
      </c>
      <c r="M88" s="1131">
        <f>SUMIFS('Monthly DCF'!88:88,'Monthly DCF'!$4:$4,'Yearly DCF'!M$3,'Monthly DCF'!$3:$3,"&lt;=" &amp;Summary!$F$20)</f>
        <v>0</v>
      </c>
      <c r="N88" s="1130">
        <f>SUMIFS('Monthly DCF'!88:88,'Monthly DCF'!$4:$4,'Yearly DCF'!N$3,'Monthly DCF'!$3:$3,"&lt;=" &amp;Summary!$F$20)</f>
        <v>0</v>
      </c>
      <c r="O88" s="1130">
        <f>SUMIFS('Monthly DCF'!88:88,'Monthly DCF'!$4:$4,'Yearly DCF'!O$3,'Monthly DCF'!$3:$3,"&lt;=" &amp;Summary!$F$20)</f>
        <v>0</v>
      </c>
      <c r="P88" s="1130">
        <f>SUMIFS('Monthly DCF'!88:88,'Monthly DCF'!$4:$4,'Yearly DCF'!P$3,'Monthly DCF'!$3:$3,"&lt;=" &amp;Summary!$F$20)</f>
        <v>0</v>
      </c>
      <c r="Q88" s="1130">
        <f>SUMIFS('Monthly DCF'!88:88,'Monthly DCF'!$4:$4,'Yearly DCF'!Q$3,'Monthly DCF'!$3:$3,"&lt;=" &amp;Summary!$F$20)</f>
        <v>0</v>
      </c>
      <c r="R88" s="1131">
        <f>SUMIFS('Monthly DCF'!88:88,'Monthly DCF'!$4:$4,'Yearly DCF'!R$3,'Monthly DCF'!$3:$3,"&lt;=" &amp;Summary!$F$20)</f>
        <v>0</v>
      </c>
      <c r="X88" s="198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491"/>
      <c r="AN88" s="198"/>
      <c r="AO88" s="198"/>
      <c r="AP88" s="198"/>
      <c r="AQ88" s="198"/>
      <c r="AR88" s="198"/>
      <c r="AS88" s="198"/>
      <c r="AT88" s="198"/>
      <c r="AU88" s="198"/>
      <c r="AV88" s="198"/>
      <c r="AW88" s="492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198"/>
      <c r="BJ88" s="198"/>
      <c r="BK88" s="198"/>
      <c r="BL88" s="198"/>
      <c r="BM88" s="198"/>
      <c r="BN88" s="198"/>
      <c r="BO88" s="198"/>
      <c r="BP88" s="198"/>
      <c r="BQ88" s="198"/>
    </row>
    <row r="89" spans="2:69" ht="15.75" customHeight="1" x14ac:dyDescent="0.25">
      <c r="B89" s="364" t="str">
        <f>'Monthly DCF'!B89</f>
        <v>Soft Costs</v>
      </c>
      <c r="C89" s="398">
        <f>'Monthly DCF'!C89</f>
        <v>46418</v>
      </c>
      <c r="D89" s="408">
        <f>'Monthly DCF'!D89</f>
        <v>9</v>
      </c>
      <c r="E89" s="409">
        <f>'Monthly DCF'!E89</f>
        <v>1</v>
      </c>
      <c r="F89" s="358"/>
      <c r="G89" s="999">
        <f>'Monthly DCF'!G88</f>
        <v>0</v>
      </c>
      <c r="H89" s="1115">
        <f>SUMIFS('Monthly DCF'!89:89,'Monthly DCF'!$4:$4,'Yearly DCF'!H$3,'Monthly DCF'!$3:$3,"&lt;=" &amp;Summary!$F$20)</f>
        <v>0</v>
      </c>
      <c r="I89" s="599">
        <f>SUMIFS('Monthly DCF'!89:89,'Monthly DCF'!$4:$4,'Yearly DCF'!I$3,'Monthly DCF'!$3:$3,"&lt;=" &amp;Summary!$F$20)</f>
        <v>2382808.7651749132</v>
      </c>
      <c r="J89" s="599">
        <f>SUMIFS('Monthly DCF'!89:89,'Monthly DCF'!$4:$4,'Yearly DCF'!J$3,'Monthly DCF'!$3:$3,"&lt;=" &amp;Summary!$F$20)</f>
        <v>0</v>
      </c>
      <c r="K89" s="599">
        <f>SUMIFS('Monthly DCF'!89:89,'Monthly DCF'!$4:$4,'Yearly DCF'!K$3,'Monthly DCF'!$3:$3,"&lt;=" &amp;Summary!$F$20)</f>
        <v>0</v>
      </c>
      <c r="L89" s="599">
        <f>SUMIFS('Monthly DCF'!89:89,'Monthly DCF'!$4:$4,'Yearly DCF'!L$3,'Monthly DCF'!$3:$3,"&lt;=" &amp;Summary!$F$20)</f>
        <v>0</v>
      </c>
      <c r="M89" s="1117">
        <f>SUMIFS('Monthly DCF'!89:89,'Monthly DCF'!$4:$4,'Yearly DCF'!M$3,'Monthly DCF'!$3:$3,"&lt;=" &amp;Summary!$F$20)</f>
        <v>0</v>
      </c>
      <c r="N89" s="599">
        <f>SUMIFS('Monthly DCF'!89:89,'Monthly DCF'!$4:$4,'Yearly DCF'!N$3,'Monthly DCF'!$3:$3,"&lt;=" &amp;Summary!$F$20)</f>
        <v>0</v>
      </c>
      <c r="O89" s="599">
        <f>SUMIFS('Monthly DCF'!89:89,'Monthly DCF'!$4:$4,'Yearly DCF'!O$3,'Monthly DCF'!$3:$3,"&lt;=" &amp;Summary!$F$20)</f>
        <v>0</v>
      </c>
      <c r="P89" s="599">
        <f>SUMIFS('Monthly DCF'!89:89,'Monthly DCF'!$4:$4,'Yearly DCF'!P$3,'Monthly DCF'!$3:$3,"&lt;=" &amp;Summary!$F$20)</f>
        <v>0</v>
      </c>
      <c r="Q89" s="599">
        <f>SUMIFS('Monthly DCF'!89:89,'Monthly DCF'!$4:$4,'Yearly DCF'!Q$3,'Monthly DCF'!$3:$3,"&lt;=" &amp;Summary!$F$20)</f>
        <v>0</v>
      </c>
      <c r="R89" s="1117">
        <f>SUMIFS('Monthly DCF'!89:89,'Monthly DCF'!$4:$4,'Yearly DCF'!R$3,'Monthly DCF'!$3:$3,"&lt;=" &amp;Summary!$F$20)</f>
        <v>0</v>
      </c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491"/>
      <c r="AN89" s="198"/>
      <c r="AO89" s="198"/>
      <c r="AP89" s="198"/>
      <c r="AQ89" s="198"/>
      <c r="AR89" s="198"/>
      <c r="AS89" s="198"/>
      <c r="AT89" s="198"/>
      <c r="AU89" s="198"/>
      <c r="AV89" s="198"/>
      <c r="AW89" s="492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198"/>
      <c r="BP89" s="198"/>
      <c r="BQ89" s="198"/>
    </row>
    <row r="90" spans="2:69" ht="15.75" customHeight="1" x14ac:dyDescent="0.25">
      <c r="B90" s="364" t="str">
        <f>'Monthly DCF'!B90</f>
        <v>OH/Profit/Fees</v>
      </c>
      <c r="C90" s="398">
        <f>'Monthly DCF'!C90</f>
        <v>46418</v>
      </c>
      <c r="D90" s="410">
        <f>'Monthly DCF'!D90</f>
        <v>24</v>
      </c>
      <c r="E90" s="411">
        <f>'Monthly DCF'!E90</f>
        <v>1</v>
      </c>
      <c r="F90" s="358"/>
      <c r="G90" s="1086">
        <f>'Monthly DCF'!G89</f>
        <v>2382808.7651749132</v>
      </c>
      <c r="H90" s="1118">
        <f>SUMIFS('Monthly DCF'!90:90,'Monthly DCF'!$4:$4,'Yearly DCF'!H$3,'Monthly DCF'!$3:$3,"&lt;=" &amp;Summary!$F$20)</f>
        <v>0</v>
      </c>
      <c r="I90" s="1119">
        <f>SUMIFS('Monthly DCF'!90:90,'Monthly DCF'!$4:$4,'Yearly DCF'!I$3,'Monthly DCF'!$3:$3,"&lt;=" &amp;Summary!$F$20)</f>
        <v>847008.49999999988</v>
      </c>
      <c r="J90" s="1119">
        <f>SUMIFS('Monthly DCF'!90:90,'Monthly DCF'!$4:$4,'Yearly DCF'!J$3,'Monthly DCF'!$3:$3,"&lt;=" &amp;Summary!$F$20)</f>
        <v>847008.49999999988</v>
      </c>
      <c r="K90" s="1119">
        <f>SUMIFS('Monthly DCF'!90:90,'Monthly DCF'!$4:$4,'Yearly DCF'!K$3,'Monthly DCF'!$3:$3,"&lt;=" &amp;Summary!$F$20)</f>
        <v>0</v>
      </c>
      <c r="L90" s="1119">
        <f>SUMIFS('Monthly DCF'!90:90,'Monthly DCF'!$4:$4,'Yearly DCF'!L$3,'Monthly DCF'!$3:$3,"&lt;=" &amp;Summary!$F$20)</f>
        <v>0</v>
      </c>
      <c r="M90" s="1120">
        <f>SUMIFS('Monthly DCF'!90:90,'Monthly DCF'!$4:$4,'Yearly DCF'!M$3,'Monthly DCF'!$3:$3,"&lt;=" &amp;Summary!$F$20)</f>
        <v>0</v>
      </c>
      <c r="N90" s="1119">
        <f>SUMIFS('Monthly DCF'!90:90,'Monthly DCF'!$4:$4,'Yearly DCF'!N$3,'Monthly DCF'!$3:$3,"&lt;=" &amp;Summary!$F$20)</f>
        <v>0</v>
      </c>
      <c r="O90" s="1119">
        <f>SUMIFS('Monthly DCF'!90:90,'Monthly DCF'!$4:$4,'Yearly DCF'!O$3,'Monthly DCF'!$3:$3,"&lt;=" &amp;Summary!$F$20)</f>
        <v>0</v>
      </c>
      <c r="P90" s="1119">
        <f>SUMIFS('Monthly DCF'!90:90,'Monthly DCF'!$4:$4,'Yearly DCF'!P$3,'Monthly DCF'!$3:$3,"&lt;=" &amp;Summary!$F$20)</f>
        <v>0</v>
      </c>
      <c r="Q90" s="1119">
        <f>SUMIFS('Monthly DCF'!90:90,'Monthly DCF'!$4:$4,'Yearly DCF'!Q$3,'Monthly DCF'!$3:$3,"&lt;=" &amp;Summary!$F$20)</f>
        <v>0</v>
      </c>
      <c r="R90" s="1120">
        <f>SUMIFS('Monthly DCF'!90:90,'Monthly DCF'!$4:$4,'Yearly DCF'!R$3,'Monthly DCF'!$3:$3,"&lt;=" &amp;Summary!$F$20)</f>
        <v>0</v>
      </c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491"/>
      <c r="AN90" s="198"/>
      <c r="AO90" s="198"/>
      <c r="AP90" s="198"/>
      <c r="AQ90" s="198"/>
      <c r="AR90" s="198"/>
      <c r="AS90" s="198"/>
      <c r="AT90" s="198"/>
      <c r="AU90" s="198"/>
      <c r="AV90" s="198"/>
      <c r="AW90" s="492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</row>
    <row r="91" spans="2:69" ht="15.75" customHeight="1" x14ac:dyDescent="0.25">
      <c r="B91" s="384" t="str">
        <f>'Monthly DCF'!B91</f>
        <v>Subtotal Soft Costs</v>
      </c>
      <c r="C91" s="402"/>
      <c r="D91" s="405"/>
      <c r="E91" s="412"/>
      <c r="F91" s="358"/>
      <c r="G91" s="1087">
        <f>'Monthly DCF'!G90</f>
        <v>1694017.0000000005</v>
      </c>
      <c r="H91" s="1156">
        <f>SUMIFS('Monthly DCF'!91:91,'Monthly DCF'!$4:$4,'Yearly DCF'!H$3,'Monthly DCF'!$3:$3,"&lt;=" &amp;Summary!$F$20)</f>
        <v>0</v>
      </c>
      <c r="I91" s="1157">
        <f>SUMIFS('Monthly DCF'!91:91,'Monthly DCF'!$4:$4,'Yearly DCF'!I$3,'Monthly DCF'!$3:$3,"&lt;=" &amp;Summary!$F$20)</f>
        <v>3229817.2651749123</v>
      </c>
      <c r="J91" s="1130">
        <f>SUMIFS('Monthly DCF'!91:91,'Monthly DCF'!$4:$4,'Yearly DCF'!J$3,'Monthly DCF'!$3:$3,"&lt;=" &amp;Summary!$F$20)</f>
        <v>847008.49999999988</v>
      </c>
      <c r="K91" s="1130">
        <f>SUMIFS('Monthly DCF'!91:91,'Monthly DCF'!$4:$4,'Yearly DCF'!K$3,'Monthly DCF'!$3:$3,"&lt;=" &amp;Summary!$F$20)</f>
        <v>0</v>
      </c>
      <c r="L91" s="1130">
        <f>SUMIFS('Monthly DCF'!91:91,'Monthly DCF'!$4:$4,'Yearly DCF'!L$3,'Monthly DCF'!$3:$3,"&lt;=" &amp;Summary!$F$20)</f>
        <v>0</v>
      </c>
      <c r="M91" s="1131">
        <f>SUMIFS('Monthly DCF'!91:91,'Monthly DCF'!$4:$4,'Yearly DCF'!M$3,'Monthly DCF'!$3:$3,"&lt;=" &amp;Summary!$F$20)</f>
        <v>0</v>
      </c>
      <c r="N91" s="1130">
        <f>SUMIFS('Monthly DCF'!91:91,'Monthly DCF'!$4:$4,'Yearly DCF'!N$3,'Monthly DCF'!$3:$3,"&lt;=" &amp;Summary!$F$20)</f>
        <v>0</v>
      </c>
      <c r="O91" s="1130">
        <f>SUMIFS('Monthly DCF'!91:91,'Monthly DCF'!$4:$4,'Yearly DCF'!O$3,'Monthly DCF'!$3:$3,"&lt;=" &amp;Summary!$F$20)</f>
        <v>0</v>
      </c>
      <c r="P91" s="1130">
        <f>SUMIFS('Monthly DCF'!91:91,'Monthly DCF'!$4:$4,'Yearly DCF'!P$3,'Monthly DCF'!$3:$3,"&lt;=" &amp;Summary!$F$20)</f>
        <v>0</v>
      </c>
      <c r="Q91" s="1130">
        <f>SUMIFS('Monthly DCF'!91:91,'Monthly DCF'!$4:$4,'Yearly DCF'!Q$3,'Monthly DCF'!$3:$3,"&lt;=" &amp;Summary!$F$20)</f>
        <v>0</v>
      </c>
      <c r="R91" s="1131">
        <f>SUMIFS('Monthly DCF'!91:91,'Monthly DCF'!$4:$4,'Yearly DCF'!R$3,'Monthly DCF'!$3:$3,"&lt;=" &amp;Summary!$F$20)</f>
        <v>0</v>
      </c>
      <c r="X91" s="362"/>
      <c r="Y91" s="362"/>
      <c r="Z91" s="362"/>
      <c r="AA91" s="362"/>
      <c r="AB91" s="362"/>
      <c r="AC91" s="362"/>
      <c r="AD91" s="362"/>
      <c r="AE91" s="362"/>
      <c r="AF91" s="362"/>
      <c r="AG91" s="362"/>
      <c r="AH91" s="362"/>
      <c r="AI91" s="362"/>
      <c r="AJ91" s="362"/>
      <c r="AK91" s="362"/>
      <c r="AL91" s="362"/>
      <c r="AM91" s="493"/>
      <c r="AN91" s="362"/>
      <c r="AO91" s="362"/>
      <c r="AP91" s="362"/>
      <c r="AQ91" s="362"/>
      <c r="AR91" s="362"/>
      <c r="AS91" s="362"/>
      <c r="AT91" s="362"/>
      <c r="AU91" s="362"/>
      <c r="AV91" s="362"/>
      <c r="AW91" s="494"/>
      <c r="AX91" s="362"/>
      <c r="AY91" s="362"/>
      <c r="AZ91" s="362"/>
      <c r="BA91" s="362"/>
      <c r="BB91" s="362"/>
      <c r="BC91" s="362"/>
      <c r="BD91" s="362"/>
      <c r="BE91" s="362"/>
      <c r="BF91" s="362"/>
      <c r="BG91" s="362"/>
      <c r="BH91" s="362"/>
      <c r="BI91" s="362"/>
      <c r="BJ91" s="362"/>
      <c r="BK91" s="362"/>
      <c r="BL91" s="362"/>
      <c r="BM91" s="362"/>
      <c r="BN91" s="362"/>
      <c r="BO91" s="362"/>
      <c r="BP91" s="362"/>
      <c r="BQ91" s="362"/>
    </row>
    <row r="92" spans="2:69" ht="15.75" customHeight="1" x14ac:dyDescent="0.25">
      <c r="B92" s="364"/>
      <c r="C92" s="211"/>
      <c r="D92" s="405"/>
      <c r="E92" s="406"/>
      <c r="F92" s="358"/>
      <c r="G92" s="1089">
        <f>'Monthly DCF'!G91</f>
        <v>4076825.7651749137</v>
      </c>
      <c r="H92" s="1110"/>
      <c r="I92" s="579"/>
      <c r="J92" s="579"/>
      <c r="K92" s="579"/>
      <c r="L92" s="579"/>
      <c r="M92" s="1114"/>
      <c r="N92" s="579"/>
      <c r="O92" s="579"/>
      <c r="P92" s="579"/>
      <c r="Q92" s="579"/>
      <c r="R92" s="1114"/>
      <c r="X92" s="367"/>
      <c r="Y92" s="367"/>
      <c r="Z92" s="367"/>
      <c r="AA92" s="367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L92" s="367"/>
      <c r="AM92" s="513"/>
      <c r="AN92" s="367"/>
      <c r="AO92" s="367"/>
      <c r="AP92" s="367"/>
      <c r="AQ92" s="367"/>
      <c r="AR92" s="367"/>
      <c r="AS92" s="367"/>
      <c r="AT92" s="367"/>
      <c r="AU92" s="367"/>
      <c r="AV92" s="367"/>
      <c r="AW92" s="514"/>
      <c r="AX92" s="367"/>
      <c r="AY92" s="367"/>
      <c r="AZ92" s="367"/>
      <c r="BA92" s="367"/>
      <c r="BB92" s="367"/>
      <c r="BC92" s="367"/>
      <c r="BD92" s="367"/>
      <c r="BE92" s="367"/>
      <c r="BF92" s="367"/>
      <c r="BG92" s="367"/>
      <c r="BH92" s="367"/>
      <c r="BI92" s="367"/>
      <c r="BJ92" s="367"/>
      <c r="BK92" s="367"/>
      <c r="BL92" s="367"/>
      <c r="BM92" s="367"/>
      <c r="BN92" s="367"/>
      <c r="BO92" s="367"/>
      <c r="BP92" s="367"/>
      <c r="BQ92" s="367"/>
    </row>
    <row r="93" spans="2:69" ht="15.75" customHeight="1" x14ac:dyDescent="0.25">
      <c r="B93" s="364"/>
      <c r="C93" s="211"/>
      <c r="D93" s="405"/>
      <c r="E93" s="406"/>
      <c r="F93" s="358"/>
      <c r="G93" s="999">
        <f>'Monthly DCF'!G92</f>
        <v>0</v>
      </c>
      <c r="H93" s="1110"/>
      <c r="I93" s="579"/>
      <c r="J93" s="579"/>
      <c r="K93" s="579"/>
      <c r="L93" s="579"/>
      <c r="M93" s="1114"/>
      <c r="N93" s="579"/>
      <c r="O93" s="579"/>
      <c r="P93" s="579"/>
      <c r="Q93" s="579"/>
      <c r="R93" s="1114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491"/>
      <c r="AN93" s="198"/>
      <c r="AO93" s="198"/>
      <c r="AP93" s="198"/>
      <c r="AQ93" s="198"/>
      <c r="AR93" s="198"/>
      <c r="AS93" s="198"/>
      <c r="AT93" s="198"/>
      <c r="AU93" s="198"/>
      <c r="AV93" s="198"/>
      <c r="AW93" s="492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198"/>
      <c r="BK93" s="198"/>
      <c r="BL93" s="198"/>
      <c r="BM93" s="198"/>
      <c r="BN93" s="198"/>
      <c r="BO93" s="198"/>
      <c r="BP93" s="198"/>
      <c r="BQ93" s="198"/>
    </row>
    <row r="94" spans="2:69" ht="15.75" customHeight="1" x14ac:dyDescent="0.25">
      <c r="B94" s="384" t="str">
        <f>'Monthly DCF'!B94</f>
        <v>Hard Costs</v>
      </c>
      <c r="C94" s="407" t="str">
        <f>'Monthly DCF'!C94</f>
        <v>Start Date</v>
      </c>
      <c r="D94" s="398" t="str">
        <f>'Monthly DCF'!D94</f>
        <v>Periods</v>
      </c>
      <c r="E94" s="398" t="str">
        <f>'Monthly DCF'!E94</f>
        <v>Starting Month</v>
      </c>
      <c r="F94" s="413" t="str">
        <f>'Monthly DCF'!F94</f>
        <v>(DO NOT EDIT)</v>
      </c>
      <c r="G94" s="999">
        <f>'Monthly DCF'!G93</f>
        <v>0</v>
      </c>
      <c r="H94" s="1110"/>
      <c r="I94" s="579"/>
      <c r="J94" s="579"/>
      <c r="K94" s="579"/>
      <c r="L94" s="579"/>
      <c r="M94" s="1114"/>
      <c r="N94" s="579"/>
      <c r="O94" s="579"/>
      <c r="P94" s="579"/>
      <c r="Q94" s="579"/>
      <c r="R94" s="1114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491"/>
      <c r="AN94" s="198"/>
      <c r="AO94" s="198"/>
      <c r="AP94" s="198"/>
      <c r="AQ94" s="198"/>
      <c r="AR94" s="198"/>
      <c r="AS94" s="198"/>
      <c r="AT94" s="198"/>
      <c r="AU94" s="198"/>
      <c r="AV94" s="198"/>
      <c r="AW94" s="492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198"/>
      <c r="BJ94" s="198"/>
      <c r="BK94" s="198"/>
      <c r="BL94" s="198"/>
      <c r="BM94" s="198"/>
      <c r="BN94" s="198"/>
      <c r="BO94" s="198"/>
      <c r="BP94" s="198"/>
      <c r="BQ94" s="198"/>
    </row>
    <row r="95" spans="2:69" ht="15.75" customHeight="1" x14ac:dyDescent="0.25">
      <c r="B95" s="655" t="str">
        <f>'Monthly DCF'!B95</f>
        <v>Hard Costs</v>
      </c>
      <c r="C95" s="656">
        <f>'Monthly DCF'!C95</f>
        <v>46418</v>
      </c>
      <c r="D95" s="657">
        <f>'Monthly DCF'!D95</f>
        <v>24</v>
      </c>
      <c r="E95" s="658">
        <f>'Monthly DCF'!E95</f>
        <v>1</v>
      </c>
      <c r="F95" s="659">
        <f>'Monthly DCF'!F95</f>
        <v>241</v>
      </c>
      <c r="G95" s="999">
        <f>'Monthly DCF'!G94</f>
        <v>0</v>
      </c>
      <c r="H95" s="1125">
        <f>SUMIFS('Monthly DCF'!95:95,'Monthly DCF'!$4:$4,'Yearly DCF'!H$3,'Monthly DCF'!$3:$3,"&lt;=" &amp;Summary!$F$20)</f>
        <v>0</v>
      </c>
      <c r="I95" s="600">
        <f>SUMIFS('Monthly DCF'!95:95,'Monthly DCF'!$4:$4,'Yearly DCF'!I$3,'Monthly DCF'!$3:$3,"&lt;=" &amp;Summary!$F$20)</f>
        <v>8285287.5112500023</v>
      </c>
      <c r="J95" s="600">
        <f>SUMIFS('Monthly DCF'!95:95,'Monthly DCF'!$4:$4,'Yearly DCF'!J$3,'Monthly DCF'!$3:$3,"&lt;=" &amp;Summary!$F$20)</f>
        <v>8285287.5112500014</v>
      </c>
      <c r="K95" s="600">
        <f>SUMIFS('Monthly DCF'!95:95,'Monthly DCF'!$4:$4,'Yearly DCF'!K$3,'Monthly DCF'!$3:$3,"&lt;=" &amp;Summary!$F$20)</f>
        <v>0</v>
      </c>
      <c r="L95" s="600">
        <f>SUMIFS('Monthly DCF'!95:95,'Monthly DCF'!$4:$4,'Yearly DCF'!L$3,'Monthly DCF'!$3:$3,"&lt;=" &amp;Summary!$F$20)</f>
        <v>0</v>
      </c>
      <c r="M95" s="1126">
        <f>SUMIFS('Monthly DCF'!95:95,'Monthly DCF'!$4:$4,'Yearly DCF'!M$3,'Monthly DCF'!$3:$3,"&lt;=" &amp;Summary!$F$20)</f>
        <v>0</v>
      </c>
      <c r="N95" s="600">
        <f>SUMIFS('Monthly DCF'!95:95,'Monthly DCF'!$4:$4,'Yearly DCF'!N$3,'Monthly DCF'!$3:$3,"&lt;=" &amp;Summary!$F$20)</f>
        <v>0</v>
      </c>
      <c r="O95" s="600">
        <f>SUMIFS('Monthly DCF'!95:95,'Monthly DCF'!$4:$4,'Yearly DCF'!O$3,'Monthly DCF'!$3:$3,"&lt;=" &amp;Summary!$F$20)</f>
        <v>0</v>
      </c>
      <c r="P95" s="600">
        <f>SUMIFS('Monthly DCF'!95:95,'Monthly DCF'!$4:$4,'Yearly DCF'!P$3,'Monthly DCF'!$3:$3,"&lt;=" &amp;Summary!$F$20)</f>
        <v>0</v>
      </c>
      <c r="Q95" s="600">
        <f>SUMIFS('Monthly DCF'!95:95,'Monthly DCF'!$4:$4,'Yearly DCF'!Q$3,'Monthly DCF'!$3:$3,"&lt;=" &amp;Summary!$F$20)</f>
        <v>0</v>
      </c>
      <c r="R95" s="1126">
        <f>SUMIFS('Monthly DCF'!95:95,'Monthly DCF'!$4:$4,'Yearly DCF'!R$3,'Monthly DCF'!$3:$3,"&lt;=" &amp;Summary!$F$20)</f>
        <v>0</v>
      </c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491"/>
      <c r="AN95" s="198"/>
      <c r="AO95" s="198"/>
      <c r="AP95" s="198"/>
      <c r="AQ95" s="198"/>
      <c r="AR95" s="198"/>
      <c r="AS95" s="198"/>
      <c r="AT95" s="198"/>
      <c r="AU95" s="198"/>
      <c r="AV95" s="198"/>
      <c r="AW95" s="492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198"/>
      <c r="BJ95" s="198"/>
      <c r="BK95" s="198"/>
      <c r="BL95" s="198"/>
      <c r="BM95" s="198"/>
      <c r="BN95" s="198"/>
      <c r="BO95" s="198"/>
      <c r="BP95" s="198"/>
      <c r="BQ95" s="198"/>
    </row>
    <row r="96" spans="2:69" ht="15.75" customHeight="1" x14ac:dyDescent="0.25">
      <c r="B96" s="384" t="str">
        <f>'Monthly DCF'!B96</f>
        <v>Subtotal Hard Costs</v>
      </c>
      <c r="C96" s="377"/>
      <c r="D96" s="377"/>
      <c r="E96" s="377"/>
      <c r="F96" s="377"/>
      <c r="G96" s="1090">
        <f>'Monthly DCF'!G95</f>
        <v>16570575.022500005</v>
      </c>
      <c r="H96" s="1115">
        <f>SUMIFS('Monthly DCF'!96:96,'Monthly DCF'!$4:$4,'Yearly DCF'!H$3,'Monthly DCF'!$3:$3,"&lt;=" &amp;Summary!$F$20)</f>
        <v>0</v>
      </c>
      <c r="I96" s="599">
        <f>SUMIFS('Monthly DCF'!96:96,'Monthly DCF'!$4:$4,'Yearly DCF'!I$3,'Monthly DCF'!$3:$3,"&lt;=" &amp;Summary!$F$20)</f>
        <v>8285287.5112500023</v>
      </c>
      <c r="J96" s="599">
        <f>SUMIFS('Monthly DCF'!96:96,'Monthly DCF'!$4:$4,'Yearly DCF'!J$3,'Monthly DCF'!$3:$3,"&lt;=" &amp;Summary!$F$20)</f>
        <v>8285287.5112500014</v>
      </c>
      <c r="K96" s="599">
        <f>SUMIFS('Monthly DCF'!96:96,'Monthly DCF'!$4:$4,'Yearly DCF'!K$3,'Monthly DCF'!$3:$3,"&lt;=" &amp;Summary!$F$20)</f>
        <v>0</v>
      </c>
      <c r="L96" s="599">
        <f>SUMIFS('Monthly DCF'!96:96,'Monthly DCF'!$4:$4,'Yearly DCF'!L$3,'Monthly DCF'!$3:$3,"&lt;=" &amp;Summary!$F$20)</f>
        <v>0</v>
      </c>
      <c r="M96" s="1117">
        <f>SUMIFS('Monthly DCF'!96:96,'Monthly DCF'!$4:$4,'Yearly DCF'!M$3,'Monthly DCF'!$3:$3,"&lt;=" &amp;Summary!$F$20)</f>
        <v>0</v>
      </c>
      <c r="N96" s="599">
        <f>SUMIFS('Monthly DCF'!96:96,'Monthly DCF'!$4:$4,'Yearly DCF'!N$3,'Monthly DCF'!$3:$3,"&lt;=" &amp;Summary!$F$20)</f>
        <v>0</v>
      </c>
      <c r="O96" s="599">
        <f>SUMIFS('Monthly DCF'!96:96,'Monthly DCF'!$4:$4,'Yearly DCF'!O$3,'Monthly DCF'!$3:$3,"&lt;=" &amp;Summary!$F$20)</f>
        <v>0</v>
      </c>
      <c r="P96" s="599">
        <f>SUMIFS('Monthly DCF'!96:96,'Monthly DCF'!$4:$4,'Yearly DCF'!P$3,'Monthly DCF'!$3:$3,"&lt;=" &amp;Summary!$F$20)</f>
        <v>0</v>
      </c>
      <c r="Q96" s="599">
        <f>SUMIFS('Monthly DCF'!96:96,'Monthly DCF'!$4:$4,'Yearly DCF'!Q$3,'Monthly DCF'!$3:$3,"&lt;=" &amp;Summary!$F$20)</f>
        <v>0</v>
      </c>
      <c r="R96" s="1117">
        <f>SUMIFS('Monthly DCF'!96:96,'Monthly DCF'!$4:$4,'Yearly DCF'!R$3,'Monthly DCF'!$3:$3,"&lt;=" &amp;Summary!$F$20)</f>
        <v>0</v>
      </c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491"/>
      <c r="AN96" s="198"/>
      <c r="AO96" s="198"/>
      <c r="AP96" s="198"/>
      <c r="AQ96" s="198"/>
      <c r="AR96" s="198"/>
      <c r="AS96" s="198"/>
      <c r="AT96" s="198"/>
      <c r="AU96" s="198"/>
      <c r="AV96" s="198"/>
      <c r="AW96" s="492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198"/>
      <c r="BJ96" s="198"/>
      <c r="BK96" s="198"/>
      <c r="BL96" s="198"/>
      <c r="BM96" s="198"/>
      <c r="BN96" s="198"/>
      <c r="BO96" s="198"/>
      <c r="BP96" s="198"/>
      <c r="BQ96" s="198"/>
    </row>
    <row r="97" spans="2:69" ht="15.75" customHeight="1" x14ac:dyDescent="0.25">
      <c r="B97" s="364"/>
      <c r="C97" s="377"/>
      <c r="D97" s="377"/>
      <c r="E97" s="377"/>
      <c r="F97" s="377"/>
      <c r="G97" s="1089">
        <f>'Monthly DCF'!G96</f>
        <v>16570575.022500005</v>
      </c>
      <c r="H97" s="1115">
        <f>SUMIFS('Monthly DCF'!97:97,'Monthly DCF'!$4:$4,'Yearly DCF'!H$3,'Monthly DCF'!$3:$3,"&lt;=" &amp;Summary!$F$20)</f>
        <v>0</v>
      </c>
      <c r="I97" s="599">
        <f>SUMIFS('Monthly DCF'!97:97,'Monthly DCF'!$4:$4,'Yearly DCF'!I$3,'Monthly DCF'!$3:$3,"&lt;=" &amp;Summary!$F$20)</f>
        <v>0</v>
      </c>
      <c r="J97" s="599">
        <f>SUMIFS('Monthly DCF'!97:97,'Monthly DCF'!$4:$4,'Yearly DCF'!J$3,'Monthly DCF'!$3:$3,"&lt;=" &amp;Summary!$F$20)</f>
        <v>0</v>
      </c>
      <c r="K97" s="599">
        <f>SUMIFS('Monthly DCF'!97:97,'Monthly DCF'!$4:$4,'Yearly DCF'!K$3,'Monthly DCF'!$3:$3,"&lt;=" &amp;Summary!$F$20)</f>
        <v>0</v>
      </c>
      <c r="L97" s="599">
        <f>SUMIFS('Monthly DCF'!97:97,'Monthly DCF'!$4:$4,'Yearly DCF'!L$3,'Monthly DCF'!$3:$3,"&lt;=" &amp;Summary!$F$20)</f>
        <v>0</v>
      </c>
      <c r="M97" s="1117">
        <f>SUMIFS('Monthly DCF'!97:97,'Monthly DCF'!$4:$4,'Yearly DCF'!M$3,'Monthly DCF'!$3:$3,"&lt;=" &amp;Summary!$F$20)</f>
        <v>0</v>
      </c>
      <c r="N97" s="599">
        <f>SUMIFS('Monthly DCF'!97:97,'Monthly DCF'!$4:$4,'Yearly DCF'!N$3,'Monthly DCF'!$3:$3,"&lt;=" &amp;Summary!$F$20)</f>
        <v>0</v>
      </c>
      <c r="O97" s="599">
        <f>SUMIFS('Monthly DCF'!97:97,'Monthly DCF'!$4:$4,'Yearly DCF'!O$3,'Monthly DCF'!$3:$3,"&lt;=" &amp;Summary!$F$20)</f>
        <v>0</v>
      </c>
      <c r="P97" s="599">
        <f>SUMIFS('Monthly DCF'!97:97,'Monthly DCF'!$4:$4,'Yearly DCF'!P$3,'Monthly DCF'!$3:$3,"&lt;=" &amp;Summary!$F$20)</f>
        <v>0</v>
      </c>
      <c r="Q97" s="599">
        <f>SUMIFS('Monthly DCF'!97:97,'Monthly DCF'!$4:$4,'Yearly DCF'!Q$3,'Monthly DCF'!$3:$3,"&lt;=" &amp;Summary!$F$20)</f>
        <v>0</v>
      </c>
      <c r="R97" s="1117">
        <f>SUMIFS('Monthly DCF'!97:97,'Monthly DCF'!$4:$4,'Yearly DCF'!R$3,'Monthly DCF'!$3:$3,"&lt;=" &amp;Summary!$F$20)</f>
        <v>0</v>
      </c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491"/>
      <c r="AN97" s="198"/>
      <c r="AO97" s="198"/>
      <c r="AP97" s="198"/>
      <c r="AQ97" s="198"/>
      <c r="AR97" s="198"/>
      <c r="AS97" s="198"/>
      <c r="AT97" s="198"/>
      <c r="AU97" s="198"/>
      <c r="AV97" s="198"/>
      <c r="AW97" s="492"/>
      <c r="AX97" s="198"/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198"/>
      <c r="BP97" s="198"/>
      <c r="BQ97" s="198"/>
    </row>
    <row r="98" spans="2:69" ht="15.75" customHeight="1" x14ac:dyDescent="0.25">
      <c r="B98" s="393"/>
      <c r="C98" s="415"/>
      <c r="D98" s="405"/>
      <c r="E98" s="416"/>
      <c r="F98" s="358"/>
      <c r="G98" s="1070"/>
      <c r="H98" s="1115">
        <f>SUMIFS('Monthly DCF'!98:98,'Monthly DCF'!$4:$4,'Yearly DCF'!H$3,'Monthly DCF'!$3:$3,"&lt;=" &amp;Summary!$F$20)</f>
        <v>0</v>
      </c>
      <c r="I98" s="599">
        <f>SUMIFS('Monthly DCF'!98:98,'Monthly DCF'!$4:$4,'Yearly DCF'!I$3,'Monthly DCF'!$3:$3,"&lt;=" &amp;Summary!$F$20)</f>
        <v>0</v>
      </c>
      <c r="J98" s="599">
        <f>SUMIFS('Monthly DCF'!98:98,'Monthly DCF'!$4:$4,'Yearly DCF'!J$3,'Monthly DCF'!$3:$3,"&lt;=" &amp;Summary!$F$20)</f>
        <v>0</v>
      </c>
      <c r="K98" s="599">
        <f>SUMIFS('Monthly DCF'!98:98,'Monthly DCF'!$4:$4,'Yearly DCF'!K$3,'Monthly DCF'!$3:$3,"&lt;=" &amp;Summary!$F$20)</f>
        <v>0</v>
      </c>
      <c r="L98" s="599">
        <f>SUMIFS('Monthly DCF'!98:98,'Monthly DCF'!$4:$4,'Yearly DCF'!L$3,'Monthly DCF'!$3:$3,"&lt;=" &amp;Summary!$F$20)</f>
        <v>0</v>
      </c>
      <c r="M98" s="1117">
        <f>SUMIFS('Monthly DCF'!98:98,'Monthly DCF'!$4:$4,'Yearly DCF'!M$3,'Monthly DCF'!$3:$3,"&lt;=" &amp;Summary!$F$20)</f>
        <v>0</v>
      </c>
      <c r="N98" s="599">
        <f>SUMIFS('Monthly DCF'!98:98,'Monthly DCF'!$4:$4,'Yearly DCF'!N$3,'Monthly DCF'!$3:$3,"&lt;=" &amp;Summary!$F$20)</f>
        <v>0</v>
      </c>
      <c r="O98" s="599">
        <f>SUMIFS('Monthly DCF'!98:98,'Monthly DCF'!$4:$4,'Yearly DCF'!O$3,'Monthly DCF'!$3:$3,"&lt;=" &amp;Summary!$F$20)</f>
        <v>0</v>
      </c>
      <c r="P98" s="599">
        <f>SUMIFS('Monthly DCF'!98:98,'Monthly DCF'!$4:$4,'Yearly DCF'!P$3,'Monthly DCF'!$3:$3,"&lt;=" &amp;Summary!$F$20)</f>
        <v>0</v>
      </c>
      <c r="Q98" s="599">
        <f>SUMIFS('Monthly DCF'!98:98,'Monthly DCF'!$4:$4,'Yearly DCF'!Q$3,'Monthly DCF'!$3:$3,"&lt;=" &amp;Summary!$F$20)</f>
        <v>0</v>
      </c>
      <c r="R98" s="1117">
        <f>SUMIFS('Monthly DCF'!98:98,'Monthly DCF'!$4:$4,'Yearly DCF'!R$3,'Monthly DCF'!$3:$3,"&lt;=" &amp;Summary!$F$20)</f>
        <v>0</v>
      </c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491"/>
      <c r="AN98" s="198"/>
      <c r="AO98" s="198"/>
      <c r="AP98" s="198"/>
      <c r="AQ98" s="198"/>
      <c r="AR98" s="198"/>
      <c r="AS98" s="198"/>
      <c r="AT98" s="198"/>
      <c r="AU98" s="198"/>
      <c r="AV98" s="198"/>
      <c r="AW98" s="492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</row>
    <row r="99" spans="2:69" ht="15.75" customHeight="1" thickBot="1" x14ac:dyDescent="0.3">
      <c r="B99" s="417" t="str">
        <f>'Monthly DCF'!B99</f>
        <v>Total Development Costs</v>
      </c>
      <c r="C99" s="418"/>
      <c r="D99" s="418"/>
      <c r="E99" s="419"/>
      <c r="F99" s="418"/>
      <c r="G99" s="419"/>
      <c r="H99" s="1160">
        <f>SUMIFS('Monthly DCF'!99:99,'Monthly DCF'!$4:$4,'Yearly DCF'!H$3,'Monthly DCF'!$3:$3,"&lt;=" &amp;Summary!$F$20)</f>
        <v>3280000</v>
      </c>
      <c r="I99" s="1161">
        <f>SUMIFS('Monthly DCF'!99:99,'Monthly DCF'!$4:$4,'Yearly DCF'!I$3,'Monthly DCF'!$3:$3,"&lt;=" &amp;Summary!$F$20)</f>
        <v>11515104.776424913</v>
      </c>
      <c r="J99" s="1161">
        <f>SUMIFS('Monthly DCF'!99:99,'Monthly DCF'!$4:$4,'Yearly DCF'!J$3,'Monthly DCF'!$3:$3,"&lt;=" &amp;Summary!$F$20)</f>
        <v>9132296.0112500023</v>
      </c>
      <c r="K99" s="1161">
        <f>SUMIFS('Monthly DCF'!99:99,'Monthly DCF'!$4:$4,'Yearly DCF'!K$3,'Monthly DCF'!$3:$3,"&lt;=" &amp;Summary!$F$20)</f>
        <v>0</v>
      </c>
      <c r="L99" s="1161">
        <f>SUMIFS('Monthly DCF'!99:99,'Monthly DCF'!$4:$4,'Yearly DCF'!L$3,'Monthly DCF'!$3:$3,"&lt;=" &amp;Summary!$F$20)</f>
        <v>0</v>
      </c>
      <c r="M99" s="1162">
        <f>SUMIFS('Monthly DCF'!99:99,'Monthly DCF'!$4:$4,'Yearly DCF'!M$3,'Monthly DCF'!$3:$3,"&lt;=" &amp;Summary!$F$20)</f>
        <v>0</v>
      </c>
      <c r="N99" s="1161">
        <f>SUMIFS('Monthly DCF'!99:99,'Monthly DCF'!$4:$4,'Yearly DCF'!N$3,'Monthly DCF'!$3:$3,"&lt;=" &amp;Summary!$F$20)</f>
        <v>0</v>
      </c>
      <c r="O99" s="1161">
        <f>SUMIFS('Monthly DCF'!99:99,'Monthly DCF'!$4:$4,'Yearly DCF'!O$3,'Monthly DCF'!$3:$3,"&lt;=" &amp;Summary!$F$20)</f>
        <v>0</v>
      </c>
      <c r="P99" s="1161">
        <f>SUMIFS('Monthly DCF'!99:99,'Monthly DCF'!$4:$4,'Yearly DCF'!P$3,'Monthly DCF'!$3:$3,"&lt;=" &amp;Summary!$F$20)</f>
        <v>0</v>
      </c>
      <c r="Q99" s="1161">
        <f>SUMIFS('Monthly DCF'!99:99,'Monthly DCF'!$4:$4,'Yearly DCF'!Q$3,'Monthly DCF'!$3:$3,"&lt;=" &amp;Summary!$F$20)</f>
        <v>0</v>
      </c>
      <c r="R99" s="1162">
        <f>SUMIFS('Monthly DCF'!99:99,'Monthly DCF'!$4:$4,'Yearly DCF'!R$3,'Monthly DCF'!$3:$3,"&lt;=" &amp;Summary!$F$20)</f>
        <v>0</v>
      </c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491"/>
      <c r="AN99" s="198"/>
      <c r="AO99" s="198"/>
      <c r="AP99" s="198"/>
      <c r="AQ99" s="198"/>
      <c r="AR99" s="198"/>
      <c r="AS99" s="198"/>
      <c r="AT99" s="198"/>
      <c r="AU99" s="198"/>
      <c r="AV99" s="198"/>
      <c r="AW99" s="492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</row>
    <row r="100" spans="2:69" ht="15.75" customHeight="1" thickBot="1" x14ac:dyDescent="0.3">
      <c r="B100" s="391" t="str">
        <f>'Monthly DCF'!B100</f>
        <v>Unlevered Cash Flow</v>
      </c>
      <c r="C100" s="373"/>
      <c r="D100" s="1268"/>
      <c r="E100" s="1269"/>
      <c r="F100" s="1270" t="str">
        <f>'Monthly DCF'!F100</f>
        <v>IRR:</v>
      </c>
      <c r="G100" s="1276">
        <f>'Monthly DCF'!G100</f>
        <v>0.12832521796226495</v>
      </c>
      <c r="H100" s="1138">
        <f>SUMIFS('Monthly DCF'!100:100,'Monthly DCF'!$4:$4,'Yearly DCF'!H$3,'Monthly DCF'!$3:$3,"&lt;=" &amp;Summary!$F$20)</f>
        <v>-3280000</v>
      </c>
      <c r="I100" s="1139">
        <f>SUMIFS('Monthly DCF'!100:100,'Monthly DCF'!$4:$4,'Yearly DCF'!I$3,'Monthly DCF'!$3:$3,"&lt;=" &amp;Summary!$F$20)</f>
        <v>-11515104.776424913</v>
      </c>
      <c r="J100" s="1139">
        <f>SUMIFS('Monthly DCF'!100:100,'Monthly DCF'!$4:$4,'Yearly DCF'!J$3,'Monthly DCF'!$3:$3,"&lt;=" &amp;Summary!$F$20)</f>
        <v>-9132296.0112500023</v>
      </c>
      <c r="K100" s="1139">
        <f>SUMIFS('Monthly DCF'!100:100,'Monthly DCF'!$4:$4,'Yearly DCF'!K$3,'Monthly DCF'!$3:$3,"&lt;=" &amp;Summary!$F$20)</f>
        <v>1194419.2713785085</v>
      </c>
      <c r="L100" s="1139">
        <f>SUMIFS('Monthly DCF'!100:100,'Monthly DCF'!$4:$4,'Yearly DCF'!L$3,'Monthly DCF'!$3:$3,"&lt;=" &amp;Summary!$F$20)</f>
        <v>1814939.3079985536</v>
      </c>
      <c r="M100" s="1140">
        <f>SUMIFS('Monthly DCF'!100:100,'Monthly DCF'!$4:$4,'Yearly DCF'!M$3,'Monthly DCF'!$3:$3,"&lt;=" &amp;Summary!$F$20)</f>
        <v>35827660.914511144</v>
      </c>
      <c r="N100" s="1139">
        <f>SUMIFS('Monthly DCF'!100:100,'Monthly DCF'!$4:$4,'Yearly DCF'!N$3,'Monthly DCF'!$3:$3,"&lt;=" &amp;Summary!$F$20)</f>
        <v>0</v>
      </c>
      <c r="O100" s="1139">
        <f>SUMIFS('Monthly DCF'!100:100,'Monthly DCF'!$4:$4,'Yearly DCF'!O$3,'Monthly DCF'!$3:$3,"&lt;=" &amp;Summary!$F$20)</f>
        <v>0</v>
      </c>
      <c r="P100" s="1139">
        <f>SUMIFS('Monthly DCF'!100:100,'Monthly DCF'!$4:$4,'Yearly DCF'!P$3,'Monthly DCF'!$3:$3,"&lt;=" &amp;Summary!$F$20)</f>
        <v>0</v>
      </c>
      <c r="Q100" s="1139">
        <f>SUMIFS('Monthly DCF'!100:100,'Monthly DCF'!$4:$4,'Yearly DCF'!Q$3,'Monthly DCF'!$3:$3,"&lt;=" &amp;Summary!$F$20)</f>
        <v>0</v>
      </c>
      <c r="R100" s="1140">
        <f>SUMIFS('Monthly DCF'!100:100,'Monthly DCF'!$4:$4,'Yearly DCF'!R$3,'Monthly DCF'!$3:$3,"&lt;=" &amp;Summary!$F$20)</f>
        <v>0</v>
      </c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491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492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198"/>
      <c r="BP100" s="198"/>
      <c r="BQ100" s="198"/>
    </row>
    <row r="101" spans="2:69" ht="15.75" customHeight="1" x14ac:dyDescent="0.25">
      <c r="B101" s="423"/>
      <c r="C101" s="371"/>
      <c r="D101" s="371"/>
      <c r="E101" s="424"/>
      <c r="F101" s="425"/>
      <c r="G101" s="1092"/>
      <c r="H101" s="1163"/>
      <c r="I101" s="1164"/>
      <c r="J101" s="1164"/>
      <c r="K101" s="1164"/>
      <c r="L101" s="1164"/>
      <c r="M101" s="1165"/>
      <c r="N101" s="1164"/>
      <c r="O101" s="1164"/>
      <c r="P101" s="1164"/>
      <c r="Q101" s="1164"/>
      <c r="R101" s="1165"/>
      <c r="X101" s="515"/>
      <c r="Y101" s="515"/>
      <c r="Z101" s="515"/>
      <c r="AA101" s="515"/>
      <c r="AB101" s="515"/>
      <c r="AC101" s="515"/>
      <c r="AD101" s="515"/>
      <c r="AE101" s="515"/>
      <c r="AF101" s="515"/>
      <c r="AG101" s="515"/>
      <c r="AH101" s="515"/>
      <c r="AI101" s="515"/>
      <c r="AJ101" s="515"/>
      <c r="AK101" s="515"/>
      <c r="AL101" s="515"/>
      <c r="AM101" s="515"/>
      <c r="AN101" s="515"/>
      <c r="AO101" s="515"/>
      <c r="AP101" s="515"/>
      <c r="AQ101" s="515"/>
      <c r="AR101" s="515"/>
      <c r="AS101" s="515"/>
      <c r="AT101" s="515"/>
      <c r="AU101" s="515"/>
      <c r="AV101" s="515"/>
      <c r="AW101" s="515"/>
      <c r="AX101" s="515"/>
      <c r="AY101" s="515"/>
      <c r="AZ101" s="515"/>
      <c r="BA101" s="515"/>
      <c r="BB101" s="515"/>
      <c r="BC101" s="515"/>
      <c r="BD101" s="515"/>
      <c r="BE101" s="515"/>
      <c r="BF101" s="515"/>
      <c r="BG101" s="515"/>
      <c r="BH101" s="515"/>
      <c r="BI101" s="515"/>
      <c r="BJ101" s="515"/>
      <c r="BK101" s="515"/>
      <c r="BL101" s="515"/>
      <c r="BM101" s="515"/>
      <c r="BN101" s="515"/>
      <c r="BO101" s="515"/>
      <c r="BP101" s="515"/>
      <c r="BQ101" s="515"/>
    </row>
    <row r="102" spans="2:69" ht="15.75" customHeight="1" x14ac:dyDescent="0.25">
      <c r="B102" s="357" t="str">
        <f>'Monthly DCF'!B102</f>
        <v>Sources</v>
      </c>
      <c r="C102" s="371"/>
      <c r="D102" s="371"/>
      <c r="E102" s="371"/>
      <c r="F102" s="425"/>
      <c r="G102" s="1092"/>
      <c r="H102" s="1163"/>
      <c r="I102" s="1164"/>
      <c r="J102" s="1164"/>
      <c r="K102" s="1164"/>
      <c r="L102" s="1164"/>
      <c r="M102" s="1165"/>
      <c r="N102" s="1164"/>
      <c r="O102" s="1164"/>
      <c r="P102" s="1166"/>
      <c r="Q102" s="1164"/>
      <c r="R102" s="11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I102" s="365"/>
      <c r="AJ102" s="365"/>
      <c r="AK102" s="365"/>
      <c r="AL102" s="365"/>
      <c r="AM102" s="495"/>
      <c r="AN102" s="365"/>
      <c r="AO102" s="365"/>
      <c r="AP102" s="365"/>
      <c r="AQ102" s="365"/>
      <c r="AR102" s="365"/>
      <c r="AS102" s="365"/>
      <c r="AT102" s="365"/>
      <c r="AU102" s="365"/>
      <c r="AV102" s="365"/>
      <c r="AW102" s="496"/>
      <c r="AX102" s="365"/>
      <c r="AY102" s="365"/>
      <c r="AZ102" s="365"/>
      <c r="BA102" s="365"/>
      <c r="BB102" s="365"/>
      <c r="BC102" s="365"/>
      <c r="BD102" s="365"/>
      <c r="BE102" s="365"/>
      <c r="BF102" s="365"/>
      <c r="BG102" s="365"/>
      <c r="BH102" s="365"/>
      <c r="BI102" s="365"/>
      <c r="BJ102" s="365"/>
      <c r="BK102" s="365"/>
      <c r="BL102" s="365"/>
      <c r="BM102" s="365"/>
      <c r="BN102" s="365"/>
      <c r="BO102" s="365"/>
      <c r="BP102" s="365"/>
      <c r="BQ102" s="365"/>
    </row>
    <row r="103" spans="2:69" ht="15.75" customHeight="1" x14ac:dyDescent="0.25">
      <c r="B103" s="364"/>
      <c r="C103" s="426"/>
      <c r="D103" s="427"/>
      <c r="E103" s="358"/>
      <c r="F103" s="427"/>
      <c r="G103" s="1093"/>
      <c r="H103" s="1110"/>
      <c r="I103" s="579"/>
      <c r="J103" s="579"/>
      <c r="K103" s="579"/>
      <c r="L103" s="579"/>
      <c r="M103" s="1114"/>
      <c r="N103" s="579"/>
      <c r="O103" s="579"/>
      <c r="P103" s="579"/>
      <c r="Q103" s="579"/>
      <c r="R103" s="1114"/>
      <c r="X103" s="367"/>
      <c r="Y103" s="367"/>
      <c r="Z103" s="367"/>
      <c r="AA103" s="367"/>
      <c r="AB103" s="367"/>
      <c r="AC103" s="367"/>
      <c r="AD103" s="367"/>
      <c r="AE103" s="367"/>
      <c r="AF103" s="367"/>
      <c r="AG103" s="367"/>
      <c r="AH103" s="367"/>
      <c r="AI103" s="367"/>
      <c r="AJ103" s="367"/>
      <c r="AK103" s="367"/>
      <c r="AL103" s="367"/>
      <c r="AM103" s="513"/>
      <c r="AN103" s="367"/>
      <c r="AO103" s="367"/>
      <c r="AP103" s="367"/>
      <c r="AQ103" s="367"/>
      <c r="AR103" s="367"/>
      <c r="AS103" s="367"/>
      <c r="AT103" s="367"/>
      <c r="AU103" s="367"/>
      <c r="AV103" s="367"/>
      <c r="AW103" s="514"/>
      <c r="AX103" s="367"/>
      <c r="AY103" s="367"/>
      <c r="AZ103" s="367"/>
      <c r="BA103" s="367"/>
      <c r="BB103" s="367"/>
      <c r="BC103" s="367"/>
      <c r="BD103" s="367"/>
      <c r="BE103" s="367"/>
      <c r="BF103" s="367"/>
      <c r="BG103" s="367"/>
      <c r="BH103" s="367"/>
      <c r="BI103" s="367"/>
      <c r="BJ103" s="367"/>
      <c r="BK103" s="367"/>
      <c r="BL103" s="367"/>
      <c r="BM103" s="367"/>
      <c r="BN103" s="367"/>
      <c r="BO103" s="367"/>
      <c r="BP103" s="367"/>
      <c r="BQ103" s="367"/>
    </row>
    <row r="104" spans="2:69" ht="15.75" customHeight="1" x14ac:dyDescent="0.25">
      <c r="B104" s="428" t="str">
        <f>'Monthly DCF'!B104</f>
        <v>Equity</v>
      </c>
      <c r="C104" s="358"/>
      <c r="D104" s="427"/>
      <c r="E104" s="211" t="str">
        <f>'Monthly DCF'!E104</f>
        <v>Total Equity</v>
      </c>
      <c r="F104" s="211" t="str">
        <f>'Monthly DCF'!F104</f>
        <v>LTC</v>
      </c>
      <c r="G104" s="1082"/>
      <c r="H104" s="1110"/>
      <c r="I104" s="579"/>
      <c r="J104" s="579"/>
      <c r="K104" s="579"/>
      <c r="L104" s="579"/>
      <c r="M104" s="1114"/>
      <c r="N104" s="579"/>
      <c r="O104" s="579"/>
      <c r="P104" s="579"/>
      <c r="Q104" s="579"/>
      <c r="R104" s="1114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I104" s="365"/>
      <c r="AJ104" s="365"/>
      <c r="AK104" s="365"/>
      <c r="AL104" s="365"/>
      <c r="AM104" s="495"/>
      <c r="AN104" s="365"/>
      <c r="AO104" s="365"/>
      <c r="AP104" s="365"/>
      <c r="AQ104" s="365"/>
      <c r="AR104" s="365"/>
      <c r="AS104" s="365"/>
      <c r="AT104" s="365"/>
      <c r="AU104" s="365"/>
      <c r="AV104" s="365"/>
      <c r="AW104" s="496"/>
      <c r="AX104" s="365"/>
      <c r="AY104" s="365"/>
      <c r="AZ104" s="365"/>
      <c r="BA104" s="365"/>
      <c r="BB104" s="365"/>
      <c r="BC104" s="365"/>
      <c r="BD104" s="365"/>
      <c r="BE104" s="365"/>
      <c r="BF104" s="365"/>
      <c r="BG104" s="365"/>
      <c r="BH104" s="365"/>
      <c r="BI104" s="365"/>
      <c r="BJ104" s="365"/>
      <c r="BK104" s="365"/>
      <c r="BL104" s="365"/>
      <c r="BM104" s="365"/>
      <c r="BN104" s="365"/>
      <c r="BO104" s="365"/>
      <c r="BP104" s="365"/>
      <c r="BQ104" s="365"/>
    </row>
    <row r="105" spans="2:69" ht="15.75" customHeight="1" x14ac:dyDescent="0.25">
      <c r="B105" s="364" t="str">
        <f>'Monthly DCF'!B105</f>
        <v>Balance BOM</v>
      </c>
      <c r="C105" s="358"/>
      <c r="D105" s="427"/>
      <c r="E105" s="429">
        <f>'Monthly DCF'!E105</f>
        <v>10092371.326885089</v>
      </c>
      <c r="F105" s="430">
        <f>'Monthly DCF'!F105</f>
        <v>0.42179137702594516</v>
      </c>
      <c r="G105" s="1082"/>
      <c r="H105" s="1115">
        <f>_xlfn.XLOOKUP(H$4,'Monthly DCF'!$H$3:$EJ$3,'Monthly DCF'!$H105:$EJ105)</f>
        <v>10092371.326885089</v>
      </c>
      <c r="I105" s="599">
        <f>H107</f>
        <v>6338815.1166453157</v>
      </c>
      <c r="J105" s="599">
        <f t="shared" ref="J105:M105" si="5">I107</f>
        <v>0</v>
      </c>
      <c r="K105" s="599">
        <f t="shared" si="5"/>
        <v>0</v>
      </c>
      <c r="L105" s="599">
        <f t="shared" si="5"/>
        <v>0</v>
      </c>
      <c r="M105" s="1117">
        <f t="shared" si="5"/>
        <v>0</v>
      </c>
      <c r="N105" s="599">
        <f t="shared" ref="N105:R105" si="6">M107</f>
        <v>0</v>
      </c>
      <c r="O105" s="599">
        <f t="shared" si="6"/>
        <v>0</v>
      </c>
      <c r="P105" s="599">
        <f t="shared" si="6"/>
        <v>0</v>
      </c>
      <c r="Q105" s="599">
        <f t="shared" si="6"/>
        <v>0</v>
      </c>
      <c r="R105" s="1117">
        <f t="shared" si="6"/>
        <v>0</v>
      </c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I105" s="365"/>
      <c r="AJ105" s="365"/>
      <c r="AK105" s="365"/>
      <c r="AL105" s="365"/>
      <c r="AM105" s="495"/>
      <c r="AN105" s="365"/>
      <c r="AO105" s="365"/>
      <c r="AP105" s="365"/>
      <c r="AQ105" s="365"/>
      <c r="AR105" s="365"/>
      <c r="AS105" s="365"/>
      <c r="AT105" s="365"/>
      <c r="AU105" s="365"/>
      <c r="AV105" s="365"/>
      <c r="AW105" s="496"/>
      <c r="AX105" s="365"/>
      <c r="AY105" s="365"/>
      <c r="AZ105" s="365"/>
      <c r="BA105" s="365"/>
      <c r="BB105" s="365"/>
      <c r="BC105" s="365"/>
      <c r="BD105" s="365"/>
      <c r="BE105" s="365"/>
      <c r="BF105" s="365"/>
      <c r="BG105" s="365"/>
      <c r="BH105" s="365"/>
      <c r="BI105" s="365"/>
      <c r="BJ105" s="365"/>
      <c r="BK105" s="365"/>
      <c r="BL105" s="365"/>
      <c r="BM105" s="365"/>
      <c r="BN105" s="365"/>
      <c r="BO105" s="365"/>
      <c r="BP105" s="365"/>
      <c r="BQ105" s="365"/>
    </row>
    <row r="106" spans="2:69" ht="15.75" customHeight="1" thickBot="1" x14ac:dyDescent="0.3">
      <c r="B106" s="364" t="str">
        <f>'Monthly DCF'!B106</f>
        <v>Draw</v>
      </c>
      <c r="C106" s="358"/>
      <c r="D106" s="427"/>
      <c r="E106" s="358"/>
      <c r="F106" s="427"/>
      <c r="G106" s="1082"/>
      <c r="H106" s="1115">
        <f>SUMIFS('Monthly DCF'!106:106,'Monthly DCF'!$4:$4,'Yearly DCF'!H$3,'Monthly DCF'!$3:$3,"&lt;=" &amp;Summary!$F$20)</f>
        <v>-3753556.2102397741</v>
      </c>
      <c r="I106" s="599">
        <f>SUMIFS('Monthly DCF'!106:106,'Monthly DCF'!$4:$4,'Yearly DCF'!I$3,'Monthly DCF'!$3:$3,"&lt;=" &amp;Summary!$F$20)</f>
        <v>-6338815.1166453138</v>
      </c>
      <c r="J106" s="599">
        <f>SUMIFS('Monthly DCF'!106:106,'Monthly DCF'!$4:$4,'Yearly DCF'!J$3,'Monthly DCF'!$3:$3,"&lt;=" &amp;Summary!$F$20)</f>
        <v>0</v>
      </c>
      <c r="K106" s="599">
        <f>SUMIFS('Monthly DCF'!106:106,'Monthly DCF'!$4:$4,'Yearly DCF'!K$3,'Monthly DCF'!$3:$3,"&lt;=" &amp;Summary!$F$20)</f>
        <v>0</v>
      </c>
      <c r="L106" s="599">
        <f>SUMIFS('Monthly DCF'!106:106,'Monthly DCF'!$4:$4,'Yearly DCF'!L$3,'Monthly DCF'!$3:$3,"&lt;=" &amp;Summary!$F$20)</f>
        <v>0</v>
      </c>
      <c r="M106" s="1117">
        <f>SUMIFS('Monthly DCF'!106:106,'Monthly DCF'!$4:$4,'Yearly DCF'!M$3,'Monthly DCF'!$3:$3,"&lt;=" &amp;Summary!$F$20)</f>
        <v>0</v>
      </c>
      <c r="N106" s="599">
        <f>SUMIFS('Monthly DCF'!106:106,'Monthly DCF'!$4:$4,'Yearly DCF'!N$3,'Monthly DCF'!$3:$3,"&lt;=" &amp;Summary!$F$20)</f>
        <v>0</v>
      </c>
      <c r="O106" s="599">
        <f>SUMIFS('Monthly DCF'!106:106,'Monthly DCF'!$4:$4,'Yearly DCF'!O$3,'Monthly DCF'!$3:$3,"&lt;=" &amp;Summary!$F$20)</f>
        <v>0</v>
      </c>
      <c r="P106" s="599">
        <f>SUMIFS('Monthly DCF'!106:106,'Monthly DCF'!$4:$4,'Yearly DCF'!P$3,'Monthly DCF'!$3:$3,"&lt;=" &amp;Summary!$F$20)</f>
        <v>0</v>
      </c>
      <c r="Q106" s="599">
        <f>SUMIFS('Monthly DCF'!106:106,'Monthly DCF'!$4:$4,'Yearly DCF'!Q$3,'Monthly DCF'!$3:$3,"&lt;=" &amp;Summary!$F$20)</f>
        <v>0</v>
      </c>
      <c r="R106" s="1117">
        <f>SUMIFS('Monthly DCF'!106:106,'Monthly DCF'!$4:$4,'Yearly DCF'!R$3,'Monthly DCF'!$3:$3,"&lt;=" &amp;Summary!$F$20)</f>
        <v>0</v>
      </c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I106" s="365"/>
      <c r="AJ106" s="365"/>
      <c r="AK106" s="365"/>
      <c r="AL106" s="365"/>
      <c r="AM106" s="495"/>
      <c r="AN106" s="365"/>
      <c r="AO106" s="365"/>
      <c r="AP106" s="365"/>
      <c r="AQ106" s="365"/>
      <c r="AR106" s="365"/>
      <c r="AS106" s="365"/>
      <c r="AT106" s="365"/>
      <c r="AU106" s="365"/>
      <c r="AV106" s="365"/>
      <c r="AW106" s="496"/>
      <c r="AX106" s="365"/>
      <c r="AY106" s="365"/>
      <c r="AZ106" s="365"/>
      <c r="BA106" s="365"/>
      <c r="BB106" s="365"/>
      <c r="BC106" s="365"/>
      <c r="BD106" s="365"/>
      <c r="BE106" s="365"/>
      <c r="BF106" s="365"/>
      <c r="BG106" s="365"/>
      <c r="BH106" s="365"/>
      <c r="BI106" s="365"/>
      <c r="BJ106" s="365"/>
      <c r="BK106" s="365"/>
      <c r="BL106" s="365"/>
      <c r="BM106" s="365"/>
      <c r="BN106" s="365"/>
      <c r="BO106" s="365"/>
      <c r="BP106" s="365"/>
      <c r="BQ106" s="365"/>
    </row>
    <row r="107" spans="2:69" ht="20.25" customHeight="1" thickBot="1" x14ac:dyDescent="0.3">
      <c r="B107" s="364" t="str">
        <f>'Monthly DCF'!B107</f>
        <v>Balance EOM</v>
      </c>
      <c r="C107" s="358"/>
      <c r="D107" s="427"/>
      <c r="E107" s="358"/>
      <c r="F107" s="358"/>
      <c r="G107" s="1082"/>
      <c r="H107" s="1118">
        <f>H105+H106</f>
        <v>6338815.1166453157</v>
      </c>
      <c r="I107" s="1119">
        <f t="shared" ref="I107:M107" si="7">I105+I106</f>
        <v>0</v>
      </c>
      <c r="J107" s="1119">
        <f t="shared" si="7"/>
        <v>0</v>
      </c>
      <c r="K107" s="1119">
        <f t="shared" si="7"/>
        <v>0</v>
      </c>
      <c r="L107" s="1119">
        <f t="shared" si="7"/>
        <v>0</v>
      </c>
      <c r="M107" s="1120">
        <f t="shared" si="7"/>
        <v>0</v>
      </c>
      <c r="N107" s="1119">
        <f t="shared" ref="N107" si="8">N105+N106</f>
        <v>0</v>
      </c>
      <c r="O107" s="1119">
        <f t="shared" ref="O107" si="9">O105+O106</f>
        <v>0</v>
      </c>
      <c r="P107" s="1119">
        <f t="shared" ref="P107" si="10">P105+P106</f>
        <v>0</v>
      </c>
      <c r="Q107" s="1119">
        <f t="shared" ref="Q107" si="11">Q105+Q106</f>
        <v>0</v>
      </c>
      <c r="R107" s="1120">
        <f t="shared" ref="R107" si="12">R105+R106</f>
        <v>0</v>
      </c>
      <c r="X107" s="516"/>
      <c r="Y107" s="516"/>
      <c r="Z107" s="516"/>
      <c r="AA107" s="516"/>
      <c r="AB107" s="516"/>
      <c r="AC107" s="516"/>
      <c r="AD107" s="516"/>
      <c r="AE107" s="516"/>
      <c r="AF107" s="516"/>
      <c r="AG107" s="516"/>
      <c r="AH107" s="516"/>
      <c r="AI107" s="516"/>
      <c r="AJ107" s="516"/>
      <c r="AK107" s="516"/>
      <c r="AL107" s="516"/>
      <c r="AM107" s="517"/>
      <c r="AN107" s="516"/>
      <c r="AO107" s="516"/>
      <c r="AP107" s="516"/>
      <c r="AQ107" s="516"/>
      <c r="AR107" s="516"/>
      <c r="AS107" s="516"/>
      <c r="AT107" s="516"/>
      <c r="AU107" s="516"/>
      <c r="AV107" s="516"/>
      <c r="AW107" s="518"/>
      <c r="AX107" s="516"/>
      <c r="AY107" s="516"/>
      <c r="AZ107" s="516"/>
      <c r="BA107" s="516"/>
      <c r="BB107" s="516"/>
      <c r="BC107" s="516"/>
      <c r="BD107" s="516"/>
      <c r="BE107" s="516"/>
      <c r="BF107" s="516"/>
      <c r="BG107" s="516"/>
      <c r="BH107" s="516"/>
      <c r="BI107" s="516"/>
      <c r="BJ107" s="516"/>
      <c r="BK107" s="516"/>
      <c r="BL107" s="516"/>
      <c r="BM107" s="516"/>
      <c r="BN107" s="516"/>
      <c r="BO107" s="516"/>
      <c r="BP107" s="516"/>
      <c r="BQ107" s="516"/>
    </row>
    <row r="108" spans="2:69" ht="15.75" customHeight="1" x14ac:dyDescent="0.25">
      <c r="B108" s="364" t="str">
        <f>'Monthly DCF'!B108</f>
        <v>Cumulative Drawn</v>
      </c>
      <c r="C108" s="358"/>
      <c r="D108" s="427"/>
      <c r="E108" s="358"/>
      <c r="F108" s="358"/>
      <c r="G108" s="1082"/>
      <c r="H108" s="1115">
        <f>_xlfn.XLOOKUP(H$4,'Monthly DCF'!$H$3:$EJ$3,'Monthly DCF'!$H$108:$EJ$108)</f>
        <v>3753556.2102397741</v>
      </c>
      <c r="I108" s="599">
        <f>_xlfn.XLOOKUP(I$4,'Monthly DCF'!$H$3:$EJ$3,'Monthly DCF'!$H$108:$EJ$108)</f>
        <v>10092371.326885089</v>
      </c>
      <c r="J108" s="599">
        <f>_xlfn.XLOOKUP(J$4,'Monthly DCF'!$H$3:$EJ$3,'Monthly DCF'!$H$108:$EJ$108)</f>
        <v>10092371.326885089</v>
      </c>
      <c r="K108" s="599">
        <f>_xlfn.XLOOKUP(K$4,'Monthly DCF'!$H$3:$EJ$3,'Monthly DCF'!$H$108:$EJ$108)</f>
        <v>10092371.326885089</v>
      </c>
      <c r="L108" s="599">
        <f>_xlfn.XLOOKUP(L$4,'Monthly DCF'!$H$3:$EJ$3,'Monthly DCF'!$H$108:$EJ$108)</f>
        <v>10092371.326885089</v>
      </c>
      <c r="M108" s="1117">
        <f>_xlfn.XLOOKUP(M$4,'Monthly DCF'!$H$3:$EJ$3,'Monthly DCF'!$H$108:$EJ$108)</f>
        <v>10092371.326885089</v>
      </c>
      <c r="N108" s="599">
        <f>_xlfn.XLOOKUP(N$4,'Monthly DCF'!$H$3:$EJ$3,'Monthly DCF'!$H$108:$EJ$108)</f>
        <v>0</v>
      </c>
      <c r="O108" s="599">
        <f>_xlfn.XLOOKUP(O$4,'Monthly DCF'!$H$3:$EJ$3,'Monthly DCF'!$H$108:$EJ$108)</f>
        <v>0</v>
      </c>
      <c r="P108" s="599">
        <f>_xlfn.XLOOKUP(P$4,'Monthly DCF'!$H$3:$EJ$3,'Monthly DCF'!$H$108:$EJ$108)</f>
        <v>0</v>
      </c>
      <c r="Q108" s="599">
        <f>_xlfn.XLOOKUP(Q$4,'Monthly DCF'!$H$3:$EJ$3,'Monthly DCF'!$H$108:$EJ$108)</f>
        <v>0</v>
      </c>
      <c r="R108" s="1117">
        <f>_xlfn.XLOOKUP(R$4,'Monthly DCF'!$H$3:$EJ$3,'Monthly DCF'!$H$108:$EJ$108)</f>
        <v>0</v>
      </c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476"/>
      <c r="AN108" s="6"/>
      <c r="AO108" s="6"/>
      <c r="AP108" s="6"/>
      <c r="AQ108" s="6"/>
      <c r="AR108" s="6"/>
      <c r="AS108" s="6"/>
      <c r="AT108" s="6"/>
      <c r="AU108" s="6"/>
      <c r="AV108" s="6"/>
      <c r="AW108" s="477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</row>
    <row r="109" spans="2:69" ht="15.75" customHeight="1" x14ac:dyDescent="0.25">
      <c r="B109" s="376"/>
      <c r="C109" s="377"/>
      <c r="D109" s="427"/>
      <c r="E109" s="358"/>
      <c r="F109" s="358"/>
      <c r="G109" s="1082"/>
      <c r="H109" s="1115">
        <f>_xlfn.XLOOKUP(H$4,'Monthly DCF'!$H$3:$EJ$3,'Monthly DCF'!$H$105:$EJ$105)</f>
        <v>10092371.326885089</v>
      </c>
      <c r="I109" s="599"/>
      <c r="J109" s="599"/>
      <c r="K109" s="599"/>
      <c r="L109" s="599"/>
      <c r="M109" s="1117"/>
      <c r="N109" s="599"/>
      <c r="O109" s="599"/>
      <c r="P109" s="599"/>
      <c r="Q109" s="599"/>
      <c r="R109" s="1117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476"/>
      <c r="AN109" s="6"/>
      <c r="AO109" s="6"/>
      <c r="AP109" s="6"/>
      <c r="AQ109" s="6"/>
      <c r="AR109" s="6"/>
      <c r="AS109" s="6"/>
      <c r="AT109" s="6"/>
      <c r="AU109" s="6"/>
      <c r="AV109" s="6"/>
      <c r="AW109" s="477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</row>
    <row r="110" spans="2:69" ht="15.75" hidden="1" customHeight="1" x14ac:dyDescent="0.25">
      <c r="B110" s="560" t="str">
        <f>'Monthly DCF'!B110</f>
        <v>LP Equity</v>
      </c>
      <c r="C110" s="358"/>
      <c r="D110" s="358"/>
      <c r="E110" s="211" t="str">
        <f>'Monthly DCF'!E110</f>
        <v>JV Equity</v>
      </c>
      <c r="F110" s="211" t="str">
        <f>'Monthly DCF'!F110</f>
        <v>LTC</v>
      </c>
      <c r="G110" s="1082"/>
      <c r="H110" s="1115"/>
      <c r="I110" s="599"/>
      <c r="J110" s="599"/>
      <c r="K110" s="599"/>
      <c r="L110" s="599"/>
      <c r="M110" s="1117"/>
      <c r="N110" s="599"/>
      <c r="O110" s="599"/>
      <c r="P110" s="599"/>
      <c r="Q110" s="599"/>
      <c r="R110" s="1117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476"/>
      <c r="AN110" s="6"/>
      <c r="AO110" s="6"/>
      <c r="AP110" s="6"/>
      <c r="AQ110" s="6"/>
      <c r="AR110" s="6"/>
      <c r="AS110" s="6"/>
      <c r="AT110" s="6"/>
      <c r="AU110" s="6"/>
      <c r="AV110" s="6"/>
      <c r="AW110" s="477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</row>
    <row r="111" spans="2:69" ht="15.75" hidden="1" customHeight="1" x14ac:dyDescent="0.25">
      <c r="B111" s="364" t="str">
        <f>'Monthly DCF'!B111</f>
        <v>Balance BOM</v>
      </c>
      <c r="C111" s="358"/>
      <c r="D111" s="358"/>
      <c r="E111" s="431">
        <f>'Monthly DCF'!E111</f>
        <v>0</v>
      </c>
      <c r="F111" s="430">
        <f>'Monthly DCF'!F111</f>
        <v>0</v>
      </c>
      <c r="G111" s="1082"/>
      <c r="H111" s="1115">
        <f>_xlfn.XLOOKUP(H$4,'Monthly DCF'!$H$3:$EJ$3,'Monthly DCF'!$H111:$EJ111)</f>
        <v>0</v>
      </c>
      <c r="I111" s="599"/>
      <c r="J111" s="599"/>
      <c r="K111" s="599"/>
      <c r="L111" s="599"/>
      <c r="M111" s="1117"/>
      <c r="N111" s="599"/>
      <c r="O111" s="599"/>
      <c r="P111" s="599"/>
      <c r="Q111" s="599"/>
      <c r="R111" s="1117"/>
      <c r="X111" s="6"/>
      <c r="Y111" s="6"/>
      <c r="Z111" s="6"/>
      <c r="AA111" s="6"/>
      <c r="AB111" s="6"/>
      <c r="AC111" s="6"/>
      <c r="AD111" s="6"/>
      <c r="AE111" s="6"/>
      <c r="AF111" s="198"/>
      <c r="AG111" s="6"/>
      <c r="AH111" s="6"/>
      <c r="AI111" s="6"/>
      <c r="AJ111" s="6"/>
      <c r="AK111" s="6"/>
      <c r="AL111" s="6"/>
      <c r="AM111" s="476"/>
      <c r="AN111" s="198"/>
      <c r="AO111" s="6"/>
      <c r="AP111" s="6"/>
      <c r="AQ111" s="6"/>
      <c r="AR111" s="6"/>
      <c r="AS111" s="6"/>
      <c r="AT111" s="6"/>
      <c r="AU111" s="6"/>
      <c r="AV111" s="6"/>
      <c r="AW111" s="477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spans="2:69" ht="15.75" hidden="1" customHeight="1" x14ac:dyDescent="0.25">
      <c r="B112" s="364" t="str">
        <f>'Monthly DCF'!B112</f>
        <v>Draw</v>
      </c>
      <c r="C112" s="358"/>
      <c r="D112" s="424" t="str">
        <f>'Monthly DCF'!D112</f>
        <v>Available for Construction</v>
      </c>
      <c r="E112" s="211" t="str">
        <f>'Monthly DCF'!E112</f>
        <v>Accrued Return</v>
      </c>
      <c r="F112" s="211" t="str">
        <f>'Monthly DCF'!F112</f>
        <v>Rate</v>
      </c>
      <c r="G112" s="1082"/>
      <c r="H112" s="1115">
        <f>_xlfn.XLOOKUP(H$4,'Monthly DCF'!$H$3:$EJ$3,'Monthly DCF'!$H112:$EJ112)</f>
        <v>0</v>
      </c>
      <c r="I112" s="599"/>
      <c r="J112" s="599"/>
      <c r="K112" s="599"/>
      <c r="L112" s="599"/>
      <c r="M112" s="1117"/>
      <c r="N112" s="599"/>
      <c r="O112" s="599"/>
      <c r="P112" s="599"/>
      <c r="Q112" s="599"/>
      <c r="R112" s="1117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491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492"/>
      <c r="AX112" s="198"/>
      <c r="AY112" s="198"/>
      <c r="AZ112" s="198"/>
      <c r="BA112" s="198"/>
      <c r="BB112" s="198"/>
      <c r="BC112" s="198"/>
      <c r="BD112" s="198"/>
      <c r="BE112" s="198"/>
      <c r="BF112" s="198"/>
      <c r="BG112" s="198"/>
      <c r="BH112" s="198"/>
      <c r="BI112" s="198"/>
      <c r="BJ112" s="198"/>
      <c r="BK112" s="198"/>
      <c r="BL112" s="198"/>
      <c r="BM112" s="198"/>
      <c r="BN112" s="198"/>
      <c r="BO112" s="198"/>
      <c r="BP112" s="198"/>
      <c r="BQ112" s="198"/>
    </row>
    <row r="113" spans="2:69" ht="15.75" hidden="1" customHeight="1" x14ac:dyDescent="0.25">
      <c r="B113" s="364" t="str">
        <f>'Monthly DCF'!B113</f>
        <v>Balance EOM</v>
      </c>
      <c r="C113" s="358"/>
      <c r="D113" s="432">
        <f>'Monthly DCF'!D113</f>
        <v>0</v>
      </c>
      <c r="E113" s="433">
        <f>'Monthly DCF'!E113</f>
        <v>0</v>
      </c>
      <c r="F113" s="434">
        <f>'Monthly DCF'!F113</f>
        <v>0</v>
      </c>
      <c r="G113" s="1082"/>
      <c r="H113" s="1115">
        <f>H111+H112</f>
        <v>0</v>
      </c>
      <c r="I113" s="599"/>
      <c r="J113" s="599"/>
      <c r="K113" s="599"/>
      <c r="L113" s="599"/>
      <c r="M113" s="1117"/>
      <c r="N113" s="599"/>
      <c r="O113" s="599"/>
      <c r="P113" s="599"/>
      <c r="Q113" s="599"/>
      <c r="R113" s="1117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  <c r="AM113" s="497"/>
      <c r="AN113" s="370"/>
      <c r="AO113" s="370"/>
      <c r="AP113" s="370"/>
      <c r="AQ113" s="370"/>
      <c r="AR113" s="370"/>
      <c r="AS113" s="370"/>
      <c r="AT113" s="370"/>
      <c r="AU113" s="370"/>
      <c r="AV113" s="370"/>
      <c r="AW113" s="498"/>
      <c r="AX113" s="370"/>
      <c r="AY113" s="370"/>
      <c r="AZ113" s="370"/>
      <c r="BA113" s="370"/>
      <c r="BB113" s="370"/>
      <c r="BC113" s="370"/>
      <c r="BD113" s="370"/>
      <c r="BE113" s="370"/>
      <c r="BF113" s="370"/>
      <c r="BG113" s="370"/>
      <c r="BH113" s="370"/>
      <c r="BI113" s="370"/>
      <c r="BJ113" s="370"/>
      <c r="BK113" s="370"/>
      <c r="BL113" s="370"/>
      <c r="BM113" s="370"/>
      <c r="BN113" s="370"/>
      <c r="BO113" s="370"/>
      <c r="BP113" s="370"/>
      <c r="BQ113" s="370"/>
    </row>
    <row r="114" spans="2:69" ht="15.75" hidden="1" customHeight="1" x14ac:dyDescent="0.25">
      <c r="B114" s="364" t="str">
        <f>'Monthly DCF'!B114</f>
        <v>Debt Service</v>
      </c>
      <c r="C114" s="435"/>
      <c r="D114" s="358"/>
      <c r="E114" s="358"/>
      <c r="F114" s="436"/>
      <c r="G114" s="1082"/>
      <c r="H114" s="1115"/>
      <c r="I114" s="599"/>
      <c r="J114" s="599"/>
      <c r="K114" s="599"/>
      <c r="L114" s="599"/>
      <c r="M114" s="1117"/>
      <c r="N114" s="599"/>
      <c r="O114" s="599"/>
      <c r="P114" s="599"/>
      <c r="Q114" s="599"/>
      <c r="R114" s="1117"/>
      <c r="X114" s="362"/>
      <c r="Y114" s="362"/>
      <c r="Z114" s="362"/>
      <c r="AA114" s="362"/>
      <c r="AB114" s="362"/>
      <c r="AC114" s="362"/>
      <c r="AD114" s="362"/>
      <c r="AE114" s="362"/>
      <c r="AF114" s="362"/>
      <c r="AG114" s="362"/>
      <c r="AH114" s="362"/>
      <c r="AI114" s="362"/>
      <c r="AJ114" s="362"/>
      <c r="AK114" s="362"/>
      <c r="AL114" s="362"/>
      <c r="AM114" s="493"/>
      <c r="AN114" s="362"/>
      <c r="AO114" s="362"/>
      <c r="AP114" s="362"/>
      <c r="AQ114" s="362"/>
      <c r="AR114" s="362"/>
      <c r="AS114" s="362"/>
      <c r="AT114" s="362"/>
      <c r="AU114" s="362"/>
      <c r="AV114" s="362"/>
      <c r="AW114" s="494"/>
      <c r="AX114" s="362"/>
      <c r="AY114" s="362"/>
      <c r="AZ114" s="362"/>
      <c r="BA114" s="362"/>
      <c r="BB114" s="362"/>
      <c r="BC114" s="362"/>
      <c r="BD114" s="362"/>
      <c r="BE114" s="362"/>
      <c r="BF114" s="362"/>
      <c r="BG114" s="362"/>
      <c r="BH114" s="362"/>
      <c r="BI114" s="362"/>
      <c r="BJ114" s="362"/>
      <c r="BK114" s="362"/>
      <c r="BL114" s="362"/>
      <c r="BM114" s="362"/>
      <c r="BN114" s="362"/>
      <c r="BO114" s="362"/>
      <c r="BP114" s="362"/>
      <c r="BQ114" s="362"/>
    </row>
    <row r="115" spans="2:69" ht="15.75" hidden="1" customHeight="1" x14ac:dyDescent="0.25">
      <c r="B115" s="364" t="str">
        <f>'Monthly DCF'!B115</f>
        <v>Accrued Return</v>
      </c>
      <c r="C115" s="358"/>
      <c r="D115" s="358"/>
      <c r="E115" s="358"/>
      <c r="F115" s="437"/>
      <c r="G115" s="1082"/>
      <c r="H115" s="1118"/>
      <c r="I115" s="1119"/>
      <c r="J115" s="1119"/>
      <c r="K115" s="1119"/>
      <c r="L115" s="1119"/>
      <c r="M115" s="1120"/>
      <c r="N115" s="1119"/>
      <c r="O115" s="1119"/>
      <c r="P115" s="1119"/>
      <c r="Q115" s="1119"/>
      <c r="R115" s="1120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491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492"/>
      <c r="AX115" s="198"/>
      <c r="AY115" s="198"/>
      <c r="AZ115" s="198"/>
      <c r="BA115" s="198"/>
      <c r="BB115" s="198"/>
      <c r="BC115" s="198"/>
      <c r="BD115" s="198"/>
      <c r="BE115" s="198"/>
      <c r="BF115" s="198"/>
      <c r="BG115" s="198"/>
      <c r="BH115" s="198"/>
      <c r="BI115" s="198"/>
      <c r="BJ115" s="198"/>
      <c r="BK115" s="198"/>
      <c r="BL115" s="198"/>
      <c r="BM115" s="198"/>
      <c r="BN115" s="198"/>
      <c r="BO115" s="198"/>
      <c r="BP115" s="198"/>
      <c r="BQ115" s="198"/>
    </row>
    <row r="116" spans="2:69" ht="15.75" hidden="1" customHeight="1" x14ac:dyDescent="0.25">
      <c r="B116" s="650" t="str">
        <f>'Monthly DCF'!B116</f>
        <v>Cumulative Return</v>
      </c>
      <c r="C116" s="358"/>
      <c r="D116" s="358"/>
      <c r="E116" s="358"/>
      <c r="F116" s="358"/>
      <c r="G116" s="1082"/>
      <c r="H116" s="1115"/>
      <c r="I116" s="599"/>
      <c r="J116" s="599"/>
      <c r="K116" s="599"/>
      <c r="L116" s="599"/>
      <c r="M116" s="1117"/>
      <c r="N116" s="599"/>
      <c r="O116" s="599"/>
      <c r="P116" s="599"/>
      <c r="Q116" s="599"/>
      <c r="R116" s="1117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491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492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198"/>
      <c r="BN116" s="198"/>
      <c r="BO116" s="198"/>
      <c r="BP116" s="198"/>
      <c r="BQ116" s="198"/>
    </row>
    <row r="117" spans="2:69" ht="15.75" customHeight="1" x14ac:dyDescent="0.25">
      <c r="B117" s="364"/>
      <c r="C117" s="358"/>
      <c r="D117" s="358"/>
      <c r="E117" s="358"/>
      <c r="F117" s="358"/>
      <c r="G117" s="1082"/>
      <c r="H117" s="1115"/>
      <c r="I117" s="599"/>
      <c r="J117" s="599"/>
      <c r="K117" s="599"/>
      <c r="L117" s="599"/>
      <c r="M117" s="1117"/>
      <c r="N117" s="599"/>
      <c r="O117" s="599"/>
      <c r="P117" s="599"/>
      <c r="Q117" s="599"/>
      <c r="R117" s="1117"/>
      <c r="X117" s="198"/>
      <c r="Y117" s="198"/>
      <c r="Z117" s="198"/>
      <c r="AA117" s="6"/>
      <c r="AB117" s="6"/>
      <c r="AC117" s="6"/>
      <c r="AD117" s="6"/>
      <c r="AE117" s="6"/>
      <c r="AF117" s="198"/>
      <c r="AG117" s="198"/>
      <c r="AH117" s="198"/>
      <c r="AI117" s="198"/>
      <c r="AJ117" s="198"/>
      <c r="AK117" s="198"/>
      <c r="AL117" s="198"/>
      <c r="AM117" s="491"/>
      <c r="AN117" s="198"/>
      <c r="AO117" s="198"/>
      <c r="AP117" s="198"/>
      <c r="AQ117" s="198"/>
      <c r="AR117" s="198"/>
      <c r="AS117" s="198"/>
      <c r="AT117" s="198"/>
      <c r="AU117" s="198"/>
      <c r="AV117" s="198"/>
      <c r="AW117" s="492"/>
      <c r="AX117" s="198"/>
      <c r="AY117" s="198"/>
      <c r="AZ117" s="198"/>
      <c r="BA117" s="198"/>
      <c r="BB117" s="198"/>
      <c r="BC117" s="198"/>
      <c r="BD117" s="198"/>
      <c r="BE117" s="198"/>
      <c r="BF117" s="198"/>
      <c r="BG117" s="198"/>
      <c r="BH117" s="198"/>
      <c r="BI117" s="198"/>
      <c r="BJ117" s="198"/>
      <c r="BK117" s="198"/>
      <c r="BL117" s="198"/>
      <c r="BM117" s="198"/>
      <c r="BN117" s="198"/>
      <c r="BO117" s="198"/>
      <c r="BP117" s="198"/>
      <c r="BQ117" s="198"/>
    </row>
    <row r="118" spans="2:69" ht="15.75" customHeight="1" x14ac:dyDescent="0.25">
      <c r="B118" s="355" t="str">
        <f>'Monthly DCF'!B118</f>
        <v>Construction Loan</v>
      </c>
      <c r="C118" s="211"/>
      <c r="D118" s="358"/>
      <c r="E118" s="211" t="str">
        <f>'Monthly DCF'!E118</f>
        <v>Total C. Loan</v>
      </c>
      <c r="F118" s="211" t="str">
        <f>'Monthly DCF'!F118</f>
        <v>LTC</v>
      </c>
      <c r="G118" s="1082"/>
      <c r="H118" s="1110"/>
      <c r="I118" s="579"/>
      <c r="J118" s="579"/>
      <c r="K118" s="579"/>
      <c r="L118" s="579"/>
      <c r="M118" s="1114"/>
      <c r="N118" s="579"/>
      <c r="O118" s="579"/>
      <c r="P118" s="579"/>
      <c r="Q118" s="579"/>
      <c r="R118" s="1114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491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492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  <c r="BI118" s="198"/>
      <c r="BJ118" s="198"/>
      <c r="BK118" s="198"/>
      <c r="BL118" s="198"/>
      <c r="BM118" s="198"/>
      <c r="BN118" s="198"/>
      <c r="BO118" s="198"/>
      <c r="BP118" s="198"/>
      <c r="BQ118" s="198"/>
    </row>
    <row r="119" spans="2:69" ht="15.75" customHeight="1" x14ac:dyDescent="0.25">
      <c r="B119" s="364" t="str">
        <f>'Monthly DCF'!B119</f>
        <v>Balance BOM</v>
      </c>
      <c r="C119" s="427"/>
      <c r="D119" s="358"/>
      <c r="E119" s="438">
        <f>'Monthly DCF'!E119</f>
        <v>15552810.511988698</v>
      </c>
      <c r="F119" s="430">
        <f>'Monthly DCF'!F119</f>
        <v>0.65</v>
      </c>
      <c r="G119" s="1082"/>
      <c r="H119" s="1115">
        <f t="shared" ref="H119" si="13">IF(AND(H120&lt;0,G120=0),$D$121,IF(AND(H120&lt;0,G120&lt;0),G121,0))</f>
        <v>0</v>
      </c>
      <c r="I119" s="599">
        <f t="shared" ref="I119" si="14">IF(AND(I120&lt;0,H120=0),$D$121,IF(AND(I120&lt;0,H120&lt;0),H121,0))</f>
        <v>14308585.671029601</v>
      </c>
      <c r="J119" s="599">
        <f t="shared" ref="J119" si="15">IF(AND(J120&lt;0,I120=0),$D$121,IF(AND(J120&lt;0,I120&lt;0),I121,0))</f>
        <v>9132296.0112500004</v>
      </c>
      <c r="K119" s="599">
        <f t="shared" ref="K119" si="16">IF(AND(K120&lt;0,J120=0),$D$121,IF(AND(K120&lt;0,J120&lt;0),J121,0))</f>
        <v>0</v>
      </c>
      <c r="L119" s="599">
        <f t="shared" ref="L119" si="17">IF(AND(L120&lt;0,K120=0),$D$121,IF(AND(L120&lt;0,K120&lt;0),K121,0))</f>
        <v>0</v>
      </c>
      <c r="M119" s="1117">
        <f t="shared" ref="M119" si="18">IF(AND(M120&lt;0,L120=0),$D$121,IF(AND(M120&lt;0,L120&lt;0),L121,0))</f>
        <v>0</v>
      </c>
      <c r="N119" s="599">
        <f t="shared" ref="N119" si="19">IF(AND(N120&lt;0,M120=0),$D$121,IF(AND(N120&lt;0,M120&lt;0),M121,0))</f>
        <v>0</v>
      </c>
      <c r="O119" s="599">
        <f t="shared" ref="O119" si="20">IF(AND(O120&lt;0,N120=0),$D$121,IF(AND(O120&lt;0,N120&lt;0),N121,0))</f>
        <v>0</v>
      </c>
      <c r="P119" s="599">
        <f t="shared" ref="P119" si="21">IF(AND(P120&lt;0,O120=0),$D$121,IF(AND(P120&lt;0,O120&lt;0),O121,0))</f>
        <v>0</v>
      </c>
      <c r="Q119" s="599">
        <f t="shared" ref="Q119" si="22">IF(AND(Q120&lt;0,P120=0),$D$121,IF(AND(Q120&lt;0,P120&lt;0),P121,0))</f>
        <v>0</v>
      </c>
      <c r="R119" s="1117">
        <f t="shared" ref="R119" si="23">IF(AND(R120&lt;0,Q120=0),$D$121,IF(AND(R120&lt;0,Q120&lt;0),Q121,0))</f>
        <v>0</v>
      </c>
      <c r="X119" s="198"/>
      <c r="Y119" s="198"/>
      <c r="Z119" s="198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  <c r="AM119" s="497"/>
      <c r="AN119" s="370"/>
      <c r="AO119" s="370"/>
      <c r="AP119" s="370"/>
      <c r="AQ119" s="370"/>
      <c r="AR119" s="370"/>
      <c r="AS119" s="370"/>
      <c r="AT119" s="370"/>
      <c r="AU119" s="370"/>
      <c r="AV119" s="370"/>
      <c r="AW119" s="498"/>
      <c r="AX119" s="370"/>
      <c r="AY119" s="370"/>
      <c r="AZ119" s="370"/>
      <c r="BA119" s="370"/>
      <c r="BB119" s="370"/>
      <c r="BC119" s="370"/>
      <c r="BD119" s="370"/>
      <c r="BE119" s="370"/>
      <c r="BF119" s="370"/>
      <c r="BG119" s="370"/>
      <c r="BH119" s="370"/>
      <c r="BI119" s="370"/>
      <c r="BJ119" s="370"/>
      <c r="BK119" s="370"/>
      <c r="BL119" s="370"/>
      <c r="BM119" s="370"/>
      <c r="BN119" s="370"/>
      <c r="BO119" s="370"/>
      <c r="BP119" s="370"/>
      <c r="BQ119" s="370"/>
    </row>
    <row r="120" spans="2:69" ht="18" customHeight="1" x14ac:dyDescent="0.25">
      <c r="B120" s="364" t="str">
        <f>'Monthly DCF'!B120</f>
        <v>Draw</v>
      </c>
      <c r="C120" s="211"/>
      <c r="D120" s="424" t="str">
        <f>'Monthly DCF'!D120</f>
        <v>Available for Construction</v>
      </c>
      <c r="E120" s="211" t="str">
        <f>'Monthly DCF'!E120</f>
        <v>Interest Reserve</v>
      </c>
      <c r="F120" s="211" t="str">
        <f>'Monthly DCF'!F120</f>
        <v>Rate</v>
      </c>
      <c r="G120" s="1082"/>
      <c r="H120" s="1115">
        <f>SUMIFS('Monthly DCF'!120:120,'Monthly DCF'!$4:$4,'Yearly DCF'!H$3,'Monthly DCF'!$3:$3,"&lt;=" &amp;Summary!$F$20)</f>
        <v>0</v>
      </c>
      <c r="I120" s="599">
        <f>SUMIFS('Monthly DCF'!120:120,'Monthly DCF'!$4:$4,'Yearly DCF'!I$3,'Monthly DCF'!$3:$3,"&lt;=" &amp;Summary!$F$20)</f>
        <v>-5176289.6597796017</v>
      </c>
      <c r="J120" s="599">
        <f>SUMIFS('Monthly DCF'!120:120,'Monthly DCF'!$4:$4,'Yearly DCF'!J$3,'Monthly DCF'!$3:$3,"&lt;=" &amp;Summary!$F$20)</f>
        <v>-9132296.0112500023</v>
      </c>
      <c r="K120" s="599">
        <f>SUMIFS('Monthly DCF'!120:120,'Monthly DCF'!$4:$4,'Yearly DCF'!K$3,'Monthly DCF'!$3:$3,"&lt;=" &amp;Summary!$F$20)</f>
        <v>0</v>
      </c>
      <c r="L120" s="599">
        <f>SUMIFS('Monthly DCF'!120:120,'Monthly DCF'!$4:$4,'Yearly DCF'!L$3,'Monthly DCF'!$3:$3,"&lt;=" &amp;Summary!$F$20)</f>
        <v>0</v>
      </c>
      <c r="M120" s="1117">
        <f>SUMIFS('Monthly DCF'!120:120,'Monthly DCF'!$4:$4,'Yearly DCF'!M$3,'Monthly DCF'!$3:$3,"&lt;=" &amp;Summary!$F$20)</f>
        <v>0</v>
      </c>
      <c r="N120" s="599">
        <f>SUMIFS('Monthly DCF'!120:120,'Monthly DCF'!$4:$4,'Yearly DCF'!N$3,'Monthly DCF'!$3:$3,"&lt;=" &amp;Summary!$F$20)</f>
        <v>0</v>
      </c>
      <c r="O120" s="599">
        <f>SUMIFS('Monthly DCF'!120:120,'Monthly DCF'!$4:$4,'Yearly DCF'!O$3,'Monthly DCF'!$3:$3,"&lt;=" &amp;Summary!$F$20)</f>
        <v>0</v>
      </c>
      <c r="P120" s="599">
        <f>SUMIFS('Monthly DCF'!120:120,'Monthly DCF'!$4:$4,'Yearly DCF'!P$3,'Monthly DCF'!$3:$3,"&lt;=" &amp;Summary!$F$20)</f>
        <v>0</v>
      </c>
      <c r="Q120" s="599">
        <f>SUMIFS('Monthly DCF'!120:120,'Monthly DCF'!$4:$4,'Yearly DCF'!Q$3,'Monthly DCF'!$3:$3,"&lt;=" &amp;Summary!$F$20)</f>
        <v>0</v>
      </c>
      <c r="R120" s="1117">
        <f>SUMIFS('Monthly DCF'!120:120,'Monthly DCF'!$4:$4,'Yearly DCF'!R$3,'Monthly DCF'!$3:$3,"&lt;=" &amp;Summary!$F$20)</f>
        <v>0</v>
      </c>
      <c r="X120" s="362"/>
      <c r="Y120" s="362"/>
      <c r="Z120" s="362"/>
      <c r="AA120" s="362"/>
      <c r="AB120" s="362"/>
      <c r="AC120" s="362"/>
      <c r="AD120" s="362"/>
      <c r="AE120" s="362"/>
      <c r="AF120" s="362"/>
      <c r="AG120" s="362"/>
      <c r="AH120" s="362"/>
      <c r="AI120" s="362"/>
      <c r="AJ120" s="362"/>
      <c r="AK120" s="362"/>
      <c r="AL120" s="362"/>
      <c r="AM120" s="493"/>
      <c r="AN120" s="362"/>
      <c r="AO120" s="362"/>
      <c r="AP120" s="362"/>
      <c r="AQ120" s="362"/>
      <c r="AR120" s="362"/>
      <c r="AS120" s="362"/>
      <c r="AT120" s="362"/>
      <c r="AU120" s="362"/>
      <c r="AV120" s="362"/>
      <c r="AW120" s="494"/>
      <c r="AX120" s="362"/>
      <c r="AY120" s="362"/>
      <c r="AZ120" s="362"/>
      <c r="BA120" s="362"/>
      <c r="BB120" s="362"/>
      <c r="BC120" s="362"/>
      <c r="BD120" s="362"/>
      <c r="BE120" s="362"/>
      <c r="BF120" s="362"/>
      <c r="BG120" s="362"/>
      <c r="BH120" s="362"/>
      <c r="BI120" s="362"/>
      <c r="BJ120" s="362"/>
      <c r="BK120" s="362"/>
      <c r="BL120" s="362"/>
      <c r="BM120" s="362"/>
      <c r="BN120" s="362"/>
      <c r="BO120" s="362"/>
      <c r="BP120" s="362"/>
      <c r="BQ120" s="362"/>
    </row>
    <row r="121" spans="2:69" ht="15.75" customHeight="1" x14ac:dyDescent="0.25">
      <c r="B121" s="364" t="str">
        <f>'Monthly DCF'!B121</f>
        <v>Balance EOM</v>
      </c>
      <c r="C121" s="358"/>
      <c r="D121" s="432">
        <f>'Monthly DCF'!D121</f>
        <v>14308585.671029601</v>
      </c>
      <c r="E121" s="433">
        <f>'Monthly DCF'!E121</f>
        <v>1121825.710036993</v>
      </c>
      <c r="F121" s="434">
        <f>'Monthly DCF'!F121</f>
        <v>0.08</v>
      </c>
      <c r="G121" s="1082"/>
      <c r="H121" s="1115">
        <f t="shared" ref="H121" si="24">H119+H120</f>
        <v>0</v>
      </c>
      <c r="I121" s="599">
        <f t="shared" ref="I121" si="25">I119+I120</f>
        <v>9132296.0112500004</v>
      </c>
      <c r="J121" s="599">
        <f t="shared" ref="J121" si="26">J119+J120</f>
        <v>0</v>
      </c>
      <c r="K121" s="599">
        <f t="shared" ref="K121" si="27">K119+K120</f>
        <v>0</v>
      </c>
      <c r="L121" s="599">
        <f t="shared" ref="L121" si="28">L119+L120</f>
        <v>0</v>
      </c>
      <c r="M121" s="1117">
        <f t="shared" ref="M121" si="29">M119+M120</f>
        <v>0</v>
      </c>
      <c r="N121" s="599">
        <f t="shared" ref="N121" si="30">N119+N120</f>
        <v>0</v>
      </c>
      <c r="O121" s="599">
        <f t="shared" ref="O121" si="31">O119+O120</f>
        <v>0</v>
      </c>
      <c r="P121" s="599">
        <f t="shared" ref="P121" si="32">P119+P120</f>
        <v>0</v>
      </c>
      <c r="Q121" s="599">
        <f t="shared" ref="Q121" si="33">Q119+Q120</f>
        <v>0</v>
      </c>
      <c r="R121" s="1117">
        <f t="shared" ref="R121" si="34">R119+R120</f>
        <v>0</v>
      </c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491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492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198"/>
      <c r="BN121" s="198"/>
      <c r="BO121" s="198"/>
      <c r="BP121" s="198"/>
      <c r="BQ121" s="198"/>
    </row>
    <row r="122" spans="2:69" ht="15.75" customHeight="1" x14ac:dyDescent="0.25">
      <c r="B122" s="364" t="str">
        <f>'Monthly DCF'!B122</f>
        <v>Debt Service</v>
      </c>
      <c r="C122" s="435"/>
      <c r="D122" s="356"/>
      <c r="E122" s="356"/>
      <c r="F122" s="356"/>
      <c r="G122" s="1082"/>
      <c r="H122" s="1115">
        <f>SUMIFS('Monthly DCF'!122:122,'Monthly DCF'!$4:$4,'Yearly DCF'!H$3,'Monthly DCF'!$3:$3,"&lt;=" &amp;Summary!$F$20)</f>
        <v>0</v>
      </c>
      <c r="I122" s="599">
        <f>SUMIFS('Monthly DCF'!122:122,'Monthly DCF'!$4:$4,'Yearly DCF'!I$3,'Monthly DCF'!$3:$3,"&lt;=" &amp;Summary!$F$20)</f>
        <v>-89345.45660350965</v>
      </c>
      <c r="J122" s="599">
        <f>SUMIFS('Monthly DCF'!122:122,'Monthly DCF'!$4:$4,'Yearly DCF'!J$3,'Monthly DCF'!$3:$3,"&lt;=" &amp;Summary!$F$20)</f>
        <v>-786461.85094089981</v>
      </c>
      <c r="K122" s="599">
        <f>SUMIFS('Monthly DCF'!122:122,'Monthly DCF'!$4:$4,'Yearly DCF'!K$3,'Monthly DCF'!$3:$3,"&lt;=" &amp;Summary!$F$20)</f>
        <v>-1230344.195018024</v>
      </c>
      <c r="L122" s="599">
        <f>SUMIFS('Monthly DCF'!122:122,'Monthly DCF'!$4:$4,'Yearly DCF'!L$3,'Monthly DCF'!$3:$3,"&lt;=" &amp;Summary!$F$20)</f>
        <v>-1234432.9104853279</v>
      </c>
      <c r="M122" s="1117">
        <f>SUMIFS('Monthly DCF'!122:122,'Monthly DCF'!$4:$4,'Yearly DCF'!M$3,'Monthly DCF'!$3:$3,"&lt;=" &amp;Summary!$F$20)</f>
        <v>-1234432.9104853279</v>
      </c>
      <c r="N122" s="599">
        <f>SUMIFS('Monthly DCF'!122:122,'Monthly DCF'!$4:$4,'Yearly DCF'!N$3,'Monthly DCF'!$3:$3,"&lt;=" &amp;Summary!$F$20)</f>
        <v>0</v>
      </c>
      <c r="O122" s="599">
        <f>SUMIFS('Monthly DCF'!122:122,'Monthly DCF'!$4:$4,'Yearly DCF'!O$3,'Monthly DCF'!$3:$3,"&lt;=" &amp;Summary!$F$20)</f>
        <v>0</v>
      </c>
      <c r="P122" s="599">
        <f>SUMIFS('Monthly DCF'!122:122,'Monthly DCF'!$4:$4,'Yearly DCF'!P$3,'Monthly DCF'!$3:$3,"&lt;=" &amp;Summary!$F$20)</f>
        <v>0</v>
      </c>
      <c r="Q122" s="599">
        <f>SUMIFS('Monthly DCF'!122:122,'Monthly DCF'!$4:$4,'Yearly DCF'!Q$3,'Monthly DCF'!$3:$3,"&lt;=" &amp;Summary!$F$20)</f>
        <v>0</v>
      </c>
      <c r="R122" s="1117">
        <f>SUMIFS('Monthly DCF'!122:122,'Monthly DCF'!$4:$4,'Yearly DCF'!R$3,'Monthly DCF'!$3:$3,"&lt;=" &amp;Summary!$F$20)</f>
        <v>0</v>
      </c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491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492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8"/>
      <c r="BN122" s="198"/>
      <c r="BO122" s="198"/>
      <c r="BP122" s="198"/>
      <c r="BQ122" s="198"/>
    </row>
    <row r="123" spans="2:69" ht="15.75" customHeight="1" x14ac:dyDescent="0.25">
      <c r="B123" s="364" t="str">
        <f>'Monthly DCF'!B123</f>
        <v>Interest Reserve</v>
      </c>
      <c r="C123" s="356"/>
      <c r="D123" s="356"/>
      <c r="E123" s="439"/>
      <c r="F123" s="356"/>
      <c r="G123" s="1082"/>
      <c r="H123" s="1118">
        <f>SUMIFS('Monthly DCF'!123:123,'Monthly DCF'!$4:$4,'Yearly DCF'!H$3,'Monthly DCF'!$3:$3,"&lt;=" &amp;Summary!$F$20)</f>
        <v>0</v>
      </c>
      <c r="I123" s="1119">
        <f>SUMIFS('Monthly DCF'!123:123,'Monthly DCF'!$4:$4,'Yearly DCF'!I$3,'Monthly DCF'!$3:$3,"&lt;=" &amp;Summary!$F$20)</f>
        <v>89345.45660350965</v>
      </c>
      <c r="J123" s="1119">
        <f>SUMIFS('Monthly DCF'!123:123,'Monthly DCF'!$4:$4,'Yearly DCF'!J$3,'Monthly DCF'!$3:$3,"&lt;=" &amp;Summary!$F$20)</f>
        <v>786461.85094089981</v>
      </c>
      <c r="K123" s="1119">
        <f>SUMIFS('Monthly DCF'!123:123,'Monthly DCF'!$4:$4,'Yearly DCF'!K$3,'Monthly DCF'!$3:$3,"&lt;=" &amp;Summary!$F$20)</f>
        <v>246018.40249258347</v>
      </c>
      <c r="L123" s="1119">
        <f>SUMIFS('Monthly DCF'!123:123,'Monthly DCF'!$4:$4,'Yearly DCF'!L$3,'Monthly DCF'!$3:$3,"&lt;=" &amp;Summary!$F$20)</f>
        <v>0</v>
      </c>
      <c r="M123" s="1120">
        <f>SUMIFS('Monthly DCF'!123:123,'Monthly DCF'!$4:$4,'Yearly DCF'!M$3,'Monthly DCF'!$3:$3,"&lt;=" &amp;Summary!$F$20)</f>
        <v>0</v>
      </c>
      <c r="N123" s="1119">
        <f>SUMIFS('Monthly DCF'!123:123,'Monthly DCF'!$4:$4,'Yearly DCF'!N$3,'Monthly DCF'!$3:$3,"&lt;=" &amp;Summary!$F$20)</f>
        <v>0</v>
      </c>
      <c r="O123" s="1119">
        <f>SUMIFS('Monthly DCF'!123:123,'Monthly DCF'!$4:$4,'Yearly DCF'!O$3,'Monthly DCF'!$3:$3,"&lt;=" &amp;Summary!$F$20)</f>
        <v>0</v>
      </c>
      <c r="P123" s="1119">
        <f>SUMIFS('Monthly DCF'!123:123,'Monthly DCF'!$4:$4,'Yearly DCF'!P$3,'Monthly DCF'!$3:$3,"&lt;=" &amp;Summary!$F$20)</f>
        <v>0</v>
      </c>
      <c r="Q123" s="1119">
        <f>SUMIFS('Monthly DCF'!123:123,'Monthly DCF'!$4:$4,'Yearly DCF'!Q$3,'Monthly DCF'!$3:$3,"&lt;=" &amp;Summary!$F$20)</f>
        <v>0</v>
      </c>
      <c r="R123" s="1120">
        <f>SUMIFS('Monthly DCF'!123:123,'Monthly DCF'!$4:$4,'Yearly DCF'!R$3,'Monthly DCF'!$3:$3,"&lt;=" &amp;Summary!$F$20)</f>
        <v>0</v>
      </c>
      <c r="X123" s="362"/>
      <c r="Y123" s="362"/>
      <c r="Z123" s="362"/>
      <c r="AA123" s="362"/>
      <c r="AB123" s="362"/>
      <c r="AC123" s="362"/>
      <c r="AD123" s="362"/>
      <c r="AE123" s="362"/>
      <c r="AF123" s="362"/>
      <c r="AG123" s="362"/>
      <c r="AH123" s="362"/>
      <c r="AI123" s="362"/>
      <c r="AJ123" s="362"/>
      <c r="AK123" s="362"/>
      <c r="AL123" s="362"/>
      <c r="AM123" s="493"/>
      <c r="AN123" s="362"/>
      <c r="AO123" s="362"/>
      <c r="AP123" s="362"/>
      <c r="AQ123" s="362"/>
      <c r="AR123" s="362"/>
      <c r="AS123" s="362"/>
      <c r="AT123" s="362"/>
      <c r="AU123" s="362"/>
      <c r="AV123" s="362"/>
      <c r="AW123" s="494"/>
      <c r="AX123" s="362"/>
      <c r="AY123" s="362"/>
      <c r="AZ123" s="362"/>
      <c r="BA123" s="362"/>
      <c r="BB123" s="362"/>
      <c r="BC123" s="362"/>
      <c r="BD123" s="362"/>
      <c r="BE123" s="362"/>
      <c r="BF123" s="362"/>
      <c r="BG123" s="362"/>
      <c r="BH123" s="362"/>
      <c r="BI123" s="362"/>
      <c r="BJ123" s="362"/>
      <c r="BK123" s="362"/>
      <c r="BL123" s="362"/>
      <c r="BM123" s="362"/>
      <c r="BN123" s="362"/>
      <c r="BO123" s="362"/>
      <c r="BP123" s="362"/>
      <c r="BQ123" s="362"/>
    </row>
    <row r="124" spans="2:69" ht="15.75" customHeight="1" x14ac:dyDescent="0.25">
      <c r="B124" s="364" t="str">
        <f>'Monthly DCF'!B124</f>
        <v>Cumulative Drawn</v>
      </c>
      <c r="C124" s="356"/>
      <c r="D124" s="356"/>
      <c r="E124" s="356"/>
      <c r="F124" s="356"/>
      <c r="G124" s="999"/>
      <c r="H124" s="1115" cm="1">
        <f t="array" ref="H124">IF(H4&gt;$D$4,0,SUM(-$H$120:H120)+SUM($H$123:H123))</f>
        <v>0</v>
      </c>
      <c r="I124" s="599" cm="1">
        <f t="array" ref="I124">IF(I4&gt;$D$4,0,SUM(-$H$120:I120)+SUM($H$123:I123))</f>
        <v>5265635.1163831111</v>
      </c>
      <c r="J124" s="599" cm="1">
        <f t="array" ref="J124">IF(J4&gt;$D$4,0,SUM(-$H$120:J120)+SUM($H$123:J123))</f>
        <v>15184392.978574015</v>
      </c>
      <c r="K124" s="599" cm="1">
        <f t="array" ref="K124">IF(K4&gt;$D$4,0,SUM(-$H$120:K120)+SUM($H$123:K123))</f>
        <v>15430411.381066598</v>
      </c>
      <c r="L124" s="599" cm="1">
        <f t="array" ref="L124">IF(L4&gt;$D$4,0,SUM(-$H$120:L120)+SUM($H$123:L123))</f>
        <v>15430411.381066598</v>
      </c>
      <c r="M124" s="1117" cm="1">
        <f t="array" ref="M124">IF(M4&gt;$D$4,0,SUM(-$H$120:M120)+SUM($H$123:M123))</f>
        <v>15430411.381066598</v>
      </c>
      <c r="N124" s="599" cm="1">
        <f t="array" ref="N124">IF(N4&gt;$D$4,0,SUM(-$H$120:N120)+SUM($H$123:N123))</f>
        <v>0</v>
      </c>
      <c r="O124" s="599" cm="1">
        <f t="array" ref="O124">IF(O4&gt;$D$4,0,SUM(-$H$120:O120)+SUM($H$123:O123))</f>
        <v>0</v>
      </c>
      <c r="P124" s="599" cm="1">
        <f t="array" ref="P124">IF(P4&gt;$D$4,0,SUM(-$H$120:P120)+SUM($H$123:P123))</f>
        <v>0</v>
      </c>
      <c r="Q124" s="599" cm="1">
        <f t="array" ref="Q124">IF(Q4&gt;$D$4,0,SUM(-$H$120:Q120)+SUM($H$123:Q123))</f>
        <v>0</v>
      </c>
      <c r="R124" s="1117" cm="1">
        <f t="array" ref="R124">IF(R4&gt;$D$4,0,SUM(-$H$120:R120)+SUM($H$123:R123))</f>
        <v>0</v>
      </c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491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492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198"/>
      <c r="BN124" s="198"/>
      <c r="BO124" s="198"/>
      <c r="BP124" s="198"/>
      <c r="BQ124" s="198"/>
    </row>
    <row r="125" spans="2:69" ht="15.75" customHeight="1" x14ac:dyDescent="0.25">
      <c r="B125" s="653"/>
      <c r="C125" s="1011"/>
      <c r="D125" s="1011"/>
      <c r="E125" s="1067" t="str">
        <f>'Monthly DCF'!E125</f>
        <v>Total</v>
      </c>
      <c r="F125" s="1067" t="str">
        <f>'Monthly DCF'!F125</f>
        <v>Month Expensed</v>
      </c>
      <c r="G125" s="999"/>
      <c r="H125" s="1115"/>
      <c r="I125" s="599"/>
      <c r="J125" s="599"/>
      <c r="K125" s="599"/>
      <c r="L125" s="599"/>
      <c r="M125" s="1117"/>
      <c r="N125" s="599"/>
      <c r="O125" s="599"/>
      <c r="P125" s="599"/>
      <c r="Q125" s="599"/>
      <c r="R125" s="1117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  <c r="AJ125" s="326"/>
      <c r="AK125" s="326"/>
      <c r="AL125" s="326"/>
      <c r="AM125" s="519"/>
      <c r="AN125" s="326"/>
      <c r="AO125" s="326"/>
      <c r="AP125" s="326"/>
      <c r="AQ125" s="326"/>
      <c r="AR125" s="326"/>
      <c r="AS125" s="326"/>
      <c r="AT125" s="326"/>
      <c r="AU125" s="326"/>
      <c r="AV125" s="326"/>
      <c r="AW125" s="520"/>
      <c r="AX125" s="326"/>
      <c r="AY125" s="326"/>
      <c r="AZ125" s="326"/>
      <c r="BA125" s="326"/>
      <c r="BB125" s="326"/>
      <c r="BC125" s="326"/>
      <c r="BD125" s="326"/>
      <c r="BE125" s="326"/>
      <c r="BF125" s="326"/>
      <c r="BG125" s="326"/>
      <c r="BH125" s="326"/>
      <c r="BI125" s="326"/>
      <c r="BJ125" s="326"/>
      <c r="BK125" s="326"/>
      <c r="BL125" s="326"/>
      <c r="BM125" s="326"/>
      <c r="BN125" s="326"/>
      <c r="BO125" s="326"/>
      <c r="BP125" s="326"/>
      <c r="BQ125" s="326"/>
    </row>
    <row r="126" spans="2:69" ht="15.75" customHeight="1" x14ac:dyDescent="0.25">
      <c r="B126" s="653" t="str">
        <f>'Monthly DCF'!B126</f>
        <v>Financing Costs</v>
      </c>
      <c r="C126" s="1011"/>
      <c r="D126" s="1011"/>
      <c r="E126" s="433">
        <f>'Monthly DCF'!E126</f>
        <v>473556.21023977397</v>
      </c>
      <c r="F126" s="1066">
        <f>'Monthly DCF'!F126</f>
        <v>0</v>
      </c>
      <c r="G126" s="999"/>
      <c r="H126" s="1115"/>
      <c r="I126" s="599"/>
      <c r="J126" s="599"/>
      <c r="K126" s="599"/>
      <c r="L126" s="599"/>
      <c r="M126" s="1117"/>
      <c r="N126" s="599"/>
      <c r="O126" s="599"/>
      <c r="P126" s="599"/>
      <c r="Q126" s="599"/>
      <c r="R126" s="1117"/>
      <c r="X126" s="198"/>
      <c r="Y126" s="198"/>
      <c r="Z126" s="198"/>
      <c r="AA126" s="198"/>
      <c r="AB126" s="198"/>
      <c r="AC126" s="198"/>
      <c r="AD126" s="198"/>
      <c r="AE126" s="198"/>
      <c r="AF126" s="198"/>
      <c r="AG126" s="198"/>
      <c r="AH126" s="198"/>
      <c r="AI126" s="198"/>
      <c r="AJ126" s="198"/>
      <c r="AK126" s="198"/>
      <c r="AL126" s="198"/>
      <c r="AM126" s="491"/>
      <c r="AN126" s="198"/>
      <c r="AO126" s="198"/>
      <c r="AP126" s="198"/>
      <c r="AQ126" s="198"/>
      <c r="AR126" s="198"/>
      <c r="AS126" s="198"/>
      <c r="AT126" s="198"/>
      <c r="AU126" s="198"/>
      <c r="AV126" s="198"/>
      <c r="AW126" s="492"/>
      <c r="AX126" s="198"/>
      <c r="AY126" s="198"/>
      <c r="AZ126" s="198"/>
      <c r="BA126" s="198"/>
      <c r="BB126" s="198"/>
      <c r="BC126" s="198"/>
      <c r="BD126" s="198"/>
      <c r="BE126" s="198"/>
      <c r="BF126" s="198"/>
      <c r="BG126" s="198"/>
      <c r="BH126" s="198"/>
      <c r="BI126" s="198"/>
      <c r="BJ126" s="198"/>
      <c r="BK126" s="198"/>
      <c r="BL126" s="198"/>
      <c r="BM126" s="198"/>
      <c r="BN126" s="198"/>
      <c r="BO126" s="198"/>
      <c r="BP126" s="198"/>
      <c r="BQ126" s="198"/>
    </row>
    <row r="127" spans="2:69" ht="15.75" customHeight="1" x14ac:dyDescent="0.25">
      <c r="B127" s="364"/>
      <c r="C127" s="356"/>
      <c r="D127" s="356"/>
      <c r="E127" s="356"/>
      <c r="F127" s="356"/>
      <c r="G127" s="999"/>
      <c r="H127" s="1115"/>
      <c r="I127" s="599"/>
      <c r="J127" s="599"/>
      <c r="K127" s="599"/>
      <c r="L127" s="599"/>
      <c r="M127" s="1117"/>
      <c r="N127" s="599"/>
      <c r="O127" s="599"/>
      <c r="P127" s="599"/>
      <c r="Q127" s="599"/>
      <c r="R127" s="1117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521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522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</row>
    <row r="128" spans="2:69" ht="15.75" customHeight="1" x14ac:dyDescent="0.25">
      <c r="B128" s="440" t="str">
        <f>'Monthly DCF'!B128</f>
        <v>Total Debt Repayment</v>
      </c>
      <c r="C128" s="427"/>
      <c r="D128" s="427"/>
      <c r="E128" s="427"/>
      <c r="F128" s="356"/>
      <c r="G128" s="1069"/>
      <c r="H128" s="1129"/>
      <c r="I128" s="1130"/>
      <c r="J128" s="1130"/>
      <c r="K128" s="1130"/>
      <c r="L128" s="1130"/>
      <c r="M128" s="1131"/>
      <c r="N128" s="1130"/>
      <c r="O128" s="1130"/>
      <c r="P128" s="1130"/>
      <c r="Q128" s="1130"/>
      <c r="R128" s="1131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  <c r="AJ128" s="326"/>
      <c r="AK128" s="326"/>
      <c r="AL128" s="326"/>
      <c r="AM128" s="519"/>
      <c r="AN128" s="326"/>
      <c r="AO128" s="326"/>
      <c r="AP128" s="326"/>
      <c r="AQ128" s="326"/>
      <c r="AR128" s="326"/>
      <c r="AS128" s="326"/>
      <c r="AT128" s="326"/>
      <c r="AU128" s="326"/>
      <c r="AV128" s="326"/>
      <c r="AW128" s="520"/>
      <c r="AX128" s="326"/>
      <c r="AY128" s="326"/>
      <c r="AZ128" s="326"/>
      <c r="BA128" s="326"/>
      <c r="BB128" s="326"/>
      <c r="BC128" s="326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6"/>
      <c r="BQ128" s="326"/>
    </row>
    <row r="129" spans="2:69" ht="15.75" customHeight="1" thickBot="1" x14ac:dyDescent="0.3">
      <c r="B129" s="1260"/>
      <c r="C129" s="1011"/>
      <c r="D129" s="1011"/>
      <c r="E129" s="1011"/>
      <c r="F129" s="1011"/>
      <c r="G129" s="1011"/>
      <c r="H129" s="1261"/>
      <c r="I129" s="1262"/>
      <c r="J129" s="1262"/>
      <c r="K129" s="1262"/>
      <c r="L129" s="1262"/>
      <c r="M129" s="1287"/>
      <c r="N129" s="1262"/>
      <c r="O129" s="1262"/>
      <c r="P129" s="1262"/>
      <c r="Q129" s="1262"/>
      <c r="R129" s="1287"/>
      <c r="X129" s="198"/>
      <c r="Y129" s="198"/>
      <c r="Z129" s="198"/>
      <c r="AA129" s="198"/>
      <c r="AB129" s="198"/>
      <c r="AC129" s="198"/>
      <c r="AD129" s="198"/>
      <c r="AE129" s="198"/>
      <c r="AF129" s="198"/>
      <c r="AG129" s="198"/>
      <c r="AH129" s="198"/>
      <c r="AI129" s="198"/>
      <c r="AJ129" s="198"/>
      <c r="AK129" s="198"/>
      <c r="AL129" s="198"/>
      <c r="AM129" s="491"/>
      <c r="AN129" s="198"/>
      <c r="AO129" s="198"/>
      <c r="AP129" s="198"/>
      <c r="AQ129" s="198"/>
      <c r="AR129" s="198"/>
      <c r="AS129" s="198"/>
      <c r="AT129" s="198"/>
      <c r="AU129" s="198"/>
      <c r="AV129" s="198"/>
      <c r="AW129" s="492"/>
      <c r="AX129" s="198"/>
      <c r="AY129" s="198"/>
      <c r="AZ129" s="198"/>
      <c r="BA129" s="198"/>
      <c r="BB129" s="198"/>
      <c r="BC129" s="198"/>
      <c r="BD129" s="198"/>
      <c r="BE129" s="198"/>
      <c r="BF129" s="198"/>
      <c r="BG129" s="198"/>
      <c r="BH129" s="198"/>
      <c r="BI129" s="198"/>
      <c r="BJ129" s="198"/>
      <c r="BK129" s="198"/>
      <c r="BL129" s="198"/>
      <c r="BM129" s="198"/>
      <c r="BN129" s="198"/>
      <c r="BO129" s="198"/>
      <c r="BP129" s="198"/>
      <c r="BQ129" s="198"/>
    </row>
    <row r="130" spans="2:69" ht="15.75" customHeight="1" thickBot="1" x14ac:dyDescent="0.3">
      <c r="B130" s="1266" t="str">
        <f>'Monthly DCF'!B130</f>
        <v>Levered Cash Flow</v>
      </c>
      <c r="C130" s="1267"/>
      <c r="D130" s="1268"/>
      <c r="E130" s="1269"/>
      <c r="F130" s="1270" t="str">
        <f>'Monthly DCF'!F130</f>
        <v>IRR:</v>
      </c>
      <c r="G130" s="1290">
        <f>'Monthly DCF'!G130</f>
        <v>0.15519891381263737</v>
      </c>
      <c r="H130" s="1313">
        <f>SUMIFS('Monthly DCF'!130:130,'Monthly DCF'!$4:$4,'Yearly DCF'!H$3,'Monthly DCF'!$3:$3,"&lt;=" &amp;Summary!$F$20)</f>
        <v>-3753556</v>
      </c>
      <c r="I130" s="1272">
        <f>SUMIFS('Monthly DCF'!130:130,'Monthly DCF'!$4:$4,'Yearly DCF'!I$3,'Monthly DCF'!$3:$3,"&lt;=" &amp;Summary!$F$20)</f>
        <v>-6338816</v>
      </c>
      <c r="J130" s="1272">
        <f>SUMIFS('Monthly DCF'!130:130,'Monthly DCF'!$4:$4,'Yearly DCF'!J$3,'Monthly DCF'!$3:$3,"&lt;=" &amp;Summary!$F$20)</f>
        <v>0</v>
      </c>
      <c r="K130" s="1272">
        <f>SUMIFS('Monthly DCF'!130:130,'Monthly DCF'!$4:$4,'Yearly DCF'!K$3,'Monthly DCF'!$3:$3,"&lt;=" &amp;Summary!$F$20)</f>
        <v>210094</v>
      </c>
      <c r="L130" s="1272">
        <f>SUMIFS('Monthly DCF'!130:130,'Monthly DCF'!$4:$4,'Yearly DCF'!L$3,'Monthly DCF'!$3:$3,"&lt;=" &amp;Summary!$F$20)</f>
        <v>580512</v>
      </c>
      <c r="M130" s="1273">
        <f>SUMIFS('Monthly DCF'!130:130,'Monthly DCF'!$4:$4,'Yearly DCF'!M$3,'Monthly DCF'!$3:$3,"&lt;=" &amp;Summary!$F$20)</f>
        <v>19162818</v>
      </c>
      <c r="N130" s="1272">
        <f>SUMIFS('Monthly DCF'!130:130,'Monthly DCF'!$4:$4,'Yearly DCF'!N$3,'Monthly DCF'!$3:$3,"&lt;=" &amp;Summary!$F$20)</f>
        <v>0</v>
      </c>
      <c r="O130" s="1272">
        <f>SUMIFS('Monthly DCF'!130:130,'Monthly DCF'!$4:$4,'Yearly DCF'!O$3,'Monthly DCF'!$3:$3,"&lt;=" &amp;Summary!$F$20)</f>
        <v>0</v>
      </c>
      <c r="P130" s="1272">
        <f>SUMIFS('Monthly DCF'!130:130,'Monthly DCF'!$4:$4,'Yearly DCF'!P$3,'Monthly DCF'!$3:$3,"&lt;=" &amp;Summary!$F$20)</f>
        <v>0</v>
      </c>
      <c r="Q130" s="1272">
        <f>SUMIFS('Monthly DCF'!130:130,'Monthly DCF'!$4:$4,'Yearly DCF'!Q$3,'Monthly DCF'!$3:$3,"&lt;=" &amp;Summary!$F$20)</f>
        <v>0</v>
      </c>
      <c r="R130" s="1273">
        <f>SUMIFS('Monthly DCF'!130:130,'Monthly DCF'!$4:$4,'Yearly DCF'!R$3,'Monthly DCF'!$3:$3,"&lt;=" &amp;Summary!$F$20)</f>
        <v>0</v>
      </c>
      <c r="X130" s="198"/>
      <c r="Y130" s="198"/>
      <c r="Z130" s="198"/>
      <c r="AA130" s="198"/>
      <c r="AB130" s="198"/>
      <c r="AC130" s="198"/>
      <c r="AD130" s="198"/>
      <c r="AE130" s="198"/>
      <c r="AF130" s="198"/>
      <c r="AG130" s="198"/>
      <c r="AH130" s="198"/>
      <c r="AI130" s="198"/>
      <c r="AJ130" s="198"/>
      <c r="AK130" s="198"/>
      <c r="AL130" s="198"/>
      <c r="AM130" s="491"/>
      <c r="AN130" s="198"/>
      <c r="AO130" s="198"/>
      <c r="AP130" s="198"/>
      <c r="AQ130" s="198"/>
      <c r="AR130" s="198"/>
      <c r="AS130" s="198"/>
      <c r="AT130" s="198"/>
      <c r="AU130" s="198"/>
      <c r="AV130" s="198"/>
      <c r="AW130" s="492"/>
      <c r="AX130" s="198"/>
      <c r="AY130" s="198"/>
      <c r="AZ130" s="198"/>
      <c r="BA130" s="198"/>
      <c r="BB130" s="198"/>
      <c r="BC130" s="198"/>
      <c r="BD130" s="198"/>
      <c r="BE130" s="198"/>
      <c r="BF130" s="198"/>
      <c r="BG130" s="198"/>
      <c r="BH130" s="198"/>
      <c r="BI130" s="198"/>
      <c r="BJ130" s="198"/>
      <c r="BK130" s="198"/>
      <c r="BL130" s="198"/>
      <c r="BM130" s="198"/>
      <c r="BN130" s="198"/>
      <c r="BO130" s="198"/>
      <c r="BP130" s="198"/>
      <c r="BQ130" s="198"/>
    </row>
    <row r="131" spans="2:69" ht="15.75" customHeight="1" x14ac:dyDescent="0.25">
      <c r="B131" s="1263"/>
      <c r="C131" s="993"/>
      <c r="D131" s="993"/>
      <c r="E131" s="993"/>
      <c r="F131" s="1975" t="str">
        <f>'Monthly DCF'!F131</f>
        <v>DSCR</v>
      </c>
      <c r="G131" s="1977">
        <f>'Monthly DCF'!G131</f>
        <v>0</v>
      </c>
      <c r="H131" s="1289">
        <f>IFERROR(-H74/H122,0)</f>
        <v>0</v>
      </c>
      <c r="I131" s="1264">
        <f t="shared" ref="I131:R131" si="35">IFERROR(-I74/I122,0)</f>
        <v>0</v>
      </c>
      <c r="J131" s="1264">
        <f t="shared" si="35"/>
        <v>0</v>
      </c>
      <c r="K131" s="1264">
        <f>IFERROR(-K74/K122,0)</f>
        <v>0.97080091588598982</v>
      </c>
      <c r="L131" s="1264">
        <f t="shared" si="35"/>
        <v>1.4702616015681198</v>
      </c>
      <c r="M131" s="1265">
        <f t="shared" si="35"/>
        <v>1.5143694496151623</v>
      </c>
      <c r="N131" s="1264">
        <f t="shared" si="35"/>
        <v>0</v>
      </c>
      <c r="O131" s="1264">
        <f t="shared" si="35"/>
        <v>0</v>
      </c>
      <c r="P131" s="1264">
        <f t="shared" si="35"/>
        <v>0</v>
      </c>
      <c r="Q131" s="1264">
        <f t="shared" si="35"/>
        <v>0</v>
      </c>
      <c r="R131" s="1265">
        <f t="shared" si="35"/>
        <v>0</v>
      </c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  <c r="AM131" s="491"/>
      <c r="AN131" s="198"/>
      <c r="AO131" s="198"/>
      <c r="AP131" s="198"/>
      <c r="AQ131" s="198"/>
      <c r="AR131" s="198"/>
      <c r="AS131" s="198"/>
      <c r="AT131" s="198"/>
      <c r="AU131" s="198"/>
      <c r="AV131" s="198"/>
      <c r="AW131" s="492"/>
      <c r="AX131" s="198"/>
      <c r="AY131" s="198"/>
      <c r="AZ131" s="198"/>
      <c r="BA131" s="198"/>
      <c r="BB131" s="198"/>
      <c r="BC131" s="198"/>
      <c r="BD131" s="198"/>
      <c r="BE131" s="198"/>
      <c r="BF131" s="198"/>
      <c r="BG131" s="198"/>
      <c r="BH131" s="198"/>
      <c r="BI131" s="198"/>
      <c r="BJ131" s="198"/>
      <c r="BK131" s="198"/>
      <c r="BL131" s="198"/>
      <c r="BM131" s="198"/>
      <c r="BN131" s="198"/>
      <c r="BO131" s="198"/>
      <c r="BP131" s="198"/>
      <c r="BQ131" s="198"/>
    </row>
    <row r="132" spans="2:69" ht="15.75" customHeight="1" x14ac:dyDescent="0.25">
      <c r="B132" s="12" t="str">
        <f>'Monthly DCF'!B132</f>
        <v>Check:</v>
      </c>
      <c r="C132" s="441" t="str">
        <f>'Monthly DCF'!C132</f>
        <v>Total Sources</v>
      </c>
      <c r="D132" s="442" t="str">
        <f>'Monthly DCF'!D132</f>
        <v>Total Uses</v>
      </c>
      <c r="E132" s="6"/>
      <c r="F132" s="198"/>
      <c r="G132" s="6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491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492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198"/>
      <c r="BN132" s="198"/>
      <c r="BO132" s="198"/>
      <c r="BP132" s="198"/>
      <c r="BQ132" s="198"/>
    </row>
    <row r="133" spans="2:69" ht="15.75" customHeight="1" x14ac:dyDescent="0.25">
      <c r="B133" s="6"/>
      <c r="C133" s="443">
        <f>'Monthly DCF'!C133</f>
        <v>25645181.838873789</v>
      </c>
      <c r="D133" s="444">
        <f>'Monthly DCF'!D133</f>
        <v>25645181.838873789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X133" s="362"/>
      <c r="Y133" s="362"/>
      <c r="Z133" s="362"/>
      <c r="AA133" s="362"/>
      <c r="AB133" s="362"/>
      <c r="AC133" s="362"/>
      <c r="AD133" s="362"/>
      <c r="AE133" s="362"/>
      <c r="AF133" s="362"/>
      <c r="AG133" s="362"/>
      <c r="AH133" s="362"/>
      <c r="AI133" s="362"/>
      <c r="AJ133" s="362"/>
      <c r="AK133" s="362"/>
      <c r="AL133" s="362"/>
      <c r="AM133" s="493"/>
      <c r="AN133" s="362"/>
      <c r="AO133" s="362"/>
      <c r="AP133" s="362"/>
      <c r="AQ133" s="362"/>
      <c r="AR133" s="362"/>
      <c r="AS133" s="362"/>
      <c r="AT133" s="362"/>
      <c r="AU133" s="362"/>
      <c r="AV133" s="362"/>
      <c r="AW133" s="494"/>
      <c r="AX133" s="362"/>
      <c r="AY133" s="362"/>
      <c r="AZ133" s="362"/>
      <c r="BA133" s="362"/>
      <c r="BB133" s="362"/>
      <c r="BC133" s="362"/>
      <c r="BD133" s="362"/>
      <c r="BE133" s="362"/>
      <c r="BF133" s="362"/>
      <c r="BG133" s="362"/>
      <c r="BH133" s="362"/>
      <c r="BI133" s="362"/>
      <c r="BJ133" s="362"/>
      <c r="BK133" s="362"/>
      <c r="BL133" s="362"/>
      <c r="BM133" s="362"/>
      <c r="BN133" s="362"/>
      <c r="BO133" s="362"/>
      <c r="BP133" s="362"/>
      <c r="BQ133" s="362"/>
    </row>
    <row r="134" spans="2:69" ht="15.75" customHeight="1" x14ac:dyDescent="0.25">
      <c r="B134" s="6"/>
      <c r="C134" s="6"/>
      <c r="D134" s="6"/>
      <c r="E134" s="6"/>
      <c r="F134" s="6"/>
      <c r="G134" s="6"/>
      <c r="H134" s="6"/>
      <c r="I134" s="6"/>
      <c r="J134" s="283"/>
      <c r="K134" s="283"/>
      <c r="L134" s="283"/>
      <c r="M134" s="283"/>
      <c r="N134" s="283"/>
      <c r="O134" s="283"/>
      <c r="P134" s="283"/>
      <c r="Q134" s="283"/>
      <c r="R134" s="283"/>
      <c r="X134" s="362"/>
      <c r="Y134" s="362"/>
      <c r="Z134" s="362"/>
      <c r="AA134" s="362"/>
      <c r="AB134" s="362"/>
      <c r="AC134" s="362"/>
      <c r="AD134" s="362"/>
      <c r="AE134" s="362"/>
      <c r="AF134" s="362"/>
      <c r="AG134" s="362"/>
      <c r="AH134" s="362"/>
      <c r="AI134" s="362"/>
      <c r="AJ134" s="362"/>
      <c r="AK134" s="362"/>
      <c r="AL134" s="362"/>
      <c r="AM134" s="493"/>
      <c r="AN134" s="362"/>
      <c r="AO134" s="362"/>
      <c r="AP134" s="362"/>
      <c r="AQ134" s="362"/>
      <c r="AR134" s="362"/>
      <c r="AS134" s="362"/>
      <c r="AT134" s="362"/>
      <c r="AU134" s="362"/>
      <c r="AV134" s="362"/>
      <c r="AW134" s="494"/>
      <c r="AX134" s="362"/>
      <c r="AY134" s="362"/>
      <c r="AZ134" s="362"/>
      <c r="BA134" s="362"/>
      <c r="BB134" s="362"/>
      <c r="BC134" s="362"/>
      <c r="BD134" s="362"/>
      <c r="BE134" s="362"/>
      <c r="BF134" s="362"/>
      <c r="BG134" s="362"/>
      <c r="BH134" s="362"/>
      <c r="BI134" s="362"/>
      <c r="BJ134" s="362"/>
      <c r="BK134" s="362"/>
      <c r="BL134" s="362"/>
      <c r="BM134" s="362"/>
      <c r="BN134" s="362"/>
      <c r="BO134" s="362"/>
      <c r="BP134" s="362"/>
      <c r="BQ134" s="362"/>
    </row>
    <row r="135" spans="2:69" ht="15.75" customHeight="1" x14ac:dyDescent="0.25">
      <c r="B135" s="31" t="str">
        <f>'Monthly DCF'!B135</f>
        <v>Sale &amp; Returns</v>
      </c>
      <c r="C135" s="6"/>
      <c r="D135" s="6"/>
      <c r="E135" s="31"/>
      <c r="F135" s="6"/>
      <c r="G135" s="6"/>
      <c r="H135" s="6" t="str">
        <f>'Monthly DCF'!H135</f>
        <v>Sensitivity Analysis</v>
      </c>
      <c r="I135" s="6"/>
      <c r="J135" s="283"/>
      <c r="K135" s="283"/>
      <c r="L135" s="283"/>
      <c r="M135" s="283"/>
      <c r="N135" s="283"/>
      <c r="O135" s="283"/>
      <c r="P135" s="6"/>
      <c r="Q135" s="6"/>
      <c r="R135" s="6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491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492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198"/>
      <c r="BN135" s="198"/>
      <c r="BO135" s="198"/>
      <c r="BP135" s="198"/>
      <c r="BQ135" s="198"/>
    </row>
    <row r="136" spans="2:69" ht="15.75" customHeight="1" x14ac:dyDescent="0.25">
      <c r="B136" s="32"/>
      <c r="C136" s="6"/>
      <c r="D136" s="6"/>
      <c r="E136" s="6"/>
      <c r="F136" s="6"/>
      <c r="G136" s="6"/>
      <c r="H136" s="6"/>
      <c r="I136" s="6"/>
      <c r="J136" s="283"/>
      <c r="K136" s="283"/>
      <c r="L136" s="283"/>
      <c r="M136" s="283"/>
      <c r="N136" s="283"/>
      <c r="O136" s="283"/>
      <c r="P136" s="6"/>
      <c r="Q136" s="6"/>
      <c r="R136" s="6"/>
      <c r="X136" s="198"/>
      <c r="Y136" s="198"/>
      <c r="Z136" s="198"/>
      <c r="AA136" s="198"/>
      <c r="AB136" s="6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476"/>
      <c r="AN136" s="6"/>
      <c r="AO136" s="6"/>
      <c r="AP136" s="6"/>
      <c r="AQ136" s="6"/>
      <c r="AR136" s="6"/>
      <c r="AS136" s="6"/>
      <c r="AT136" s="6"/>
      <c r="AU136" s="6"/>
      <c r="AV136" s="6"/>
      <c r="AW136" s="477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</row>
    <row r="137" spans="2:69" ht="15.75" customHeight="1" x14ac:dyDescent="0.25">
      <c r="B137" s="34" t="str">
        <f>'Monthly DCF'!B137</f>
        <v>Exit Assumptions</v>
      </c>
      <c r="C137" s="35">
        <f>'Monthly DCF'!C137</f>
        <v>0</v>
      </c>
      <c r="D137" s="198"/>
      <c r="E137" s="1293"/>
      <c r="F137" s="1293"/>
      <c r="G137" s="1293"/>
      <c r="H137" s="662" t="str">
        <f>'Monthly DCF'!H137</f>
        <v>IRR Matrix</v>
      </c>
      <c r="I137" s="663"/>
      <c r="J137" s="664"/>
      <c r="P137" s="6"/>
      <c r="Q137" s="6"/>
      <c r="R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476"/>
      <c r="AN137" s="6"/>
      <c r="AO137" s="6"/>
      <c r="AP137" s="6"/>
      <c r="AQ137" s="6"/>
      <c r="AR137" s="6"/>
      <c r="AS137" s="6"/>
      <c r="AT137" s="6"/>
      <c r="AU137" s="6"/>
      <c r="AV137" s="6"/>
      <c r="AW137" s="477"/>
      <c r="AX137" s="198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</row>
    <row r="138" spans="2:69" ht="15.75" customHeight="1" x14ac:dyDescent="0.25">
      <c r="B138" s="13" t="str">
        <f>'Monthly DCF'!B138</f>
        <v>Assumed Sale Month</v>
      </c>
      <c r="C138" s="37">
        <f>'Monthly DCF'!C138</f>
        <v>60</v>
      </c>
      <c r="D138" s="198"/>
      <c r="E138" s="1294"/>
      <c r="F138" s="666"/>
      <c r="G138" s="1295"/>
      <c r="H138" s="1319">
        <f>'Monthly DCF'!H138</f>
        <v>48213</v>
      </c>
      <c r="I138" s="1300">
        <f>'Monthly DCF'!I138</f>
        <v>0.12832521796226495</v>
      </c>
      <c r="J138" s="1320">
        <f>'Monthly DCF'!J138</f>
        <v>0.15519891381263737</v>
      </c>
      <c r="P138" s="6"/>
      <c r="Q138" s="6"/>
      <c r="R138" s="6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491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492"/>
      <c r="AX138" s="198"/>
      <c r="AY138" s="198"/>
      <c r="AZ138" s="198"/>
      <c r="BA138" s="198"/>
      <c r="BB138" s="198"/>
      <c r="BC138" s="198"/>
      <c r="BD138" s="198"/>
      <c r="BE138" s="198"/>
      <c r="BF138" s="198"/>
      <c r="BG138" s="198"/>
      <c r="BH138" s="198"/>
      <c r="BI138" s="198"/>
      <c r="BJ138" s="198"/>
      <c r="BK138" s="198"/>
      <c r="BL138" s="198"/>
      <c r="BM138" s="198"/>
      <c r="BN138" s="198"/>
      <c r="BO138" s="198"/>
      <c r="BP138" s="198"/>
      <c r="BQ138" s="198"/>
    </row>
    <row r="139" spans="2:69" ht="15.75" customHeight="1" x14ac:dyDescent="0.25">
      <c r="B139" s="13" t="str">
        <f>'Monthly DCF'!B139</f>
        <v>Exit Cap Rate</v>
      </c>
      <c r="C139" s="40">
        <f>'Monthly DCF'!C139</f>
        <v>5.5E-2</v>
      </c>
      <c r="D139" s="198"/>
      <c r="E139" s="668"/>
      <c r="F139" s="668"/>
      <c r="G139" s="668"/>
      <c r="H139" s="1317">
        <f>'Monthly DCF'!H139</f>
        <v>47483</v>
      </c>
      <c r="I139" s="668">
        <f>'Monthly DCF'!I139</f>
        <v>0.16184605956077575</v>
      </c>
      <c r="J139" s="669">
        <f>'Monthly DCF'!J139</f>
        <v>0.19838252663612368</v>
      </c>
      <c r="P139" s="6"/>
      <c r="Q139" s="6"/>
      <c r="R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476"/>
      <c r="AN139" s="6"/>
      <c r="AO139" s="6"/>
      <c r="AP139" s="6"/>
      <c r="AQ139" s="6"/>
      <c r="AR139" s="6"/>
      <c r="AS139" s="6"/>
      <c r="AT139" s="6"/>
      <c r="AU139" s="6"/>
      <c r="AV139" s="6"/>
      <c r="AW139" s="477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</row>
    <row r="140" spans="2:69" ht="15.75" customHeight="1" x14ac:dyDescent="0.25">
      <c r="B140" s="461" t="str">
        <f>'Monthly DCF'!B140</f>
        <v>Cost of Sale</v>
      </c>
      <c r="C140" s="462">
        <f>'Monthly DCF'!C140</f>
        <v>0.03</v>
      </c>
      <c r="D140" s="198"/>
      <c r="E140" s="668"/>
      <c r="F140" s="668"/>
      <c r="G140" s="668"/>
      <c r="H140" s="1317">
        <f>'Monthly DCF'!H140</f>
        <v>47848</v>
      </c>
      <c r="I140" s="668">
        <f>'Monthly DCF'!I140</f>
        <v>0.13965311646461487</v>
      </c>
      <c r="J140" s="669">
        <f>'Monthly DCF'!J140</f>
        <v>0.17081702351570133</v>
      </c>
      <c r="P140" s="6"/>
      <c r="Q140" s="6"/>
      <c r="R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476"/>
      <c r="AN140" s="6"/>
      <c r="AO140" s="6"/>
      <c r="AP140" s="6"/>
      <c r="AQ140" s="6"/>
      <c r="AR140" s="6"/>
      <c r="AS140" s="6"/>
      <c r="AT140" s="6"/>
      <c r="AU140" s="6"/>
      <c r="AV140" s="6"/>
      <c r="AW140" s="477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</row>
    <row r="141" spans="2:69" ht="15.75" customHeight="1" x14ac:dyDescent="0.25">
      <c r="B141" s="461" t="str">
        <f>'Monthly DCF'!B141</f>
        <v>NOI capped</v>
      </c>
      <c r="C141" s="462" t="str">
        <f>'Monthly DCF'!C141</f>
        <v>FL-12</v>
      </c>
      <c r="D141" s="198"/>
      <c r="E141" s="668"/>
      <c r="F141" s="668"/>
      <c r="G141" s="668"/>
      <c r="H141" s="1317">
        <f>'Monthly DCF'!H141</f>
        <v>48213</v>
      </c>
      <c r="I141" s="668">
        <f>'Monthly DCF'!I141</f>
        <v>0.12832521796226495</v>
      </c>
      <c r="J141" s="669">
        <f>'Monthly DCF'!J141</f>
        <v>0.15519891381263737</v>
      </c>
      <c r="P141" s="6"/>
      <c r="Q141" s="6"/>
      <c r="R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476"/>
      <c r="AN141" s="6"/>
      <c r="AO141" s="6"/>
      <c r="AP141" s="6"/>
      <c r="AQ141" s="6"/>
      <c r="AR141" s="6"/>
      <c r="AS141" s="6"/>
      <c r="AT141" s="6"/>
      <c r="AU141" s="6"/>
      <c r="AV141" s="6"/>
      <c r="AW141" s="477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</row>
    <row r="142" spans="2:69" ht="15.75" customHeight="1" x14ac:dyDescent="0.25">
      <c r="B142" s="48" t="str">
        <f>'Monthly DCF'!B142</f>
        <v>NOI (12 months after sale)</v>
      </c>
      <c r="C142" s="49">
        <f>'Monthly DCF'!C142</f>
        <v>1925469.1118556652</v>
      </c>
      <c r="D142" s="198"/>
      <c r="E142" s="668"/>
      <c r="F142" s="668"/>
      <c r="G142" s="668"/>
      <c r="H142" s="1317">
        <f>'Monthly DCF'!H142</f>
        <v>48579</v>
      </c>
      <c r="I142" s="668">
        <f>'Monthly DCF'!I142</f>
        <v>0.12140734791755678</v>
      </c>
      <c r="J142" s="669">
        <f>'Monthly DCF'!J142</f>
        <v>0.14507492184638979</v>
      </c>
      <c r="P142" s="6"/>
      <c r="Q142" s="6"/>
      <c r="R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476"/>
      <c r="AN142" s="6"/>
      <c r="AO142" s="6"/>
      <c r="AP142" s="6"/>
      <c r="AQ142" s="6"/>
      <c r="AR142" s="6"/>
      <c r="AS142" s="6"/>
      <c r="AT142" s="6"/>
      <c r="AU142" s="6"/>
      <c r="AV142" s="6"/>
      <c r="AW142" s="477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</row>
    <row r="143" spans="2:69" ht="15.75" customHeight="1" x14ac:dyDescent="0.25">
      <c r="B143" s="427">
        <f>'Monthly DCF'!B143</f>
        <v>0</v>
      </c>
      <c r="C143" s="427">
        <f>'Monthly DCF'!C143</f>
        <v>0</v>
      </c>
      <c r="D143" s="198"/>
      <c r="E143" s="668"/>
      <c r="F143" s="668"/>
      <c r="G143" s="668"/>
      <c r="H143" s="1317">
        <f>'Monthly DCF'!H143</f>
        <v>48944</v>
      </c>
      <c r="I143" s="668">
        <f>'Monthly DCF'!I143</f>
        <v>0.11683080792427064</v>
      </c>
      <c r="J143" s="669">
        <f>'Monthly DCF'!J143</f>
        <v>0.13807188868522649</v>
      </c>
      <c r="P143" s="6"/>
      <c r="Q143" s="6"/>
      <c r="R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476"/>
      <c r="AN143" s="6"/>
      <c r="AO143" s="6"/>
      <c r="AP143" s="6"/>
      <c r="AQ143" s="6"/>
      <c r="AR143" s="6"/>
      <c r="AS143" s="6"/>
      <c r="AT143" s="6"/>
      <c r="AU143" s="6"/>
      <c r="AV143" s="6"/>
      <c r="AW143" s="477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</row>
    <row r="144" spans="2:69" ht="15.75" customHeight="1" x14ac:dyDescent="0.25">
      <c r="B144" s="34" t="str">
        <f>'Monthly DCF'!B144</f>
        <v>Sale Summary</v>
      </c>
      <c r="C144" s="35">
        <f>'Monthly DCF'!C144</f>
        <v>0</v>
      </c>
      <c r="D144" s="198"/>
      <c r="E144" s="668"/>
      <c r="F144" s="668"/>
      <c r="G144" s="668"/>
      <c r="H144" s="1317">
        <f>'Monthly DCF'!H144</f>
        <v>49309</v>
      </c>
      <c r="I144" s="668">
        <f>'Monthly DCF'!I144</f>
        <v>0.11355888247489929</v>
      </c>
      <c r="J144" s="669">
        <f>'Monthly DCF'!J144</f>
        <v>0.13290746808052065</v>
      </c>
      <c r="P144" s="6"/>
      <c r="Q144" s="6"/>
      <c r="R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476"/>
      <c r="AN144" s="6"/>
      <c r="AO144" s="6"/>
      <c r="AP144" s="6"/>
      <c r="AQ144" s="6"/>
      <c r="AR144" s="6"/>
      <c r="AS144" s="6"/>
      <c r="AT144" s="6"/>
      <c r="AU144" s="6"/>
      <c r="AV144" s="6"/>
      <c r="AW144" s="477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</row>
    <row r="145" spans="2:69" ht="15.75" customHeight="1" x14ac:dyDescent="0.25">
      <c r="B145" s="13" t="str">
        <f>'Monthly DCF'!B145</f>
        <v>Gross Sale Proceeds</v>
      </c>
      <c r="C145" s="54">
        <f>'Monthly DCF'!C145</f>
        <v>35008529.306466639</v>
      </c>
      <c r="D145" s="198"/>
      <c r="E145" s="668"/>
      <c r="F145" s="668"/>
      <c r="G145" s="668"/>
      <c r="H145" s="1317">
        <f>'Monthly DCF'!H145</f>
        <v>49674</v>
      </c>
      <c r="I145" s="668">
        <f>'Monthly DCF'!I145</f>
        <v>0.11110739111900331</v>
      </c>
      <c r="J145" s="669">
        <f>'Monthly DCF'!J145</f>
        <v>0.12894238829612734</v>
      </c>
      <c r="P145" s="6"/>
      <c r="Q145" s="6"/>
      <c r="R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476"/>
      <c r="AN145" s="6"/>
      <c r="AO145" s="6"/>
      <c r="AP145" s="6"/>
      <c r="AQ145" s="6"/>
      <c r="AR145" s="6"/>
      <c r="AS145" s="6"/>
      <c r="AT145" s="6"/>
      <c r="AU145" s="6"/>
      <c r="AV145" s="6"/>
      <c r="AW145" s="477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</row>
    <row r="146" spans="2:69" ht="15.75" customHeight="1" x14ac:dyDescent="0.25">
      <c r="B146" s="13" t="str">
        <f>'Monthly DCF'!B146</f>
        <v>Less: Cost of Sale</v>
      </c>
      <c r="C146" s="55">
        <f>'Monthly DCF'!C146</f>
        <v>1050255.8791939991</v>
      </c>
      <c r="D146" s="198"/>
      <c r="E146" s="668"/>
      <c r="F146" s="668"/>
      <c r="G146" s="668"/>
      <c r="H146" s="1317">
        <f>'Monthly DCF'!H146</f>
        <v>50040</v>
      </c>
      <c r="I146" s="668">
        <f>'Monthly DCF'!I146</f>
        <v>2.9802322387695314E-9</v>
      </c>
      <c r="J146" s="669">
        <f>'Monthly DCF'!J146</f>
        <v>2.9802322387695314E-9</v>
      </c>
      <c r="P146" s="6"/>
      <c r="Q146" s="6"/>
      <c r="R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476"/>
      <c r="AN146" s="6"/>
      <c r="AO146" s="6"/>
      <c r="AP146" s="6"/>
      <c r="AQ146" s="6"/>
      <c r="AR146" s="6"/>
      <c r="AS146" s="6"/>
      <c r="AT146" s="6"/>
      <c r="AU146" s="6"/>
      <c r="AV146" s="6"/>
      <c r="AW146" s="477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</row>
    <row r="147" spans="2:69" ht="15.75" customHeight="1" x14ac:dyDescent="0.25">
      <c r="B147" s="461" t="str">
        <f>'Monthly DCF'!B147</f>
        <v>Net sale Proceeds</v>
      </c>
      <c r="C147" s="54">
        <f>'Monthly DCF'!C147</f>
        <v>33958273.42727264</v>
      </c>
      <c r="D147" s="198"/>
      <c r="E147" s="668"/>
      <c r="F147" s="668"/>
      <c r="G147" s="668"/>
      <c r="H147" s="1318">
        <f>'Monthly DCF'!H147</f>
        <v>50405</v>
      </c>
      <c r="I147" s="670">
        <f>'Monthly DCF'!I147</f>
        <v>2.9802322387695314E-9</v>
      </c>
      <c r="J147" s="671">
        <f>'Monthly DCF'!J147</f>
        <v>-8.7107518315315269E-2</v>
      </c>
      <c r="P147" s="6"/>
      <c r="Q147" s="6"/>
      <c r="R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476"/>
      <c r="AN147" s="6"/>
      <c r="AO147" s="6"/>
      <c r="AP147" s="6"/>
      <c r="AQ147" s="6"/>
      <c r="AR147" s="6"/>
      <c r="AS147" s="6"/>
      <c r="AT147" s="6"/>
      <c r="AU147" s="6"/>
      <c r="AV147" s="6"/>
      <c r="AW147" s="477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</row>
    <row r="148" spans="2:69" ht="15.75" customHeight="1" x14ac:dyDescent="0.25">
      <c r="B148" s="461" t="str">
        <f>'Monthly DCF'!B148</f>
        <v>Less: Debt Repayment</v>
      </c>
      <c r="C148" s="55">
        <f>'Monthly DCF'!C148</f>
        <v>15430411.381066598</v>
      </c>
      <c r="D148" s="198"/>
      <c r="E148" s="1296"/>
      <c r="F148" s="1291"/>
      <c r="G148" s="1291"/>
      <c r="H148" s="1291"/>
      <c r="I148" s="314"/>
      <c r="J148" s="314"/>
      <c r="K148" s="283"/>
      <c r="P148" s="6"/>
      <c r="Q148" s="6"/>
      <c r="R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476"/>
      <c r="AN148" s="6"/>
      <c r="AO148" s="6"/>
      <c r="AP148" s="6"/>
      <c r="AQ148" s="6"/>
      <c r="AR148" s="6"/>
      <c r="AS148" s="6"/>
      <c r="AT148" s="6"/>
      <c r="AU148" s="6"/>
      <c r="AV148" s="6"/>
      <c r="AW148" s="477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</row>
    <row r="149" spans="2:69" ht="15.75" customHeight="1" x14ac:dyDescent="0.25">
      <c r="B149" s="48" t="str">
        <f>'Monthly DCF'!B149</f>
        <v>Borrower Cash Flow</v>
      </c>
      <c r="C149" s="49">
        <f>'Monthly DCF'!C149</f>
        <v>18527862.046206042</v>
      </c>
      <c r="D149" s="198"/>
      <c r="E149" s="1293"/>
      <c r="F149" s="1293"/>
      <c r="G149" s="1293"/>
      <c r="H149" s="1292" t="str">
        <f>'Monthly DCF'!H149</f>
        <v>Cap Rate Sensitivity</v>
      </c>
      <c r="I149" s="446"/>
      <c r="J149" s="446"/>
      <c r="K149" s="446"/>
      <c r="L149" s="446"/>
      <c r="M149" s="447"/>
      <c r="P149" s="6"/>
      <c r="Q149" s="6"/>
      <c r="R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476"/>
      <c r="AN149" s="6"/>
      <c r="AO149" s="6"/>
      <c r="AP149" s="6"/>
      <c r="AQ149" s="6"/>
      <c r="AR149" s="6"/>
      <c r="AS149" s="6"/>
      <c r="AT149" s="6"/>
      <c r="AU149" s="6"/>
      <c r="AV149" s="6"/>
      <c r="AW149" s="477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</row>
    <row r="150" spans="2:69" ht="15.75" customHeight="1" x14ac:dyDescent="0.25">
      <c r="B150" s="427">
        <f>'Monthly DCF'!B150</f>
        <v>0</v>
      </c>
      <c r="C150" s="427">
        <f>'Monthly DCF'!C150</f>
        <v>0</v>
      </c>
      <c r="D150" s="198"/>
      <c r="E150" s="1297"/>
      <c r="F150" s="666"/>
      <c r="G150" s="1295"/>
      <c r="H150" s="1299">
        <f>'Monthly DCF'!H150</f>
        <v>5.5E-2</v>
      </c>
      <c r="I150" s="1300">
        <f>'Monthly DCF'!I150</f>
        <v>0.12832521796226495</v>
      </c>
      <c r="J150" s="1301">
        <f>'Monthly DCF'!J150</f>
        <v>0.15519891381263737</v>
      </c>
      <c r="K150" s="1302">
        <f>'Monthly DCF'!K150</f>
        <v>1.6231190273660352</v>
      </c>
      <c r="L150" s="1303">
        <f>'Monthly DCF'!L150</f>
        <v>1.9770797192176428</v>
      </c>
      <c r="M150" s="1304">
        <f>'Monthly DCF'!M150</f>
        <v>35008529.306466639</v>
      </c>
      <c r="P150" s="6"/>
      <c r="Q150" s="6"/>
      <c r="R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476"/>
      <c r="AN150" s="6"/>
      <c r="AO150" s="6"/>
      <c r="AP150" s="6"/>
      <c r="AQ150" s="6"/>
      <c r="AR150" s="6"/>
      <c r="AS150" s="6"/>
      <c r="AT150" s="6"/>
      <c r="AU150" s="6"/>
      <c r="AV150" s="6"/>
      <c r="AW150" s="477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</row>
    <row r="151" spans="2:69" ht="15.75" customHeight="1" x14ac:dyDescent="0.25">
      <c r="B151" s="34" t="str">
        <f>'Monthly DCF'!B151</f>
        <v>Return Metrics</v>
      </c>
      <c r="C151" s="35">
        <f>'Monthly DCF'!C151</f>
        <v>0</v>
      </c>
      <c r="D151" s="198"/>
      <c r="E151" s="1298"/>
      <c r="F151" s="668"/>
      <c r="G151" s="668"/>
      <c r="H151" s="1274">
        <f>'Monthly DCF'!H151</f>
        <v>4.4999999999999991E-2</v>
      </c>
      <c r="I151" s="668">
        <f>'Monthly DCF'!I151</f>
        <v>0.17786728739738467</v>
      </c>
      <c r="J151" s="668">
        <f>'Monthly DCF'!J151</f>
        <v>0.23514037728309636</v>
      </c>
      <c r="K151" s="1305">
        <f>'Monthly DCF'!K151</f>
        <v>1.9385015066750912</v>
      </c>
      <c r="L151" s="1305">
        <f>'Monthly DCF'!L151</f>
        <v>2.7248011666632976</v>
      </c>
      <c r="M151" s="1306">
        <f>'Monthly DCF'!M151</f>
        <v>42788202.485681459</v>
      </c>
      <c r="P151" s="6"/>
      <c r="Q151" s="6"/>
      <c r="R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476"/>
      <c r="AN151" s="6"/>
      <c r="AO151" s="6"/>
      <c r="AP151" s="6"/>
      <c r="AQ151" s="6"/>
      <c r="AR151" s="6"/>
      <c r="AS151" s="6"/>
      <c r="AT151" s="6"/>
      <c r="AU151" s="6"/>
      <c r="AV151" s="6"/>
      <c r="AW151" s="477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</row>
    <row r="152" spans="2:69" ht="15.75" customHeight="1" x14ac:dyDescent="0.25">
      <c r="B152" s="13" t="str">
        <f>'Monthly DCF'!B152</f>
        <v>Unlevered IRR</v>
      </c>
      <c r="C152" s="38">
        <f>'Monthly DCF'!C152</f>
        <v>0.12832521796226495</v>
      </c>
      <c r="D152" s="198"/>
      <c r="E152" s="1298"/>
      <c r="F152" s="668"/>
      <c r="G152" s="668"/>
      <c r="H152" s="1274">
        <f>'Monthly DCF'!H152</f>
        <v>4.7499999999999994E-2</v>
      </c>
      <c r="I152" s="668">
        <f>'Monthly DCF'!I152</f>
        <v>0.16425880789756778</v>
      </c>
      <c r="J152" s="668">
        <f>'Monthly DCF'!J152</f>
        <v>0.21404433846473694</v>
      </c>
      <c r="K152" s="1305">
        <f>'Monthly DCF'!K152</f>
        <v>1.8472065784540488</v>
      </c>
      <c r="L152" s="1305">
        <f>'Monthly DCF'!L152</f>
        <v>2.5083555184053856</v>
      </c>
      <c r="M152" s="1306">
        <f>'Monthly DCF'!M152</f>
        <v>40536191.828540325</v>
      </c>
      <c r="P152" s="6"/>
      <c r="Q152" s="6"/>
      <c r="R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476"/>
      <c r="AN152" s="6"/>
      <c r="AO152" s="6"/>
      <c r="AP152" s="6"/>
      <c r="AQ152" s="6"/>
      <c r="AR152" s="6"/>
      <c r="AS152" s="6"/>
      <c r="AT152" s="6"/>
      <c r="AU152" s="6"/>
      <c r="AV152" s="6"/>
      <c r="AW152" s="477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</row>
    <row r="153" spans="2:69" ht="15.75" customHeight="1" x14ac:dyDescent="0.25">
      <c r="B153" s="13" t="str">
        <f>'Monthly DCF'!B153</f>
        <v>Levered IRR</v>
      </c>
      <c r="C153" s="38">
        <f>'Monthly DCF'!C153</f>
        <v>0.15519891381263737</v>
      </c>
      <c r="D153" s="198"/>
      <c r="E153" s="1298"/>
      <c r="F153" s="668"/>
      <c r="G153" s="668"/>
      <c r="H153" s="1274">
        <f>'Monthly DCF'!H153</f>
        <v>4.9999999999999996E-2</v>
      </c>
      <c r="I153" s="668">
        <f>'Monthly DCF'!I153</f>
        <v>0.15152657628059388</v>
      </c>
      <c r="J153" s="668">
        <f>'Monthly DCF'!J153</f>
        <v>0.19375914931297303</v>
      </c>
      <c r="K153" s="1305">
        <f>'Monthly DCF'!K153</f>
        <v>1.7650411430551103</v>
      </c>
      <c r="L153" s="1305">
        <f>'Monthly DCF'!L153</f>
        <v>2.3135543358885307</v>
      </c>
      <c r="M153" s="1306">
        <f>'Monthly DCF'!M153</f>
        <v>38509382.237113304</v>
      </c>
      <c r="P153" s="6"/>
      <c r="Q153" s="6"/>
      <c r="R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476"/>
      <c r="AN153" s="6"/>
      <c r="AO153" s="6"/>
      <c r="AP153" s="6"/>
      <c r="AQ153" s="6"/>
      <c r="AR153" s="6"/>
      <c r="AS153" s="6"/>
      <c r="AT153" s="6"/>
      <c r="AU153" s="6"/>
      <c r="AV153" s="6"/>
      <c r="AW153" s="477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</row>
    <row r="154" spans="2:69" ht="15.75" customHeight="1" x14ac:dyDescent="0.25">
      <c r="B154" s="461" t="str">
        <f>'Monthly DCF'!B154</f>
        <v>Unlevered EMx</v>
      </c>
      <c r="C154" s="42">
        <f>'Monthly DCF'!C154</f>
        <v>1.6231190273660352</v>
      </c>
      <c r="D154" s="198"/>
      <c r="E154" s="1298"/>
      <c r="F154" s="668"/>
      <c r="G154" s="668"/>
      <c r="H154" s="1274">
        <f>'Monthly DCF'!H154</f>
        <v>5.2499999999999998E-2</v>
      </c>
      <c r="I154" s="668">
        <f>'Monthly DCF'!I154</f>
        <v>0.13957564234733583</v>
      </c>
      <c r="J154" s="668">
        <f>'Monthly DCF'!J154</f>
        <v>0.17417570948600772</v>
      </c>
      <c r="K154" s="1305">
        <f>'Monthly DCF'!K154</f>
        <v>1.6907009872179757</v>
      </c>
      <c r="L154" s="1305">
        <f>'Monthly DCF'!L154</f>
        <v>2.1373057790576881</v>
      </c>
      <c r="M154" s="1306">
        <f>'Monthly DCF'!M154</f>
        <v>36675602.130584098</v>
      </c>
      <c r="P154" s="6"/>
      <c r="Q154" s="6"/>
      <c r="R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476"/>
      <c r="AN154" s="6"/>
      <c r="AO154" s="6"/>
      <c r="AP154" s="6"/>
      <c r="AQ154" s="6"/>
      <c r="AR154" s="6"/>
      <c r="AS154" s="6"/>
      <c r="AT154" s="6"/>
      <c r="AU154" s="6"/>
      <c r="AV154" s="6"/>
      <c r="AW154" s="477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</row>
    <row r="155" spans="2:69" ht="15.75" customHeight="1" x14ac:dyDescent="0.25">
      <c r="B155" s="461" t="str">
        <f>'Monthly DCF'!B155</f>
        <v>Levered EMx</v>
      </c>
      <c r="C155" s="42">
        <f>'Monthly DCF'!C155</f>
        <v>1.9770797192176428</v>
      </c>
      <c r="D155" s="198"/>
      <c r="E155" s="1298"/>
      <c r="F155" s="668"/>
      <c r="G155" s="668"/>
      <c r="H155" s="1274">
        <f>'Monthly DCF'!H155</f>
        <v>5.5E-2</v>
      </c>
      <c r="I155" s="668">
        <f>'Monthly DCF'!I155</f>
        <v>0.12832521796226495</v>
      </c>
      <c r="J155" s="668">
        <f>'Monthly DCF'!J155</f>
        <v>0.15519891381263737</v>
      </c>
      <c r="K155" s="1305">
        <f>'Monthly DCF'!K155</f>
        <v>1.6231190273660352</v>
      </c>
      <c r="L155" s="1305">
        <f>'Monthly DCF'!L155</f>
        <v>1.9770797192176428</v>
      </c>
      <c r="M155" s="1306">
        <f>'Monthly DCF'!M155</f>
        <v>35008529.306466639</v>
      </c>
      <c r="P155" s="6"/>
      <c r="Q155" s="6"/>
      <c r="R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476"/>
      <c r="AN155" s="6"/>
      <c r="AO155" s="6"/>
      <c r="AP155" s="6"/>
      <c r="AQ155" s="6"/>
      <c r="AR155" s="6"/>
      <c r="AS155" s="6"/>
      <c r="AT155" s="6"/>
      <c r="AU155" s="6"/>
      <c r="AV155" s="6"/>
      <c r="AW155" s="477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</row>
    <row r="156" spans="2:69" ht="15.75" customHeight="1" x14ac:dyDescent="0.25">
      <c r="B156" s="13" t="str">
        <f>'Monthly DCF'!B156</f>
        <v>Return on Cost</v>
      </c>
      <c r="C156" s="38">
        <f>'Monthly DCF'!C156</f>
        <v>8.0471302710300258E-2</v>
      </c>
      <c r="D156" s="198"/>
      <c r="E156" s="1298"/>
      <c r="F156" s="668"/>
      <c r="G156" s="668"/>
      <c r="H156" s="1274">
        <f>'Monthly DCF'!H156</f>
        <v>5.7500000000000002E-2</v>
      </c>
      <c r="I156" s="668">
        <f>'Monthly DCF'!I156</f>
        <v>0.11770603060722351</v>
      </c>
      <c r="J156" s="668">
        <f>'Monthly DCF'!J156</f>
        <v>0.13674481511116029</v>
      </c>
      <c r="K156" s="1305">
        <f>'Monthly DCF'!K156</f>
        <v>1.5614137596751334</v>
      </c>
      <c r="L156" s="1305">
        <f>'Monthly DCF'!L156</f>
        <v>1.8307863602332535</v>
      </c>
      <c r="M156" s="1306">
        <f>'Monthly DCF'!M156</f>
        <v>33486419.336620264</v>
      </c>
      <c r="P156" s="6"/>
      <c r="Q156" s="6"/>
      <c r="R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476"/>
      <c r="AN156" s="6"/>
      <c r="AO156" s="6"/>
      <c r="AP156" s="6"/>
      <c r="AQ156" s="6"/>
      <c r="AR156" s="6"/>
      <c r="AS156" s="6"/>
      <c r="AT156" s="6"/>
      <c r="AU156" s="6"/>
      <c r="AV156" s="6"/>
      <c r="AW156" s="477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</row>
    <row r="157" spans="2:69" ht="15.75" customHeight="1" x14ac:dyDescent="0.25">
      <c r="B157" s="13" t="str">
        <f>'Monthly DCF'!B157</f>
        <v>Return on Equity</v>
      </c>
      <c r="C157" s="38">
        <f>'Monthly DCF'!C157</f>
        <v>0.14834259305391215</v>
      </c>
      <c r="D157" s="198"/>
      <c r="E157" s="1298"/>
      <c r="F157" s="668"/>
      <c r="G157" s="668"/>
      <c r="H157" s="1274">
        <f>'Monthly DCF'!H157</f>
        <v>6.0000000000000005E-2</v>
      </c>
      <c r="I157" s="668">
        <f>'Monthly DCF'!I157</f>
        <v>0.10765829682350159</v>
      </c>
      <c r="J157" s="668">
        <f>'Monthly DCF'!J157</f>
        <v>0.11873837113380431</v>
      </c>
      <c r="K157" s="1305">
        <f>'Monthly DCF'!K157</f>
        <v>1.5048505976251394</v>
      </c>
      <c r="L157" s="1305">
        <f>'Monthly DCF'!L157</f>
        <v>1.6966841888111139</v>
      </c>
      <c r="M157" s="1306">
        <f>'Monthly DCF'!M157</f>
        <v>32091151.864261083</v>
      </c>
      <c r="P157" s="6"/>
      <c r="Q157" s="6"/>
      <c r="R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476"/>
      <c r="AN157" s="6"/>
      <c r="AO157" s="6"/>
      <c r="AP157" s="6"/>
      <c r="AQ157" s="6"/>
      <c r="AR157" s="6"/>
      <c r="AS157" s="6"/>
      <c r="AT157" s="6"/>
      <c r="AU157" s="6"/>
      <c r="AV157" s="6"/>
      <c r="AW157" s="477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</row>
    <row r="158" spans="2:69" ht="20.25" customHeight="1" x14ac:dyDescent="0.25">
      <c r="B158" s="48" t="str">
        <f>'Monthly DCF'!B158</f>
        <v>CAGR</v>
      </c>
      <c r="C158" s="52">
        <f>'Monthly DCF'!C158</f>
        <v>7.9085032042923054E-2</v>
      </c>
      <c r="D158" s="198"/>
      <c r="E158" s="1298"/>
      <c r="F158" s="668"/>
      <c r="G158" s="668"/>
      <c r="H158" s="1274">
        <f>'Monthly DCF'!H158</f>
        <v>6.25E-2</v>
      </c>
      <c r="I158" s="668">
        <f>'Monthly DCF'!I158</f>
        <v>9.8130065202713029E-2</v>
      </c>
      <c r="J158" s="668">
        <f>'Monthly DCF'!J158</f>
        <v>0.10111150145530701</v>
      </c>
      <c r="K158" s="1305">
        <f>'Monthly DCF'!K158</f>
        <v>1.4528124885391454</v>
      </c>
      <c r="L158" s="1305">
        <f>'Monthly DCF'!L158</f>
        <v>1.573310119761737</v>
      </c>
      <c r="M158" s="1306">
        <f>'Monthly DCF'!M158</f>
        <v>30807505.789690644</v>
      </c>
      <c r="P158" s="6"/>
      <c r="Q158" s="6"/>
      <c r="R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476"/>
      <c r="AN158" s="6"/>
      <c r="AO158" s="6"/>
      <c r="AP158" s="6"/>
      <c r="AQ158" s="6"/>
      <c r="AR158" s="6"/>
      <c r="AS158" s="6"/>
      <c r="AT158" s="6"/>
      <c r="AU158" s="6"/>
      <c r="AV158" s="6"/>
      <c r="AW158" s="477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</row>
    <row r="159" spans="2:69" ht="20.25" customHeight="1" x14ac:dyDescent="0.25">
      <c r="B159" s="6"/>
      <c r="C159" s="6"/>
      <c r="D159" s="198"/>
      <c r="E159" s="1298"/>
      <c r="F159" s="668"/>
      <c r="G159" s="668"/>
      <c r="H159" s="1275">
        <f>'Monthly DCF'!H159</f>
        <v>6.5000000000000002E-2</v>
      </c>
      <c r="I159" s="670">
        <f>'Monthly DCF'!I159</f>
        <v>8.9075955748558061E-2</v>
      </c>
      <c r="J159" s="670">
        <f>'Monthly DCF'!J159</f>
        <v>8.3801642060279874E-2</v>
      </c>
      <c r="K159" s="1307">
        <f>'Monthly DCF'!K159</f>
        <v>1.4047773109213046</v>
      </c>
      <c r="L159" s="1307">
        <f>'Monthly DCF'!L159</f>
        <v>1.459426386581866</v>
      </c>
      <c r="M159" s="1308">
        <f>'Monthly DCF'!M159</f>
        <v>29622601.720856387</v>
      </c>
      <c r="P159" s="6"/>
      <c r="Q159" s="6"/>
      <c r="R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476"/>
      <c r="AN159" s="6"/>
      <c r="AO159" s="6"/>
      <c r="AP159" s="6"/>
      <c r="AQ159" s="6"/>
      <c r="AR159" s="6"/>
      <c r="AS159" s="6"/>
      <c r="AT159" s="6"/>
      <c r="AU159" s="6"/>
      <c r="AV159" s="6"/>
      <c r="AW159" s="477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</row>
    <row r="160" spans="2:69" ht="20.25" customHeight="1" x14ac:dyDescent="0.25">
      <c r="B160" s="34" t="str">
        <f>'Monthly DCF'!B160</f>
        <v>Risk Metrics</v>
      </c>
      <c r="C160" s="35">
        <f>'Monthly DCF'!C160</f>
        <v>0</v>
      </c>
      <c r="D160" s="198"/>
      <c r="E160" s="579"/>
      <c r="F160" s="579"/>
      <c r="G160" s="579"/>
      <c r="H160" s="579"/>
      <c r="I160" s="6"/>
      <c r="J160" s="6"/>
      <c r="P160" s="6"/>
      <c r="Q160" s="6"/>
      <c r="R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476"/>
      <c r="AN160" s="6"/>
      <c r="AO160" s="6"/>
      <c r="AP160" s="6"/>
      <c r="AQ160" s="6"/>
      <c r="AR160" s="6"/>
      <c r="AS160" s="6"/>
      <c r="AT160" s="6"/>
      <c r="AU160" s="6"/>
      <c r="AV160" s="6"/>
      <c r="AW160" s="477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</row>
    <row r="161" spans="2:69" ht="20.25" customHeight="1" x14ac:dyDescent="0.25">
      <c r="B161" s="13" t="str">
        <f>'Monthly DCF'!B161</f>
        <v>DCR @ Sale</v>
      </c>
      <c r="C161" s="57">
        <f>'Monthly DCF'!C161</f>
        <v>1.5143694496151627</v>
      </c>
      <c r="D161" s="198"/>
      <c r="E161" s="6"/>
      <c r="F161" s="6"/>
      <c r="G161" s="6"/>
      <c r="H161" s="6"/>
      <c r="I161" s="6"/>
      <c r="J161" s="6"/>
      <c r="P161" s="6"/>
      <c r="Q161" s="6"/>
      <c r="R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476"/>
      <c r="AN161" s="6"/>
      <c r="AO161" s="6"/>
      <c r="AP161" s="6"/>
      <c r="AQ161" s="6"/>
      <c r="AR161" s="6"/>
      <c r="AS161" s="6"/>
      <c r="AT161" s="6"/>
      <c r="AU161" s="6"/>
      <c r="AV161" s="6"/>
      <c r="AW161" s="477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</row>
    <row r="162" spans="2:69" ht="20.25" customHeight="1" x14ac:dyDescent="0.25">
      <c r="B162" s="13" t="str">
        <f>'Monthly DCF'!B162</f>
        <v>Debt Yield @ Sale</v>
      </c>
      <c r="C162" s="38">
        <f>'Monthly DCF'!C162</f>
        <v>0.1238020041696927</v>
      </c>
      <c r="D162" s="231"/>
      <c r="E162" s="169"/>
      <c r="F162" s="169"/>
      <c r="G162" s="169"/>
      <c r="H162" s="662" t="str">
        <f>'Monthly DCF'!H162</f>
        <v>Vacancy Sensitivity</v>
      </c>
      <c r="I162" s="663"/>
      <c r="J162" s="663"/>
      <c r="K162" s="663"/>
      <c r="L162" s="663"/>
      <c r="M162" s="664"/>
      <c r="N162" s="447"/>
      <c r="P162" s="6"/>
      <c r="Q162" s="6"/>
      <c r="R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476"/>
      <c r="AN162" s="6"/>
      <c r="AO162" s="6"/>
      <c r="AP162" s="6"/>
      <c r="AQ162" s="6"/>
      <c r="AR162" s="6"/>
      <c r="AS162" s="6"/>
      <c r="AT162" s="6"/>
      <c r="AU162" s="6"/>
      <c r="AV162" s="6"/>
      <c r="AW162" s="477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</row>
    <row r="163" spans="2:69" ht="20.25" customHeight="1" x14ac:dyDescent="0.25">
      <c r="B163" s="473" t="str">
        <f>'Monthly DCF'!B163</f>
        <v>Breakeven Month</v>
      </c>
      <c r="C163" s="62">
        <f>'Monthly DCF'!C163</f>
        <v>31</v>
      </c>
      <c r="D163" s="198"/>
      <c r="E163" s="6"/>
      <c r="F163" s="6"/>
      <c r="G163" s="6"/>
      <c r="H163" s="2033">
        <f>'Monthly DCF'!H163</f>
        <v>0.05</v>
      </c>
      <c r="I163" s="666">
        <f>'Monthly DCF'!I163</f>
        <v>0.12832521796226495</v>
      </c>
      <c r="J163" s="1295">
        <f>'Monthly DCF'!J163</f>
        <v>0.15519891381263737</v>
      </c>
      <c r="K163" s="2034">
        <f>'Monthly DCF'!K163</f>
        <v>1.6231190273660352</v>
      </c>
      <c r="L163" s="2035">
        <f>'Monthly DCF'!L163</f>
        <v>1.9770797192176428</v>
      </c>
      <c r="M163" s="2036">
        <f>'Monthly DCF'!M163</f>
        <v>35008529.306466639</v>
      </c>
      <c r="N163" s="672">
        <f>'Monthly DCF'!N163</f>
        <v>8.0471302710300258E-2</v>
      </c>
      <c r="P163" s="6"/>
      <c r="Q163" s="6"/>
      <c r="R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476"/>
      <c r="AN163" s="6"/>
      <c r="AO163" s="6"/>
      <c r="AP163" s="6"/>
      <c r="AQ163" s="6"/>
      <c r="AR163" s="6"/>
      <c r="AS163" s="6"/>
      <c r="AT163" s="6"/>
      <c r="AU163" s="6"/>
      <c r="AV163" s="6"/>
      <c r="AW163" s="477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</row>
    <row r="164" spans="2:69" ht="20.25" customHeight="1" x14ac:dyDescent="0.25">
      <c r="B164" s="6"/>
      <c r="C164" s="6"/>
      <c r="D164" s="6"/>
      <c r="E164" s="6"/>
      <c r="F164" s="6"/>
      <c r="G164" s="6"/>
      <c r="H164" s="1274">
        <f>'Monthly DCF'!H164</f>
        <v>0</v>
      </c>
      <c r="I164" s="668">
        <f>'Monthly DCF'!I164</f>
        <v>0.14890608191490176</v>
      </c>
      <c r="J164" s="668">
        <f>'Monthly DCF'!J164</f>
        <v>0.1896630346775055</v>
      </c>
      <c r="K164" s="1305">
        <f>'Monthly DCF'!K164</f>
        <v>1.7464608477083108</v>
      </c>
      <c r="L164" s="1305">
        <f>'Monthly DCF'!L164</f>
        <v>2.2695034427981846</v>
      </c>
      <c r="M164" s="1306">
        <f>'Monthly DCF'!M164</f>
        <v>37732014.418544888</v>
      </c>
      <c r="N164" s="460">
        <f>'Monthly DCF'!N164</f>
        <v>8.673155983114314E-2</v>
      </c>
      <c r="P164" s="6"/>
      <c r="Q164" s="6"/>
      <c r="R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476"/>
      <c r="AN164" s="6"/>
      <c r="AO164" s="6"/>
      <c r="AP164" s="6"/>
      <c r="AQ164" s="6"/>
      <c r="AR164" s="6"/>
      <c r="AS164" s="6"/>
      <c r="AT164" s="6"/>
      <c r="AU164" s="6"/>
      <c r="AV164" s="6"/>
      <c r="AW164" s="477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</row>
    <row r="165" spans="2:69" ht="20.25" customHeight="1" x14ac:dyDescent="0.25">
      <c r="B165" s="6"/>
      <c r="C165" s="6"/>
      <c r="D165" s="6"/>
      <c r="E165" s="6"/>
      <c r="F165" s="6"/>
      <c r="G165" s="6"/>
      <c r="H165" s="1274">
        <f>'Monthly DCF'!H165</f>
        <v>0.03</v>
      </c>
      <c r="I165" s="668">
        <f>'Monthly DCF'!I165</f>
        <v>0.1366999328136444</v>
      </c>
      <c r="J165" s="668">
        <f>'Monthly DCF'!J165</f>
        <v>0.16942896246910097</v>
      </c>
      <c r="K165" s="1305">
        <f>'Monthly DCF'!K165</f>
        <v>1.6724557555029456</v>
      </c>
      <c r="L165" s="1305">
        <f>'Monthly DCF'!L165</f>
        <v>2.0940492482837532</v>
      </c>
      <c r="M165" s="1306">
        <f>'Monthly DCF'!M165</f>
        <v>36097923.351297945</v>
      </c>
      <c r="N165" s="460">
        <f>'Monthly DCF'!N165</f>
        <v>8.297540555863743E-2</v>
      </c>
      <c r="P165" s="6"/>
      <c r="Q165" s="6"/>
      <c r="R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476"/>
      <c r="AN165" s="6"/>
      <c r="AO165" s="6"/>
      <c r="AP165" s="6"/>
      <c r="AQ165" s="6"/>
      <c r="AR165" s="6"/>
      <c r="AS165" s="6"/>
      <c r="AT165" s="6"/>
      <c r="AU165" s="6"/>
      <c r="AV165" s="6"/>
      <c r="AW165" s="477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</row>
    <row r="166" spans="2:69" ht="20.25" customHeight="1" x14ac:dyDescent="0.25">
      <c r="B166" s="6"/>
      <c r="C166" s="6"/>
      <c r="D166" s="6"/>
      <c r="E166" s="6"/>
      <c r="F166" s="6"/>
      <c r="G166" s="6"/>
      <c r="H166" s="1274">
        <f>'Monthly DCF'!H166</f>
        <v>0.08</v>
      </c>
      <c r="I166" s="668">
        <f>'Monthly DCF'!I166</f>
        <v>0.11538055539131167</v>
      </c>
      <c r="J166" s="668">
        <f>'Monthly DCF'!J166</f>
        <v>0.13258133530616759</v>
      </c>
      <c r="K166" s="1305">
        <f>'Monthly DCF'!K166</f>
        <v>1.5491139351606706</v>
      </c>
      <c r="L166" s="1305">
        <f>'Monthly DCF'!L166</f>
        <v>1.8016244347711321</v>
      </c>
      <c r="M166" s="1306">
        <f>'Monthly DCF'!M166</f>
        <v>33374438.239219695</v>
      </c>
      <c r="N166" s="460">
        <f>'Monthly DCF'!N166</f>
        <v>7.6715148437794534E-2</v>
      </c>
      <c r="P166" s="6"/>
      <c r="Q166" s="6"/>
      <c r="R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476"/>
      <c r="AN166" s="6"/>
      <c r="AO166" s="6"/>
      <c r="AP166" s="6"/>
      <c r="AQ166" s="6"/>
      <c r="AR166" s="6"/>
      <c r="AS166" s="6"/>
      <c r="AT166" s="6"/>
      <c r="AU166" s="6"/>
      <c r="AV166" s="6"/>
      <c r="AW166" s="477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</row>
    <row r="167" spans="2:69" ht="20.25" customHeight="1" x14ac:dyDescent="0.25">
      <c r="B167" s="6"/>
      <c r="C167" s="6"/>
      <c r="D167" s="6"/>
      <c r="E167" s="6"/>
      <c r="F167" s="6"/>
      <c r="G167" s="6"/>
      <c r="H167" s="1274">
        <f>'Monthly DCF'!H167</f>
        <v>0.15</v>
      </c>
      <c r="I167" s="668">
        <f>'Monthly DCF'!I167</f>
        <v>8.3170136809349079E-2</v>
      </c>
      <c r="J167" s="668">
        <f>'Monthly DCF'!J167</f>
        <v>7.2299644351005568E-2</v>
      </c>
      <c r="K167" s="1305">
        <f>'Monthly DCF'!K167</f>
        <v>1.3764353866814851</v>
      </c>
      <c r="L167" s="1305">
        <f>'Monthly DCF'!L167</f>
        <v>1.3922315784634176</v>
      </c>
      <c r="M167" s="1306">
        <f>'Monthly DCF'!M167</f>
        <v>29561559.082310144</v>
      </c>
      <c r="N167" s="460">
        <f>'Monthly DCF'!N167</f>
        <v>6.7950788468614479E-2</v>
      </c>
      <c r="P167" s="6"/>
      <c r="Q167" s="6"/>
      <c r="R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476"/>
      <c r="AN167" s="6"/>
      <c r="AO167" s="6"/>
      <c r="AP167" s="6"/>
      <c r="AQ167" s="6"/>
      <c r="AR167" s="6"/>
      <c r="AS167" s="6"/>
      <c r="AT167" s="6"/>
      <c r="AU167" s="6"/>
      <c r="AV167" s="6"/>
      <c r="AW167" s="477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</row>
    <row r="168" spans="2:69" ht="20.25" customHeight="1" x14ac:dyDescent="0.25">
      <c r="B168" s="6"/>
      <c r="C168" s="6"/>
      <c r="D168" s="6"/>
      <c r="E168" s="6"/>
      <c r="F168" s="6"/>
      <c r="G168" s="6"/>
      <c r="H168" s="1275">
        <f>'Monthly DCF'!H168</f>
        <v>0.25</v>
      </c>
      <c r="I168" s="670">
        <f>'Monthly DCF'!I168</f>
        <v>3.1108042597770696E-2</v>
      </c>
      <c r="J168" s="670">
        <f>'Monthly DCF'!J168</f>
        <v>-4.3855103850364688E-2</v>
      </c>
      <c r="K168" s="1307">
        <f>'Monthly DCF'!K168</f>
        <v>1.1297517459969355</v>
      </c>
      <c r="L168" s="1307">
        <f>'Monthly DCF'!L168</f>
        <v>0.80732844568155038</v>
      </c>
      <c r="M168" s="1308">
        <f>'Monthly DCF'!M168</f>
        <v>24114588.858153671</v>
      </c>
      <c r="N168" s="467">
        <f>'Monthly DCF'!N168</f>
        <v>5.5430274226928755E-2</v>
      </c>
      <c r="P168" s="6"/>
      <c r="Q168" s="6"/>
      <c r="R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476"/>
      <c r="AN168" s="6"/>
      <c r="AO168" s="6"/>
      <c r="AP168" s="6"/>
      <c r="AQ168" s="6"/>
      <c r="AR168" s="6"/>
      <c r="AS168" s="6"/>
      <c r="AT168" s="6"/>
      <c r="AU168" s="6"/>
      <c r="AV168" s="6"/>
      <c r="AW168" s="477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</row>
    <row r="169" spans="2:69" ht="20.25" customHeight="1" x14ac:dyDescent="0.25">
      <c r="B169" s="6"/>
      <c r="C169" s="6"/>
      <c r="D169" s="6"/>
      <c r="E169" s="6"/>
      <c r="F169" s="6"/>
      <c r="G169" s="6"/>
      <c r="N169" s="283"/>
      <c r="P169" s="6"/>
      <c r="Q169" s="6"/>
      <c r="R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476"/>
      <c r="AN169" s="6"/>
      <c r="AO169" s="6"/>
      <c r="AP169" s="6"/>
      <c r="AQ169" s="6"/>
      <c r="AR169" s="6"/>
      <c r="AS169" s="6"/>
      <c r="AT169" s="6"/>
      <c r="AU169" s="6"/>
      <c r="AV169" s="6"/>
      <c r="AW169" s="477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</row>
    <row r="170" spans="2:69" ht="20.25" customHeight="1" x14ac:dyDescent="0.25">
      <c r="B170" s="6"/>
      <c r="C170" s="6"/>
      <c r="D170" s="6"/>
      <c r="E170" s="6"/>
      <c r="F170" s="6"/>
      <c r="G170" s="6"/>
      <c r="H170" s="662" t="str">
        <f>'Monthly DCF'!H170</f>
        <v>Expense Growth Sensitivity</v>
      </c>
      <c r="I170" s="663"/>
      <c r="J170" s="663"/>
      <c r="K170" s="663"/>
      <c r="L170" s="663"/>
      <c r="M170" s="664"/>
      <c r="N170" s="447"/>
      <c r="P170" s="6"/>
      <c r="Q170" s="6"/>
      <c r="R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476"/>
      <c r="AN170" s="6"/>
      <c r="AO170" s="6"/>
      <c r="AP170" s="6"/>
      <c r="AQ170" s="6"/>
      <c r="AR170" s="6"/>
      <c r="AS170" s="6"/>
      <c r="AT170" s="6"/>
      <c r="AU170" s="6"/>
      <c r="AV170" s="6"/>
      <c r="AW170" s="477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</row>
    <row r="171" spans="2:69" ht="20.25" customHeight="1" x14ac:dyDescent="0.25">
      <c r="B171" s="6"/>
      <c r="C171" s="6"/>
      <c r="D171" s="6"/>
      <c r="E171" s="6"/>
      <c r="F171" s="6"/>
      <c r="G171" s="6"/>
      <c r="H171" s="2037">
        <f>'Monthly DCF'!H171</f>
        <v>0.03</v>
      </c>
      <c r="I171" s="666">
        <f>'Monthly DCF'!I171</f>
        <v>0.12832521796226495</v>
      </c>
      <c r="J171" s="1295">
        <f>'Monthly DCF'!J171</f>
        <v>0.15519891381263737</v>
      </c>
      <c r="K171" s="2034">
        <f>'Monthly DCF'!K171</f>
        <v>1.6231190273660352</v>
      </c>
      <c r="L171" s="2035">
        <f>'Monthly DCF'!L171</f>
        <v>1.9770797192176428</v>
      </c>
      <c r="M171" s="2036">
        <f>'Monthly DCF'!M171</f>
        <v>35008529.306466639</v>
      </c>
      <c r="N171" s="456">
        <f>'Monthly DCF'!N171</f>
        <v>8.0471302710300258E-2</v>
      </c>
      <c r="P171" s="6"/>
      <c r="Q171" s="6"/>
      <c r="R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476"/>
      <c r="AN171" s="6"/>
      <c r="AO171" s="6"/>
      <c r="AP171" s="6"/>
      <c r="AQ171" s="6"/>
      <c r="AR171" s="6"/>
      <c r="AS171" s="6"/>
      <c r="AT171" s="6"/>
      <c r="AU171" s="6"/>
      <c r="AV171" s="6"/>
      <c r="AW171" s="477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</row>
    <row r="172" spans="2:69" ht="20.25" customHeight="1" x14ac:dyDescent="0.25">
      <c r="B172" s="6"/>
      <c r="C172" s="6"/>
      <c r="D172" s="6"/>
      <c r="E172" s="6"/>
      <c r="F172" s="6"/>
      <c r="G172" s="6"/>
      <c r="H172" s="1274">
        <f>'Monthly DCF'!H172</f>
        <v>0</v>
      </c>
      <c r="I172" s="668">
        <f>'Monthly DCF'!I172</f>
        <v>0.15203235745429994</v>
      </c>
      <c r="J172" s="668">
        <f>'Monthly DCF'!J172</f>
        <v>0.19470229744911191</v>
      </c>
      <c r="K172" s="1305">
        <f>'Monthly DCF'!K172</f>
        <v>1.7658964885642989</v>
      </c>
      <c r="L172" s="1305">
        <f>'Monthly DCF'!L172</f>
        <v>2.3158849079284831</v>
      </c>
      <c r="M172" s="1306">
        <f>'Monthly DCF'!M172</f>
        <v>38210760.730892323</v>
      </c>
      <c r="N172" s="460">
        <f>'Monthly DCF'!N172</f>
        <v>8.7832015639643352E-2</v>
      </c>
      <c r="P172" s="6"/>
      <c r="Q172" s="6"/>
      <c r="R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476"/>
      <c r="AN172" s="6"/>
      <c r="AO172" s="6"/>
      <c r="AP172" s="6"/>
      <c r="AQ172" s="6"/>
      <c r="AR172" s="6"/>
      <c r="AS172" s="6"/>
      <c r="AT172" s="6"/>
      <c r="AU172" s="6"/>
      <c r="AV172" s="6"/>
      <c r="AW172" s="477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</row>
    <row r="173" spans="2:69" ht="20.25" customHeight="1" x14ac:dyDescent="0.25">
      <c r="B173" s="6"/>
      <c r="C173" s="6"/>
      <c r="D173" s="6"/>
      <c r="E173" s="6"/>
      <c r="F173" s="6"/>
      <c r="G173" s="6"/>
      <c r="H173" s="1274">
        <f>'Monthly DCF'!H173</f>
        <v>0.02</v>
      </c>
      <c r="I173" s="668">
        <f>'Monthly DCF'!I173</f>
        <v>0.13678424954414367</v>
      </c>
      <c r="J173" s="668">
        <f>'Monthly DCF'!J173</f>
        <v>0.16955447793006898</v>
      </c>
      <c r="K173" s="1305">
        <f>'Monthly DCF'!K173</f>
        <v>1.6729970825490841</v>
      </c>
      <c r="L173" s="1305">
        <f>'Monthly DCF'!L173</f>
        <v>2.0954354437192761</v>
      </c>
      <c r="M173" s="1306">
        <f>'Monthly DCF'!M173</f>
        <v>36128841.21344731</v>
      </c>
      <c r="N173" s="460">
        <f>'Monthly DCF'!N173</f>
        <v>8.3046473972348753E-2</v>
      </c>
      <c r="P173" s="6"/>
      <c r="Q173" s="6"/>
      <c r="R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476"/>
      <c r="AN173" s="6"/>
      <c r="AO173" s="6"/>
      <c r="AP173" s="6"/>
      <c r="AQ173" s="6"/>
      <c r="AR173" s="6"/>
      <c r="AS173" s="6"/>
      <c r="AT173" s="6"/>
      <c r="AU173" s="6"/>
      <c r="AV173" s="6"/>
      <c r="AW173" s="477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</row>
    <row r="174" spans="2:69" ht="15.75" customHeight="1" x14ac:dyDescent="0.25">
      <c r="B174" s="6"/>
      <c r="C174" s="6"/>
      <c r="D174" s="6"/>
      <c r="E174" s="6"/>
      <c r="F174" s="6"/>
      <c r="G174" s="6"/>
      <c r="H174" s="1274">
        <f>'Monthly DCF'!H174</f>
        <v>0.04</v>
      </c>
      <c r="I174" s="668">
        <f>'Monthly DCF'!I174</f>
        <v>0.11923823952674864</v>
      </c>
      <c r="J174" s="668">
        <f>'Monthly DCF'!J174</f>
        <v>0.13941819071769712</v>
      </c>
      <c r="K174" s="1305">
        <f>'Monthly DCF'!K174</f>
        <v>1.5708363647977241</v>
      </c>
      <c r="L174" s="1305">
        <f>'Monthly DCF'!L174</f>
        <v>1.853020776483467</v>
      </c>
      <c r="M174" s="1306">
        <f>'Monthly DCF'!M174</f>
        <v>33832493.048815683</v>
      </c>
      <c r="N174" s="460">
        <f>'Monthly DCF'!N174</f>
        <v>7.7768042345968472E-2</v>
      </c>
      <c r="P174" s="6"/>
      <c r="Q174" s="6"/>
      <c r="R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476"/>
      <c r="AN174" s="6"/>
      <c r="AO174" s="6"/>
      <c r="AP174" s="6"/>
      <c r="AQ174" s="6"/>
      <c r="AR174" s="6"/>
      <c r="AS174" s="6"/>
      <c r="AT174" s="6"/>
      <c r="AU174" s="6"/>
      <c r="AV174" s="6"/>
      <c r="AW174" s="477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</row>
    <row r="175" spans="2:69" ht="15.75" customHeight="1" x14ac:dyDescent="0.25">
      <c r="B175" s="6"/>
      <c r="C175" s="6"/>
      <c r="D175" s="6"/>
      <c r="E175" s="6"/>
      <c r="F175" s="6"/>
      <c r="G175" s="6"/>
      <c r="H175" s="1274">
        <f>'Monthly DCF'!H175</f>
        <v>0.06</v>
      </c>
      <c r="I175" s="668">
        <f>'Monthly DCF'!I175</f>
        <v>9.8916834592819219E-2</v>
      </c>
      <c r="J175" s="668">
        <f>'Monthly DCF'!J175</f>
        <v>0.10257917046546935</v>
      </c>
      <c r="K175" s="1305">
        <f>'Monthly DCF'!K175</f>
        <v>1.458684432949596</v>
      </c>
      <c r="L175" s="1305">
        <f>'Monthly DCF'!L175</f>
        <v>1.5869078151300804</v>
      </c>
      <c r="M175" s="1306">
        <f>'Monthly DCF'!M175</f>
        <v>31304400.553966399</v>
      </c>
      <c r="N175" s="460">
        <f>'Monthly DCF'!N175</f>
        <v>7.1956918586620025E-2</v>
      </c>
      <c r="P175" s="6"/>
      <c r="Q175" s="6"/>
      <c r="R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476"/>
      <c r="AN175" s="6"/>
      <c r="AO175" s="6"/>
      <c r="AP175" s="6"/>
      <c r="AQ175" s="6"/>
      <c r="AR175" s="6"/>
      <c r="AS175" s="6"/>
      <c r="AT175" s="6"/>
      <c r="AU175" s="6"/>
      <c r="AV175" s="6"/>
      <c r="AW175" s="477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</row>
    <row r="176" spans="2:69" ht="15.75" customHeight="1" x14ac:dyDescent="0.25">
      <c r="B176" s="6"/>
      <c r="C176" s="6"/>
      <c r="D176" s="6"/>
      <c r="E176" s="6"/>
      <c r="F176" s="6"/>
      <c r="G176" s="6"/>
      <c r="H176" s="1275">
        <f>'Monthly DCF'!H176</f>
        <v>0.08</v>
      </c>
      <c r="I176" s="670">
        <f>'Monthly DCF'!I176</f>
        <v>7.5177517533302332E-2</v>
      </c>
      <c r="J176" s="670">
        <f>'Monthly DCF'!J176</f>
        <v>5.619366466999054E-2</v>
      </c>
      <c r="K176" s="1307">
        <f>'Monthly DCF'!K176</f>
        <v>1.3357687991574134</v>
      </c>
      <c r="L176" s="1307">
        <f>'Monthly DCF'!L176</f>
        <v>1.2952708243413937</v>
      </c>
      <c r="M176" s="1308">
        <f>'Monthly DCF'!M176</f>
        <v>28526219.848177373</v>
      </c>
      <c r="N176" s="467">
        <f>'Monthly DCF'!N176</f>
        <v>6.5570937084730191E-2</v>
      </c>
      <c r="P176" s="6"/>
      <c r="Q176" s="6"/>
      <c r="R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476"/>
      <c r="AN176" s="6"/>
      <c r="AO176" s="6"/>
      <c r="AP176" s="6"/>
      <c r="AQ176" s="6"/>
      <c r="AR176" s="6"/>
      <c r="AS176" s="6"/>
      <c r="AT176" s="6"/>
      <c r="AU176" s="6"/>
      <c r="AV176" s="6"/>
      <c r="AW176" s="477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</row>
    <row r="177" spans="2:69" ht="15.75" customHeight="1" x14ac:dyDescent="0.25">
      <c r="B177" s="6"/>
      <c r="C177" s="6"/>
      <c r="D177" s="6"/>
      <c r="E177" s="6"/>
      <c r="F177" s="6"/>
      <c r="G177" s="6"/>
      <c r="H177" s="283"/>
      <c r="I177" s="283"/>
      <c r="J177" s="283"/>
      <c r="K177" s="283"/>
      <c r="L177" s="283"/>
      <c r="M177" s="283"/>
      <c r="N177" s="283"/>
      <c r="P177" s="6"/>
      <c r="Q177" s="6"/>
      <c r="R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476"/>
      <c r="AN177" s="6"/>
      <c r="AO177" s="6"/>
      <c r="AP177" s="6"/>
      <c r="AQ177" s="6"/>
      <c r="AR177" s="6"/>
      <c r="AS177" s="6"/>
      <c r="AT177" s="6"/>
      <c r="AU177" s="6"/>
      <c r="AV177" s="6"/>
      <c r="AW177" s="477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</row>
    <row r="178" spans="2:69" ht="15.75" customHeight="1" x14ac:dyDescent="0.25">
      <c r="B178" s="6"/>
      <c r="C178" s="6"/>
      <c r="D178" s="6"/>
      <c r="E178" s="6"/>
      <c r="F178" s="6"/>
      <c r="G178" s="6"/>
      <c r="H178" s="662" t="str">
        <f>'Monthly DCF'!H178</f>
        <v>Rent Growth Sensitivity</v>
      </c>
      <c r="I178" s="663"/>
      <c r="J178" s="663"/>
      <c r="K178" s="663"/>
      <c r="L178" s="663"/>
      <c r="M178" s="664"/>
      <c r="N178" s="447"/>
      <c r="P178" s="6"/>
      <c r="Q178" s="6"/>
      <c r="R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476"/>
      <c r="AN178" s="6"/>
      <c r="AO178" s="6"/>
      <c r="AP178" s="6"/>
      <c r="AQ178" s="6"/>
      <c r="AR178" s="6"/>
      <c r="AS178" s="6"/>
      <c r="AT178" s="6"/>
      <c r="AU178" s="6"/>
      <c r="AV178" s="6"/>
      <c r="AW178" s="477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</row>
    <row r="179" spans="2:69" ht="15.75" customHeight="1" x14ac:dyDescent="0.25">
      <c r="B179" s="6"/>
      <c r="C179" s="6"/>
      <c r="D179" s="6"/>
      <c r="E179" s="6"/>
      <c r="F179" s="6"/>
      <c r="G179" s="6"/>
      <c r="H179" s="2038">
        <f>'Monthly DCF'!H179</f>
        <v>0.03</v>
      </c>
      <c r="I179" s="666">
        <f>'Monthly DCF'!I179</f>
        <v>0.12832521796226495</v>
      </c>
      <c r="J179" s="1295">
        <f>'Monthly DCF'!J179</f>
        <v>0.15519891381263737</v>
      </c>
      <c r="K179" s="2034">
        <f>'Monthly DCF'!K179</f>
        <v>1.6231190273660352</v>
      </c>
      <c r="L179" s="2035">
        <f>'Monthly DCF'!L179</f>
        <v>1.6231190273660352</v>
      </c>
      <c r="M179" s="2036">
        <f>'Monthly DCF'!M179</f>
        <v>35008529.306466639</v>
      </c>
      <c r="N179" s="456">
        <f>'Monthly DCF'!N179</f>
        <v>8.0471302710300258E-2</v>
      </c>
      <c r="P179" s="6"/>
      <c r="Q179" s="6"/>
      <c r="R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476"/>
      <c r="AN179" s="6"/>
      <c r="AO179" s="6"/>
      <c r="AP179" s="6"/>
      <c r="AQ179" s="6"/>
      <c r="AR179" s="6"/>
      <c r="AS179" s="6"/>
      <c r="AT179" s="6"/>
      <c r="AU179" s="6"/>
      <c r="AV179" s="6"/>
      <c r="AW179" s="477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</row>
    <row r="180" spans="2:69" ht="15.75" customHeight="1" x14ac:dyDescent="0.25">
      <c r="B180" s="6"/>
      <c r="C180" s="6"/>
      <c r="D180" s="6"/>
      <c r="E180" s="6"/>
      <c r="F180" s="6"/>
      <c r="G180" s="6"/>
      <c r="H180" s="1274">
        <f>'Monthly DCF'!H180</f>
        <v>0</v>
      </c>
      <c r="I180" s="668">
        <f>'Monthly DCF'!I180</f>
        <v>5.4452410340309149E-2</v>
      </c>
      <c r="J180" s="668">
        <f>'Monthly DCF'!J180</f>
        <v>1.1796292662620545E-2</v>
      </c>
      <c r="K180" s="1305">
        <f>'Monthly DCF'!K180</f>
        <v>1.235539509925669</v>
      </c>
      <c r="L180" s="1305">
        <f>'Monthly DCF'!L180</f>
        <v>1.235539509925669</v>
      </c>
      <c r="M180" s="1306">
        <f>'Monthly DCF'!M180</f>
        <v>26315782.166873019</v>
      </c>
      <c r="N180" s="460">
        <f>'Monthly DCF'!N180</f>
        <v>6.0489981006359876E-2</v>
      </c>
      <c r="P180" s="6"/>
      <c r="Q180" s="6"/>
      <c r="R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476"/>
      <c r="AN180" s="6"/>
      <c r="AO180" s="6"/>
      <c r="AP180" s="6"/>
      <c r="AQ180" s="6"/>
      <c r="AR180" s="6"/>
      <c r="AS180" s="6"/>
      <c r="AT180" s="6"/>
      <c r="AU180" s="6"/>
      <c r="AV180" s="6"/>
      <c r="AW180" s="477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</row>
    <row r="181" spans="2:69" ht="15.75" customHeight="1" x14ac:dyDescent="0.25">
      <c r="B181" s="6"/>
      <c r="C181" s="6"/>
      <c r="D181" s="6"/>
      <c r="E181" s="6"/>
      <c r="F181" s="6"/>
      <c r="G181" s="6"/>
      <c r="H181" s="1274">
        <f>'Monthly DCF'!H181</f>
        <v>0.02</v>
      </c>
      <c r="I181" s="668">
        <f>'Monthly DCF'!I181</f>
        <v>0.10431064963340761</v>
      </c>
      <c r="J181" s="668">
        <f>'Monthly DCF'!J181</f>
        <v>0.11258613467216491</v>
      </c>
      <c r="K181" s="1305">
        <f>'Monthly DCF'!K181</f>
        <v>1.4878824831272039</v>
      </c>
      <c r="L181" s="1305">
        <f>'Monthly DCF'!L181</f>
        <v>1.4878824831272039</v>
      </c>
      <c r="M181" s="1306">
        <f>'Monthly DCF'!M181</f>
        <v>31970956.282825343</v>
      </c>
      <c r="N181" s="460">
        <f>'Monthly DCF'!N181</f>
        <v>7.3489076860414893E-2</v>
      </c>
      <c r="P181" s="6"/>
      <c r="Q181" s="6"/>
      <c r="R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476"/>
      <c r="AN181" s="6"/>
      <c r="AO181" s="6"/>
      <c r="AP181" s="6"/>
      <c r="AQ181" s="6"/>
      <c r="AR181" s="6"/>
      <c r="AS181" s="6"/>
      <c r="AT181" s="6"/>
      <c r="AU181" s="6"/>
      <c r="AV181" s="6"/>
      <c r="AW181" s="477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</row>
    <row r="182" spans="2:69" ht="15.75" customHeight="1" x14ac:dyDescent="0.25">
      <c r="B182" s="6"/>
      <c r="C182" s="6"/>
      <c r="D182" s="6"/>
      <c r="E182" s="6"/>
      <c r="F182" s="6"/>
      <c r="G182" s="6"/>
      <c r="H182" s="1274">
        <f>'Monthly DCF'!H182</f>
        <v>0.04</v>
      </c>
      <c r="I182" s="668">
        <f>'Monthly DCF'!I182</f>
        <v>0.15183057188987734</v>
      </c>
      <c r="J182" s="668">
        <f>'Monthly DCF'!J182</f>
        <v>0.19436729550361634</v>
      </c>
      <c r="K182" s="1305">
        <f>'Monthly DCF'!K182</f>
        <v>1.7647054778419242</v>
      </c>
      <c r="L182" s="1305">
        <f>'Monthly DCF'!L182</f>
        <v>1.7647054778419242</v>
      </c>
      <c r="M182" s="1306">
        <f>'Monthly DCF'!M182</f>
        <v>38193368.366778433</v>
      </c>
      <c r="N182" s="460">
        <f>'Monthly DCF'!N182</f>
        <v>8.7792037205096582E-2</v>
      </c>
      <c r="P182" s="6"/>
      <c r="Q182" s="6"/>
      <c r="R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476"/>
      <c r="AN182" s="6"/>
      <c r="AO182" s="6"/>
      <c r="AP182" s="6"/>
      <c r="AQ182" s="6"/>
      <c r="AR182" s="6"/>
      <c r="AS182" s="6"/>
      <c r="AT182" s="6"/>
      <c r="AU182" s="6"/>
      <c r="AV182" s="6"/>
      <c r="AW182" s="477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</row>
    <row r="183" spans="2:69" ht="15.75" customHeight="1" x14ac:dyDescent="0.25">
      <c r="B183" s="6"/>
      <c r="C183" s="6"/>
      <c r="D183" s="6"/>
      <c r="E183" s="6"/>
      <c r="F183" s="6"/>
      <c r="G183" s="6"/>
      <c r="H183" s="1274">
        <f>'Monthly DCF'!H183</f>
        <v>0.06</v>
      </c>
      <c r="I183" s="668">
        <f>'Monthly DCF'!I183</f>
        <v>0.1975463449954987</v>
      </c>
      <c r="J183" s="668">
        <f>'Monthly DCF'!J183</f>
        <v>0.26521328091621399</v>
      </c>
      <c r="K183" s="1305">
        <f>'Monthly DCF'!K183</f>
        <v>2.0678869836909173</v>
      </c>
      <c r="L183" s="1305">
        <f>'Monthly DCF'!L183</f>
        <v>2.0678869836909173</v>
      </c>
      <c r="M183" s="1306">
        <f>'Monthly DCF'!M183</f>
        <v>45027619.543538302</v>
      </c>
      <c r="N183" s="460">
        <f>'Monthly DCF'!N183</f>
        <v>0.10350138307418119</v>
      </c>
      <c r="P183" s="6"/>
      <c r="Q183" s="6"/>
      <c r="R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476"/>
      <c r="AN183" s="6"/>
      <c r="AO183" s="6"/>
      <c r="AP183" s="6"/>
      <c r="AQ183" s="6"/>
      <c r="AR183" s="6"/>
      <c r="AS183" s="6"/>
      <c r="AT183" s="6"/>
      <c r="AU183" s="6"/>
      <c r="AV183" s="6"/>
      <c r="AW183" s="477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</row>
    <row r="184" spans="2:69" ht="15.75" customHeight="1" x14ac:dyDescent="0.25">
      <c r="B184" s="6"/>
      <c r="C184" s="6"/>
      <c r="D184" s="6"/>
      <c r="E184" s="6"/>
      <c r="F184" s="6"/>
      <c r="G184" s="6"/>
      <c r="H184" s="1275">
        <f>'Monthly DCF'!H184</f>
        <v>0.08</v>
      </c>
      <c r="I184" s="670">
        <f>'Monthly DCF'!I184</f>
        <v>0.24184244275093075</v>
      </c>
      <c r="J184" s="670">
        <f>'Monthly DCF'!J184</f>
        <v>0.32893312573432931</v>
      </c>
      <c r="K184" s="1307">
        <f>'Monthly DCF'!K184</f>
        <v>2.3994122151475064</v>
      </c>
      <c r="L184" s="1307">
        <f>'Monthly DCF'!L184</f>
        <v>2.3994122151475064</v>
      </c>
      <c r="M184" s="1308">
        <f>'Monthly DCF'!M184</f>
        <v>52520889.173559204</v>
      </c>
      <c r="N184" s="467">
        <f>'Monthly DCF'!N184</f>
        <v>0.12072556188525535</v>
      </c>
      <c r="P184" s="6"/>
      <c r="Q184" s="6"/>
      <c r="R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476"/>
      <c r="AN184" s="6"/>
      <c r="AO184" s="6"/>
      <c r="AP184" s="6"/>
      <c r="AQ184" s="6"/>
      <c r="AR184" s="6"/>
      <c r="AS184" s="6"/>
      <c r="AT184" s="6"/>
      <c r="AU184" s="6"/>
      <c r="AV184" s="6"/>
      <c r="AW184" s="477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</row>
    <row r="185" spans="2:69" ht="15.75" customHeight="1" x14ac:dyDescent="0.25">
      <c r="B185" s="6"/>
      <c r="C185" s="6"/>
      <c r="D185" s="6"/>
      <c r="E185" s="6"/>
      <c r="F185" s="6"/>
      <c r="G185" s="6"/>
      <c r="H185" s="6"/>
      <c r="P185" s="6"/>
      <c r="Q185" s="6"/>
      <c r="R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476"/>
      <c r="AN185" s="6"/>
      <c r="AO185" s="6"/>
      <c r="AP185" s="6"/>
      <c r="AQ185" s="6"/>
      <c r="AR185" s="6"/>
      <c r="AS185" s="6"/>
      <c r="AT185" s="6"/>
      <c r="AU185" s="6"/>
      <c r="AV185" s="6"/>
      <c r="AW185" s="477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</row>
    <row r="186" spans="2:69" ht="15.75" customHeight="1" x14ac:dyDescent="0.25">
      <c r="B186" s="6"/>
      <c r="C186" s="6"/>
      <c r="D186" s="6"/>
      <c r="E186" s="6"/>
      <c r="F186" s="6"/>
      <c r="G186" s="6"/>
      <c r="H186" s="470"/>
      <c r="P186" s="6"/>
      <c r="Q186" s="6"/>
      <c r="R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476"/>
      <c r="AN186" s="6"/>
      <c r="AO186" s="6"/>
      <c r="AP186" s="6"/>
      <c r="AQ186" s="6"/>
      <c r="AR186" s="6"/>
      <c r="AS186" s="6"/>
      <c r="AT186" s="6"/>
      <c r="AU186" s="6"/>
      <c r="AV186" s="6"/>
      <c r="AW186" s="477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</row>
    <row r="187" spans="2:69" ht="15.75" customHeight="1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476"/>
      <c r="AN187" s="6"/>
      <c r="AO187" s="6"/>
      <c r="AP187" s="6"/>
      <c r="AQ187" s="6"/>
      <c r="AR187" s="6"/>
      <c r="AS187" s="6"/>
      <c r="AT187" s="6"/>
      <c r="AU187" s="6"/>
      <c r="AV187" s="6"/>
      <c r="AW187" s="477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</row>
    <row r="188" spans="2:69" ht="15.75" customHeight="1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476"/>
      <c r="AN188" s="6"/>
      <c r="AO188" s="6"/>
      <c r="AP188" s="6"/>
      <c r="AQ188" s="6"/>
      <c r="AR188" s="6"/>
      <c r="AS188" s="6"/>
      <c r="AT188" s="6"/>
      <c r="AU188" s="6"/>
      <c r="AV188" s="6"/>
      <c r="AW188" s="477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</row>
    <row r="189" spans="2:69" ht="15.75" customHeight="1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476"/>
      <c r="AN189" s="6"/>
      <c r="AO189" s="6"/>
      <c r="AP189" s="6"/>
      <c r="AQ189" s="6"/>
      <c r="AR189" s="6"/>
      <c r="AS189" s="6"/>
      <c r="AT189" s="6"/>
      <c r="AU189" s="6"/>
      <c r="AV189" s="6"/>
      <c r="AW189" s="477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</row>
    <row r="190" spans="2:69" ht="15.75" customHeight="1" x14ac:dyDescent="0.25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476"/>
      <c r="AN190" s="6"/>
      <c r="AO190" s="6"/>
      <c r="AP190" s="6"/>
      <c r="AQ190" s="6"/>
      <c r="AR190" s="6"/>
      <c r="AS190" s="6"/>
      <c r="AT190" s="6"/>
      <c r="AU190" s="6"/>
      <c r="AV190" s="6"/>
      <c r="AW190" s="477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</row>
    <row r="191" spans="2:69" ht="15.75" customHeight="1" x14ac:dyDescent="0.25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476"/>
      <c r="AN191" s="6"/>
      <c r="AO191" s="6"/>
      <c r="AP191" s="6"/>
      <c r="AQ191" s="6"/>
      <c r="AR191" s="6"/>
      <c r="AS191" s="6"/>
      <c r="AT191" s="6"/>
      <c r="AU191" s="6"/>
      <c r="AV191" s="6"/>
      <c r="AW191" s="477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</row>
    <row r="192" spans="2:69" ht="15.75" customHeight="1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476"/>
      <c r="AN192" s="6"/>
      <c r="AO192" s="6"/>
      <c r="AP192" s="6"/>
      <c r="AQ192" s="6"/>
      <c r="AR192" s="6"/>
      <c r="AS192" s="6"/>
      <c r="AT192" s="6"/>
      <c r="AU192" s="6"/>
      <c r="AV192" s="6"/>
      <c r="AW192" s="477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</row>
    <row r="193" spans="2:69" ht="15.75" customHeight="1" x14ac:dyDescent="0.25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476"/>
      <c r="AN193" s="6"/>
      <c r="AO193" s="6"/>
      <c r="AP193" s="6"/>
      <c r="AQ193" s="6"/>
      <c r="AR193" s="6"/>
      <c r="AS193" s="6"/>
      <c r="AT193" s="6"/>
      <c r="AU193" s="6"/>
      <c r="AV193" s="6"/>
      <c r="AW193" s="477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</row>
    <row r="194" spans="2:69" ht="15.75" customHeight="1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476"/>
      <c r="AN194" s="6"/>
      <c r="AO194" s="6"/>
      <c r="AP194" s="6"/>
      <c r="AQ194" s="6"/>
      <c r="AR194" s="6"/>
      <c r="AS194" s="6"/>
      <c r="AT194" s="6"/>
      <c r="AU194" s="6"/>
      <c r="AV194" s="6"/>
      <c r="AW194" s="477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</row>
    <row r="195" spans="2:69" ht="15.75" customHeight="1" x14ac:dyDescent="0.2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476"/>
      <c r="AN195" s="6"/>
      <c r="AO195" s="6"/>
      <c r="AP195" s="6"/>
      <c r="AQ195" s="6"/>
      <c r="AR195" s="6"/>
      <c r="AS195" s="6"/>
      <c r="AT195" s="6"/>
      <c r="AU195" s="6"/>
      <c r="AV195" s="6"/>
      <c r="AW195" s="477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</row>
    <row r="196" spans="2:69" ht="15.75" customHeight="1" x14ac:dyDescent="0.2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476"/>
      <c r="AN196" s="6"/>
      <c r="AO196" s="6"/>
      <c r="AP196" s="6"/>
      <c r="AQ196" s="6"/>
      <c r="AR196" s="6"/>
      <c r="AS196" s="6"/>
      <c r="AT196" s="6"/>
      <c r="AU196" s="6"/>
      <c r="AV196" s="6"/>
      <c r="AW196" s="477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</row>
    <row r="197" spans="2:69" ht="15.75" customHeight="1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476"/>
      <c r="AN197" s="6"/>
      <c r="AO197" s="6"/>
      <c r="AP197" s="6"/>
      <c r="AQ197" s="6"/>
      <c r="AR197" s="6"/>
      <c r="AS197" s="6"/>
      <c r="AT197" s="6"/>
      <c r="AU197" s="6"/>
      <c r="AV197" s="6"/>
      <c r="AW197" s="477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</row>
    <row r="198" spans="2:69" ht="15.75" customHeight="1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476"/>
      <c r="AN198" s="6"/>
      <c r="AO198" s="6"/>
      <c r="AP198" s="6"/>
      <c r="AQ198" s="6"/>
      <c r="AR198" s="6"/>
      <c r="AS198" s="6"/>
      <c r="AT198" s="6"/>
      <c r="AU198" s="6"/>
      <c r="AV198" s="6"/>
      <c r="AW198" s="477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</row>
    <row r="199" spans="2:69" ht="15.75" customHeight="1" x14ac:dyDescent="0.25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476"/>
      <c r="AN199" s="6"/>
      <c r="AO199" s="6"/>
      <c r="AP199" s="6"/>
      <c r="AQ199" s="6"/>
      <c r="AR199" s="6"/>
      <c r="AS199" s="6"/>
      <c r="AT199" s="6"/>
      <c r="AU199" s="6"/>
      <c r="AV199" s="6"/>
      <c r="AW199" s="477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</row>
    <row r="200" spans="2:69" ht="15.75" customHeight="1" x14ac:dyDescent="0.25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476"/>
      <c r="AN200" s="6"/>
      <c r="AO200" s="6"/>
      <c r="AP200" s="6"/>
      <c r="AQ200" s="6"/>
      <c r="AR200" s="6"/>
      <c r="AS200" s="6"/>
      <c r="AT200" s="6"/>
      <c r="AU200" s="6"/>
      <c r="AV200" s="6"/>
      <c r="AW200" s="477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</row>
    <row r="201" spans="2:69" ht="15.75" customHeight="1" x14ac:dyDescent="0.25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476"/>
      <c r="AN201" s="6"/>
      <c r="AO201" s="6"/>
      <c r="AP201" s="6"/>
      <c r="AQ201" s="6"/>
      <c r="AR201" s="6"/>
      <c r="AS201" s="6"/>
      <c r="AT201" s="6"/>
      <c r="AU201" s="6"/>
      <c r="AV201" s="6"/>
      <c r="AW201" s="477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</row>
    <row r="202" spans="2:69" ht="15.75" customHeight="1" x14ac:dyDescent="0.25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476"/>
      <c r="AN202" s="6"/>
      <c r="AO202" s="6"/>
      <c r="AP202" s="6"/>
      <c r="AQ202" s="6"/>
      <c r="AR202" s="6"/>
      <c r="AS202" s="6"/>
      <c r="AT202" s="6"/>
      <c r="AU202" s="6"/>
      <c r="AV202" s="6"/>
      <c r="AW202" s="477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</row>
    <row r="203" spans="2:69" ht="15.75" customHeight="1" x14ac:dyDescent="0.25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476"/>
      <c r="AN203" s="6"/>
      <c r="AO203" s="6"/>
      <c r="AP203" s="6"/>
      <c r="AQ203" s="6"/>
      <c r="AR203" s="6"/>
      <c r="AS203" s="6"/>
      <c r="AT203" s="6"/>
      <c r="AU203" s="6"/>
      <c r="AV203" s="6"/>
      <c r="AW203" s="477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</row>
    <row r="204" spans="2:69" ht="15.75" customHeight="1" x14ac:dyDescent="0.25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476"/>
      <c r="AN204" s="6"/>
      <c r="AO204" s="6"/>
      <c r="AP204" s="6"/>
      <c r="AQ204" s="6"/>
      <c r="AR204" s="6"/>
      <c r="AS204" s="6"/>
      <c r="AT204" s="6"/>
      <c r="AU204" s="6"/>
      <c r="AV204" s="6"/>
      <c r="AW204" s="477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</row>
    <row r="205" spans="2:69" ht="15.75" customHeight="1" x14ac:dyDescent="0.25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476"/>
      <c r="AN205" s="6"/>
      <c r="AO205" s="6"/>
      <c r="AP205" s="6"/>
      <c r="AQ205" s="6"/>
      <c r="AR205" s="6"/>
      <c r="AS205" s="6"/>
      <c r="AT205" s="6"/>
      <c r="AU205" s="6"/>
      <c r="AV205" s="6"/>
      <c r="AW205" s="477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</row>
    <row r="206" spans="2:69" ht="15.75" customHeight="1" x14ac:dyDescent="0.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476"/>
      <c r="AN206" s="6"/>
      <c r="AO206" s="6"/>
      <c r="AP206" s="6"/>
      <c r="AQ206" s="6"/>
      <c r="AR206" s="6"/>
      <c r="AS206" s="6"/>
      <c r="AT206" s="6"/>
      <c r="AU206" s="6"/>
      <c r="AV206" s="6"/>
      <c r="AW206" s="477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</row>
    <row r="207" spans="2:69" ht="15.75" customHeight="1" x14ac:dyDescent="0.25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476"/>
      <c r="AN207" s="6"/>
      <c r="AO207" s="6"/>
      <c r="AP207" s="6"/>
      <c r="AQ207" s="6"/>
      <c r="AR207" s="6"/>
      <c r="AS207" s="6"/>
      <c r="AT207" s="6"/>
      <c r="AU207" s="6"/>
      <c r="AV207" s="6"/>
      <c r="AW207" s="477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</row>
    <row r="208" spans="2:69" ht="15.75" customHeight="1" x14ac:dyDescent="0.25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476"/>
      <c r="AN208" s="6"/>
      <c r="AO208" s="6"/>
      <c r="AP208" s="6"/>
      <c r="AQ208" s="6"/>
      <c r="AR208" s="6"/>
      <c r="AS208" s="6"/>
      <c r="AT208" s="6"/>
      <c r="AU208" s="6"/>
      <c r="AV208" s="6"/>
      <c r="AW208" s="477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</row>
    <row r="209" spans="2:69" ht="15.75" customHeight="1" x14ac:dyDescent="0.25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476"/>
      <c r="AN209" s="6"/>
      <c r="AO209" s="6"/>
      <c r="AP209" s="6"/>
      <c r="AQ209" s="6"/>
      <c r="AR209" s="6"/>
      <c r="AS209" s="6"/>
      <c r="AT209" s="6"/>
      <c r="AU209" s="6"/>
      <c r="AV209" s="6"/>
      <c r="AW209" s="477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</row>
    <row r="210" spans="2:69" ht="15.75" customHeight="1" x14ac:dyDescent="0.25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476"/>
      <c r="AN210" s="6"/>
      <c r="AO210" s="6"/>
      <c r="AP210" s="6"/>
      <c r="AQ210" s="6"/>
      <c r="AR210" s="6"/>
      <c r="AS210" s="6"/>
      <c r="AT210" s="6"/>
      <c r="AU210" s="6"/>
      <c r="AV210" s="6"/>
      <c r="AW210" s="477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</row>
    <row r="211" spans="2:69" ht="15.75" customHeight="1" x14ac:dyDescent="0.25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476"/>
      <c r="AN211" s="6"/>
      <c r="AO211" s="6"/>
      <c r="AP211" s="6"/>
      <c r="AQ211" s="6"/>
      <c r="AR211" s="6"/>
      <c r="AS211" s="6"/>
      <c r="AT211" s="6"/>
      <c r="AU211" s="6"/>
      <c r="AV211" s="6"/>
      <c r="AW211" s="477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</row>
    <row r="212" spans="2:69" ht="15.75" customHeight="1" x14ac:dyDescent="0.25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476"/>
      <c r="AN212" s="6"/>
      <c r="AO212" s="6"/>
      <c r="AP212" s="6"/>
      <c r="AQ212" s="6"/>
      <c r="AR212" s="6"/>
      <c r="AS212" s="6"/>
      <c r="AT212" s="6"/>
      <c r="AU212" s="6"/>
      <c r="AV212" s="6"/>
      <c r="AW212" s="477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</row>
    <row r="213" spans="2:69" ht="15.75" customHeight="1" x14ac:dyDescent="0.25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476"/>
      <c r="AN213" s="6"/>
      <c r="AO213" s="6"/>
      <c r="AP213" s="6"/>
      <c r="AQ213" s="6"/>
      <c r="AR213" s="6"/>
      <c r="AS213" s="6"/>
      <c r="AT213" s="6"/>
      <c r="AU213" s="6"/>
      <c r="AV213" s="6"/>
      <c r="AW213" s="477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</row>
    <row r="214" spans="2:69" ht="15.75" customHeight="1" x14ac:dyDescent="0.25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476"/>
      <c r="AN214" s="6"/>
      <c r="AO214" s="6"/>
      <c r="AP214" s="6"/>
      <c r="AQ214" s="6"/>
      <c r="AR214" s="6"/>
      <c r="AS214" s="6"/>
      <c r="AT214" s="6"/>
      <c r="AU214" s="6"/>
      <c r="AV214" s="6"/>
      <c r="AW214" s="477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</row>
    <row r="215" spans="2:69" ht="15.75" customHeight="1" x14ac:dyDescent="0.25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476"/>
      <c r="AN215" s="6"/>
      <c r="AO215" s="6"/>
      <c r="AP215" s="6"/>
      <c r="AQ215" s="6"/>
      <c r="AR215" s="6"/>
      <c r="AS215" s="6"/>
      <c r="AT215" s="6"/>
      <c r="AU215" s="6"/>
      <c r="AV215" s="6"/>
      <c r="AW215" s="477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</row>
    <row r="216" spans="2:69" ht="15.75" customHeight="1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476"/>
      <c r="AN216" s="6"/>
      <c r="AO216" s="6"/>
      <c r="AP216" s="6"/>
      <c r="AQ216" s="6"/>
      <c r="AR216" s="6"/>
      <c r="AS216" s="6"/>
      <c r="AT216" s="6"/>
      <c r="AU216" s="6"/>
      <c r="AV216" s="6"/>
      <c r="AW216" s="477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</row>
    <row r="217" spans="2:69" ht="15.75" customHeight="1" x14ac:dyDescent="0.25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476"/>
      <c r="AN217" s="6"/>
      <c r="AO217" s="6"/>
      <c r="AP217" s="6"/>
      <c r="AQ217" s="6"/>
      <c r="AR217" s="6"/>
      <c r="AS217" s="6"/>
      <c r="AT217" s="6"/>
      <c r="AU217" s="6"/>
      <c r="AV217" s="6"/>
      <c r="AW217" s="477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</row>
    <row r="218" spans="2:69" ht="15.75" customHeight="1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476"/>
      <c r="AN218" s="6"/>
      <c r="AO218" s="6"/>
      <c r="AP218" s="6"/>
      <c r="AQ218" s="6"/>
      <c r="AR218" s="6"/>
      <c r="AS218" s="6"/>
      <c r="AT218" s="6"/>
      <c r="AU218" s="6"/>
      <c r="AV218" s="6"/>
      <c r="AW218" s="477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</row>
    <row r="219" spans="2:69" ht="15.75" customHeight="1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476"/>
      <c r="AN219" s="6"/>
      <c r="AO219" s="6"/>
      <c r="AP219" s="6"/>
      <c r="AQ219" s="6"/>
      <c r="AR219" s="6"/>
      <c r="AS219" s="6"/>
      <c r="AT219" s="6"/>
      <c r="AU219" s="6"/>
      <c r="AV219" s="6"/>
      <c r="AW219" s="477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</row>
    <row r="220" spans="2:69" ht="15.75" customHeight="1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476"/>
      <c r="AN220" s="6"/>
      <c r="AO220" s="6"/>
      <c r="AP220" s="6"/>
      <c r="AQ220" s="6"/>
      <c r="AR220" s="6"/>
      <c r="AS220" s="6"/>
      <c r="AT220" s="6"/>
      <c r="AU220" s="6"/>
      <c r="AV220" s="6"/>
      <c r="AW220" s="477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</row>
    <row r="221" spans="2:69" ht="15.75" customHeight="1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476"/>
      <c r="AN221" s="6"/>
      <c r="AO221" s="6"/>
      <c r="AP221" s="6"/>
      <c r="AQ221" s="6"/>
      <c r="AR221" s="6"/>
      <c r="AS221" s="6"/>
      <c r="AT221" s="6"/>
      <c r="AU221" s="6"/>
      <c r="AV221" s="6"/>
      <c r="AW221" s="477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</row>
    <row r="222" spans="2:69" ht="15.75" customHeight="1" x14ac:dyDescent="0.25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476"/>
      <c r="AN222" s="6"/>
      <c r="AO222" s="6"/>
      <c r="AP222" s="6"/>
      <c r="AQ222" s="6"/>
      <c r="AR222" s="6"/>
      <c r="AS222" s="6"/>
      <c r="AT222" s="6"/>
      <c r="AU222" s="6"/>
      <c r="AV222" s="6"/>
      <c r="AW222" s="477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</row>
    <row r="223" spans="2:69" ht="15.75" customHeight="1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476"/>
      <c r="AN223" s="6"/>
      <c r="AO223" s="6"/>
      <c r="AP223" s="6"/>
      <c r="AQ223" s="6"/>
      <c r="AR223" s="6"/>
      <c r="AS223" s="6"/>
      <c r="AT223" s="6"/>
      <c r="AU223" s="6"/>
      <c r="AV223" s="6"/>
      <c r="AW223" s="477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</row>
    <row r="224" spans="2:69" ht="15.75" customHeight="1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476"/>
      <c r="AN224" s="6"/>
      <c r="AO224" s="6"/>
      <c r="AP224" s="6"/>
      <c r="AQ224" s="6"/>
      <c r="AR224" s="6"/>
      <c r="AS224" s="6"/>
      <c r="AT224" s="6"/>
      <c r="AU224" s="6"/>
      <c r="AV224" s="6"/>
      <c r="AW224" s="477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</row>
    <row r="225" spans="2:69" ht="15.75" customHeight="1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476"/>
      <c r="AN225" s="6"/>
      <c r="AO225" s="6"/>
      <c r="AP225" s="6"/>
      <c r="AQ225" s="6"/>
      <c r="AR225" s="6"/>
      <c r="AS225" s="6"/>
      <c r="AT225" s="6"/>
      <c r="AU225" s="6"/>
      <c r="AV225" s="6"/>
      <c r="AW225" s="477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</row>
    <row r="226" spans="2:69" ht="15.75" customHeight="1" x14ac:dyDescent="0.25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476"/>
      <c r="AN226" s="6"/>
      <c r="AO226" s="6"/>
      <c r="AP226" s="6"/>
      <c r="AQ226" s="6"/>
      <c r="AR226" s="6"/>
      <c r="AS226" s="6"/>
      <c r="AT226" s="6"/>
      <c r="AU226" s="6"/>
      <c r="AV226" s="6"/>
      <c r="AW226" s="477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</row>
    <row r="227" spans="2:69" ht="15.75" customHeight="1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476"/>
      <c r="AN227" s="6"/>
      <c r="AO227" s="6"/>
      <c r="AP227" s="6"/>
      <c r="AQ227" s="6"/>
      <c r="AR227" s="6"/>
      <c r="AS227" s="6"/>
      <c r="AT227" s="6"/>
      <c r="AU227" s="6"/>
      <c r="AV227" s="6"/>
      <c r="AW227" s="477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</row>
    <row r="228" spans="2:69" ht="15.75" customHeight="1" x14ac:dyDescent="0.25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476"/>
      <c r="AN228" s="6"/>
      <c r="AO228" s="6"/>
      <c r="AP228" s="6"/>
      <c r="AQ228" s="6"/>
      <c r="AR228" s="6"/>
      <c r="AS228" s="6"/>
      <c r="AT228" s="6"/>
      <c r="AU228" s="6"/>
      <c r="AV228" s="6"/>
      <c r="AW228" s="477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</row>
    <row r="229" spans="2:69" ht="15.75" customHeight="1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476"/>
      <c r="AN229" s="6"/>
      <c r="AO229" s="6"/>
      <c r="AP229" s="6"/>
      <c r="AQ229" s="6"/>
      <c r="AR229" s="6"/>
      <c r="AS229" s="6"/>
      <c r="AT229" s="6"/>
      <c r="AU229" s="6"/>
      <c r="AV229" s="6"/>
      <c r="AW229" s="477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</row>
    <row r="230" spans="2:69" ht="15.75" customHeight="1" x14ac:dyDescent="0.25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476"/>
      <c r="AN230" s="6"/>
      <c r="AO230" s="6"/>
      <c r="AP230" s="6"/>
      <c r="AQ230" s="6"/>
      <c r="AR230" s="6"/>
      <c r="AS230" s="6"/>
      <c r="AT230" s="6"/>
      <c r="AU230" s="6"/>
      <c r="AV230" s="6"/>
      <c r="AW230" s="477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</row>
    <row r="231" spans="2:69" ht="15.75" customHeight="1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476"/>
      <c r="AN231" s="6"/>
      <c r="AO231" s="6"/>
      <c r="AP231" s="6"/>
      <c r="AQ231" s="6"/>
      <c r="AR231" s="6"/>
      <c r="AS231" s="6"/>
      <c r="AT231" s="6"/>
      <c r="AU231" s="6"/>
      <c r="AV231" s="6"/>
      <c r="AW231" s="477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</row>
    <row r="232" spans="2:69" ht="15.75" customHeight="1" x14ac:dyDescent="0.25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476"/>
      <c r="AN232" s="6"/>
      <c r="AO232" s="6"/>
      <c r="AP232" s="6"/>
      <c r="AQ232" s="6"/>
      <c r="AR232" s="6"/>
      <c r="AS232" s="6"/>
      <c r="AT232" s="6"/>
      <c r="AU232" s="6"/>
      <c r="AV232" s="6"/>
      <c r="AW232" s="477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</row>
    <row r="233" spans="2:69" ht="15.75" customHeight="1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476"/>
      <c r="AN233" s="6"/>
      <c r="AO233" s="6"/>
      <c r="AP233" s="6"/>
      <c r="AQ233" s="6"/>
      <c r="AR233" s="6"/>
      <c r="AS233" s="6"/>
      <c r="AT233" s="6"/>
      <c r="AU233" s="6"/>
      <c r="AV233" s="6"/>
      <c r="AW233" s="477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</row>
    <row r="234" spans="2:69" ht="15.75" customHeight="1" x14ac:dyDescent="0.25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476"/>
      <c r="AN234" s="6"/>
      <c r="AO234" s="6"/>
      <c r="AP234" s="6"/>
      <c r="AQ234" s="6"/>
      <c r="AR234" s="6"/>
      <c r="AS234" s="6"/>
      <c r="AT234" s="6"/>
      <c r="AU234" s="6"/>
      <c r="AV234" s="6"/>
      <c r="AW234" s="477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</row>
    <row r="235" spans="2:69" ht="15.75" customHeight="1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476"/>
      <c r="AN235" s="6"/>
      <c r="AO235" s="6"/>
      <c r="AP235" s="6"/>
      <c r="AQ235" s="6"/>
      <c r="AR235" s="6"/>
      <c r="AS235" s="6"/>
      <c r="AT235" s="6"/>
      <c r="AU235" s="6"/>
      <c r="AV235" s="6"/>
      <c r="AW235" s="477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</row>
    <row r="236" spans="2:69" ht="15.75" customHeight="1" x14ac:dyDescent="0.25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476"/>
      <c r="AN236" s="6"/>
      <c r="AO236" s="6"/>
      <c r="AP236" s="6"/>
      <c r="AQ236" s="6"/>
      <c r="AR236" s="6"/>
      <c r="AS236" s="6"/>
      <c r="AT236" s="6"/>
      <c r="AU236" s="6"/>
      <c r="AV236" s="6"/>
      <c r="AW236" s="477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</row>
    <row r="237" spans="2:69" ht="15.75" customHeight="1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476"/>
      <c r="AN237" s="6"/>
      <c r="AO237" s="6"/>
      <c r="AP237" s="6"/>
      <c r="AQ237" s="6"/>
      <c r="AR237" s="6"/>
      <c r="AS237" s="6"/>
      <c r="AT237" s="6"/>
      <c r="AU237" s="6"/>
      <c r="AV237" s="6"/>
      <c r="AW237" s="477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</row>
    <row r="238" spans="2:69" ht="15.75" customHeight="1" x14ac:dyDescent="0.25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476"/>
      <c r="AN238" s="6"/>
      <c r="AO238" s="6"/>
      <c r="AP238" s="6"/>
      <c r="AQ238" s="6"/>
      <c r="AR238" s="6"/>
      <c r="AS238" s="6"/>
      <c r="AT238" s="6"/>
      <c r="AU238" s="6"/>
      <c r="AV238" s="6"/>
      <c r="AW238" s="477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</row>
    <row r="239" spans="2:69" ht="15.75" customHeight="1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476"/>
      <c r="AN239" s="6"/>
      <c r="AO239" s="6"/>
      <c r="AP239" s="6"/>
      <c r="AQ239" s="6"/>
      <c r="AR239" s="6"/>
      <c r="AS239" s="6"/>
      <c r="AT239" s="6"/>
      <c r="AU239" s="6"/>
      <c r="AV239" s="6"/>
      <c r="AW239" s="477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</row>
    <row r="240" spans="2:69" ht="15.75" customHeight="1" x14ac:dyDescent="0.25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476"/>
      <c r="AN240" s="6"/>
      <c r="AO240" s="6"/>
      <c r="AP240" s="6"/>
      <c r="AQ240" s="6"/>
      <c r="AR240" s="6"/>
      <c r="AS240" s="6"/>
      <c r="AT240" s="6"/>
      <c r="AU240" s="6"/>
      <c r="AV240" s="6"/>
      <c r="AW240" s="477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</row>
    <row r="241" spans="2:69" ht="15.75" customHeight="1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476"/>
      <c r="AN241" s="6"/>
      <c r="AO241" s="6"/>
      <c r="AP241" s="6"/>
      <c r="AQ241" s="6"/>
      <c r="AR241" s="6"/>
      <c r="AS241" s="6"/>
      <c r="AT241" s="6"/>
      <c r="AU241" s="6"/>
      <c r="AV241" s="6"/>
      <c r="AW241" s="477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</row>
    <row r="242" spans="2:69" ht="15.75" customHeight="1" x14ac:dyDescent="0.25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476"/>
      <c r="AN242" s="6"/>
      <c r="AO242" s="6"/>
      <c r="AP242" s="6"/>
      <c r="AQ242" s="6"/>
      <c r="AR242" s="6"/>
      <c r="AS242" s="6"/>
      <c r="AT242" s="6"/>
      <c r="AU242" s="6"/>
      <c r="AV242" s="6"/>
      <c r="AW242" s="477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</row>
    <row r="243" spans="2:69" ht="15.75" customHeight="1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476"/>
      <c r="AN243" s="6"/>
      <c r="AO243" s="6"/>
      <c r="AP243" s="6"/>
      <c r="AQ243" s="6"/>
      <c r="AR243" s="6"/>
      <c r="AS243" s="6"/>
      <c r="AT243" s="6"/>
      <c r="AU243" s="6"/>
      <c r="AV243" s="6"/>
      <c r="AW243" s="477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</row>
    <row r="244" spans="2:69" ht="15.75" customHeight="1" x14ac:dyDescent="0.25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476"/>
      <c r="AN244" s="6"/>
      <c r="AO244" s="6"/>
      <c r="AP244" s="6"/>
      <c r="AQ244" s="6"/>
      <c r="AR244" s="6"/>
      <c r="AS244" s="6"/>
      <c r="AT244" s="6"/>
      <c r="AU244" s="6"/>
      <c r="AV244" s="6"/>
      <c r="AW244" s="477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</row>
    <row r="245" spans="2:69" ht="15.75" customHeight="1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476"/>
      <c r="AN245" s="6"/>
      <c r="AO245" s="6"/>
      <c r="AP245" s="6"/>
      <c r="AQ245" s="6"/>
      <c r="AR245" s="6"/>
      <c r="AS245" s="6"/>
      <c r="AT245" s="6"/>
      <c r="AU245" s="6"/>
      <c r="AV245" s="6"/>
      <c r="AW245" s="477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</row>
    <row r="246" spans="2:69" ht="15.75" customHeight="1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476"/>
      <c r="AN246" s="6"/>
      <c r="AO246" s="6"/>
      <c r="AP246" s="6"/>
      <c r="AQ246" s="6"/>
      <c r="AR246" s="6"/>
      <c r="AS246" s="6"/>
      <c r="AT246" s="6"/>
      <c r="AU246" s="6"/>
      <c r="AV246" s="6"/>
      <c r="AW246" s="477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</row>
    <row r="247" spans="2:69" ht="15.75" customHeight="1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476"/>
      <c r="AN247" s="6"/>
      <c r="AO247" s="6"/>
      <c r="AP247" s="6"/>
      <c r="AQ247" s="6"/>
      <c r="AR247" s="6"/>
      <c r="AS247" s="6"/>
      <c r="AT247" s="6"/>
      <c r="AU247" s="6"/>
      <c r="AV247" s="6"/>
      <c r="AW247" s="477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</row>
    <row r="248" spans="2:69" ht="15.75" customHeight="1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476"/>
      <c r="AN248" s="6"/>
      <c r="AO248" s="6"/>
      <c r="AP248" s="6"/>
      <c r="AQ248" s="6"/>
      <c r="AR248" s="6"/>
      <c r="AS248" s="6"/>
      <c r="AT248" s="6"/>
      <c r="AU248" s="6"/>
      <c r="AV248" s="6"/>
      <c r="AW248" s="477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</row>
    <row r="249" spans="2:69" ht="15.75" customHeight="1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476"/>
      <c r="AN249" s="6"/>
      <c r="AO249" s="6"/>
      <c r="AP249" s="6"/>
      <c r="AQ249" s="6"/>
      <c r="AR249" s="6"/>
      <c r="AS249" s="6"/>
      <c r="AT249" s="6"/>
      <c r="AU249" s="6"/>
      <c r="AV249" s="6"/>
      <c r="AW249" s="477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</row>
    <row r="250" spans="2:69" ht="15.75" customHeight="1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476"/>
      <c r="AN250" s="6"/>
      <c r="AO250" s="6"/>
      <c r="AP250" s="6"/>
      <c r="AQ250" s="6"/>
      <c r="AR250" s="6"/>
      <c r="AS250" s="6"/>
      <c r="AT250" s="6"/>
      <c r="AU250" s="6"/>
      <c r="AV250" s="6"/>
      <c r="AW250" s="477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</row>
    <row r="251" spans="2:69" ht="15.75" customHeight="1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476"/>
      <c r="AN251" s="6"/>
      <c r="AO251" s="6"/>
      <c r="AP251" s="6"/>
      <c r="AQ251" s="6"/>
      <c r="AR251" s="6"/>
      <c r="AS251" s="6"/>
      <c r="AT251" s="6"/>
      <c r="AU251" s="6"/>
      <c r="AV251" s="6"/>
      <c r="AW251" s="477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</row>
    <row r="252" spans="2:69" ht="15.75" customHeight="1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476"/>
      <c r="AN252" s="6"/>
      <c r="AO252" s="6"/>
      <c r="AP252" s="6"/>
      <c r="AQ252" s="6"/>
      <c r="AR252" s="6"/>
      <c r="AS252" s="6"/>
      <c r="AT252" s="6"/>
      <c r="AU252" s="6"/>
      <c r="AV252" s="6"/>
      <c r="AW252" s="477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</row>
    <row r="253" spans="2:69" ht="15.75" customHeight="1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476"/>
      <c r="AN253" s="6"/>
      <c r="AO253" s="6"/>
      <c r="AP253" s="6"/>
      <c r="AQ253" s="6"/>
      <c r="AR253" s="6"/>
      <c r="AS253" s="6"/>
      <c r="AT253" s="6"/>
      <c r="AU253" s="6"/>
      <c r="AV253" s="6"/>
      <c r="AW253" s="477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</row>
    <row r="254" spans="2:69" ht="15.75" customHeight="1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476"/>
      <c r="AN254" s="6"/>
      <c r="AO254" s="6"/>
      <c r="AP254" s="6"/>
      <c r="AQ254" s="6"/>
      <c r="AR254" s="6"/>
      <c r="AS254" s="6"/>
      <c r="AT254" s="6"/>
      <c r="AU254" s="6"/>
      <c r="AV254" s="6"/>
      <c r="AW254" s="477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</row>
    <row r="255" spans="2:69" ht="15.75" customHeight="1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476"/>
      <c r="AN255" s="6"/>
      <c r="AO255" s="6"/>
      <c r="AP255" s="6"/>
      <c r="AQ255" s="6"/>
      <c r="AR255" s="6"/>
      <c r="AS255" s="6"/>
      <c r="AT255" s="6"/>
      <c r="AU255" s="6"/>
      <c r="AV255" s="6"/>
      <c r="AW255" s="477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</row>
    <row r="256" spans="2:69" ht="15.75" customHeight="1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476"/>
      <c r="AN256" s="6"/>
      <c r="AO256" s="6"/>
      <c r="AP256" s="6"/>
      <c r="AQ256" s="6"/>
      <c r="AR256" s="6"/>
      <c r="AS256" s="6"/>
      <c r="AT256" s="6"/>
      <c r="AU256" s="6"/>
      <c r="AV256" s="6"/>
      <c r="AW256" s="477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</row>
    <row r="257" spans="2:69" ht="15.75" customHeight="1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476"/>
      <c r="AN257" s="6"/>
      <c r="AO257" s="6"/>
      <c r="AP257" s="6"/>
      <c r="AQ257" s="6"/>
      <c r="AR257" s="6"/>
      <c r="AS257" s="6"/>
      <c r="AT257" s="6"/>
      <c r="AU257" s="6"/>
      <c r="AV257" s="6"/>
      <c r="AW257" s="477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</row>
    <row r="258" spans="2:69" ht="15.75" customHeight="1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476"/>
      <c r="AN258" s="6"/>
      <c r="AO258" s="6"/>
      <c r="AP258" s="6"/>
      <c r="AQ258" s="6"/>
      <c r="AR258" s="6"/>
      <c r="AS258" s="6"/>
      <c r="AT258" s="6"/>
      <c r="AU258" s="6"/>
      <c r="AV258" s="6"/>
      <c r="AW258" s="477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</row>
    <row r="259" spans="2:69" ht="15.75" customHeight="1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476"/>
      <c r="AN259" s="6"/>
      <c r="AO259" s="6"/>
      <c r="AP259" s="6"/>
      <c r="AQ259" s="6"/>
      <c r="AR259" s="6"/>
      <c r="AS259" s="6"/>
      <c r="AT259" s="6"/>
      <c r="AU259" s="6"/>
      <c r="AV259" s="6"/>
      <c r="AW259" s="477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</row>
    <row r="260" spans="2:69" ht="15.75" customHeight="1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476"/>
      <c r="AN260" s="6"/>
      <c r="AO260" s="6"/>
      <c r="AP260" s="6"/>
      <c r="AQ260" s="6"/>
      <c r="AR260" s="6"/>
      <c r="AS260" s="6"/>
      <c r="AT260" s="6"/>
      <c r="AU260" s="6"/>
      <c r="AV260" s="6"/>
      <c r="AW260" s="477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</row>
    <row r="261" spans="2:69" ht="15.75" customHeight="1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476"/>
      <c r="AN261" s="6"/>
      <c r="AO261" s="6"/>
      <c r="AP261" s="6"/>
      <c r="AQ261" s="6"/>
      <c r="AR261" s="6"/>
      <c r="AS261" s="6"/>
      <c r="AT261" s="6"/>
      <c r="AU261" s="6"/>
      <c r="AV261" s="6"/>
      <c r="AW261" s="477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</row>
    <row r="262" spans="2:69" ht="15.75" customHeight="1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476"/>
      <c r="AN262" s="6"/>
      <c r="AO262" s="6"/>
      <c r="AP262" s="6"/>
      <c r="AQ262" s="6"/>
      <c r="AR262" s="6"/>
      <c r="AS262" s="6"/>
      <c r="AT262" s="6"/>
      <c r="AU262" s="6"/>
      <c r="AV262" s="6"/>
      <c r="AW262" s="477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</row>
    <row r="263" spans="2:69" ht="15.75" customHeight="1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476"/>
      <c r="AN263" s="6"/>
      <c r="AO263" s="6"/>
      <c r="AP263" s="6"/>
      <c r="AQ263" s="6"/>
      <c r="AR263" s="6"/>
      <c r="AS263" s="6"/>
      <c r="AT263" s="6"/>
      <c r="AU263" s="6"/>
      <c r="AV263" s="6"/>
      <c r="AW263" s="477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</row>
    <row r="264" spans="2:69" ht="15.75" customHeight="1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476"/>
      <c r="AN264" s="6"/>
      <c r="AO264" s="6"/>
      <c r="AP264" s="6"/>
      <c r="AQ264" s="6"/>
      <c r="AR264" s="6"/>
      <c r="AS264" s="6"/>
      <c r="AT264" s="6"/>
      <c r="AU264" s="6"/>
      <c r="AV264" s="6"/>
      <c r="AW264" s="477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</row>
    <row r="265" spans="2:69" ht="15.75" customHeight="1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476"/>
      <c r="AN265" s="6"/>
      <c r="AO265" s="6"/>
      <c r="AP265" s="6"/>
      <c r="AQ265" s="6"/>
      <c r="AR265" s="6"/>
      <c r="AS265" s="6"/>
      <c r="AT265" s="6"/>
      <c r="AU265" s="6"/>
      <c r="AV265" s="6"/>
      <c r="AW265" s="477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</row>
    <row r="266" spans="2:69" ht="15.75" customHeight="1" x14ac:dyDescent="0.25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476"/>
      <c r="AN266" s="6"/>
      <c r="AO266" s="6"/>
      <c r="AP266" s="6"/>
      <c r="AQ266" s="6"/>
      <c r="AR266" s="6"/>
      <c r="AS266" s="6"/>
      <c r="AT266" s="6"/>
      <c r="AU266" s="6"/>
      <c r="AV266" s="6"/>
      <c r="AW266" s="477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</row>
    <row r="267" spans="2:69" ht="15.75" customHeight="1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476"/>
      <c r="AN267" s="6"/>
      <c r="AO267" s="6"/>
      <c r="AP267" s="6"/>
      <c r="AQ267" s="6"/>
      <c r="AR267" s="6"/>
      <c r="AS267" s="6"/>
      <c r="AT267" s="6"/>
      <c r="AU267" s="6"/>
      <c r="AV267" s="6"/>
      <c r="AW267" s="477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</row>
    <row r="268" spans="2:69" ht="15.75" customHeight="1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476"/>
      <c r="AN268" s="6"/>
      <c r="AO268" s="6"/>
      <c r="AP268" s="6"/>
      <c r="AQ268" s="6"/>
      <c r="AR268" s="6"/>
      <c r="AS268" s="6"/>
      <c r="AT268" s="6"/>
      <c r="AU268" s="6"/>
      <c r="AV268" s="6"/>
      <c r="AW268" s="477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</row>
    <row r="269" spans="2:69" ht="15.75" customHeight="1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476"/>
      <c r="AN269" s="6"/>
      <c r="AO269" s="6"/>
      <c r="AP269" s="6"/>
      <c r="AQ269" s="6"/>
      <c r="AR269" s="6"/>
      <c r="AS269" s="6"/>
      <c r="AT269" s="6"/>
      <c r="AU269" s="6"/>
      <c r="AV269" s="6"/>
      <c r="AW269" s="477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</row>
    <row r="270" spans="2:69" ht="15.75" customHeight="1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476"/>
      <c r="AN270" s="6"/>
      <c r="AO270" s="6"/>
      <c r="AP270" s="6"/>
      <c r="AQ270" s="6"/>
      <c r="AR270" s="6"/>
      <c r="AS270" s="6"/>
      <c r="AT270" s="6"/>
      <c r="AU270" s="6"/>
      <c r="AV270" s="6"/>
      <c r="AW270" s="477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</row>
    <row r="271" spans="2:69" ht="15.75" customHeight="1" x14ac:dyDescent="0.25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476"/>
      <c r="AN271" s="6"/>
      <c r="AO271" s="6"/>
      <c r="AP271" s="6"/>
      <c r="AQ271" s="6"/>
      <c r="AR271" s="6"/>
      <c r="AS271" s="6"/>
      <c r="AT271" s="6"/>
      <c r="AU271" s="6"/>
      <c r="AV271" s="6"/>
      <c r="AW271" s="477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</row>
    <row r="272" spans="2:69" ht="15.75" customHeight="1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476"/>
      <c r="AN272" s="6"/>
      <c r="AO272" s="6"/>
      <c r="AP272" s="6"/>
      <c r="AQ272" s="6"/>
      <c r="AR272" s="6"/>
      <c r="AS272" s="6"/>
      <c r="AT272" s="6"/>
      <c r="AU272" s="6"/>
      <c r="AV272" s="6"/>
      <c r="AW272" s="477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</row>
    <row r="273" spans="2:69" ht="15.75" customHeight="1" x14ac:dyDescent="0.25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476"/>
      <c r="AN273" s="6"/>
      <c r="AO273" s="6"/>
      <c r="AP273" s="6"/>
      <c r="AQ273" s="6"/>
      <c r="AR273" s="6"/>
      <c r="AS273" s="6"/>
      <c r="AT273" s="6"/>
      <c r="AU273" s="6"/>
      <c r="AV273" s="6"/>
      <c r="AW273" s="477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</row>
    <row r="274" spans="2:69" ht="15.75" customHeight="1" x14ac:dyDescent="0.25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476"/>
      <c r="AN274" s="6"/>
      <c r="AO274" s="6"/>
      <c r="AP274" s="6"/>
      <c r="AQ274" s="6"/>
      <c r="AR274" s="6"/>
      <c r="AS274" s="6"/>
      <c r="AT274" s="6"/>
      <c r="AU274" s="6"/>
      <c r="AV274" s="6"/>
      <c r="AW274" s="477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</row>
    <row r="275" spans="2:69" ht="15.75" customHeight="1" x14ac:dyDescent="0.25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476"/>
      <c r="AN275" s="6"/>
      <c r="AO275" s="6"/>
      <c r="AP275" s="6"/>
      <c r="AQ275" s="6"/>
      <c r="AR275" s="6"/>
      <c r="AS275" s="6"/>
      <c r="AT275" s="6"/>
      <c r="AU275" s="6"/>
      <c r="AV275" s="6"/>
      <c r="AW275" s="477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</row>
    <row r="276" spans="2:69" ht="15.75" customHeight="1" x14ac:dyDescent="0.25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476"/>
      <c r="AN276" s="6"/>
      <c r="AO276" s="6"/>
      <c r="AP276" s="6"/>
      <c r="AQ276" s="6"/>
      <c r="AR276" s="6"/>
      <c r="AS276" s="6"/>
      <c r="AT276" s="6"/>
      <c r="AU276" s="6"/>
      <c r="AV276" s="6"/>
      <c r="AW276" s="477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</row>
    <row r="277" spans="2:69" ht="15.75" customHeight="1" x14ac:dyDescent="0.25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476"/>
      <c r="AN277" s="6"/>
      <c r="AO277" s="6"/>
      <c r="AP277" s="6"/>
      <c r="AQ277" s="6"/>
      <c r="AR277" s="6"/>
      <c r="AS277" s="6"/>
      <c r="AT277" s="6"/>
      <c r="AU277" s="6"/>
      <c r="AV277" s="6"/>
      <c r="AW277" s="477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</row>
    <row r="278" spans="2:69" ht="15.75" customHeight="1" x14ac:dyDescent="0.25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476"/>
      <c r="AN278" s="6"/>
      <c r="AO278" s="6"/>
      <c r="AP278" s="6"/>
      <c r="AQ278" s="6"/>
      <c r="AR278" s="6"/>
      <c r="AS278" s="6"/>
      <c r="AT278" s="6"/>
      <c r="AU278" s="6"/>
      <c r="AV278" s="6"/>
      <c r="AW278" s="477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</row>
    <row r="279" spans="2:69" ht="15.75" customHeight="1" x14ac:dyDescent="0.25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476"/>
      <c r="AN279" s="6"/>
      <c r="AO279" s="6"/>
      <c r="AP279" s="6"/>
      <c r="AQ279" s="6"/>
      <c r="AR279" s="6"/>
      <c r="AS279" s="6"/>
      <c r="AT279" s="6"/>
      <c r="AU279" s="6"/>
      <c r="AV279" s="6"/>
      <c r="AW279" s="477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</row>
    <row r="280" spans="2:69" ht="15.75" customHeight="1" x14ac:dyDescent="0.25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476"/>
      <c r="AN280" s="6"/>
      <c r="AO280" s="6"/>
      <c r="AP280" s="6"/>
      <c r="AQ280" s="6"/>
      <c r="AR280" s="6"/>
      <c r="AS280" s="6"/>
      <c r="AT280" s="6"/>
      <c r="AU280" s="6"/>
      <c r="AV280" s="6"/>
      <c r="AW280" s="477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</row>
    <row r="281" spans="2:69" ht="15.75" customHeight="1" x14ac:dyDescent="0.25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476"/>
      <c r="AN281" s="6"/>
      <c r="AO281" s="6"/>
      <c r="AP281" s="6"/>
      <c r="AQ281" s="6"/>
      <c r="AR281" s="6"/>
      <c r="AS281" s="6"/>
      <c r="AT281" s="6"/>
      <c r="AU281" s="6"/>
      <c r="AV281" s="6"/>
      <c r="AW281" s="477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</row>
    <row r="282" spans="2:69" ht="15.75" customHeight="1" x14ac:dyDescent="0.25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476"/>
      <c r="AN282" s="6"/>
      <c r="AO282" s="6"/>
      <c r="AP282" s="6"/>
      <c r="AQ282" s="6"/>
      <c r="AR282" s="6"/>
      <c r="AS282" s="6"/>
      <c r="AT282" s="6"/>
      <c r="AU282" s="6"/>
      <c r="AV282" s="6"/>
      <c r="AW282" s="477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</row>
    <row r="283" spans="2:69" ht="15.75" customHeight="1" x14ac:dyDescent="0.25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476"/>
      <c r="AN283" s="6"/>
      <c r="AO283" s="6"/>
      <c r="AP283" s="6"/>
      <c r="AQ283" s="6"/>
      <c r="AR283" s="6"/>
      <c r="AS283" s="6"/>
      <c r="AT283" s="6"/>
      <c r="AU283" s="6"/>
      <c r="AV283" s="6"/>
      <c r="AW283" s="477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</row>
    <row r="284" spans="2:69" ht="15.75" customHeight="1" x14ac:dyDescent="0.25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476"/>
      <c r="AN284" s="6"/>
      <c r="AO284" s="6"/>
      <c r="AP284" s="6"/>
      <c r="AQ284" s="6"/>
      <c r="AR284" s="6"/>
      <c r="AS284" s="6"/>
      <c r="AT284" s="6"/>
      <c r="AU284" s="6"/>
      <c r="AV284" s="6"/>
      <c r="AW284" s="477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</row>
    <row r="285" spans="2:69" ht="15.75" customHeight="1" x14ac:dyDescent="0.25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476"/>
      <c r="AN285" s="6"/>
      <c r="AO285" s="6"/>
      <c r="AP285" s="6"/>
      <c r="AQ285" s="6"/>
      <c r="AR285" s="6"/>
      <c r="AS285" s="6"/>
      <c r="AT285" s="6"/>
      <c r="AU285" s="6"/>
      <c r="AV285" s="6"/>
      <c r="AW285" s="477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</row>
    <row r="286" spans="2:69" ht="15.75" customHeight="1" x14ac:dyDescent="0.25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476"/>
      <c r="AN286" s="6"/>
      <c r="AO286" s="6"/>
      <c r="AP286" s="6"/>
      <c r="AQ286" s="6"/>
      <c r="AR286" s="6"/>
      <c r="AS286" s="6"/>
      <c r="AT286" s="6"/>
      <c r="AU286" s="6"/>
      <c r="AV286" s="6"/>
      <c r="AW286" s="477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</row>
    <row r="287" spans="2:69" ht="15.75" customHeight="1" x14ac:dyDescent="0.25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476"/>
      <c r="AN287" s="6"/>
      <c r="AO287" s="6"/>
      <c r="AP287" s="6"/>
      <c r="AQ287" s="6"/>
      <c r="AR287" s="6"/>
      <c r="AS287" s="6"/>
      <c r="AT287" s="6"/>
      <c r="AU287" s="6"/>
      <c r="AV287" s="6"/>
      <c r="AW287" s="477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</row>
    <row r="288" spans="2:69" ht="15.75" customHeight="1" x14ac:dyDescent="0.25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476"/>
      <c r="AN288" s="6"/>
      <c r="AO288" s="6"/>
      <c r="AP288" s="6"/>
      <c r="AQ288" s="6"/>
      <c r="AR288" s="6"/>
      <c r="AS288" s="6"/>
      <c r="AT288" s="6"/>
      <c r="AU288" s="6"/>
      <c r="AV288" s="6"/>
      <c r="AW288" s="477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</row>
    <row r="289" spans="2:69" ht="15.75" customHeight="1" x14ac:dyDescent="0.25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476"/>
      <c r="AN289" s="6"/>
      <c r="AO289" s="6"/>
      <c r="AP289" s="6"/>
      <c r="AQ289" s="6"/>
      <c r="AR289" s="6"/>
      <c r="AS289" s="6"/>
      <c r="AT289" s="6"/>
      <c r="AU289" s="6"/>
      <c r="AV289" s="6"/>
      <c r="AW289" s="477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</row>
    <row r="290" spans="2:69" ht="15.75" customHeight="1" x14ac:dyDescent="0.25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476"/>
      <c r="AN290" s="6"/>
      <c r="AO290" s="6"/>
      <c r="AP290" s="6"/>
      <c r="AQ290" s="6"/>
      <c r="AR290" s="6"/>
      <c r="AS290" s="6"/>
      <c r="AT290" s="6"/>
      <c r="AU290" s="6"/>
      <c r="AV290" s="6"/>
      <c r="AW290" s="477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</row>
    <row r="291" spans="2:69" ht="15.75" customHeight="1" x14ac:dyDescent="0.25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476"/>
      <c r="AN291" s="6"/>
      <c r="AO291" s="6"/>
      <c r="AP291" s="6"/>
      <c r="AQ291" s="6"/>
      <c r="AR291" s="6"/>
      <c r="AS291" s="6"/>
      <c r="AT291" s="6"/>
      <c r="AU291" s="6"/>
      <c r="AV291" s="6"/>
      <c r="AW291" s="477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</row>
    <row r="292" spans="2:69" ht="15.75" customHeight="1" x14ac:dyDescent="0.25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476"/>
      <c r="AN292" s="6"/>
      <c r="AO292" s="6"/>
      <c r="AP292" s="6"/>
      <c r="AQ292" s="6"/>
      <c r="AR292" s="6"/>
      <c r="AS292" s="6"/>
      <c r="AT292" s="6"/>
      <c r="AU292" s="6"/>
      <c r="AV292" s="6"/>
      <c r="AW292" s="477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</row>
    <row r="293" spans="2:69" ht="15.75" customHeight="1" x14ac:dyDescent="0.25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476"/>
      <c r="AN293" s="6"/>
      <c r="AO293" s="6"/>
      <c r="AP293" s="6"/>
      <c r="AQ293" s="6"/>
      <c r="AR293" s="6"/>
      <c r="AS293" s="6"/>
      <c r="AT293" s="6"/>
      <c r="AU293" s="6"/>
      <c r="AV293" s="6"/>
      <c r="AW293" s="477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</row>
    <row r="294" spans="2:69" ht="15.75" customHeight="1" x14ac:dyDescent="0.25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476"/>
      <c r="AN294" s="6"/>
      <c r="AO294" s="6"/>
      <c r="AP294" s="6"/>
      <c r="AQ294" s="6"/>
      <c r="AR294" s="6"/>
      <c r="AS294" s="6"/>
      <c r="AT294" s="6"/>
      <c r="AU294" s="6"/>
      <c r="AV294" s="6"/>
      <c r="AW294" s="477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</row>
    <row r="295" spans="2:69" ht="15.75" customHeight="1" x14ac:dyDescent="0.25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476"/>
      <c r="AN295" s="6"/>
      <c r="AO295" s="6"/>
      <c r="AP295" s="6"/>
      <c r="AQ295" s="6"/>
      <c r="AR295" s="6"/>
      <c r="AS295" s="6"/>
      <c r="AT295" s="6"/>
      <c r="AU295" s="6"/>
      <c r="AV295" s="6"/>
      <c r="AW295" s="477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</row>
    <row r="296" spans="2:69" ht="15.75" customHeight="1" x14ac:dyDescent="0.25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476"/>
      <c r="AN296" s="6"/>
      <c r="AO296" s="6"/>
      <c r="AP296" s="6"/>
      <c r="AQ296" s="6"/>
      <c r="AR296" s="6"/>
      <c r="AS296" s="6"/>
      <c r="AT296" s="6"/>
      <c r="AU296" s="6"/>
      <c r="AV296" s="6"/>
      <c r="AW296" s="477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</row>
    <row r="297" spans="2:69" ht="15.75" customHeight="1" x14ac:dyDescent="0.25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476"/>
      <c r="AN297" s="6"/>
      <c r="AO297" s="6"/>
      <c r="AP297" s="6"/>
      <c r="AQ297" s="6"/>
      <c r="AR297" s="6"/>
      <c r="AS297" s="6"/>
      <c r="AT297" s="6"/>
      <c r="AU297" s="6"/>
      <c r="AV297" s="6"/>
      <c r="AW297" s="477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</row>
    <row r="298" spans="2:69" ht="15.75" customHeight="1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476"/>
      <c r="AN298" s="6"/>
      <c r="AO298" s="6"/>
      <c r="AP298" s="6"/>
      <c r="AQ298" s="6"/>
      <c r="AR298" s="6"/>
      <c r="AS298" s="6"/>
      <c r="AT298" s="6"/>
      <c r="AU298" s="6"/>
      <c r="AV298" s="6"/>
      <c r="AW298" s="477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</row>
    <row r="299" spans="2:69" ht="15.75" customHeight="1" x14ac:dyDescent="0.25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476"/>
      <c r="AN299" s="6"/>
      <c r="AO299" s="6"/>
      <c r="AP299" s="6"/>
      <c r="AQ299" s="6"/>
      <c r="AR299" s="6"/>
      <c r="AS299" s="6"/>
      <c r="AT299" s="6"/>
      <c r="AU299" s="6"/>
      <c r="AV299" s="6"/>
      <c r="AW299" s="477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</row>
    <row r="300" spans="2:69" ht="15.75" customHeight="1" x14ac:dyDescent="0.25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476"/>
      <c r="AN300" s="6"/>
      <c r="AO300" s="6"/>
      <c r="AP300" s="6"/>
      <c r="AQ300" s="6"/>
      <c r="AR300" s="6"/>
      <c r="AS300" s="6"/>
      <c r="AT300" s="6"/>
      <c r="AU300" s="6"/>
      <c r="AV300" s="6"/>
      <c r="AW300" s="477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</row>
    <row r="301" spans="2:69" ht="15.75" customHeight="1" x14ac:dyDescent="0.25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476"/>
      <c r="AN301" s="6"/>
      <c r="AO301" s="6"/>
      <c r="AP301" s="6"/>
      <c r="AQ301" s="6"/>
      <c r="AR301" s="6"/>
      <c r="AS301" s="6"/>
      <c r="AT301" s="6"/>
      <c r="AU301" s="6"/>
      <c r="AV301" s="6"/>
      <c r="AW301" s="477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</row>
    <row r="302" spans="2:69" ht="15.75" customHeight="1" x14ac:dyDescent="0.25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476"/>
      <c r="AN302" s="6"/>
      <c r="AO302" s="6"/>
      <c r="AP302" s="6"/>
      <c r="AQ302" s="6"/>
      <c r="AR302" s="6"/>
      <c r="AS302" s="6"/>
      <c r="AT302" s="6"/>
      <c r="AU302" s="6"/>
      <c r="AV302" s="6"/>
      <c r="AW302" s="477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</row>
    <row r="303" spans="2:69" ht="15.75" customHeight="1" x14ac:dyDescent="0.25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476"/>
      <c r="AN303" s="6"/>
      <c r="AO303" s="6"/>
      <c r="AP303" s="6"/>
      <c r="AQ303" s="6"/>
      <c r="AR303" s="6"/>
      <c r="AS303" s="6"/>
      <c r="AT303" s="6"/>
      <c r="AU303" s="6"/>
      <c r="AV303" s="6"/>
      <c r="AW303" s="477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</row>
    <row r="304" spans="2:69" ht="15.75" customHeight="1" x14ac:dyDescent="0.25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476"/>
      <c r="AN304" s="6"/>
      <c r="AO304" s="6"/>
      <c r="AP304" s="6"/>
      <c r="AQ304" s="6"/>
      <c r="AR304" s="6"/>
      <c r="AS304" s="6"/>
      <c r="AT304" s="6"/>
      <c r="AU304" s="6"/>
      <c r="AV304" s="6"/>
      <c r="AW304" s="477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</row>
    <row r="305" spans="2:69" ht="15.75" customHeight="1" x14ac:dyDescent="0.25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476"/>
      <c r="AN305" s="6"/>
      <c r="AO305" s="6"/>
      <c r="AP305" s="6"/>
      <c r="AQ305" s="6"/>
      <c r="AR305" s="6"/>
      <c r="AS305" s="6"/>
      <c r="AT305" s="6"/>
      <c r="AU305" s="6"/>
      <c r="AV305" s="6"/>
      <c r="AW305" s="477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</row>
    <row r="306" spans="2:69" ht="15.75" customHeight="1" x14ac:dyDescent="0.25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476"/>
      <c r="AN306" s="6"/>
      <c r="AO306" s="6"/>
      <c r="AP306" s="6"/>
      <c r="AQ306" s="6"/>
      <c r="AR306" s="6"/>
      <c r="AS306" s="6"/>
      <c r="AT306" s="6"/>
      <c r="AU306" s="6"/>
      <c r="AV306" s="6"/>
      <c r="AW306" s="477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</row>
    <row r="307" spans="2:69" ht="15.75" customHeight="1" x14ac:dyDescent="0.25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476"/>
      <c r="AN307" s="6"/>
      <c r="AO307" s="6"/>
      <c r="AP307" s="6"/>
      <c r="AQ307" s="6"/>
      <c r="AR307" s="6"/>
      <c r="AS307" s="6"/>
      <c r="AT307" s="6"/>
      <c r="AU307" s="6"/>
      <c r="AV307" s="6"/>
      <c r="AW307" s="477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</row>
    <row r="308" spans="2:69" ht="15.75" customHeight="1" x14ac:dyDescent="0.25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476"/>
      <c r="AN308" s="6"/>
      <c r="AO308" s="6"/>
      <c r="AP308" s="6"/>
      <c r="AQ308" s="6"/>
      <c r="AR308" s="6"/>
      <c r="AS308" s="6"/>
      <c r="AT308" s="6"/>
      <c r="AU308" s="6"/>
      <c r="AV308" s="6"/>
      <c r="AW308" s="477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</row>
    <row r="309" spans="2:69" ht="15.75" customHeight="1" x14ac:dyDescent="0.25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476"/>
      <c r="AN309" s="6"/>
      <c r="AO309" s="6"/>
      <c r="AP309" s="6"/>
      <c r="AQ309" s="6"/>
      <c r="AR309" s="6"/>
      <c r="AS309" s="6"/>
      <c r="AT309" s="6"/>
      <c r="AU309" s="6"/>
      <c r="AV309" s="6"/>
      <c r="AW309" s="477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</row>
    <row r="310" spans="2:69" ht="15.75" customHeight="1" x14ac:dyDescent="0.25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476"/>
      <c r="AN310" s="6"/>
      <c r="AO310" s="6"/>
      <c r="AP310" s="6"/>
      <c r="AQ310" s="6"/>
      <c r="AR310" s="6"/>
      <c r="AS310" s="6"/>
      <c r="AT310" s="6"/>
      <c r="AU310" s="6"/>
      <c r="AV310" s="6"/>
      <c r="AW310" s="477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</row>
    <row r="311" spans="2:69" ht="15.75" customHeight="1" x14ac:dyDescent="0.25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476"/>
      <c r="AN311" s="6"/>
      <c r="AO311" s="6"/>
      <c r="AP311" s="6"/>
      <c r="AQ311" s="6"/>
      <c r="AR311" s="6"/>
      <c r="AS311" s="6"/>
      <c r="AT311" s="6"/>
      <c r="AU311" s="6"/>
      <c r="AV311" s="6"/>
      <c r="AW311" s="477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</row>
    <row r="312" spans="2:69" ht="15.75" customHeight="1" x14ac:dyDescent="0.25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476"/>
      <c r="AN312" s="6"/>
      <c r="AO312" s="6"/>
      <c r="AP312" s="6"/>
      <c r="AQ312" s="6"/>
      <c r="AR312" s="6"/>
      <c r="AS312" s="6"/>
      <c r="AT312" s="6"/>
      <c r="AU312" s="6"/>
      <c r="AV312" s="6"/>
      <c r="AW312" s="477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</row>
    <row r="313" spans="2:69" ht="15.75" customHeight="1" x14ac:dyDescent="0.25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476"/>
      <c r="AN313" s="6"/>
      <c r="AO313" s="6"/>
      <c r="AP313" s="6"/>
      <c r="AQ313" s="6"/>
      <c r="AR313" s="6"/>
      <c r="AS313" s="6"/>
      <c r="AT313" s="6"/>
      <c r="AU313" s="6"/>
      <c r="AV313" s="6"/>
      <c r="AW313" s="477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</row>
    <row r="314" spans="2:69" ht="15.75" customHeight="1" x14ac:dyDescent="0.25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476"/>
      <c r="AN314" s="6"/>
      <c r="AO314" s="6"/>
      <c r="AP314" s="6"/>
      <c r="AQ314" s="6"/>
      <c r="AR314" s="6"/>
      <c r="AS314" s="6"/>
      <c r="AT314" s="6"/>
      <c r="AU314" s="6"/>
      <c r="AV314" s="6"/>
      <c r="AW314" s="477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</row>
    <row r="315" spans="2:69" ht="15.75" customHeight="1" x14ac:dyDescent="0.25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476"/>
      <c r="AN315" s="6"/>
      <c r="AO315" s="6"/>
      <c r="AP315" s="6"/>
      <c r="AQ315" s="6"/>
      <c r="AR315" s="6"/>
      <c r="AS315" s="6"/>
      <c r="AT315" s="6"/>
      <c r="AU315" s="6"/>
      <c r="AV315" s="6"/>
      <c r="AW315" s="477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</row>
    <row r="316" spans="2:69" ht="15.75" customHeight="1" x14ac:dyDescent="0.25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476"/>
      <c r="AN316" s="6"/>
      <c r="AO316" s="6"/>
      <c r="AP316" s="6"/>
      <c r="AQ316" s="6"/>
      <c r="AR316" s="6"/>
      <c r="AS316" s="6"/>
      <c r="AT316" s="6"/>
      <c r="AU316" s="6"/>
      <c r="AV316" s="6"/>
      <c r="AW316" s="477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</row>
    <row r="317" spans="2:69" ht="15.75" customHeight="1" x14ac:dyDescent="0.25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476"/>
      <c r="AN317" s="6"/>
      <c r="AO317" s="6"/>
      <c r="AP317" s="6"/>
      <c r="AQ317" s="6"/>
      <c r="AR317" s="6"/>
      <c r="AS317" s="6"/>
      <c r="AT317" s="6"/>
      <c r="AU317" s="6"/>
      <c r="AV317" s="6"/>
      <c r="AW317" s="477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</row>
    <row r="318" spans="2:69" ht="15.75" customHeight="1" x14ac:dyDescent="0.25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476"/>
      <c r="AN318" s="6"/>
      <c r="AO318" s="6"/>
      <c r="AP318" s="6"/>
      <c r="AQ318" s="6"/>
      <c r="AR318" s="6"/>
      <c r="AS318" s="6"/>
      <c r="AT318" s="6"/>
      <c r="AU318" s="6"/>
      <c r="AV318" s="6"/>
      <c r="AW318" s="477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</row>
    <row r="319" spans="2:69" ht="15.75" customHeight="1" x14ac:dyDescent="0.25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476"/>
      <c r="AN319" s="6"/>
      <c r="AO319" s="6"/>
      <c r="AP319" s="6"/>
      <c r="AQ319" s="6"/>
      <c r="AR319" s="6"/>
      <c r="AS319" s="6"/>
      <c r="AT319" s="6"/>
      <c r="AU319" s="6"/>
      <c r="AV319" s="6"/>
      <c r="AW319" s="477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</row>
    <row r="320" spans="2:69" ht="15.75" customHeight="1" x14ac:dyDescent="0.25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476"/>
      <c r="AN320" s="6"/>
      <c r="AO320" s="6"/>
      <c r="AP320" s="6"/>
      <c r="AQ320" s="6"/>
      <c r="AR320" s="6"/>
      <c r="AS320" s="6"/>
      <c r="AT320" s="6"/>
      <c r="AU320" s="6"/>
      <c r="AV320" s="6"/>
      <c r="AW320" s="477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</row>
    <row r="321" spans="2:69" ht="15.75" customHeight="1" x14ac:dyDescent="0.25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476"/>
      <c r="AN321" s="6"/>
      <c r="AO321" s="6"/>
      <c r="AP321" s="6"/>
      <c r="AQ321" s="6"/>
      <c r="AR321" s="6"/>
      <c r="AS321" s="6"/>
      <c r="AT321" s="6"/>
      <c r="AU321" s="6"/>
      <c r="AV321" s="6"/>
      <c r="AW321" s="477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</row>
    <row r="322" spans="2:69" ht="15.75" customHeight="1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476"/>
      <c r="AN322" s="6"/>
      <c r="AO322" s="6"/>
      <c r="AP322" s="6"/>
      <c r="AQ322" s="6"/>
      <c r="AR322" s="6"/>
      <c r="AS322" s="6"/>
      <c r="AT322" s="6"/>
      <c r="AU322" s="6"/>
      <c r="AV322" s="6"/>
      <c r="AW322" s="477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</row>
    <row r="323" spans="2:69" ht="15.75" customHeight="1" x14ac:dyDescent="0.25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476"/>
      <c r="AN323" s="6"/>
      <c r="AO323" s="6"/>
      <c r="AP323" s="6"/>
      <c r="AQ323" s="6"/>
      <c r="AR323" s="6"/>
      <c r="AS323" s="6"/>
      <c r="AT323" s="6"/>
      <c r="AU323" s="6"/>
      <c r="AV323" s="6"/>
      <c r="AW323" s="477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</row>
    <row r="324" spans="2:69" ht="15.75" customHeight="1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476"/>
      <c r="AN324" s="6"/>
      <c r="AO324" s="6"/>
      <c r="AP324" s="6"/>
      <c r="AQ324" s="6"/>
      <c r="AR324" s="6"/>
      <c r="AS324" s="6"/>
      <c r="AT324" s="6"/>
      <c r="AU324" s="6"/>
      <c r="AV324" s="6"/>
      <c r="AW324" s="477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</row>
    <row r="325" spans="2:69" ht="15.75" customHeight="1" x14ac:dyDescent="0.25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476"/>
      <c r="AN325" s="6"/>
      <c r="AO325" s="6"/>
      <c r="AP325" s="6"/>
      <c r="AQ325" s="6"/>
      <c r="AR325" s="6"/>
      <c r="AS325" s="6"/>
      <c r="AT325" s="6"/>
      <c r="AU325" s="6"/>
      <c r="AV325" s="6"/>
      <c r="AW325" s="477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</row>
    <row r="326" spans="2:69" ht="15.75" customHeight="1" x14ac:dyDescent="0.25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476"/>
      <c r="AN326" s="6"/>
      <c r="AO326" s="6"/>
      <c r="AP326" s="6"/>
      <c r="AQ326" s="6"/>
      <c r="AR326" s="6"/>
      <c r="AS326" s="6"/>
      <c r="AT326" s="6"/>
      <c r="AU326" s="6"/>
      <c r="AV326" s="6"/>
      <c r="AW326" s="477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</row>
    <row r="327" spans="2:69" ht="15.75" customHeight="1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476"/>
      <c r="AN327" s="6"/>
      <c r="AO327" s="6"/>
      <c r="AP327" s="6"/>
      <c r="AQ327" s="6"/>
      <c r="AR327" s="6"/>
      <c r="AS327" s="6"/>
      <c r="AT327" s="6"/>
      <c r="AU327" s="6"/>
      <c r="AV327" s="6"/>
      <c r="AW327" s="477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</row>
    <row r="328" spans="2:69" ht="15.75" customHeight="1" x14ac:dyDescent="0.25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476"/>
      <c r="AN328" s="6"/>
      <c r="AO328" s="6"/>
      <c r="AP328" s="6"/>
      <c r="AQ328" s="6"/>
      <c r="AR328" s="6"/>
      <c r="AS328" s="6"/>
      <c r="AT328" s="6"/>
      <c r="AU328" s="6"/>
      <c r="AV328" s="6"/>
      <c r="AW328" s="477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</row>
    <row r="329" spans="2:69" ht="15.75" customHeight="1" x14ac:dyDescent="0.25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476"/>
      <c r="AN329" s="6"/>
      <c r="AO329" s="6"/>
      <c r="AP329" s="6"/>
      <c r="AQ329" s="6"/>
      <c r="AR329" s="6"/>
      <c r="AS329" s="6"/>
      <c r="AT329" s="6"/>
      <c r="AU329" s="6"/>
      <c r="AV329" s="6"/>
      <c r="AW329" s="477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</row>
    <row r="330" spans="2:69" ht="15.75" customHeight="1" x14ac:dyDescent="0.25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476"/>
      <c r="AN330" s="6"/>
      <c r="AO330" s="6"/>
      <c r="AP330" s="6"/>
      <c r="AQ330" s="6"/>
      <c r="AR330" s="6"/>
      <c r="AS330" s="6"/>
      <c r="AT330" s="6"/>
      <c r="AU330" s="6"/>
      <c r="AV330" s="6"/>
      <c r="AW330" s="477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</row>
    <row r="331" spans="2:69" ht="15.75" customHeight="1" x14ac:dyDescent="0.25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476"/>
      <c r="AN331" s="6"/>
      <c r="AO331" s="6"/>
      <c r="AP331" s="6"/>
      <c r="AQ331" s="6"/>
      <c r="AR331" s="6"/>
      <c r="AS331" s="6"/>
      <c r="AT331" s="6"/>
      <c r="AU331" s="6"/>
      <c r="AV331" s="6"/>
      <c r="AW331" s="477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</row>
    <row r="332" spans="2:69" ht="15.75" customHeight="1" x14ac:dyDescent="0.25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476"/>
      <c r="AN332" s="6"/>
      <c r="AO332" s="6"/>
      <c r="AP332" s="6"/>
      <c r="AQ332" s="6"/>
      <c r="AR332" s="6"/>
      <c r="AS332" s="6"/>
      <c r="AT332" s="6"/>
      <c r="AU332" s="6"/>
      <c r="AV332" s="6"/>
      <c r="AW332" s="477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</row>
    <row r="333" spans="2:69" ht="15.75" customHeight="1" x14ac:dyDescent="0.25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476"/>
      <c r="AN333" s="6"/>
      <c r="AO333" s="6"/>
      <c r="AP333" s="6"/>
      <c r="AQ333" s="6"/>
      <c r="AR333" s="6"/>
      <c r="AS333" s="6"/>
      <c r="AT333" s="6"/>
      <c r="AU333" s="6"/>
      <c r="AV333" s="6"/>
      <c r="AW333" s="477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</row>
    <row r="334" spans="2:69" ht="15.75" customHeight="1" x14ac:dyDescent="0.25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476"/>
      <c r="AN334" s="6"/>
      <c r="AO334" s="6"/>
      <c r="AP334" s="6"/>
      <c r="AQ334" s="6"/>
      <c r="AR334" s="6"/>
      <c r="AS334" s="6"/>
      <c r="AT334" s="6"/>
      <c r="AU334" s="6"/>
      <c r="AV334" s="6"/>
      <c r="AW334" s="477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</row>
    <row r="335" spans="2:69" ht="15.75" customHeight="1" x14ac:dyDescent="0.25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476"/>
      <c r="AN335" s="6"/>
      <c r="AO335" s="6"/>
      <c r="AP335" s="6"/>
      <c r="AQ335" s="6"/>
      <c r="AR335" s="6"/>
      <c r="AS335" s="6"/>
      <c r="AT335" s="6"/>
      <c r="AU335" s="6"/>
      <c r="AV335" s="6"/>
      <c r="AW335" s="477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</row>
    <row r="336" spans="2:69" ht="15.75" customHeight="1" x14ac:dyDescent="0.25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476"/>
      <c r="AN336" s="6"/>
      <c r="AO336" s="6"/>
      <c r="AP336" s="6"/>
      <c r="AQ336" s="6"/>
      <c r="AR336" s="6"/>
      <c r="AS336" s="6"/>
      <c r="AT336" s="6"/>
      <c r="AU336" s="6"/>
      <c r="AV336" s="6"/>
      <c r="AW336" s="477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</row>
    <row r="337" spans="2:69" ht="15.75" customHeight="1" x14ac:dyDescent="0.25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476"/>
      <c r="AN337" s="6"/>
      <c r="AO337" s="6"/>
      <c r="AP337" s="6"/>
      <c r="AQ337" s="6"/>
      <c r="AR337" s="6"/>
      <c r="AS337" s="6"/>
      <c r="AT337" s="6"/>
      <c r="AU337" s="6"/>
      <c r="AV337" s="6"/>
      <c r="AW337" s="477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</row>
    <row r="338" spans="2:69" ht="15.75" customHeight="1" x14ac:dyDescent="0.25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476"/>
      <c r="AN338" s="6"/>
      <c r="AO338" s="6"/>
      <c r="AP338" s="6"/>
      <c r="AQ338" s="6"/>
      <c r="AR338" s="6"/>
      <c r="AS338" s="6"/>
      <c r="AT338" s="6"/>
      <c r="AU338" s="6"/>
      <c r="AV338" s="6"/>
      <c r="AW338" s="477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</row>
    <row r="339" spans="2:69" ht="15.75" customHeight="1" x14ac:dyDescent="0.25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476"/>
      <c r="AN339" s="6"/>
      <c r="AO339" s="6"/>
      <c r="AP339" s="6"/>
      <c r="AQ339" s="6"/>
      <c r="AR339" s="6"/>
      <c r="AS339" s="6"/>
      <c r="AT339" s="6"/>
      <c r="AU339" s="6"/>
      <c r="AV339" s="6"/>
      <c r="AW339" s="477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</row>
    <row r="340" spans="2:69" ht="15.75" customHeight="1" x14ac:dyDescent="0.25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476"/>
      <c r="AN340" s="6"/>
      <c r="AO340" s="6"/>
      <c r="AP340" s="6"/>
      <c r="AQ340" s="6"/>
      <c r="AR340" s="6"/>
      <c r="AS340" s="6"/>
      <c r="AT340" s="6"/>
      <c r="AU340" s="6"/>
      <c r="AV340" s="6"/>
      <c r="AW340" s="477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</row>
    <row r="341" spans="2:69" ht="15.75" customHeight="1" x14ac:dyDescent="0.25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476"/>
      <c r="AN341" s="6"/>
      <c r="AO341" s="6"/>
      <c r="AP341" s="6"/>
      <c r="AQ341" s="6"/>
      <c r="AR341" s="6"/>
      <c r="AS341" s="6"/>
      <c r="AT341" s="6"/>
      <c r="AU341" s="6"/>
      <c r="AV341" s="6"/>
      <c r="AW341" s="477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</row>
    <row r="342" spans="2:69" ht="15.75" customHeight="1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476"/>
      <c r="AN342" s="6"/>
      <c r="AO342" s="6"/>
      <c r="AP342" s="6"/>
      <c r="AQ342" s="6"/>
      <c r="AR342" s="6"/>
      <c r="AS342" s="6"/>
      <c r="AT342" s="6"/>
      <c r="AU342" s="6"/>
      <c r="AV342" s="6"/>
      <c r="AW342" s="477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</row>
    <row r="343" spans="2:69" ht="15.75" customHeight="1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476"/>
      <c r="AN343" s="6"/>
      <c r="AO343" s="6"/>
      <c r="AP343" s="6"/>
      <c r="AQ343" s="6"/>
      <c r="AR343" s="6"/>
      <c r="AS343" s="6"/>
      <c r="AT343" s="6"/>
      <c r="AU343" s="6"/>
      <c r="AV343" s="6"/>
      <c r="AW343" s="477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</row>
    <row r="344" spans="2:69" ht="15.75" customHeight="1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476"/>
      <c r="AN344" s="6"/>
      <c r="AO344" s="6"/>
      <c r="AP344" s="6"/>
      <c r="AQ344" s="6"/>
      <c r="AR344" s="6"/>
      <c r="AS344" s="6"/>
      <c r="AT344" s="6"/>
      <c r="AU344" s="6"/>
      <c r="AV344" s="6"/>
      <c r="AW344" s="477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</row>
    <row r="345" spans="2:69" ht="15.75" customHeight="1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476"/>
      <c r="AN345" s="6"/>
      <c r="AO345" s="6"/>
      <c r="AP345" s="6"/>
      <c r="AQ345" s="6"/>
      <c r="AR345" s="6"/>
      <c r="AS345" s="6"/>
      <c r="AT345" s="6"/>
      <c r="AU345" s="6"/>
      <c r="AV345" s="6"/>
      <c r="AW345" s="477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</row>
    <row r="346" spans="2:69" ht="15.75" customHeight="1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476"/>
      <c r="AN346" s="6"/>
      <c r="AO346" s="6"/>
      <c r="AP346" s="6"/>
      <c r="AQ346" s="6"/>
      <c r="AR346" s="6"/>
      <c r="AS346" s="6"/>
      <c r="AT346" s="6"/>
      <c r="AU346" s="6"/>
      <c r="AV346" s="6"/>
      <c r="AW346" s="477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</row>
    <row r="347" spans="2:69" ht="15.75" customHeight="1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476"/>
      <c r="AN347" s="6"/>
      <c r="AO347" s="6"/>
      <c r="AP347" s="6"/>
      <c r="AQ347" s="6"/>
      <c r="AR347" s="6"/>
      <c r="AS347" s="6"/>
      <c r="AT347" s="6"/>
      <c r="AU347" s="6"/>
      <c r="AV347" s="6"/>
      <c r="AW347" s="477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</row>
    <row r="348" spans="2:69" ht="15.75" customHeight="1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476"/>
      <c r="AN348" s="6"/>
      <c r="AO348" s="6"/>
      <c r="AP348" s="6"/>
      <c r="AQ348" s="6"/>
      <c r="AR348" s="6"/>
      <c r="AS348" s="6"/>
      <c r="AT348" s="6"/>
      <c r="AU348" s="6"/>
      <c r="AV348" s="6"/>
      <c r="AW348" s="477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</row>
    <row r="349" spans="2:69" ht="15.75" customHeight="1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476"/>
      <c r="AN349" s="6"/>
      <c r="AO349" s="6"/>
      <c r="AP349" s="6"/>
      <c r="AQ349" s="6"/>
      <c r="AR349" s="6"/>
      <c r="AS349" s="6"/>
      <c r="AT349" s="6"/>
      <c r="AU349" s="6"/>
      <c r="AV349" s="6"/>
      <c r="AW349" s="477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</row>
    <row r="350" spans="2:69" ht="15.75" customHeight="1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476"/>
      <c r="AN350" s="6"/>
      <c r="AO350" s="6"/>
      <c r="AP350" s="6"/>
      <c r="AQ350" s="6"/>
      <c r="AR350" s="6"/>
      <c r="AS350" s="6"/>
      <c r="AT350" s="6"/>
      <c r="AU350" s="6"/>
      <c r="AV350" s="6"/>
      <c r="AW350" s="477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</row>
    <row r="351" spans="2:69" ht="15.75" customHeight="1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476"/>
      <c r="AN351" s="6"/>
      <c r="AO351" s="6"/>
      <c r="AP351" s="6"/>
      <c r="AQ351" s="6"/>
      <c r="AR351" s="6"/>
      <c r="AS351" s="6"/>
      <c r="AT351" s="6"/>
      <c r="AU351" s="6"/>
      <c r="AV351" s="6"/>
      <c r="AW351" s="477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</row>
    <row r="352" spans="2:69" ht="15.75" customHeight="1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476"/>
      <c r="AN352" s="6"/>
      <c r="AO352" s="6"/>
      <c r="AP352" s="6"/>
      <c r="AQ352" s="6"/>
      <c r="AR352" s="6"/>
      <c r="AS352" s="6"/>
      <c r="AT352" s="6"/>
      <c r="AU352" s="6"/>
      <c r="AV352" s="6"/>
      <c r="AW352" s="477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</row>
    <row r="353" spans="2:69" ht="15.75" customHeight="1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476"/>
      <c r="AN353" s="6"/>
      <c r="AO353" s="6"/>
      <c r="AP353" s="6"/>
      <c r="AQ353" s="6"/>
      <c r="AR353" s="6"/>
      <c r="AS353" s="6"/>
      <c r="AT353" s="6"/>
      <c r="AU353" s="6"/>
      <c r="AV353" s="6"/>
      <c r="AW353" s="477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</row>
    <row r="354" spans="2:69" ht="15.75" customHeight="1" x14ac:dyDescent="0.25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476"/>
      <c r="AN354" s="6"/>
      <c r="AO354" s="6"/>
      <c r="AP354" s="6"/>
      <c r="AQ354" s="6"/>
      <c r="AR354" s="6"/>
      <c r="AS354" s="6"/>
      <c r="AT354" s="6"/>
      <c r="AU354" s="6"/>
      <c r="AV354" s="6"/>
      <c r="AW354" s="477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</row>
    <row r="355" spans="2:69" ht="15.75" customHeight="1" x14ac:dyDescent="0.25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476"/>
      <c r="AN355" s="6"/>
      <c r="AO355" s="6"/>
      <c r="AP355" s="6"/>
      <c r="AQ355" s="6"/>
      <c r="AR355" s="6"/>
      <c r="AS355" s="6"/>
      <c r="AT355" s="6"/>
      <c r="AU355" s="6"/>
      <c r="AV355" s="6"/>
      <c r="AW355" s="477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</row>
    <row r="356" spans="2:69" ht="15.75" customHeight="1" x14ac:dyDescent="0.25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476"/>
      <c r="AN356" s="6"/>
      <c r="AO356" s="6"/>
      <c r="AP356" s="6"/>
      <c r="AQ356" s="6"/>
      <c r="AR356" s="6"/>
      <c r="AS356" s="6"/>
      <c r="AT356" s="6"/>
      <c r="AU356" s="6"/>
      <c r="AV356" s="6"/>
      <c r="AW356" s="477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</row>
    <row r="357" spans="2:69" ht="15.75" customHeight="1" x14ac:dyDescent="0.25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476"/>
      <c r="AN357" s="6"/>
      <c r="AO357" s="6"/>
      <c r="AP357" s="6"/>
      <c r="AQ357" s="6"/>
      <c r="AR357" s="6"/>
      <c r="AS357" s="6"/>
      <c r="AT357" s="6"/>
      <c r="AU357" s="6"/>
      <c r="AV357" s="6"/>
      <c r="AW357" s="477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</row>
    <row r="358" spans="2:69" ht="15.75" customHeight="1" x14ac:dyDescent="0.25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476"/>
      <c r="AN358" s="6"/>
      <c r="AO358" s="6"/>
      <c r="AP358" s="6"/>
      <c r="AQ358" s="6"/>
      <c r="AR358" s="6"/>
      <c r="AS358" s="6"/>
      <c r="AT358" s="6"/>
      <c r="AU358" s="6"/>
      <c r="AV358" s="6"/>
      <c r="AW358" s="477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</row>
    <row r="359" spans="2:69" ht="15.75" customHeight="1" x14ac:dyDescent="0.25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476"/>
      <c r="AN359" s="6"/>
      <c r="AO359" s="6"/>
      <c r="AP359" s="6"/>
      <c r="AQ359" s="6"/>
      <c r="AR359" s="6"/>
      <c r="AS359" s="6"/>
      <c r="AT359" s="6"/>
      <c r="AU359" s="6"/>
      <c r="AV359" s="6"/>
      <c r="AW359" s="477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</row>
    <row r="360" spans="2:69" ht="15.75" customHeight="1" x14ac:dyDescent="0.25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476"/>
      <c r="AN360" s="6"/>
      <c r="AO360" s="6"/>
      <c r="AP360" s="6"/>
      <c r="AQ360" s="6"/>
      <c r="AR360" s="6"/>
      <c r="AS360" s="6"/>
      <c r="AT360" s="6"/>
      <c r="AU360" s="6"/>
      <c r="AV360" s="6"/>
      <c r="AW360" s="477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</row>
    <row r="361" spans="2:69" ht="15.75" customHeight="1" x14ac:dyDescent="0.25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476"/>
      <c r="AN361" s="6"/>
      <c r="AO361" s="6"/>
      <c r="AP361" s="6"/>
      <c r="AQ361" s="6"/>
      <c r="AR361" s="6"/>
      <c r="AS361" s="6"/>
      <c r="AT361" s="6"/>
      <c r="AU361" s="6"/>
      <c r="AV361" s="6"/>
      <c r="AW361" s="477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</row>
    <row r="362" spans="2:69" ht="15.75" customHeight="1" x14ac:dyDescent="0.25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476"/>
      <c r="AN362" s="6"/>
      <c r="AO362" s="6"/>
      <c r="AP362" s="6"/>
      <c r="AQ362" s="6"/>
      <c r="AR362" s="6"/>
      <c r="AS362" s="6"/>
      <c r="AT362" s="6"/>
      <c r="AU362" s="6"/>
      <c r="AV362" s="6"/>
      <c r="AW362" s="477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</row>
    <row r="363" spans="2:69" ht="15.75" customHeight="1" x14ac:dyDescent="0.25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476"/>
      <c r="AN363" s="6"/>
      <c r="AO363" s="6"/>
      <c r="AP363" s="6"/>
      <c r="AQ363" s="6"/>
      <c r="AR363" s="6"/>
      <c r="AS363" s="6"/>
      <c r="AT363" s="6"/>
      <c r="AU363" s="6"/>
      <c r="AV363" s="6"/>
      <c r="AW363" s="477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</row>
    <row r="364" spans="2:69" ht="15.75" customHeight="1" x14ac:dyDescent="0.25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476"/>
      <c r="AN364" s="6"/>
      <c r="AO364" s="6"/>
      <c r="AP364" s="6"/>
      <c r="AQ364" s="6"/>
      <c r="AR364" s="6"/>
      <c r="AS364" s="6"/>
      <c r="AT364" s="6"/>
      <c r="AU364" s="6"/>
      <c r="AV364" s="6"/>
      <c r="AW364" s="477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</row>
    <row r="365" spans="2:69" ht="15.75" customHeight="1" x14ac:dyDescent="0.25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476"/>
      <c r="AN365" s="6"/>
      <c r="AO365" s="6"/>
      <c r="AP365" s="6"/>
      <c r="AQ365" s="6"/>
      <c r="AR365" s="6"/>
      <c r="AS365" s="6"/>
      <c r="AT365" s="6"/>
      <c r="AU365" s="6"/>
      <c r="AV365" s="6"/>
      <c r="AW365" s="477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</row>
    <row r="366" spans="2:69" ht="15.75" customHeight="1" x14ac:dyDescent="0.25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476"/>
      <c r="AN366" s="6"/>
      <c r="AO366" s="6"/>
      <c r="AP366" s="6"/>
      <c r="AQ366" s="6"/>
      <c r="AR366" s="6"/>
      <c r="AS366" s="6"/>
      <c r="AT366" s="6"/>
      <c r="AU366" s="6"/>
      <c r="AV366" s="6"/>
      <c r="AW366" s="477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</row>
    <row r="367" spans="2:69" ht="15.75" customHeight="1" x14ac:dyDescent="0.25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476"/>
      <c r="AN367" s="6"/>
      <c r="AO367" s="6"/>
      <c r="AP367" s="6"/>
      <c r="AQ367" s="6"/>
      <c r="AR367" s="6"/>
      <c r="AS367" s="6"/>
      <c r="AT367" s="6"/>
      <c r="AU367" s="6"/>
      <c r="AV367" s="6"/>
      <c r="AW367" s="477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</row>
    <row r="368" spans="2:69" ht="15.75" customHeight="1" x14ac:dyDescent="0.25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476"/>
      <c r="AN368" s="6"/>
      <c r="AO368" s="6"/>
      <c r="AP368" s="6"/>
      <c r="AQ368" s="6"/>
      <c r="AR368" s="6"/>
      <c r="AS368" s="6"/>
      <c r="AT368" s="6"/>
      <c r="AU368" s="6"/>
      <c r="AV368" s="6"/>
      <c r="AW368" s="477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</row>
    <row r="369" spans="2:69" ht="15.75" customHeight="1" x14ac:dyDescent="0.25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476"/>
      <c r="AN369" s="6"/>
      <c r="AO369" s="6"/>
      <c r="AP369" s="6"/>
      <c r="AQ369" s="6"/>
      <c r="AR369" s="6"/>
      <c r="AS369" s="6"/>
      <c r="AT369" s="6"/>
      <c r="AU369" s="6"/>
      <c r="AV369" s="6"/>
      <c r="AW369" s="477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</row>
    <row r="370" spans="2:69" ht="15.75" customHeight="1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476"/>
      <c r="AN370" s="6"/>
      <c r="AO370" s="6"/>
      <c r="AP370" s="6"/>
      <c r="AQ370" s="6"/>
      <c r="AR370" s="6"/>
      <c r="AS370" s="6"/>
      <c r="AT370" s="6"/>
      <c r="AU370" s="6"/>
      <c r="AV370" s="6"/>
      <c r="AW370" s="477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</row>
    <row r="371" spans="2:69" ht="15.75" customHeight="1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476"/>
      <c r="AN371" s="6"/>
      <c r="AO371" s="6"/>
      <c r="AP371" s="6"/>
      <c r="AQ371" s="6"/>
      <c r="AR371" s="6"/>
      <c r="AS371" s="6"/>
      <c r="AT371" s="6"/>
      <c r="AU371" s="6"/>
      <c r="AV371" s="6"/>
      <c r="AW371" s="477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</row>
    <row r="372" spans="2:69" ht="15.75" customHeight="1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476"/>
      <c r="AN372" s="6"/>
      <c r="AO372" s="6"/>
      <c r="AP372" s="6"/>
      <c r="AQ372" s="6"/>
      <c r="AR372" s="6"/>
      <c r="AS372" s="6"/>
      <c r="AT372" s="6"/>
      <c r="AU372" s="6"/>
      <c r="AV372" s="6"/>
      <c r="AW372" s="477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</row>
    <row r="373" spans="2:69" ht="15.75" customHeight="1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476"/>
      <c r="AN373" s="6"/>
      <c r="AO373" s="6"/>
      <c r="AP373" s="6"/>
      <c r="AQ373" s="6"/>
      <c r="AR373" s="6"/>
      <c r="AS373" s="6"/>
      <c r="AT373" s="6"/>
      <c r="AU373" s="6"/>
      <c r="AV373" s="6"/>
      <c r="AW373" s="477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</row>
    <row r="374" spans="2:69" ht="15.75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476"/>
      <c r="AN374" s="6"/>
      <c r="AO374" s="6"/>
      <c r="AP374" s="6"/>
      <c r="AQ374" s="6"/>
      <c r="AR374" s="6"/>
      <c r="AS374" s="6"/>
      <c r="AT374" s="6"/>
      <c r="AU374" s="6"/>
      <c r="AV374" s="6"/>
      <c r="AW374" s="477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</row>
    <row r="375" spans="2:69" ht="15.75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476"/>
      <c r="AN375" s="6"/>
      <c r="AO375" s="6"/>
      <c r="AP375" s="6"/>
      <c r="AQ375" s="6"/>
      <c r="AR375" s="6"/>
      <c r="AS375" s="6"/>
      <c r="AT375" s="6"/>
      <c r="AU375" s="6"/>
      <c r="AV375" s="6"/>
      <c r="AW375" s="477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</row>
    <row r="376" spans="2:69" ht="15.75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476"/>
      <c r="AN376" s="6"/>
      <c r="AO376" s="6"/>
      <c r="AP376" s="6"/>
      <c r="AQ376" s="6"/>
      <c r="AR376" s="6"/>
      <c r="AS376" s="6"/>
      <c r="AT376" s="6"/>
      <c r="AU376" s="6"/>
      <c r="AV376" s="6"/>
      <c r="AW376" s="477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</row>
    <row r="377" spans="2:69" ht="15.75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476"/>
      <c r="AN377" s="6"/>
      <c r="AO377" s="6"/>
      <c r="AP377" s="6"/>
      <c r="AQ377" s="6"/>
      <c r="AR377" s="6"/>
      <c r="AS377" s="6"/>
      <c r="AT377" s="6"/>
      <c r="AU377" s="6"/>
      <c r="AV377" s="6"/>
      <c r="AW377" s="477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</row>
    <row r="378" spans="2:69" ht="15.75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476"/>
      <c r="AN378" s="6"/>
      <c r="AO378" s="6"/>
      <c r="AP378" s="6"/>
      <c r="AQ378" s="6"/>
      <c r="AR378" s="6"/>
      <c r="AS378" s="6"/>
      <c r="AT378" s="6"/>
      <c r="AU378" s="6"/>
      <c r="AV378" s="6"/>
      <c r="AW378" s="477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</row>
    <row r="379" spans="2:69" ht="15.75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476"/>
      <c r="AN379" s="6"/>
      <c r="AO379" s="6"/>
      <c r="AP379" s="6"/>
      <c r="AQ379" s="6"/>
      <c r="AR379" s="6"/>
      <c r="AS379" s="6"/>
      <c r="AT379" s="6"/>
      <c r="AU379" s="6"/>
      <c r="AV379" s="6"/>
      <c r="AW379" s="477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</row>
    <row r="380" spans="2:69" ht="15.75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476"/>
      <c r="AN380" s="6"/>
      <c r="AO380" s="6"/>
      <c r="AP380" s="6"/>
      <c r="AQ380" s="6"/>
      <c r="AR380" s="6"/>
      <c r="AS380" s="6"/>
      <c r="AT380" s="6"/>
      <c r="AU380" s="6"/>
      <c r="AV380" s="6"/>
      <c r="AW380" s="477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</row>
    <row r="381" spans="2:69" ht="15.75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476"/>
      <c r="AN381" s="6"/>
      <c r="AO381" s="6"/>
      <c r="AP381" s="6"/>
      <c r="AQ381" s="6"/>
      <c r="AR381" s="6"/>
      <c r="AS381" s="6"/>
      <c r="AT381" s="6"/>
      <c r="AU381" s="6"/>
      <c r="AV381" s="6"/>
      <c r="AW381" s="477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</row>
    <row r="382" spans="2:69" ht="15.75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476"/>
      <c r="AN382" s="6"/>
      <c r="AO382" s="6"/>
      <c r="AP382" s="6"/>
      <c r="AQ382" s="6"/>
      <c r="AR382" s="6"/>
      <c r="AS382" s="6"/>
      <c r="AT382" s="6"/>
      <c r="AU382" s="6"/>
      <c r="AV382" s="6"/>
      <c r="AW382" s="477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</row>
    <row r="383" spans="2:69" ht="15.75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476"/>
      <c r="AN383" s="6"/>
      <c r="AO383" s="6"/>
      <c r="AP383" s="6"/>
      <c r="AQ383" s="6"/>
      <c r="AR383" s="6"/>
      <c r="AS383" s="6"/>
      <c r="AT383" s="6"/>
      <c r="AU383" s="6"/>
      <c r="AV383" s="6"/>
      <c r="AW383" s="477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</row>
    <row r="384" spans="2:69" ht="15.75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476"/>
      <c r="AN384" s="6"/>
      <c r="AO384" s="6"/>
      <c r="AP384" s="6"/>
      <c r="AQ384" s="6"/>
      <c r="AR384" s="6"/>
      <c r="AS384" s="6"/>
      <c r="AT384" s="6"/>
      <c r="AU384" s="6"/>
      <c r="AV384" s="6"/>
      <c r="AW384" s="477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</row>
    <row r="385" spans="2:69" ht="15.75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476"/>
      <c r="AN385" s="6"/>
      <c r="AO385" s="6"/>
      <c r="AP385" s="6"/>
      <c r="AQ385" s="6"/>
      <c r="AR385" s="6"/>
      <c r="AS385" s="6"/>
      <c r="AT385" s="6"/>
      <c r="AU385" s="6"/>
      <c r="AV385" s="6"/>
      <c r="AW385" s="477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</row>
    <row r="386" spans="2:69" ht="15.75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476"/>
      <c r="AN386" s="6"/>
      <c r="AO386" s="6"/>
      <c r="AP386" s="6"/>
      <c r="AQ386" s="6"/>
      <c r="AR386" s="6"/>
      <c r="AS386" s="6"/>
      <c r="AT386" s="6"/>
      <c r="AU386" s="6"/>
      <c r="AV386" s="6"/>
      <c r="AW386" s="477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</row>
    <row r="387" spans="2:69" ht="15.75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476"/>
      <c r="AN387" s="6"/>
      <c r="AO387" s="6"/>
      <c r="AP387" s="6"/>
      <c r="AQ387" s="6"/>
      <c r="AR387" s="6"/>
      <c r="AS387" s="6"/>
      <c r="AT387" s="6"/>
      <c r="AU387" s="6"/>
      <c r="AV387" s="6"/>
      <c r="AW387" s="477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</row>
    <row r="388" spans="2:69" ht="15.75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476"/>
      <c r="AN388" s="6"/>
      <c r="AO388" s="6"/>
      <c r="AP388" s="6"/>
      <c r="AQ388" s="6"/>
      <c r="AR388" s="6"/>
      <c r="AS388" s="6"/>
      <c r="AT388" s="6"/>
      <c r="AU388" s="6"/>
      <c r="AV388" s="6"/>
      <c r="AW388" s="477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</row>
    <row r="389" spans="2:69" ht="15.75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476"/>
      <c r="AN389" s="6"/>
      <c r="AO389" s="6"/>
      <c r="AP389" s="6"/>
      <c r="AQ389" s="6"/>
      <c r="AR389" s="6"/>
      <c r="AS389" s="6"/>
      <c r="AT389" s="6"/>
      <c r="AU389" s="6"/>
      <c r="AV389" s="6"/>
      <c r="AW389" s="477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</row>
    <row r="390" spans="2:69" ht="15.75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476"/>
      <c r="AN390" s="6"/>
      <c r="AO390" s="6"/>
      <c r="AP390" s="6"/>
      <c r="AQ390" s="6"/>
      <c r="AR390" s="6"/>
      <c r="AS390" s="6"/>
      <c r="AT390" s="6"/>
      <c r="AU390" s="6"/>
      <c r="AV390" s="6"/>
      <c r="AW390" s="477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</row>
    <row r="391" spans="2:69" ht="15.75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476"/>
      <c r="AN391" s="6"/>
      <c r="AO391" s="6"/>
      <c r="AP391" s="6"/>
      <c r="AQ391" s="6"/>
      <c r="AR391" s="6"/>
      <c r="AS391" s="6"/>
      <c r="AT391" s="6"/>
      <c r="AU391" s="6"/>
      <c r="AV391" s="6"/>
      <c r="AW391" s="477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</row>
    <row r="392" spans="2:69" ht="15.75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476"/>
      <c r="AN392" s="6"/>
      <c r="AO392" s="6"/>
      <c r="AP392" s="6"/>
      <c r="AQ392" s="6"/>
      <c r="AR392" s="6"/>
      <c r="AS392" s="6"/>
      <c r="AT392" s="6"/>
      <c r="AU392" s="6"/>
      <c r="AV392" s="6"/>
      <c r="AW392" s="477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</row>
    <row r="393" spans="2:69" ht="15.75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476"/>
      <c r="AN393" s="6"/>
      <c r="AO393" s="6"/>
      <c r="AP393" s="6"/>
      <c r="AQ393" s="6"/>
      <c r="AR393" s="6"/>
      <c r="AS393" s="6"/>
      <c r="AT393" s="6"/>
      <c r="AU393" s="6"/>
      <c r="AV393" s="6"/>
      <c r="AW393" s="477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</row>
    <row r="394" spans="2:69" ht="15.75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476"/>
      <c r="AN394" s="6"/>
      <c r="AO394" s="6"/>
      <c r="AP394" s="6"/>
      <c r="AQ394" s="6"/>
      <c r="AR394" s="6"/>
      <c r="AS394" s="6"/>
      <c r="AT394" s="6"/>
      <c r="AU394" s="6"/>
      <c r="AV394" s="6"/>
      <c r="AW394" s="477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</row>
    <row r="395" spans="2:69" ht="15.75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476"/>
      <c r="AN395" s="6"/>
      <c r="AO395" s="6"/>
      <c r="AP395" s="6"/>
      <c r="AQ395" s="6"/>
      <c r="AR395" s="6"/>
      <c r="AS395" s="6"/>
      <c r="AT395" s="6"/>
      <c r="AU395" s="6"/>
      <c r="AV395" s="6"/>
      <c r="AW395" s="477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</row>
    <row r="396" spans="2:69" ht="15.75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476"/>
      <c r="AN396" s="6"/>
      <c r="AO396" s="6"/>
      <c r="AP396" s="6"/>
      <c r="AQ396" s="6"/>
      <c r="AR396" s="6"/>
      <c r="AS396" s="6"/>
      <c r="AT396" s="6"/>
      <c r="AU396" s="6"/>
      <c r="AV396" s="6"/>
      <c r="AW396" s="477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</row>
    <row r="397" spans="2:69" ht="15.75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476"/>
      <c r="AN397" s="6"/>
      <c r="AO397" s="6"/>
      <c r="AP397" s="6"/>
      <c r="AQ397" s="6"/>
      <c r="AR397" s="6"/>
      <c r="AS397" s="6"/>
      <c r="AT397" s="6"/>
      <c r="AU397" s="6"/>
      <c r="AV397" s="6"/>
      <c r="AW397" s="477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</row>
    <row r="398" spans="2:69" ht="15.75" customHeight="1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476"/>
      <c r="AN398" s="6"/>
      <c r="AO398" s="6"/>
      <c r="AP398" s="6"/>
      <c r="AQ398" s="6"/>
      <c r="AR398" s="6"/>
      <c r="AS398" s="6"/>
      <c r="AT398" s="6"/>
      <c r="AU398" s="6"/>
      <c r="AV398" s="6"/>
      <c r="AW398" s="477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</row>
    <row r="399" spans="2:69" ht="15.75" customHeight="1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476"/>
      <c r="AN399" s="6"/>
      <c r="AO399" s="6"/>
      <c r="AP399" s="6"/>
      <c r="AQ399" s="6"/>
      <c r="AR399" s="6"/>
      <c r="AS399" s="6"/>
      <c r="AT399" s="6"/>
      <c r="AU399" s="6"/>
      <c r="AV399" s="6"/>
      <c r="AW399" s="477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</row>
    <row r="400" spans="2:69" ht="15.75" customHeight="1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476"/>
      <c r="AN400" s="6"/>
      <c r="AO400" s="6"/>
      <c r="AP400" s="6"/>
      <c r="AQ400" s="6"/>
      <c r="AR400" s="6"/>
      <c r="AS400" s="6"/>
      <c r="AT400" s="6"/>
      <c r="AU400" s="6"/>
      <c r="AV400" s="6"/>
      <c r="AW400" s="477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</row>
    <row r="401" spans="2:69" ht="15.75" customHeight="1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476"/>
      <c r="AN401" s="6"/>
      <c r="AO401" s="6"/>
      <c r="AP401" s="6"/>
      <c r="AQ401" s="6"/>
      <c r="AR401" s="6"/>
      <c r="AS401" s="6"/>
      <c r="AT401" s="6"/>
      <c r="AU401" s="6"/>
      <c r="AV401" s="6"/>
      <c r="AW401" s="477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</row>
    <row r="402" spans="2:69" ht="15.75" customHeight="1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476"/>
      <c r="AN402" s="6"/>
      <c r="AO402" s="6"/>
      <c r="AP402" s="6"/>
      <c r="AQ402" s="6"/>
      <c r="AR402" s="6"/>
      <c r="AS402" s="6"/>
      <c r="AT402" s="6"/>
      <c r="AU402" s="6"/>
      <c r="AV402" s="6"/>
      <c r="AW402" s="477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</row>
    <row r="403" spans="2:69" ht="15.75" customHeight="1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476"/>
      <c r="AN403" s="6"/>
      <c r="AO403" s="6"/>
      <c r="AP403" s="6"/>
      <c r="AQ403" s="6"/>
      <c r="AR403" s="6"/>
      <c r="AS403" s="6"/>
      <c r="AT403" s="6"/>
      <c r="AU403" s="6"/>
      <c r="AV403" s="6"/>
      <c r="AW403" s="477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</row>
    <row r="404" spans="2:69" ht="15.75" customHeight="1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476"/>
      <c r="AN404" s="6"/>
      <c r="AO404" s="6"/>
      <c r="AP404" s="6"/>
      <c r="AQ404" s="6"/>
      <c r="AR404" s="6"/>
      <c r="AS404" s="6"/>
      <c r="AT404" s="6"/>
      <c r="AU404" s="6"/>
      <c r="AV404" s="6"/>
      <c r="AW404" s="477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</row>
    <row r="405" spans="2:69" ht="15.75" customHeight="1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476"/>
      <c r="AN405" s="6"/>
      <c r="AO405" s="6"/>
      <c r="AP405" s="6"/>
      <c r="AQ405" s="6"/>
      <c r="AR405" s="6"/>
      <c r="AS405" s="6"/>
      <c r="AT405" s="6"/>
      <c r="AU405" s="6"/>
      <c r="AV405" s="6"/>
      <c r="AW405" s="477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</row>
    <row r="406" spans="2:69" ht="15.75" customHeight="1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476"/>
      <c r="AN406" s="6"/>
      <c r="AO406" s="6"/>
      <c r="AP406" s="6"/>
      <c r="AQ406" s="6"/>
      <c r="AR406" s="6"/>
      <c r="AS406" s="6"/>
      <c r="AT406" s="6"/>
      <c r="AU406" s="6"/>
      <c r="AV406" s="6"/>
      <c r="AW406" s="477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</row>
    <row r="407" spans="2:69" ht="15.75" customHeight="1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476"/>
      <c r="AN407" s="6"/>
      <c r="AO407" s="6"/>
      <c r="AP407" s="6"/>
      <c r="AQ407" s="6"/>
      <c r="AR407" s="6"/>
      <c r="AS407" s="6"/>
      <c r="AT407" s="6"/>
      <c r="AU407" s="6"/>
      <c r="AV407" s="6"/>
      <c r="AW407" s="477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</row>
    <row r="408" spans="2:69" ht="15.75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476"/>
      <c r="AN408" s="6"/>
      <c r="AO408" s="6"/>
      <c r="AP408" s="6"/>
      <c r="AQ408" s="6"/>
      <c r="AR408" s="6"/>
      <c r="AS408" s="6"/>
      <c r="AT408" s="6"/>
      <c r="AU408" s="6"/>
      <c r="AV408" s="6"/>
      <c r="AW408" s="477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</row>
    <row r="409" spans="2:69" ht="15.75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476"/>
      <c r="AN409" s="6"/>
      <c r="AO409" s="6"/>
      <c r="AP409" s="6"/>
      <c r="AQ409" s="6"/>
      <c r="AR409" s="6"/>
      <c r="AS409" s="6"/>
      <c r="AT409" s="6"/>
      <c r="AU409" s="6"/>
      <c r="AV409" s="6"/>
      <c r="AW409" s="477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</row>
    <row r="410" spans="2:69" ht="15.75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476"/>
      <c r="AN410" s="6"/>
      <c r="AO410" s="6"/>
      <c r="AP410" s="6"/>
      <c r="AQ410" s="6"/>
      <c r="AR410" s="6"/>
      <c r="AS410" s="6"/>
      <c r="AT410" s="6"/>
      <c r="AU410" s="6"/>
      <c r="AV410" s="6"/>
      <c r="AW410" s="477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</row>
    <row r="411" spans="2:69" ht="15.75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476"/>
      <c r="AN411" s="6"/>
      <c r="AO411" s="6"/>
      <c r="AP411" s="6"/>
      <c r="AQ411" s="6"/>
      <c r="AR411" s="6"/>
      <c r="AS411" s="6"/>
      <c r="AT411" s="6"/>
      <c r="AU411" s="6"/>
      <c r="AV411" s="6"/>
      <c r="AW411" s="477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</row>
    <row r="412" spans="2:69" ht="15.75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476"/>
      <c r="AN412" s="6"/>
      <c r="AO412" s="6"/>
      <c r="AP412" s="6"/>
      <c r="AQ412" s="6"/>
      <c r="AR412" s="6"/>
      <c r="AS412" s="6"/>
      <c r="AT412" s="6"/>
      <c r="AU412" s="6"/>
      <c r="AV412" s="6"/>
      <c r="AW412" s="477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</row>
    <row r="413" spans="2:69" ht="15.75" customHeight="1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476"/>
      <c r="AN413" s="6"/>
      <c r="AO413" s="6"/>
      <c r="AP413" s="6"/>
      <c r="AQ413" s="6"/>
      <c r="AR413" s="6"/>
      <c r="AS413" s="6"/>
      <c r="AT413" s="6"/>
      <c r="AU413" s="6"/>
      <c r="AV413" s="6"/>
      <c r="AW413" s="477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</row>
    <row r="414" spans="2:69" ht="15.75" customHeight="1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476"/>
      <c r="AN414" s="6"/>
      <c r="AO414" s="6"/>
      <c r="AP414" s="6"/>
      <c r="AQ414" s="6"/>
      <c r="AR414" s="6"/>
      <c r="AS414" s="6"/>
      <c r="AT414" s="6"/>
      <c r="AU414" s="6"/>
      <c r="AV414" s="6"/>
      <c r="AW414" s="477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</row>
    <row r="415" spans="2:69" ht="15.75" customHeight="1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476"/>
      <c r="AN415" s="6"/>
      <c r="AO415" s="6"/>
      <c r="AP415" s="6"/>
      <c r="AQ415" s="6"/>
      <c r="AR415" s="6"/>
      <c r="AS415" s="6"/>
      <c r="AT415" s="6"/>
      <c r="AU415" s="6"/>
      <c r="AV415" s="6"/>
      <c r="AW415" s="477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</row>
    <row r="416" spans="2:69" ht="15.75" customHeight="1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476"/>
      <c r="AN416" s="6"/>
      <c r="AO416" s="6"/>
      <c r="AP416" s="6"/>
      <c r="AQ416" s="6"/>
      <c r="AR416" s="6"/>
      <c r="AS416" s="6"/>
      <c r="AT416" s="6"/>
      <c r="AU416" s="6"/>
      <c r="AV416" s="6"/>
      <c r="AW416" s="477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</row>
    <row r="417" spans="2:69" ht="15.75" customHeight="1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476"/>
      <c r="AN417" s="6"/>
      <c r="AO417" s="6"/>
      <c r="AP417" s="6"/>
      <c r="AQ417" s="6"/>
      <c r="AR417" s="6"/>
      <c r="AS417" s="6"/>
      <c r="AT417" s="6"/>
      <c r="AU417" s="6"/>
      <c r="AV417" s="6"/>
      <c r="AW417" s="477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</row>
    <row r="418" spans="2:69" ht="15.75" customHeight="1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476"/>
      <c r="AN418" s="6"/>
      <c r="AO418" s="6"/>
      <c r="AP418" s="6"/>
      <c r="AQ418" s="6"/>
      <c r="AR418" s="6"/>
      <c r="AS418" s="6"/>
      <c r="AT418" s="6"/>
      <c r="AU418" s="6"/>
      <c r="AV418" s="6"/>
      <c r="AW418" s="477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</row>
    <row r="419" spans="2:69" ht="15.75" customHeight="1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476"/>
      <c r="AN419" s="6"/>
      <c r="AO419" s="6"/>
      <c r="AP419" s="6"/>
      <c r="AQ419" s="6"/>
      <c r="AR419" s="6"/>
      <c r="AS419" s="6"/>
      <c r="AT419" s="6"/>
      <c r="AU419" s="6"/>
      <c r="AV419" s="6"/>
      <c r="AW419" s="477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</row>
    <row r="420" spans="2:69" ht="15.75" customHeight="1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476"/>
      <c r="AN420" s="6"/>
      <c r="AO420" s="6"/>
      <c r="AP420" s="6"/>
      <c r="AQ420" s="6"/>
      <c r="AR420" s="6"/>
      <c r="AS420" s="6"/>
      <c r="AT420" s="6"/>
      <c r="AU420" s="6"/>
      <c r="AV420" s="6"/>
      <c r="AW420" s="477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</row>
    <row r="421" spans="2:69" ht="15.75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476"/>
      <c r="AN421" s="6"/>
      <c r="AO421" s="6"/>
      <c r="AP421" s="6"/>
      <c r="AQ421" s="6"/>
      <c r="AR421" s="6"/>
      <c r="AS421" s="6"/>
      <c r="AT421" s="6"/>
      <c r="AU421" s="6"/>
      <c r="AV421" s="6"/>
      <c r="AW421" s="477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</row>
    <row r="422" spans="2:69" ht="15.75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476"/>
      <c r="AN422" s="6"/>
      <c r="AO422" s="6"/>
      <c r="AP422" s="6"/>
      <c r="AQ422" s="6"/>
      <c r="AR422" s="6"/>
      <c r="AS422" s="6"/>
      <c r="AT422" s="6"/>
      <c r="AU422" s="6"/>
      <c r="AV422" s="6"/>
      <c r="AW422" s="477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</row>
    <row r="423" spans="2:69" ht="15.75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476"/>
      <c r="AN423" s="6"/>
      <c r="AO423" s="6"/>
      <c r="AP423" s="6"/>
      <c r="AQ423" s="6"/>
      <c r="AR423" s="6"/>
      <c r="AS423" s="6"/>
      <c r="AT423" s="6"/>
      <c r="AU423" s="6"/>
      <c r="AV423" s="6"/>
      <c r="AW423" s="477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</row>
    <row r="424" spans="2:69" ht="15.75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476"/>
      <c r="AN424" s="6"/>
      <c r="AO424" s="6"/>
      <c r="AP424" s="6"/>
      <c r="AQ424" s="6"/>
      <c r="AR424" s="6"/>
      <c r="AS424" s="6"/>
      <c r="AT424" s="6"/>
      <c r="AU424" s="6"/>
      <c r="AV424" s="6"/>
      <c r="AW424" s="477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</row>
    <row r="425" spans="2:69" ht="15.75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476"/>
      <c r="AN425" s="6"/>
      <c r="AO425" s="6"/>
      <c r="AP425" s="6"/>
      <c r="AQ425" s="6"/>
      <c r="AR425" s="6"/>
      <c r="AS425" s="6"/>
      <c r="AT425" s="6"/>
      <c r="AU425" s="6"/>
      <c r="AV425" s="6"/>
      <c r="AW425" s="477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</row>
    <row r="426" spans="2:69" ht="15.75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476"/>
      <c r="AN426" s="6"/>
      <c r="AO426" s="6"/>
      <c r="AP426" s="6"/>
      <c r="AQ426" s="6"/>
      <c r="AR426" s="6"/>
      <c r="AS426" s="6"/>
      <c r="AT426" s="6"/>
      <c r="AU426" s="6"/>
      <c r="AV426" s="6"/>
      <c r="AW426" s="477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</row>
    <row r="427" spans="2:69" ht="15.75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476"/>
      <c r="AN427" s="6"/>
      <c r="AO427" s="6"/>
      <c r="AP427" s="6"/>
      <c r="AQ427" s="6"/>
      <c r="AR427" s="6"/>
      <c r="AS427" s="6"/>
      <c r="AT427" s="6"/>
      <c r="AU427" s="6"/>
      <c r="AV427" s="6"/>
      <c r="AW427" s="477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</row>
    <row r="428" spans="2:69" ht="15.75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476"/>
      <c r="AN428" s="6"/>
      <c r="AO428" s="6"/>
      <c r="AP428" s="6"/>
      <c r="AQ428" s="6"/>
      <c r="AR428" s="6"/>
      <c r="AS428" s="6"/>
      <c r="AT428" s="6"/>
      <c r="AU428" s="6"/>
      <c r="AV428" s="6"/>
      <c r="AW428" s="477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</row>
    <row r="429" spans="2:69" ht="15.75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476"/>
      <c r="AN429" s="6"/>
      <c r="AO429" s="6"/>
      <c r="AP429" s="6"/>
      <c r="AQ429" s="6"/>
      <c r="AR429" s="6"/>
      <c r="AS429" s="6"/>
      <c r="AT429" s="6"/>
      <c r="AU429" s="6"/>
      <c r="AV429" s="6"/>
      <c r="AW429" s="477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</row>
    <row r="430" spans="2:69" ht="15.75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476"/>
      <c r="AN430" s="6"/>
      <c r="AO430" s="6"/>
      <c r="AP430" s="6"/>
      <c r="AQ430" s="6"/>
      <c r="AR430" s="6"/>
      <c r="AS430" s="6"/>
      <c r="AT430" s="6"/>
      <c r="AU430" s="6"/>
      <c r="AV430" s="6"/>
      <c r="AW430" s="477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</row>
    <row r="431" spans="2:69" ht="15.75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476"/>
      <c r="AN431" s="6"/>
      <c r="AO431" s="6"/>
      <c r="AP431" s="6"/>
      <c r="AQ431" s="6"/>
      <c r="AR431" s="6"/>
      <c r="AS431" s="6"/>
      <c r="AT431" s="6"/>
      <c r="AU431" s="6"/>
      <c r="AV431" s="6"/>
      <c r="AW431" s="477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</row>
    <row r="432" spans="2:69" ht="15.75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476"/>
      <c r="AN432" s="6"/>
      <c r="AO432" s="6"/>
      <c r="AP432" s="6"/>
      <c r="AQ432" s="6"/>
      <c r="AR432" s="6"/>
      <c r="AS432" s="6"/>
      <c r="AT432" s="6"/>
      <c r="AU432" s="6"/>
      <c r="AV432" s="6"/>
      <c r="AW432" s="477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</row>
    <row r="433" spans="2:69" ht="15.75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476"/>
      <c r="AN433" s="6"/>
      <c r="AO433" s="6"/>
      <c r="AP433" s="6"/>
      <c r="AQ433" s="6"/>
      <c r="AR433" s="6"/>
      <c r="AS433" s="6"/>
      <c r="AT433" s="6"/>
      <c r="AU433" s="6"/>
      <c r="AV433" s="6"/>
      <c r="AW433" s="477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</row>
    <row r="434" spans="2:69" ht="15.75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476"/>
      <c r="AN434" s="6"/>
      <c r="AO434" s="6"/>
      <c r="AP434" s="6"/>
      <c r="AQ434" s="6"/>
      <c r="AR434" s="6"/>
      <c r="AS434" s="6"/>
      <c r="AT434" s="6"/>
      <c r="AU434" s="6"/>
      <c r="AV434" s="6"/>
      <c r="AW434" s="477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</row>
    <row r="435" spans="2:69" ht="15.75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476"/>
      <c r="AN435" s="6"/>
      <c r="AO435" s="6"/>
      <c r="AP435" s="6"/>
      <c r="AQ435" s="6"/>
      <c r="AR435" s="6"/>
      <c r="AS435" s="6"/>
      <c r="AT435" s="6"/>
      <c r="AU435" s="6"/>
      <c r="AV435" s="6"/>
      <c r="AW435" s="477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</row>
    <row r="436" spans="2:69" ht="15.75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476"/>
      <c r="AN436" s="6"/>
      <c r="AO436" s="6"/>
      <c r="AP436" s="6"/>
      <c r="AQ436" s="6"/>
      <c r="AR436" s="6"/>
      <c r="AS436" s="6"/>
      <c r="AT436" s="6"/>
      <c r="AU436" s="6"/>
      <c r="AV436" s="6"/>
      <c r="AW436" s="477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</row>
    <row r="437" spans="2:69" ht="15.75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476"/>
      <c r="AN437" s="6"/>
      <c r="AO437" s="6"/>
      <c r="AP437" s="6"/>
      <c r="AQ437" s="6"/>
      <c r="AR437" s="6"/>
      <c r="AS437" s="6"/>
      <c r="AT437" s="6"/>
      <c r="AU437" s="6"/>
      <c r="AV437" s="6"/>
      <c r="AW437" s="477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</row>
    <row r="438" spans="2:69" ht="15.75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476"/>
      <c r="AN438" s="6"/>
      <c r="AO438" s="6"/>
      <c r="AP438" s="6"/>
      <c r="AQ438" s="6"/>
      <c r="AR438" s="6"/>
      <c r="AS438" s="6"/>
      <c r="AT438" s="6"/>
      <c r="AU438" s="6"/>
      <c r="AV438" s="6"/>
      <c r="AW438" s="477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</row>
    <row r="439" spans="2:69" ht="15.75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476"/>
      <c r="AN439" s="6"/>
      <c r="AO439" s="6"/>
      <c r="AP439" s="6"/>
      <c r="AQ439" s="6"/>
      <c r="AR439" s="6"/>
      <c r="AS439" s="6"/>
      <c r="AT439" s="6"/>
      <c r="AU439" s="6"/>
      <c r="AV439" s="6"/>
      <c r="AW439" s="477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</row>
    <row r="440" spans="2:69" ht="15.75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476"/>
      <c r="AN440" s="6"/>
      <c r="AO440" s="6"/>
      <c r="AP440" s="6"/>
      <c r="AQ440" s="6"/>
      <c r="AR440" s="6"/>
      <c r="AS440" s="6"/>
      <c r="AT440" s="6"/>
      <c r="AU440" s="6"/>
      <c r="AV440" s="6"/>
      <c r="AW440" s="477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</row>
    <row r="441" spans="2:69" ht="15.75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476"/>
      <c r="AN441" s="6"/>
      <c r="AO441" s="6"/>
      <c r="AP441" s="6"/>
      <c r="AQ441" s="6"/>
      <c r="AR441" s="6"/>
      <c r="AS441" s="6"/>
      <c r="AT441" s="6"/>
      <c r="AU441" s="6"/>
      <c r="AV441" s="6"/>
      <c r="AW441" s="477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</row>
    <row r="442" spans="2:69" ht="15.75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476"/>
      <c r="AN442" s="6"/>
      <c r="AO442" s="6"/>
      <c r="AP442" s="6"/>
      <c r="AQ442" s="6"/>
      <c r="AR442" s="6"/>
      <c r="AS442" s="6"/>
      <c r="AT442" s="6"/>
      <c r="AU442" s="6"/>
      <c r="AV442" s="6"/>
      <c r="AW442" s="477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</row>
    <row r="443" spans="2:69" ht="15.75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476"/>
      <c r="AN443" s="6"/>
      <c r="AO443" s="6"/>
      <c r="AP443" s="6"/>
      <c r="AQ443" s="6"/>
      <c r="AR443" s="6"/>
      <c r="AS443" s="6"/>
      <c r="AT443" s="6"/>
      <c r="AU443" s="6"/>
      <c r="AV443" s="6"/>
      <c r="AW443" s="477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</row>
    <row r="444" spans="2:69" ht="15.75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476"/>
      <c r="AN444" s="6"/>
      <c r="AO444" s="6"/>
      <c r="AP444" s="6"/>
      <c r="AQ444" s="6"/>
      <c r="AR444" s="6"/>
      <c r="AS444" s="6"/>
      <c r="AT444" s="6"/>
      <c r="AU444" s="6"/>
      <c r="AV444" s="6"/>
      <c r="AW444" s="477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</row>
    <row r="445" spans="2:69" ht="15.75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476"/>
      <c r="AN445" s="6"/>
      <c r="AO445" s="6"/>
      <c r="AP445" s="6"/>
      <c r="AQ445" s="6"/>
      <c r="AR445" s="6"/>
      <c r="AS445" s="6"/>
      <c r="AT445" s="6"/>
      <c r="AU445" s="6"/>
      <c r="AV445" s="6"/>
      <c r="AW445" s="477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</row>
    <row r="446" spans="2:69" ht="15.75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476"/>
      <c r="AN446" s="6"/>
      <c r="AO446" s="6"/>
      <c r="AP446" s="6"/>
      <c r="AQ446" s="6"/>
      <c r="AR446" s="6"/>
      <c r="AS446" s="6"/>
      <c r="AT446" s="6"/>
      <c r="AU446" s="6"/>
      <c r="AV446" s="6"/>
      <c r="AW446" s="477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</row>
    <row r="447" spans="2:69" ht="15.75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476"/>
      <c r="AN447" s="6"/>
      <c r="AO447" s="6"/>
      <c r="AP447" s="6"/>
      <c r="AQ447" s="6"/>
      <c r="AR447" s="6"/>
      <c r="AS447" s="6"/>
      <c r="AT447" s="6"/>
      <c r="AU447" s="6"/>
      <c r="AV447" s="6"/>
      <c r="AW447" s="477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</row>
    <row r="448" spans="2:69" ht="15.75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476"/>
      <c r="AN448" s="6"/>
      <c r="AO448" s="6"/>
      <c r="AP448" s="6"/>
      <c r="AQ448" s="6"/>
      <c r="AR448" s="6"/>
      <c r="AS448" s="6"/>
      <c r="AT448" s="6"/>
      <c r="AU448" s="6"/>
      <c r="AV448" s="6"/>
      <c r="AW448" s="477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</row>
    <row r="449" spans="2:69" ht="15.75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476"/>
      <c r="AN449" s="6"/>
      <c r="AO449" s="6"/>
      <c r="AP449" s="6"/>
      <c r="AQ449" s="6"/>
      <c r="AR449" s="6"/>
      <c r="AS449" s="6"/>
      <c r="AT449" s="6"/>
      <c r="AU449" s="6"/>
      <c r="AV449" s="6"/>
      <c r="AW449" s="477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</row>
    <row r="450" spans="2:69" ht="15.75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476"/>
      <c r="AN450" s="6"/>
      <c r="AO450" s="6"/>
      <c r="AP450" s="6"/>
      <c r="AQ450" s="6"/>
      <c r="AR450" s="6"/>
      <c r="AS450" s="6"/>
      <c r="AT450" s="6"/>
      <c r="AU450" s="6"/>
      <c r="AV450" s="6"/>
      <c r="AW450" s="477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</row>
    <row r="451" spans="2:69" ht="15.75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476"/>
      <c r="AN451" s="6"/>
      <c r="AO451" s="6"/>
      <c r="AP451" s="6"/>
      <c r="AQ451" s="6"/>
      <c r="AR451" s="6"/>
      <c r="AS451" s="6"/>
      <c r="AT451" s="6"/>
      <c r="AU451" s="6"/>
      <c r="AV451" s="6"/>
      <c r="AW451" s="477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</row>
    <row r="452" spans="2:69" ht="15.75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476"/>
      <c r="AN452" s="6"/>
      <c r="AO452" s="6"/>
      <c r="AP452" s="6"/>
      <c r="AQ452" s="6"/>
      <c r="AR452" s="6"/>
      <c r="AS452" s="6"/>
      <c r="AT452" s="6"/>
      <c r="AU452" s="6"/>
      <c r="AV452" s="6"/>
      <c r="AW452" s="477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</row>
    <row r="453" spans="2:69" ht="15.75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476"/>
      <c r="AN453" s="6"/>
      <c r="AO453" s="6"/>
      <c r="AP453" s="6"/>
      <c r="AQ453" s="6"/>
      <c r="AR453" s="6"/>
      <c r="AS453" s="6"/>
      <c r="AT453" s="6"/>
      <c r="AU453" s="6"/>
      <c r="AV453" s="6"/>
      <c r="AW453" s="477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</row>
    <row r="454" spans="2:69" ht="15.75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476"/>
      <c r="AN454" s="6"/>
      <c r="AO454" s="6"/>
      <c r="AP454" s="6"/>
      <c r="AQ454" s="6"/>
      <c r="AR454" s="6"/>
      <c r="AS454" s="6"/>
      <c r="AT454" s="6"/>
      <c r="AU454" s="6"/>
      <c r="AV454" s="6"/>
      <c r="AW454" s="477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</row>
    <row r="455" spans="2:69" ht="15.75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476"/>
      <c r="AN455" s="6"/>
      <c r="AO455" s="6"/>
      <c r="AP455" s="6"/>
      <c r="AQ455" s="6"/>
      <c r="AR455" s="6"/>
      <c r="AS455" s="6"/>
      <c r="AT455" s="6"/>
      <c r="AU455" s="6"/>
      <c r="AV455" s="6"/>
      <c r="AW455" s="477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</row>
    <row r="456" spans="2:69" ht="15.75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476"/>
      <c r="AN456" s="6"/>
      <c r="AO456" s="6"/>
      <c r="AP456" s="6"/>
      <c r="AQ456" s="6"/>
      <c r="AR456" s="6"/>
      <c r="AS456" s="6"/>
      <c r="AT456" s="6"/>
      <c r="AU456" s="6"/>
      <c r="AV456" s="6"/>
      <c r="AW456" s="477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</row>
    <row r="457" spans="2:69" ht="15.75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476"/>
      <c r="AN457" s="6"/>
      <c r="AO457" s="6"/>
      <c r="AP457" s="6"/>
      <c r="AQ457" s="6"/>
      <c r="AR457" s="6"/>
      <c r="AS457" s="6"/>
      <c r="AT457" s="6"/>
      <c r="AU457" s="6"/>
      <c r="AV457" s="6"/>
      <c r="AW457" s="477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</row>
    <row r="458" spans="2:69" ht="15.75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476"/>
      <c r="AN458" s="6"/>
      <c r="AO458" s="6"/>
      <c r="AP458" s="6"/>
      <c r="AQ458" s="6"/>
      <c r="AR458" s="6"/>
      <c r="AS458" s="6"/>
      <c r="AT458" s="6"/>
      <c r="AU458" s="6"/>
      <c r="AV458" s="6"/>
      <c r="AW458" s="477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</row>
    <row r="459" spans="2:69" ht="15.75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476"/>
      <c r="AN459" s="6"/>
      <c r="AO459" s="6"/>
      <c r="AP459" s="6"/>
      <c r="AQ459" s="6"/>
      <c r="AR459" s="6"/>
      <c r="AS459" s="6"/>
      <c r="AT459" s="6"/>
      <c r="AU459" s="6"/>
      <c r="AV459" s="6"/>
      <c r="AW459" s="477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</row>
    <row r="460" spans="2:69" ht="15.75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476"/>
      <c r="AN460" s="6"/>
      <c r="AO460" s="6"/>
      <c r="AP460" s="6"/>
      <c r="AQ460" s="6"/>
      <c r="AR460" s="6"/>
      <c r="AS460" s="6"/>
      <c r="AT460" s="6"/>
      <c r="AU460" s="6"/>
      <c r="AV460" s="6"/>
      <c r="AW460" s="477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</row>
    <row r="461" spans="2:69" ht="15.75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476"/>
      <c r="AN461" s="6"/>
      <c r="AO461" s="6"/>
      <c r="AP461" s="6"/>
      <c r="AQ461" s="6"/>
      <c r="AR461" s="6"/>
      <c r="AS461" s="6"/>
      <c r="AT461" s="6"/>
      <c r="AU461" s="6"/>
      <c r="AV461" s="6"/>
      <c r="AW461" s="477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</row>
    <row r="462" spans="2:69" ht="15.75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476"/>
      <c r="AN462" s="6"/>
      <c r="AO462" s="6"/>
      <c r="AP462" s="6"/>
      <c r="AQ462" s="6"/>
      <c r="AR462" s="6"/>
      <c r="AS462" s="6"/>
      <c r="AT462" s="6"/>
      <c r="AU462" s="6"/>
      <c r="AV462" s="6"/>
      <c r="AW462" s="477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</row>
    <row r="463" spans="2:69" ht="15.75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476"/>
      <c r="AN463" s="6"/>
      <c r="AO463" s="6"/>
      <c r="AP463" s="6"/>
      <c r="AQ463" s="6"/>
      <c r="AR463" s="6"/>
      <c r="AS463" s="6"/>
      <c r="AT463" s="6"/>
      <c r="AU463" s="6"/>
      <c r="AV463" s="6"/>
      <c r="AW463" s="477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</row>
    <row r="464" spans="2:69" ht="15.75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476"/>
      <c r="AN464" s="6"/>
      <c r="AO464" s="6"/>
      <c r="AP464" s="6"/>
      <c r="AQ464" s="6"/>
      <c r="AR464" s="6"/>
      <c r="AS464" s="6"/>
      <c r="AT464" s="6"/>
      <c r="AU464" s="6"/>
      <c r="AV464" s="6"/>
      <c r="AW464" s="477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</row>
    <row r="465" spans="2:69" ht="15.75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476"/>
      <c r="AN465" s="6"/>
      <c r="AO465" s="6"/>
      <c r="AP465" s="6"/>
      <c r="AQ465" s="6"/>
      <c r="AR465" s="6"/>
      <c r="AS465" s="6"/>
      <c r="AT465" s="6"/>
      <c r="AU465" s="6"/>
      <c r="AV465" s="6"/>
      <c r="AW465" s="477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</row>
    <row r="466" spans="2:69" ht="15.75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476"/>
      <c r="AN466" s="6"/>
      <c r="AO466" s="6"/>
      <c r="AP466" s="6"/>
      <c r="AQ466" s="6"/>
      <c r="AR466" s="6"/>
      <c r="AS466" s="6"/>
      <c r="AT466" s="6"/>
      <c r="AU466" s="6"/>
      <c r="AV466" s="6"/>
      <c r="AW466" s="477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</row>
    <row r="467" spans="2:69" ht="15.75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476"/>
      <c r="AN467" s="6"/>
      <c r="AO467" s="6"/>
      <c r="AP467" s="6"/>
      <c r="AQ467" s="6"/>
      <c r="AR467" s="6"/>
      <c r="AS467" s="6"/>
      <c r="AT467" s="6"/>
      <c r="AU467" s="6"/>
      <c r="AV467" s="6"/>
      <c r="AW467" s="477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</row>
    <row r="468" spans="2:69" ht="15.75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476"/>
      <c r="AN468" s="6"/>
      <c r="AO468" s="6"/>
      <c r="AP468" s="6"/>
      <c r="AQ468" s="6"/>
      <c r="AR468" s="6"/>
      <c r="AS468" s="6"/>
      <c r="AT468" s="6"/>
      <c r="AU468" s="6"/>
      <c r="AV468" s="6"/>
      <c r="AW468" s="477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</row>
    <row r="469" spans="2:69" ht="15.75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476"/>
      <c r="AN469" s="6"/>
      <c r="AO469" s="6"/>
      <c r="AP469" s="6"/>
      <c r="AQ469" s="6"/>
      <c r="AR469" s="6"/>
      <c r="AS469" s="6"/>
      <c r="AT469" s="6"/>
      <c r="AU469" s="6"/>
      <c r="AV469" s="6"/>
      <c r="AW469" s="477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</row>
    <row r="470" spans="2:69" ht="15.75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476"/>
      <c r="AN470" s="6"/>
      <c r="AO470" s="6"/>
      <c r="AP470" s="6"/>
      <c r="AQ470" s="6"/>
      <c r="AR470" s="6"/>
      <c r="AS470" s="6"/>
      <c r="AT470" s="6"/>
      <c r="AU470" s="6"/>
      <c r="AV470" s="6"/>
      <c r="AW470" s="477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</row>
    <row r="471" spans="2:69" ht="15.75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476"/>
      <c r="AN471" s="6"/>
      <c r="AO471" s="6"/>
      <c r="AP471" s="6"/>
      <c r="AQ471" s="6"/>
      <c r="AR471" s="6"/>
      <c r="AS471" s="6"/>
      <c r="AT471" s="6"/>
      <c r="AU471" s="6"/>
      <c r="AV471" s="6"/>
      <c r="AW471" s="477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</row>
    <row r="472" spans="2:69" ht="15.75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476"/>
      <c r="AN472" s="6"/>
      <c r="AO472" s="6"/>
      <c r="AP472" s="6"/>
      <c r="AQ472" s="6"/>
      <c r="AR472" s="6"/>
      <c r="AS472" s="6"/>
      <c r="AT472" s="6"/>
      <c r="AU472" s="6"/>
      <c r="AV472" s="6"/>
      <c r="AW472" s="477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</row>
    <row r="473" spans="2:69" ht="15.75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476"/>
      <c r="AN473" s="6"/>
      <c r="AO473" s="6"/>
      <c r="AP473" s="6"/>
      <c r="AQ473" s="6"/>
      <c r="AR473" s="6"/>
      <c r="AS473" s="6"/>
      <c r="AT473" s="6"/>
      <c r="AU473" s="6"/>
      <c r="AV473" s="6"/>
      <c r="AW473" s="477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</row>
    <row r="474" spans="2:69" ht="15.75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476"/>
      <c r="AN474" s="6"/>
      <c r="AO474" s="6"/>
      <c r="AP474" s="6"/>
      <c r="AQ474" s="6"/>
      <c r="AR474" s="6"/>
      <c r="AS474" s="6"/>
      <c r="AT474" s="6"/>
      <c r="AU474" s="6"/>
      <c r="AV474" s="6"/>
      <c r="AW474" s="477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</row>
    <row r="475" spans="2:69" ht="15.75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476"/>
      <c r="AN475" s="6"/>
      <c r="AO475" s="6"/>
      <c r="AP475" s="6"/>
      <c r="AQ475" s="6"/>
      <c r="AR475" s="6"/>
      <c r="AS475" s="6"/>
      <c r="AT475" s="6"/>
      <c r="AU475" s="6"/>
      <c r="AV475" s="6"/>
      <c r="AW475" s="477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</row>
    <row r="476" spans="2:69" ht="15.75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476"/>
      <c r="AN476" s="6"/>
      <c r="AO476" s="6"/>
      <c r="AP476" s="6"/>
      <c r="AQ476" s="6"/>
      <c r="AR476" s="6"/>
      <c r="AS476" s="6"/>
      <c r="AT476" s="6"/>
      <c r="AU476" s="6"/>
      <c r="AV476" s="6"/>
      <c r="AW476" s="477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</row>
    <row r="477" spans="2:69" ht="15.75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476"/>
      <c r="AN477" s="6"/>
      <c r="AO477" s="6"/>
      <c r="AP477" s="6"/>
      <c r="AQ477" s="6"/>
      <c r="AR477" s="6"/>
      <c r="AS477" s="6"/>
      <c r="AT477" s="6"/>
      <c r="AU477" s="6"/>
      <c r="AV477" s="6"/>
      <c r="AW477" s="477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</row>
    <row r="478" spans="2:69" ht="15.75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476"/>
      <c r="AN478" s="6"/>
      <c r="AO478" s="6"/>
      <c r="AP478" s="6"/>
      <c r="AQ478" s="6"/>
      <c r="AR478" s="6"/>
      <c r="AS478" s="6"/>
      <c r="AT478" s="6"/>
      <c r="AU478" s="6"/>
      <c r="AV478" s="6"/>
      <c r="AW478" s="477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</row>
    <row r="479" spans="2:69" ht="15.75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476"/>
      <c r="AN479" s="6"/>
      <c r="AO479" s="6"/>
      <c r="AP479" s="6"/>
      <c r="AQ479" s="6"/>
      <c r="AR479" s="6"/>
      <c r="AS479" s="6"/>
      <c r="AT479" s="6"/>
      <c r="AU479" s="6"/>
      <c r="AV479" s="6"/>
      <c r="AW479" s="477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</row>
    <row r="480" spans="2:69" ht="15.75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476"/>
      <c r="AN480" s="6"/>
      <c r="AO480" s="6"/>
      <c r="AP480" s="6"/>
      <c r="AQ480" s="6"/>
      <c r="AR480" s="6"/>
      <c r="AS480" s="6"/>
      <c r="AT480" s="6"/>
      <c r="AU480" s="6"/>
      <c r="AV480" s="6"/>
      <c r="AW480" s="477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</row>
    <row r="481" spans="2:69" ht="15.75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476"/>
      <c r="AN481" s="6"/>
      <c r="AO481" s="6"/>
      <c r="AP481" s="6"/>
      <c r="AQ481" s="6"/>
      <c r="AR481" s="6"/>
      <c r="AS481" s="6"/>
      <c r="AT481" s="6"/>
      <c r="AU481" s="6"/>
      <c r="AV481" s="6"/>
      <c r="AW481" s="477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</row>
    <row r="482" spans="2:69" ht="15.75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476"/>
      <c r="AN482" s="6"/>
      <c r="AO482" s="6"/>
      <c r="AP482" s="6"/>
      <c r="AQ482" s="6"/>
      <c r="AR482" s="6"/>
      <c r="AS482" s="6"/>
      <c r="AT482" s="6"/>
      <c r="AU482" s="6"/>
      <c r="AV482" s="6"/>
      <c r="AW482" s="477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</row>
    <row r="483" spans="2:69" ht="15.75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476"/>
      <c r="AN483" s="6"/>
      <c r="AO483" s="6"/>
      <c r="AP483" s="6"/>
      <c r="AQ483" s="6"/>
      <c r="AR483" s="6"/>
      <c r="AS483" s="6"/>
      <c r="AT483" s="6"/>
      <c r="AU483" s="6"/>
      <c r="AV483" s="6"/>
      <c r="AW483" s="477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</row>
    <row r="484" spans="2:69" ht="15.75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476"/>
      <c r="AN484" s="6"/>
      <c r="AO484" s="6"/>
      <c r="AP484" s="6"/>
      <c r="AQ484" s="6"/>
      <c r="AR484" s="6"/>
      <c r="AS484" s="6"/>
      <c r="AT484" s="6"/>
      <c r="AU484" s="6"/>
      <c r="AV484" s="6"/>
      <c r="AW484" s="477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</row>
    <row r="485" spans="2:69" ht="15.75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476"/>
      <c r="AN485" s="6"/>
      <c r="AO485" s="6"/>
      <c r="AP485" s="6"/>
      <c r="AQ485" s="6"/>
      <c r="AR485" s="6"/>
      <c r="AS485" s="6"/>
      <c r="AT485" s="6"/>
      <c r="AU485" s="6"/>
      <c r="AV485" s="6"/>
      <c r="AW485" s="477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</row>
    <row r="486" spans="2:69" ht="15.75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476"/>
      <c r="AN486" s="6"/>
      <c r="AO486" s="6"/>
      <c r="AP486" s="6"/>
      <c r="AQ486" s="6"/>
      <c r="AR486" s="6"/>
      <c r="AS486" s="6"/>
      <c r="AT486" s="6"/>
      <c r="AU486" s="6"/>
      <c r="AV486" s="6"/>
      <c r="AW486" s="477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</row>
    <row r="487" spans="2:69" ht="15.75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476"/>
      <c r="AN487" s="6"/>
      <c r="AO487" s="6"/>
      <c r="AP487" s="6"/>
      <c r="AQ487" s="6"/>
      <c r="AR487" s="6"/>
      <c r="AS487" s="6"/>
      <c r="AT487" s="6"/>
      <c r="AU487" s="6"/>
      <c r="AV487" s="6"/>
      <c r="AW487" s="477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</row>
    <row r="488" spans="2:69" ht="15.75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476"/>
      <c r="AN488" s="6"/>
      <c r="AO488" s="6"/>
      <c r="AP488" s="6"/>
      <c r="AQ488" s="6"/>
      <c r="AR488" s="6"/>
      <c r="AS488" s="6"/>
      <c r="AT488" s="6"/>
      <c r="AU488" s="6"/>
      <c r="AV488" s="6"/>
      <c r="AW488" s="477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</row>
    <row r="489" spans="2:69" ht="15.75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476"/>
      <c r="AN489" s="6"/>
      <c r="AO489" s="6"/>
      <c r="AP489" s="6"/>
      <c r="AQ489" s="6"/>
      <c r="AR489" s="6"/>
      <c r="AS489" s="6"/>
      <c r="AT489" s="6"/>
      <c r="AU489" s="6"/>
      <c r="AV489" s="6"/>
      <c r="AW489" s="477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</row>
    <row r="490" spans="2:69" ht="15.75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476"/>
      <c r="AN490" s="6"/>
      <c r="AO490" s="6"/>
      <c r="AP490" s="6"/>
      <c r="AQ490" s="6"/>
      <c r="AR490" s="6"/>
      <c r="AS490" s="6"/>
      <c r="AT490" s="6"/>
      <c r="AU490" s="6"/>
      <c r="AV490" s="6"/>
      <c r="AW490" s="477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</row>
    <row r="491" spans="2:69" ht="15.75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476"/>
      <c r="AN491" s="6"/>
      <c r="AO491" s="6"/>
      <c r="AP491" s="6"/>
      <c r="AQ491" s="6"/>
      <c r="AR491" s="6"/>
      <c r="AS491" s="6"/>
      <c r="AT491" s="6"/>
      <c r="AU491" s="6"/>
      <c r="AV491" s="6"/>
      <c r="AW491" s="477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</row>
    <row r="492" spans="2:69" ht="15.75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476"/>
      <c r="AN492" s="6"/>
      <c r="AO492" s="6"/>
      <c r="AP492" s="6"/>
      <c r="AQ492" s="6"/>
      <c r="AR492" s="6"/>
      <c r="AS492" s="6"/>
      <c r="AT492" s="6"/>
      <c r="AU492" s="6"/>
      <c r="AV492" s="6"/>
      <c r="AW492" s="477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</row>
    <row r="493" spans="2:69" ht="15.75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476"/>
      <c r="AN493" s="6"/>
      <c r="AO493" s="6"/>
      <c r="AP493" s="6"/>
      <c r="AQ493" s="6"/>
      <c r="AR493" s="6"/>
      <c r="AS493" s="6"/>
      <c r="AT493" s="6"/>
      <c r="AU493" s="6"/>
      <c r="AV493" s="6"/>
      <c r="AW493" s="477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</row>
    <row r="494" spans="2:69" ht="15.75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476"/>
      <c r="AN494" s="6"/>
      <c r="AO494" s="6"/>
      <c r="AP494" s="6"/>
      <c r="AQ494" s="6"/>
      <c r="AR494" s="6"/>
      <c r="AS494" s="6"/>
      <c r="AT494" s="6"/>
      <c r="AU494" s="6"/>
      <c r="AV494" s="6"/>
      <c r="AW494" s="477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</row>
    <row r="495" spans="2:69" ht="15.75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476"/>
      <c r="AN495" s="6"/>
      <c r="AO495" s="6"/>
      <c r="AP495" s="6"/>
      <c r="AQ495" s="6"/>
      <c r="AR495" s="6"/>
      <c r="AS495" s="6"/>
      <c r="AT495" s="6"/>
      <c r="AU495" s="6"/>
      <c r="AV495" s="6"/>
      <c r="AW495" s="477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</row>
    <row r="496" spans="2:69" ht="15.75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476"/>
      <c r="AN496" s="6"/>
      <c r="AO496" s="6"/>
      <c r="AP496" s="6"/>
      <c r="AQ496" s="6"/>
      <c r="AR496" s="6"/>
      <c r="AS496" s="6"/>
      <c r="AT496" s="6"/>
      <c r="AU496" s="6"/>
      <c r="AV496" s="6"/>
      <c r="AW496" s="477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</row>
    <row r="497" spans="2:69" ht="15.75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476"/>
      <c r="AN497" s="6"/>
      <c r="AO497" s="6"/>
      <c r="AP497" s="6"/>
      <c r="AQ497" s="6"/>
      <c r="AR497" s="6"/>
      <c r="AS497" s="6"/>
      <c r="AT497" s="6"/>
      <c r="AU497" s="6"/>
      <c r="AV497" s="6"/>
      <c r="AW497" s="477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</row>
    <row r="498" spans="2:69" ht="15.75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476"/>
      <c r="AN498" s="6"/>
      <c r="AO498" s="6"/>
      <c r="AP498" s="6"/>
      <c r="AQ498" s="6"/>
      <c r="AR498" s="6"/>
      <c r="AS498" s="6"/>
      <c r="AT498" s="6"/>
      <c r="AU498" s="6"/>
      <c r="AV498" s="6"/>
      <c r="AW498" s="477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</row>
    <row r="499" spans="2:69" ht="15.75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476"/>
      <c r="AN499" s="6"/>
      <c r="AO499" s="6"/>
      <c r="AP499" s="6"/>
      <c r="AQ499" s="6"/>
      <c r="AR499" s="6"/>
      <c r="AS499" s="6"/>
      <c r="AT499" s="6"/>
      <c r="AU499" s="6"/>
      <c r="AV499" s="6"/>
      <c r="AW499" s="477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</row>
    <row r="500" spans="2:69" ht="15.75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476"/>
      <c r="AN500" s="6"/>
      <c r="AO500" s="6"/>
      <c r="AP500" s="6"/>
      <c r="AQ500" s="6"/>
      <c r="AR500" s="6"/>
      <c r="AS500" s="6"/>
      <c r="AT500" s="6"/>
      <c r="AU500" s="6"/>
      <c r="AV500" s="6"/>
      <c r="AW500" s="477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</row>
    <row r="501" spans="2:69" ht="15.75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476"/>
      <c r="AN501" s="6"/>
      <c r="AO501" s="6"/>
      <c r="AP501" s="6"/>
      <c r="AQ501" s="6"/>
      <c r="AR501" s="6"/>
      <c r="AS501" s="6"/>
      <c r="AT501" s="6"/>
      <c r="AU501" s="6"/>
      <c r="AV501" s="6"/>
      <c r="AW501" s="477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</row>
    <row r="502" spans="2:69" ht="15.75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476"/>
      <c r="AN502" s="6"/>
      <c r="AO502" s="6"/>
      <c r="AP502" s="6"/>
      <c r="AQ502" s="6"/>
      <c r="AR502" s="6"/>
      <c r="AS502" s="6"/>
      <c r="AT502" s="6"/>
      <c r="AU502" s="6"/>
      <c r="AV502" s="6"/>
      <c r="AW502" s="477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</row>
    <row r="503" spans="2:69" ht="15.75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476"/>
      <c r="AN503" s="6"/>
      <c r="AO503" s="6"/>
      <c r="AP503" s="6"/>
      <c r="AQ503" s="6"/>
      <c r="AR503" s="6"/>
      <c r="AS503" s="6"/>
      <c r="AT503" s="6"/>
      <c r="AU503" s="6"/>
      <c r="AV503" s="6"/>
      <c r="AW503" s="477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</row>
    <row r="504" spans="2:69" ht="15.75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476"/>
      <c r="AN504" s="6"/>
      <c r="AO504" s="6"/>
      <c r="AP504" s="6"/>
      <c r="AQ504" s="6"/>
      <c r="AR504" s="6"/>
      <c r="AS504" s="6"/>
      <c r="AT504" s="6"/>
      <c r="AU504" s="6"/>
      <c r="AV504" s="6"/>
      <c r="AW504" s="477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</row>
    <row r="505" spans="2:69" ht="15.75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476"/>
      <c r="AN505" s="6"/>
      <c r="AO505" s="6"/>
      <c r="AP505" s="6"/>
      <c r="AQ505" s="6"/>
      <c r="AR505" s="6"/>
      <c r="AS505" s="6"/>
      <c r="AT505" s="6"/>
      <c r="AU505" s="6"/>
      <c r="AV505" s="6"/>
      <c r="AW505" s="477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</row>
    <row r="506" spans="2:69" ht="15.75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476"/>
      <c r="AN506" s="6"/>
      <c r="AO506" s="6"/>
      <c r="AP506" s="6"/>
      <c r="AQ506" s="6"/>
      <c r="AR506" s="6"/>
      <c r="AS506" s="6"/>
      <c r="AT506" s="6"/>
      <c r="AU506" s="6"/>
      <c r="AV506" s="6"/>
      <c r="AW506" s="477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</row>
    <row r="507" spans="2:69" ht="15.75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476"/>
      <c r="AN507" s="6"/>
      <c r="AO507" s="6"/>
      <c r="AP507" s="6"/>
      <c r="AQ507" s="6"/>
      <c r="AR507" s="6"/>
      <c r="AS507" s="6"/>
      <c r="AT507" s="6"/>
      <c r="AU507" s="6"/>
      <c r="AV507" s="6"/>
      <c r="AW507" s="477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</row>
    <row r="508" spans="2:69" ht="15.75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476"/>
      <c r="AN508" s="6"/>
      <c r="AO508" s="6"/>
      <c r="AP508" s="6"/>
      <c r="AQ508" s="6"/>
      <c r="AR508" s="6"/>
      <c r="AS508" s="6"/>
      <c r="AT508" s="6"/>
      <c r="AU508" s="6"/>
      <c r="AV508" s="6"/>
      <c r="AW508" s="477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</row>
    <row r="509" spans="2:69" ht="15.75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476"/>
      <c r="AN509" s="6"/>
      <c r="AO509" s="6"/>
      <c r="AP509" s="6"/>
      <c r="AQ509" s="6"/>
      <c r="AR509" s="6"/>
      <c r="AS509" s="6"/>
      <c r="AT509" s="6"/>
      <c r="AU509" s="6"/>
      <c r="AV509" s="6"/>
      <c r="AW509" s="477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</row>
    <row r="510" spans="2:69" ht="15.75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476"/>
      <c r="AN510" s="6"/>
      <c r="AO510" s="6"/>
      <c r="AP510" s="6"/>
      <c r="AQ510" s="6"/>
      <c r="AR510" s="6"/>
      <c r="AS510" s="6"/>
      <c r="AT510" s="6"/>
      <c r="AU510" s="6"/>
      <c r="AV510" s="6"/>
      <c r="AW510" s="477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</row>
    <row r="511" spans="2:69" ht="15.75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476"/>
      <c r="AN511" s="6"/>
      <c r="AO511" s="6"/>
      <c r="AP511" s="6"/>
      <c r="AQ511" s="6"/>
      <c r="AR511" s="6"/>
      <c r="AS511" s="6"/>
      <c r="AT511" s="6"/>
      <c r="AU511" s="6"/>
      <c r="AV511" s="6"/>
      <c r="AW511" s="477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</row>
    <row r="512" spans="2:69" ht="15.75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476"/>
      <c r="AN512" s="6"/>
      <c r="AO512" s="6"/>
      <c r="AP512" s="6"/>
      <c r="AQ512" s="6"/>
      <c r="AR512" s="6"/>
      <c r="AS512" s="6"/>
      <c r="AT512" s="6"/>
      <c r="AU512" s="6"/>
      <c r="AV512" s="6"/>
      <c r="AW512" s="477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</row>
    <row r="513" spans="2:69" ht="15.75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476"/>
      <c r="AN513" s="6"/>
      <c r="AO513" s="6"/>
      <c r="AP513" s="6"/>
      <c r="AQ513" s="6"/>
      <c r="AR513" s="6"/>
      <c r="AS513" s="6"/>
      <c r="AT513" s="6"/>
      <c r="AU513" s="6"/>
      <c r="AV513" s="6"/>
      <c r="AW513" s="477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</row>
    <row r="514" spans="2:69" ht="15.75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476"/>
      <c r="AN514" s="6"/>
      <c r="AO514" s="6"/>
      <c r="AP514" s="6"/>
      <c r="AQ514" s="6"/>
      <c r="AR514" s="6"/>
      <c r="AS514" s="6"/>
      <c r="AT514" s="6"/>
      <c r="AU514" s="6"/>
      <c r="AV514" s="6"/>
      <c r="AW514" s="477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</row>
    <row r="515" spans="2:69" ht="15.75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476"/>
      <c r="AN515" s="6"/>
      <c r="AO515" s="6"/>
      <c r="AP515" s="6"/>
      <c r="AQ515" s="6"/>
      <c r="AR515" s="6"/>
      <c r="AS515" s="6"/>
      <c r="AT515" s="6"/>
      <c r="AU515" s="6"/>
      <c r="AV515" s="6"/>
      <c r="AW515" s="477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</row>
    <row r="516" spans="2:69" ht="15.75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476"/>
      <c r="AN516" s="6"/>
      <c r="AO516" s="6"/>
      <c r="AP516" s="6"/>
      <c r="AQ516" s="6"/>
      <c r="AR516" s="6"/>
      <c r="AS516" s="6"/>
      <c r="AT516" s="6"/>
      <c r="AU516" s="6"/>
      <c r="AV516" s="6"/>
      <c r="AW516" s="477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</row>
    <row r="517" spans="2:69" ht="15.75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476"/>
      <c r="AN517" s="6"/>
      <c r="AO517" s="6"/>
      <c r="AP517" s="6"/>
      <c r="AQ517" s="6"/>
      <c r="AR517" s="6"/>
      <c r="AS517" s="6"/>
      <c r="AT517" s="6"/>
      <c r="AU517" s="6"/>
      <c r="AV517" s="6"/>
      <c r="AW517" s="477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</row>
    <row r="518" spans="2:69" ht="15.75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476"/>
      <c r="AN518" s="6"/>
      <c r="AO518" s="6"/>
      <c r="AP518" s="6"/>
      <c r="AQ518" s="6"/>
      <c r="AR518" s="6"/>
      <c r="AS518" s="6"/>
      <c r="AT518" s="6"/>
      <c r="AU518" s="6"/>
      <c r="AV518" s="6"/>
      <c r="AW518" s="477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</row>
    <row r="519" spans="2:69" ht="15.75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476"/>
      <c r="AN519" s="6"/>
      <c r="AO519" s="6"/>
      <c r="AP519" s="6"/>
      <c r="AQ519" s="6"/>
      <c r="AR519" s="6"/>
      <c r="AS519" s="6"/>
      <c r="AT519" s="6"/>
      <c r="AU519" s="6"/>
      <c r="AV519" s="6"/>
      <c r="AW519" s="477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</row>
    <row r="520" spans="2:69" ht="15.75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476"/>
      <c r="AN520" s="6"/>
      <c r="AO520" s="6"/>
      <c r="AP520" s="6"/>
      <c r="AQ520" s="6"/>
      <c r="AR520" s="6"/>
      <c r="AS520" s="6"/>
      <c r="AT520" s="6"/>
      <c r="AU520" s="6"/>
      <c r="AV520" s="6"/>
      <c r="AW520" s="477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</row>
    <row r="521" spans="2:69" ht="15.75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476"/>
      <c r="AN521" s="6"/>
      <c r="AO521" s="6"/>
      <c r="AP521" s="6"/>
      <c r="AQ521" s="6"/>
      <c r="AR521" s="6"/>
      <c r="AS521" s="6"/>
      <c r="AT521" s="6"/>
      <c r="AU521" s="6"/>
      <c r="AV521" s="6"/>
      <c r="AW521" s="477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</row>
    <row r="522" spans="2:69" ht="15.75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476"/>
      <c r="AN522" s="6"/>
      <c r="AO522" s="6"/>
      <c r="AP522" s="6"/>
      <c r="AQ522" s="6"/>
      <c r="AR522" s="6"/>
      <c r="AS522" s="6"/>
      <c r="AT522" s="6"/>
      <c r="AU522" s="6"/>
      <c r="AV522" s="6"/>
      <c r="AW522" s="477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</row>
    <row r="523" spans="2:69" ht="15.75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476"/>
      <c r="AN523" s="6"/>
      <c r="AO523" s="6"/>
      <c r="AP523" s="6"/>
      <c r="AQ523" s="6"/>
      <c r="AR523" s="6"/>
      <c r="AS523" s="6"/>
      <c r="AT523" s="6"/>
      <c r="AU523" s="6"/>
      <c r="AV523" s="6"/>
      <c r="AW523" s="477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</row>
    <row r="524" spans="2:69" ht="15.75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476"/>
      <c r="AN524" s="6"/>
      <c r="AO524" s="6"/>
      <c r="AP524" s="6"/>
      <c r="AQ524" s="6"/>
      <c r="AR524" s="6"/>
      <c r="AS524" s="6"/>
      <c r="AT524" s="6"/>
      <c r="AU524" s="6"/>
      <c r="AV524" s="6"/>
      <c r="AW524" s="477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</row>
    <row r="525" spans="2:69" ht="15.75" customHeight="1" x14ac:dyDescent="0.25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476"/>
      <c r="AN525" s="6"/>
      <c r="AO525" s="6"/>
      <c r="AP525" s="6"/>
      <c r="AQ525" s="6"/>
      <c r="AR525" s="6"/>
      <c r="AS525" s="6"/>
      <c r="AT525" s="6"/>
      <c r="AU525" s="6"/>
      <c r="AV525" s="6"/>
      <c r="AW525" s="477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</row>
    <row r="526" spans="2:69" ht="15.75" customHeight="1" x14ac:dyDescent="0.25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476"/>
      <c r="AN526" s="6"/>
      <c r="AO526" s="6"/>
      <c r="AP526" s="6"/>
      <c r="AQ526" s="6"/>
      <c r="AR526" s="6"/>
      <c r="AS526" s="6"/>
      <c r="AT526" s="6"/>
      <c r="AU526" s="6"/>
      <c r="AV526" s="6"/>
      <c r="AW526" s="477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</row>
    <row r="527" spans="2:69" ht="15.75" customHeight="1" x14ac:dyDescent="0.25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476"/>
      <c r="AN527" s="6"/>
      <c r="AO527" s="6"/>
      <c r="AP527" s="6"/>
      <c r="AQ527" s="6"/>
      <c r="AR527" s="6"/>
      <c r="AS527" s="6"/>
      <c r="AT527" s="6"/>
      <c r="AU527" s="6"/>
      <c r="AV527" s="6"/>
      <c r="AW527" s="477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</row>
    <row r="528" spans="2:69" ht="15.75" customHeight="1" x14ac:dyDescent="0.25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476"/>
      <c r="AN528" s="6"/>
      <c r="AO528" s="6"/>
      <c r="AP528" s="6"/>
      <c r="AQ528" s="6"/>
      <c r="AR528" s="6"/>
      <c r="AS528" s="6"/>
      <c r="AT528" s="6"/>
      <c r="AU528" s="6"/>
      <c r="AV528" s="6"/>
      <c r="AW528" s="477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</row>
    <row r="529" spans="2:69" ht="15.75" customHeight="1" x14ac:dyDescent="0.25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476"/>
      <c r="AN529" s="6"/>
      <c r="AO529" s="6"/>
      <c r="AP529" s="6"/>
      <c r="AQ529" s="6"/>
      <c r="AR529" s="6"/>
      <c r="AS529" s="6"/>
      <c r="AT529" s="6"/>
      <c r="AU529" s="6"/>
      <c r="AV529" s="6"/>
      <c r="AW529" s="477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</row>
    <row r="530" spans="2:69" ht="15.75" customHeight="1" x14ac:dyDescent="0.25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476"/>
      <c r="AN530" s="6"/>
      <c r="AO530" s="6"/>
      <c r="AP530" s="6"/>
      <c r="AQ530" s="6"/>
      <c r="AR530" s="6"/>
      <c r="AS530" s="6"/>
      <c r="AT530" s="6"/>
      <c r="AU530" s="6"/>
      <c r="AV530" s="6"/>
      <c r="AW530" s="477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</row>
    <row r="531" spans="2:69" ht="15.75" customHeight="1" x14ac:dyDescent="0.25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476"/>
      <c r="AN531" s="6"/>
      <c r="AO531" s="6"/>
      <c r="AP531" s="6"/>
      <c r="AQ531" s="6"/>
      <c r="AR531" s="6"/>
      <c r="AS531" s="6"/>
      <c r="AT531" s="6"/>
      <c r="AU531" s="6"/>
      <c r="AV531" s="6"/>
      <c r="AW531" s="477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</row>
    <row r="532" spans="2:69" ht="15.75" customHeight="1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476"/>
      <c r="AN532" s="6"/>
      <c r="AO532" s="6"/>
      <c r="AP532" s="6"/>
      <c r="AQ532" s="6"/>
      <c r="AR532" s="6"/>
      <c r="AS532" s="6"/>
      <c r="AT532" s="6"/>
      <c r="AU532" s="6"/>
      <c r="AV532" s="6"/>
      <c r="AW532" s="477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</row>
    <row r="533" spans="2:69" ht="15.75" customHeight="1" x14ac:dyDescent="0.25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476"/>
      <c r="AN533" s="6"/>
      <c r="AO533" s="6"/>
      <c r="AP533" s="6"/>
      <c r="AQ533" s="6"/>
      <c r="AR533" s="6"/>
      <c r="AS533" s="6"/>
      <c r="AT533" s="6"/>
      <c r="AU533" s="6"/>
      <c r="AV533" s="6"/>
      <c r="AW533" s="477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</row>
    <row r="534" spans="2:69" ht="15.75" customHeight="1" x14ac:dyDescent="0.25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476"/>
      <c r="AN534" s="6"/>
      <c r="AO534" s="6"/>
      <c r="AP534" s="6"/>
      <c r="AQ534" s="6"/>
      <c r="AR534" s="6"/>
      <c r="AS534" s="6"/>
      <c r="AT534" s="6"/>
      <c r="AU534" s="6"/>
      <c r="AV534" s="6"/>
      <c r="AW534" s="477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</row>
    <row r="535" spans="2:69" ht="15.75" customHeight="1" x14ac:dyDescent="0.25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476"/>
      <c r="AN535" s="6"/>
      <c r="AO535" s="6"/>
      <c r="AP535" s="6"/>
      <c r="AQ535" s="6"/>
      <c r="AR535" s="6"/>
      <c r="AS535" s="6"/>
      <c r="AT535" s="6"/>
      <c r="AU535" s="6"/>
      <c r="AV535" s="6"/>
      <c r="AW535" s="477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</row>
    <row r="536" spans="2:69" ht="15.75" customHeight="1" x14ac:dyDescent="0.25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476"/>
      <c r="AN536" s="6"/>
      <c r="AO536" s="6"/>
      <c r="AP536" s="6"/>
      <c r="AQ536" s="6"/>
      <c r="AR536" s="6"/>
      <c r="AS536" s="6"/>
      <c r="AT536" s="6"/>
      <c r="AU536" s="6"/>
      <c r="AV536" s="6"/>
      <c r="AW536" s="477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</row>
    <row r="537" spans="2:69" ht="15.75" customHeight="1" x14ac:dyDescent="0.25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476"/>
      <c r="AN537" s="6"/>
      <c r="AO537" s="6"/>
      <c r="AP537" s="6"/>
      <c r="AQ537" s="6"/>
      <c r="AR537" s="6"/>
      <c r="AS537" s="6"/>
      <c r="AT537" s="6"/>
      <c r="AU537" s="6"/>
      <c r="AV537" s="6"/>
      <c r="AW537" s="477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</row>
    <row r="538" spans="2:69" ht="15.75" customHeight="1" x14ac:dyDescent="0.25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476"/>
      <c r="AN538" s="6"/>
      <c r="AO538" s="6"/>
      <c r="AP538" s="6"/>
      <c r="AQ538" s="6"/>
      <c r="AR538" s="6"/>
      <c r="AS538" s="6"/>
      <c r="AT538" s="6"/>
      <c r="AU538" s="6"/>
      <c r="AV538" s="6"/>
      <c r="AW538" s="477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</row>
    <row r="539" spans="2:69" ht="15.75" customHeight="1" x14ac:dyDescent="0.25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476"/>
      <c r="AN539" s="6"/>
      <c r="AO539" s="6"/>
      <c r="AP539" s="6"/>
      <c r="AQ539" s="6"/>
      <c r="AR539" s="6"/>
      <c r="AS539" s="6"/>
      <c r="AT539" s="6"/>
      <c r="AU539" s="6"/>
      <c r="AV539" s="6"/>
      <c r="AW539" s="477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</row>
    <row r="540" spans="2:69" ht="15.75" customHeight="1" x14ac:dyDescent="0.25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476"/>
      <c r="AN540" s="6"/>
      <c r="AO540" s="6"/>
      <c r="AP540" s="6"/>
      <c r="AQ540" s="6"/>
      <c r="AR540" s="6"/>
      <c r="AS540" s="6"/>
      <c r="AT540" s="6"/>
      <c r="AU540" s="6"/>
      <c r="AV540" s="6"/>
      <c r="AW540" s="477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</row>
    <row r="541" spans="2:69" ht="15.75" customHeight="1" x14ac:dyDescent="0.25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476"/>
      <c r="AN541" s="6"/>
      <c r="AO541" s="6"/>
      <c r="AP541" s="6"/>
      <c r="AQ541" s="6"/>
      <c r="AR541" s="6"/>
      <c r="AS541" s="6"/>
      <c r="AT541" s="6"/>
      <c r="AU541" s="6"/>
      <c r="AV541" s="6"/>
      <c r="AW541" s="477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</row>
    <row r="542" spans="2:69" ht="15.75" customHeight="1" x14ac:dyDescent="0.25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476"/>
      <c r="AN542" s="6"/>
      <c r="AO542" s="6"/>
      <c r="AP542" s="6"/>
      <c r="AQ542" s="6"/>
      <c r="AR542" s="6"/>
      <c r="AS542" s="6"/>
      <c r="AT542" s="6"/>
      <c r="AU542" s="6"/>
      <c r="AV542" s="6"/>
      <c r="AW542" s="477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</row>
    <row r="543" spans="2:69" ht="15.75" customHeight="1" x14ac:dyDescent="0.25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476"/>
      <c r="AN543" s="6"/>
      <c r="AO543" s="6"/>
      <c r="AP543" s="6"/>
      <c r="AQ543" s="6"/>
      <c r="AR543" s="6"/>
      <c r="AS543" s="6"/>
      <c r="AT543" s="6"/>
      <c r="AU543" s="6"/>
      <c r="AV543" s="6"/>
      <c r="AW543" s="477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</row>
    <row r="544" spans="2:69" ht="15.75" customHeight="1" x14ac:dyDescent="0.25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476"/>
      <c r="AN544" s="6"/>
      <c r="AO544" s="6"/>
      <c r="AP544" s="6"/>
      <c r="AQ544" s="6"/>
      <c r="AR544" s="6"/>
      <c r="AS544" s="6"/>
      <c r="AT544" s="6"/>
      <c r="AU544" s="6"/>
      <c r="AV544" s="6"/>
      <c r="AW544" s="477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</row>
    <row r="545" spans="2:69" ht="15.75" customHeight="1" x14ac:dyDescent="0.25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476"/>
      <c r="AN545" s="6"/>
      <c r="AO545" s="6"/>
      <c r="AP545" s="6"/>
      <c r="AQ545" s="6"/>
      <c r="AR545" s="6"/>
      <c r="AS545" s="6"/>
      <c r="AT545" s="6"/>
      <c r="AU545" s="6"/>
      <c r="AV545" s="6"/>
      <c r="AW545" s="477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</row>
    <row r="546" spans="2:69" ht="15.75" customHeight="1" x14ac:dyDescent="0.25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476"/>
      <c r="AN546" s="6"/>
      <c r="AO546" s="6"/>
      <c r="AP546" s="6"/>
      <c r="AQ546" s="6"/>
      <c r="AR546" s="6"/>
      <c r="AS546" s="6"/>
      <c r="AT546" s="6"/>
      <c r="AU546" s="6"/>
      <c r="AV546" s="6"/>
      <c r="AW546" s="477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</row>
    <row r="547" spans="2:69" ht="15.75" customHeight="1" x14ac:dyDescent="0.25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476"/>
      <c r="AN547" s="6"/>
      <c r="AO547" s="6"/>
      <c r="AP547" s="6"/>
      <c r="AQ547" s="6"/>
      <c r="AR547" s="6"/>
      <c r="AS547" s="6"/>
      <c r="AT547" s="6"/>
      <c r="AU547" s="6"/>
      <c r="AV547" s="6"/>
      <c r="AW547" s="477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</row>
    <row r="548" spans="2:69" ht="15.75" customHeight="1" x14ac:dyDescent="0.25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476"/>
      <c r="AN548" s="6"/>
      <c r="AO548" s="6"/>
      <c r="AP548" s="6"/>
      <c r="AQ548" s="6"/>
      <c r="AR548" s="6"/>
      <c r="AS548" s="6"/>
      <c r="AT548" s="6"/>
      <c r="AU548" s="6"/>
      <c r="AV548" s="6"/>
      <c r="AW548" s="477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</row>
    <row r="549" spans="2:69" ht="15.75" customHeight="1" x14ac:dyDescent="0.25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476"/>
      <c r="AN549" s="6"/>
      <c r="AO549" s="6"/>
      <c r="AP549" s="6"/>
      <c r="AQ549" s="6"/>
      <c r="AR549" s="6"/>
      <c r="AS549" s="6"/>
      <c r="AT549" s="6"/>
      <c r="AU549" s="6"/>
      <c r="AV549" s="6"/>
      <c r="AW549" s="477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</row>
    <row r="550" spans="2:69" ht="15.75" customHeight="1" x14ac:dyDescent="0.25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476"/>
      <c r="AN550" s="6"/>
      <c r="AO550" s="6"/>
      <c r="AP550" s="6"/>
      <c r="AQ550" s="6"/>
      <c r="AR550" s="6"/>
      <c r="AS550" s="6"/>
      <c r="AT550" s="6"/>
      <c r="AU550" s="6"/>
      <c r="AV550" s="6"/>
      <c r="AW550" s="477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</row>
    <row r="551" spans="2:69" ht="15.75" customHeight="1" x14ac:dyDescent="0.25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476"/>
      <c r="AN551" s="6"/>
      <c r="AO551" s="6"/>
      <c r="AP551" s="6"/>
      <c r="AQ551" s="6"/>
      <c r="AR551" s="6"/>
      <c r="AS551" s="6"/>
      <c r="AT551" s="6"/>
      <c r="AU551" s="6"/>
      <c r="AV551" s="6"/>
      <c r="AW551" s="477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</row>
    <row r="552" spans="2:69" ht="15.75" customHeight="1" x14ac:dyDescent="0.25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476"/>
      <c r="AN552" s="6"/>
      <c r="AO552" s="6"/>
      <c r="AP552" s="6"/>
      <c r="AQ552" s="6"/>
      <c r="AR552" s="6"/>
      <c r="AS552" s="6"/>
      <c r="AT552" s="6"/>
      <c r="AU552" s="6"/>
      <c r="AV552" s="6"/>
      <c r="AW552" s="477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</row>
    <row r="553" spans="2:69" ht="15.75" customHeight="1" x14ac:dyDescent="0.25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476"/>
      <c r="AN553" s="6"/>
      <c r="AO553" s="6"/>
      <c r="AP553" s="6"/>
      <c r="AQ553" s="6"/>
      <c r="AR553" s="6"/>
      <c r="AS553" s="6"/>
      <c r="AT553" s="6"/>
      <c r="AU553" s="6"/>
      <c r="AV553" s="6"/>
      <c r="AW553" s="477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</row>
    <row r="554" spans="2:69" ht="15.75" customHeight="1" x14ac:dyDescent="0.25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476"/>
      <c r="AN554" s="6"/>
      <c r="AO554" s="6"/>
      <c r="AP554" s="6"/>
      <c r="AQ554" s="6"/>
      <c r="AR554" s="6"/>
      <c r="AS554" s="6"/>
      <c r="AT554" s="6"/>
      <c r="AU554" s="6"/>
      <c r="AV554" s="6"/>
      <c r="AW554" s="477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</row>
    <row r="555" spans="2:69" ht="15.75" customHeight="1" x14ac:dyDescent="0.25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476"/>
      <c r="AN555" s="6"/>
      <c r="AO555" s="6"/>
      <c r="AP555" s="6"/>
      <c r="AQ555" s="6"/>
      <c r="AR555" s="6"/>
      <c r="AS555" s="6"/>
      <c r="AT555" s="6"/>
      <c r="AU555" s="6"/>
      <c r="AV555" s="6"/>
      <c r="AW555" s="477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</row>
    <row r="556" spans="2:69" ht="15.75" customHeight="1" x14ac:dyDescent="0.25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476"/>
      <c r="AN556" s="6"/>
      <c r="AO556" s="6"/>
      <c r="AP556" s="6"/>
      <c r="AQ556" s="6"/>
      <c r="AR556" s="6"/>
      <c r="AS556" s="6"/>
      <c r="AT556" s="6"/>
      <c r="AU556" s="6"/>
      <c r="AV556" s="6"/>
      <c r="AW556" s="477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</row>
    <row r="557" spans="2:69" ht="15.75" customHeight="1" x14ac:dyDescent="0.25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476"/>
      <c r="AN557" s="6"/>
      <c r="AO557" s="6"/>
      <c r="AP557" s="6"/>
      <c r="AQ557" s="6"/>
      <c r="AR557" s="6"/>
      <c r="AS557" s="6"/>
      <c r="AT557" s="6"/>
      <c r="AU557" s="6"/>
      <c r="AV557" s="6"/>
      <c r="AW557" s="477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</row>
    <row r="558" spans="2:69" ht="15.75" customHeight="1" x14ac:dyDescent="0.25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476"/>
      <c r="AN558" s="6"/>
      <c r="AO558" s="6"/>
      <c r="AP558" s="6"/>
      <c r="AQ558" s="6"/>
      <c r="AR558" s="6"/>
      <c r="AS558" s="6"/>
      <c r="AT558" s="6"/>
      <c r="AU558" s="6"/>
      <c r="AV558" s="6"/>
      <c r="AW558" s="477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</row>
    <row r="559" spans="2:69" ht="15.75" customHeight="1" x14ac:dyDescent="0.25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476"/>
      <c r="AN559" s="6"/>
      <c r="AO559" s="6"/>
      <c r="AP559" s="6"/>
      <c r="AQ559" s="6"/>
      <c r="AR559" s="6"/>
      <c r="AS559" s="6"/>
      <c r="AT559" s="6"/>
      <c r="AU559" s="6"/>
      <c r="AV559" s="6"/>
      <c r="AW559" s="477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</row>
    <row r="560" spans="2:69" ht="15.75" customHeight="1" x14ac:dyDescent="0.25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476"/>
      <c r="AN560" s="6"/>
      <c r="AO560" s="6"/>
      <c r="AP560" s="6"/>
      <c r="AQ560" s="6"/>
      <c r="AR560" s="6"/>
      <c r="AS560" s="6"/>
      <c r="AT560" s="6"/>
      <c r="AU560" s="6"/>
      <c r="AV560" s="6"/>
      <c r="AW560" s="477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</row>
    <row r="561" spans="2:69" ht="15.75" customHeight="1" x14ac:dyDescent="0.25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476"/>
      <c r="AN561" s="6"/>
      <c r="AO561" s="6"/>
      <c r="AP561" s="6"/>
      <c r="AQ561" s="6"/>
      <c r="AR561" s="6"/>
      <c r="AS561" s="6"/>
      <c r="AT561" s="6"/>
      <c r="AU561" s="6"/>
      <c r="AV561" s="6"/>
      <c r="AW561" s="477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</row>
    <row r="562" spans="2:69" ht="15.75" customHeight="1" x14ac:dyDescent="0.25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476"/>
      <c r="AN562" s="6"/>
      <c r="AO562" s="6"/>
      <c r="AP562" s="6"/>
      <c r="AQ562" s="6"/>
      <c r="AR562" s="6"/>
      <c r="AS562" s="6"/>
      <c r="AT562" s="6"/>
      <c r="AU562" s="6"/>
      <c r="AV562" s="6"/>
      <c r="AW562" s="477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</row>
    <row r="563" spans="2:69" ht="15.75" customHeight="1" x14ac:dyDescent="0.25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476"/>
      <c r="AN563" s="6"/>
      <c r="AO563" s="6"/>
      <c r="AP563" s="6"/>
      <c r="AQ563" s="6"/>
      <c r="AR563" s="6"/>
      <c r="AS563" s="6"/>
      <c r="AT563" s="6"/>
      <c r="AU563" s="6"/>
      <c r="AV563" s="6"/>
      <c r="AW563" s="477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</row>
    <row r="564" spans="2:69" ht="15.75" customHeight="1" x14ac:dyDescent="0.25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476"/>
      <c r="AN564" s="6"/>
      <c r="AO564" s="6"/>
      <c r="AP564" s="6"/>
      <c r="AQ564" s="6"/>
      <c r="AR564" s="6"/>
      <c r="AS564" s="6"/>
      <c r="AT564" s="6"/>
      <c r="AU564" s="6"/>
      <c r="AV564" s="6"/>
      <c r="AW564" s="477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</row>
    <row r="565" spans="2:69" ht="15.75" customHeight="1" x14ac:dyDescent="0.25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476"/>
      <c r="AN565" s="6"/>
      <c r="AO565" s="6"/>
      <c r="AP565" s="6"/>
      <c r="AQ565" s="6"/>
      <c r="AR565" s="6"/>
      <c r="AS565" s="6"/>
      <c r="AT565" s="6"/>
      <c r="AU565" s="6"/>
      <c r="AV565" s="6"/>
      <c r="AW565" s="477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</row>
    <row r="566" spans="2:69" ht="15.75" customHeight="1" x14ac:dyDescent="0.25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476"/>
      <c r="AN566" s="6"/>
      <c r="AO566" s="6"/>
      <c r="AP566" s="6"/>
      <c r="AQ566" s="6"/>
      <c r="AR566" s="6"/>
      <c r="AS566" s="6"/>
      <c r="AT566" s="6"/>
      <c r="AU566" s="6"/>
      <c r="AV566" s="6"/>
      <c r="AW566" s="477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</row>
    <row r="567" spans="2:69" ht="15.75" customHeight="1" x14ac:dyDescent="0.25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476"/>
      <c r="AN567" s="6"/>
      <c r="AO567" s="6"/>
      <c r="AP567" s="6"/>
      <c r="AQ567" s="6"/>
      <c r="AR567" s="6"/>
      <c r="AS567" s="6"/>
      <c r="AT567" s="6"/>
      <c r="AU567" s="6"/>
      <c r="AV567" s="6"/>
      <c r="AW567" s="477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</row>
    <row r="568" spans="2:69" ht="15.75" customHeight="1" x14ac:dyDescent="0.25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476"/>
      <c r="AN568" s="6"/>
      <c r="AO568" s="6"/>
      <c r="AP568" s="6"/>
      <c r="AQ568" s="6"/>
      <c r="AR568" s="6"/>
      <c r="AS568" s="6"/>
      <c r="AT568" s="6"/>
      <c r="AU568" s="6"/>
      <c r="AV568" s="6"/>
      <c r="AW568" s="477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</row>
    <row r="569" spans="2:69" ht="15.75" customHeight="1" x14ac:dyDescent="0.25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476"/>
      <c r="AN569" s="6"/>
      <c r="AO569" s="6"/>
      <c r="AP569" s="6"/>
      <c r="AQ569" s="6"/>
      <c r="AR569" s="6"/>
      <c r="AS569" s="6"/>
      <c r="AT569" s="6"/>
      <c r="AU569" s="6"/>
      <c r="AV569" s="6"/>
      <c r="AW569" s="477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</row>
    <row r="570" spans="2:69" ht="15.75" customHeight="1" x14ac:dyDescent="0.25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476"/>
      <c r="AN570" s="6"/>
      <c r="AO570" s="6"/>
      <c r="AP570" s="6"/>
      <c r="AQ570" s="6"/>
      <c r="AR570" s="6"/>
      <c r="AS570" s="6"/>
      <c r="AT570" s="6"/>
      <c r="AU570" s="6"/>
      <c r="AV570" s="6"/>
      <c r="AW570" s="477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</row>
    <row r="571" spans="2:69" ht="15.75" customHeight="1" x14ac:dyDescent="0.25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476"/>
      <c r="AN571" s="6"/>
      <c r="AO571" s="6"/>
      <c r="AP571" s="6"/>
      <c r="AQ571" s="6"/>
      <c r="AR571" s="6"/>
      <c r="AS571" s="6"/>
      <c r="AT571" s="6"/>
      <c r="AU571" s="6"/>
      <c r="AV571" s="6"/>
      <c r="AW571" s="477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</row>
    <row r="572" spans="2:69" ht="15.75" customHeight="1" x14ac:dyDescent="0.25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476"/>
      <c r="AN572" s="6"/>
      <c r="AO572" s="6"/>
      <c r="AP572" s="6"/>
      <c r="AQ572" s="6"/>
      <c r="AR572" s="6"/>
      <c r="AS572" s="6"/>
      <c r="AT572" s="6"/>
      <c r="AU572" s="6"/>
      <c r="AV572" s="6"/>
      <c r="AW572" s="477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</row>
    <row r="573" spans="2:69" ht="15.75" customHeight="1" x14ac:dyDescent="0.25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476"/>
      <c r="AN573" s="6"/>
      <c r="AO573" s="6"/>
      <c r="AP573" s="6"/>
      <c r="AQ573" s="6"/>
      <c r="AR573" s="6"/>
      <c r="AS573" s="6"/>
      <c r="AT573" s="6"/>
      <c r="AU573" s="6"/>
      <c r="AV573" s="6"/>
      <c r="AW573" s="477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</row>
    <row r="574" spans="2:69" ht="15.75" customHeight="1" x14ac:dyDescent="0.25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476"/>
      <c r="AN574" s="6"/>
      <c r="AO574" s="6"/>
      <c r="AP574" s="6"/>
      <c r="AQ574" s="6"/>
      <c r="AR574" s="6"/>
      <c r="AS574" s="6"/>
      <c r="AT574" s="6"/>
      <c r="AU574" s="6"/>
      <c r="AV574" s="6"/>
      <c r="AW574" s="477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</row>
    <row r="575" spans="2:69" ht="15.75" customHeight="1" x14ac:dyDescent="0.25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476"/>
      <c r="AN575" s="6"/>
      <c r="AO575" s="6"/>
      <c r="AP575" s="6"/>
      <c r="AQ575" s="6"/>
      <c r="AR575" s="6"/>
      <c r="AS575" s="6"/>
      <c r="AT575" s="6"/>
      <c r="AU575" s="6"/>
      <c r="AV575" s="6"/>
      <c r="AW575" s="477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</row>
    <row r="576" spans="2:69" ht="15.75" customHeight="1" x14ac:dyDescent="0.25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476"/>
      <c r="AN576" s="6"/>
      <c r="AO576" s="6"/>
      <c r="AP576" s="6"/>
      <c r="AQ576" s="6"/>
      <c r="AR576" s="6"/>
      <c r="AS576" s="6"/>
      <c r="AT576" s="6"/>
      <c r="AU576" s="6"/>
      <c r="AV576" s="6"/>
      <c r="AW576" s="477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</row>
    <row r="577" spans="2:69" ht="15.75" customHeight="1" x14ac:dyDescent="0.25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476"/>
      <c r="AN577" s="6"/>
      <c r="AO577" s="6"/>
      <c r="AP577" s="6"/>
      <c r="AQ577" s="6"/>
      <c r="AR577" s="6"/>
      <c r="AS577" s="6"/>
      <c r="AT577" s="6"/>
      <c r="AU577" s="6"/>
      <c r="AV577" s="6"/>
      <c r="AW577" s="477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</row>
    <row r="578" spans="2:69" ht="15.75" customHeight="1" x14ac:dyDescent="0.25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476"/>
      <c r="AN578" s="6"/>
      <c r="AO578" s="6"/>
      <c r="AP578" s="6"/>
      <c r="AQ578" s="6"/>
      <c r="AR578" s="6"/>
      <c r="AS578" s="6"/>
      <c r="AT578" s="6"/>
      <c r="AU578" s="6"/>
      <c r="AV578" s="6"/>
      <c r="AW578" s="477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</row>
    <row r="579" spans="2:69" ht="15.75" customHeight="1" x14ac:dyDescent="0.25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476"/>
      <c r="AN579" s="6"/>
      <c r="AO579" s="6"/>
      <c r="AP579" s="6"/>
      <c r="AQ579" s="6"/>
      <c r="AR579" s="6"/>
      <c r="AS579" s="6"/>
      <c r="AT579" s="6"/>
      <c r="AU579" s="6"/>
      <c r="AV579" s="6"/>
      <c r="AW579" s="477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</row>
    <row r="580" spans="2:69" ht="15.75" customHeight="1" x14ac:dyDescent="0.25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476"/>
      <c r="AN580" s="6"/>
      <c r="AO580" s="6"/>
      <c r="AP580" s="6"/>
      <c r="AQ580" s="6"/>
      <c r="AR580" s="6"/>
      <c r="AS580" s="6"/>
      <c r="AT580" s="6"/>
      <c r="AU580" s="6"/>
      <c r="AV580" s="6"/>
      <c r="AW580" s="477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</row>
    <row r="581" spans="2:69" ht="15.75" customHeight="1" x14ac:dyDescent="0.25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476"/>
      <c r="AN581" s="6"/>
      <c r="AO581" s="6"/>
      <c r="AP581" s="6"/>
      <c r="AQ581" s="6"/>
      <c r="AR581" s="6"/>
      <c r="AS581" s="6"/>
      <c r="AT581" s="6"/>
      <c r="AU581" s="6"/>
      <c r="AV581" s="6"/>
      <c r="AW581" s="477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</row>
    <row r="582" spans="2:69" ht="15.75" customHeight="1" x14ac:dyDescent="0.25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476"/>
      <c r="AN582" s="6"/>
      <c r="AO582" s="6"/>
      <c r="AP582" s="6"/>
      <c r="AQ582" s="6"/>
      <c r="AR582" s="6"/>
      <c r="AS582" s="6"/>
      <c r="AT582" s="6"/>
      <c r="AU582" s="6"/>
      <c r="AV582" s="6"/>
      <c r="AW582" s="477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</row>
    <row r="583" spans="2:69" ht="15.75" customHeight="1" x14ac:dyDescent="0.25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476"/>
      <c r="AN583" s="6"/>
      <c r="AO583" s="6"/>
      <c r="AP583" s="6"/>
      <c r="AQ583" s="6"/>
      <c r="AR583" s="6"/>
      <c r="AS583" s="6"/>
      <c r="AT583" s="6"/>
      <c r="AU583" s="6"/>
      <c r="AV583" s="6"/>
      <c r="AW583" s="477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</row>
    <row r="584" spans="2:69" ht="15.75" customHeight="1" x14ac:dyDescent="0.25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476"/>
      <c r="AN584" s="6"/>
      <c r="AO584" s="6"/>
      <c r="AP584" s="6"/>
      <c r="AQ584" s="6"/>
      <c r="AR584" s="6"/>
      <c r="AS584" s="6"/>
      <c r="AT584" s="6"/>
      <c r="AU584" s="6"/>
      <c r="AV584" s="6"/>
      <c r="AW584" s="477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</row>
    <row r="585" spans="2:69" ht="15.75" customHeight="1" x14ac:dyDescent="0.25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476"/>
      <c r="AN585" s="6"/>
      <c r="AO585" s="6"/>
      <c r="AP585" s="6"/>
      <c r="AQ585" s="6"/>
      <c r="AR585" s="6"/>
      <c r="AS585" s="6"/>
      <c r="AT585" s="6"/>
      <c r="AU585" s="6"/>
      <c r="AV585" s="6"/>
      <c r="AW585" s="477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</row>
    <row r="586" spans="2:69" ht="15.75" customHeight="1" x14ac:dyDescent="0.25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476"/>
      <c r="AN586" s="6"/>
      <c r="AO586" s="6"/>
      <c r="AP586" s="6"/>
      <c r="AQ586" s="6"/>
      <c r="AR586" s="6"/>
      <c r="AS586" s="6"/>
      <c r="AT586" s="6"/>
      <c r="AU586" s="6"/>
      <c r="AV586" s="6"/>
      <c r="AW586" s="477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</row>
    <row r="587" spans="2:69" ht="15.75" customHeight="1" x14ac:dyDescent="0.25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476"/>
      <c r="AN587" s="6"/>
      <c r="AO587" s="6"/>
      <c r="AP587" s="6"/>
      <c r="AQ587" s="6"/>
      <c r="AR587" s="6"/>
      <c r="AS587" s="6"/>
      <c r="AT587" s="6"/>
      <c r="AU587" s="6"/>
      <c r="AV587" s="6"/>
      <c r="AW587" s="477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</row>
    <row r="588" spans="2:69" ht="15.75" customHeight="1" x14ac:dyDescent="0.25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476"/>
      <c r="AN588" s="6"/>
      <c r="AO588" s="6"/>
      <c r="AP588" s="6"/>
      <c r="AQ588" s="6"/>
      <c r="AR588" s="6"/>
      <c r="AS588" s="6"/>
      <c r="AT588" s="6"/>
      <c r="AU588" s="6"/>
      <c r="AV588" s="6"/>
      <c r="AW588" s="477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</row>
    <row r="589" spans="2:69" ht="15.75" customHeight="1" x14ac:dyDescent="0.25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476"/>
      <c r="AN589" s="6"/>
      <c r="AO589" s="6"/>
      <c r="AP589" s="6"/>
      <c r="AQ589" s="6"/>
      <c r="AR589" s="6"/>
      <c r="AS589" s="6"/>
      <c r="AT589" s="6"/>
      <c r="AU589" s="6"/>
      <c r="AV589" s="6"/>
      <c r="AW589" s="477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</row>
    <row r="590" spans="2:69" ht="15.75" customHeight="1" x14ac:dyDescent="0.25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476"/>
      <c r="AN590" s="6"/>
      <c r="AO590" s="6"/>
      <c r="AP590" s="6"/>
      <c r="AQ590" s="6"/>
      <c r="AR590" s="6"/>
      <c r="AS590" s="6"/>
      <c r="AT590" s="6"/>
      <c r="AU590" s="6"/>
      <c r="AV590" s="6"/>
      <c r="AW590" s="477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</row>
    <row r="591" spans="2:69" ht="15.75" customHeight="1" x14ac:dyDescent="0.25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476"/>
      <c r="AN591" s="6"/>
      <c r="AO591" s="6"/>
      <c r="AP591" s="6"/>
      <c r="AQ591" s="6"/>
      <c r="AR591" s="6"/>
      <c r="AS591" s="6"/>
      <c r="AT591" s="6"/>
      <c r="AU591" s="6"/>
      <c r="AV591" s="6"/>
      <c r="AW591" s="477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</row>
    <row r="592" spans="2:69" ht="15.75" customHeight="1" x14ac:dyDescent="0.25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476"/>
      <c r="AN592" s="6"/>
      <c r="AO592" s="6"/>
      <c r="AP592" s="6"/>
      <c r="AQ592" s="6"/>
      <c r="AR592" s="6"/>
      <c r="AS592" s="6"/>
      <c r="AT592" s="6"/>
      <c r="AU592" s="6"/>
      <c r="AV592" s="6"/>
      <c r="AW592" s="477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</row>
    <row r="593" spans="2:69" ht="15.75" customHeight="1" x14ac:dyDescent="0.25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476"/>
      <c r="AN593" s="6"/>
      <c r="AO593" s="6"/>
      <c r="AP593" s="6"/>
      <c r="AQ593" s="6"/>
      <c r="AR593" s="6"/>
      <c r="AS593" s="6"/>
      <c r="AT593" s="6"/>
      <c r="AU593" s="6"/>
      <c r="AV593" s="6"/>
      <c r="AW593" s="477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</row>
    <row r="594" spans="2:69" ht="15.75" customHeight="1" x14ac:dyDescent="0.25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476"/>
      <c r="AN594" s="6"/>
      <c r="AO594" s="6"/>
      <c r="AP594" s="6"/>
      <c r="AQ594" s="6"/>
      <c r="AR594" s="6"/>
      <c r="AS594" s="6"/>
      <c r="AT594" s="6"/>
      <c r="AU594" s="6"/>
      <c r="AV594" s="6"/>
      <c r="AW594" s="477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</row>
    <row r="595" spans="2:69" ht="15.75" customHeight="1" x14ac:dyDescent="0.25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476"/>
      <c r="AN595" s="6"/>
      <c r="AO595" s="6"/>
      <c r="AP595" s="6"/>
      <c r="AQ595" s="6"/>
      <c r="AR595" s="6"/>
      <c r="AS595" s="6"/>
      <c r="AT595" s="6"/>
      <c r="AU595" s="6"/>
      <c r="AV595" s="6"/>
      <c r="AW595" s="477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</row>
    <row r="596" spans="2:69" ht="15.75" customHeight="1" x14ac:dyDescent="0.25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476"/>
      <c r="AN596" s="6"/>
      <c r="AO596" s="6"/>
      <c r="AP596" s="6"/>
      <c r="AQ596" s="6"/>
      <c r="AR596" s="6"/>
      <c r="AS596" s="6"/>
      <c r="AT596" s="6"/>
      <c r="AU596" s="6"/>
      <c r="AV596" s="6"/>
      <c r="AW596" s="477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</row>
    <row r="597" spans="2:69" ht="15.75" customHeight="1" x14ac:dyDescent="0.25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476"/>
      <c r="AN597" s="6"/>
      <c r="AO597" s="6"/>
      <c r="AP597" s="6"/>
      <c r="AQ597" s="6"/>
      <c r="AR597" s="6"/>
      <c r="AS597" s="6"/>
      <c r="AT597" s="6"/>
      <c r="AU597" s="6"/>
      <c r="AV597" s="6"/>
      <c r="AW597" s="477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</row>
    <row r="598" spans="2:69" ht="15.75" customHeight="1" x14ac:dyDescent="0.25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476"/>
      <c r="AN598" s="6"/>
      <c r="AO598" s="6"/>
      <c r="AP598" s="6"/>
      <c r="AQ598" s="6"/>
      <c r="AR598" s="6"/>
      <c r="AS598" s="6"/>
      <c r="AT598" s="6"/>
      <c r="AU598" s="6"/>
      <c r="AV598" s="6"/>
      <c r="AW598" s="477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</row>
    <row r="599" spans="2:69" ht="15.75" customHeight="1" x14ac:dyDescent="0.25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476"/>
      <c r="AN599" s="6"/>
      <c r="AO599" s="6"/>
      <c r="AP599" s="6"/>
      <c r="AQ599" s="6"/>
      <c r="AR599" s="6"/>
      <c r="AS599" s="6"/>
      <c r="AT599" s="6"/>
      <c r="AU599" s="6"/>
      <c r="AV599" s="6"/>
      <c r="AW599" s="477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</row>
    <row r="600" spans="2:69" ht="15.75" customHeight="1" x14ac:dyDescent="0.25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476"/>
      <c r="AN600" s="6"/>
      <c r="AO600" s="6"/>
      <c r="AP600" s="6"/>
      <c r="AQ600" s="6"/>
      <c r="AR600" s="6"/>
      <c r="AS600" s="6"/>
      <c r="AT600" s="6"/>
      <c r="AU600" s="6"/>
      <c r="AV600" s="6"/>
      <c r="AW600" s="477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</row>
    <row r="601" spans="2:69" ht="15.75" customHeight="1" x14ac:dyDescent="0.25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476"/>
      <c r="AN601" s="6"/>
      <c r="AO601" s="6"/>
      <c r="AP601" s="6"/>
      <c r="AQ601" s="6"/>
      <c r="AR601" s="6"/>
      <c r="AS601" s="6"/>
      <c r="AT601" s="6"/>
      <c r="AU601" s="6"/>
      <c r="AV601" s="6"/>
      <c r="AW601" s="477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</row>
    <row r="602" spans="2:69" ht="15.75" customHeight="1" x14ac:dyDescent="0.25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476"/>
      <c r="AN602" s="6"/>
      <c r="AO602" s="6"/>
      <c r="AP602" s="6"/>
      <c r="AQ602" s="6"/>
      <c r="AR602" s="6"/>
      <c r="AS602" s="6"/>
      <c r="AT602" s="6"/>
      <c r="AU602" s="6"/>
      <c r="AV602" s="6"/>
      <c r="AW602" s="477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</row>
    <row r="603" spans="2:69" ht="15.75" customHeight="1" x14ac:dyDescent="0.25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476"/>
      <c r="AN603" s="6"/>
      <c r="AO603" s="6"/>
      <c r="AP603" s="6"/>
      <c r="AQ603" s="6"/>
      <c r="AR603" s="6"/>
      <c r="AS603" s="6"/>
      <c r="AT603" s="6"/>
      <c r="AU603" s="6"/>
      <c r="AV603" s="6"/>
      <c r="AW603" s="477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</row>
    <row r="604" spans="2:69" ht="15.75" customHeight="1" x14ac:dyDescent="0.25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476"/>
      <c r="AN604" s="6"/>
      <c r="AO604" s="6"/>
      <c r="AP604" s="6"/>
      <c r="AQ604" s="6"/>
      <c r="AR604" s="6"/>
      <c r="AS604" s="6"/>
      <c r="AT604" s="6"/>
      <c r="AU604" s="6"/>
      <c r="AV604" s="6"/>
      <c r="AW604" s="477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</row>
    <row r="605" spans="2:69" ht="15.75" customHeight="1" x14ac:dyDescent="0.25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476"/>
      <c r="AN605" s="6"/>
      <c r="AO605" s="6"/>
      <c r="AP605" s="6"/>
      <c r="AQ605" s="6"/>
      <c r="AR605" s="6"/>
      <c r="AS605" s="6"/>
      <c r="AT605" s="6"/>
      <c r="AU605" s="6"/>
      <c r="AV605" s="6"/>
      <c r="AW605" s="477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</row>
    <row r="606" spans="2:69" ht="15.75" customHeight="1" x14ac:dyDescent="0.25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476"/>
      <c r="AN606" s="6"/>
      <c r="AO606" s="6"/>
      <c r="AP606" s="6"/>
      <c r="AQ606" s="6"/>
      <c r="AR606" s="6"/>
      <c r="AS606" s="6"/>
      <c r="AT606" s="6"/>
      <c r="AU606" s="6"/>
      <c r="AV606" s="6"/>
      <c r="AW606" s="477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</row>
    <row r="607" spans="2:69" ht="15.75" customHeight="1" x14ac:dyDescent="0.25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476"/>
      <c r="AN607" s="6"/>
      <c r="AO607" s="6"/>
      <c r="AP607" s="6"/>
      <c r="AQ607" s="6"/>
      <c r="AR607" s="6"/>
      <c r="AS607" s="6"/>
      <c r="AT607" s="6"/>
      <c r="AU607" s="6"/>
      <c r="AV607" s="6"/>
      <c r="AW607" s="477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</row>
    <row r="608" spans="2:69" ht="15.75" customHeight="1" x14ac:dyDescent="0.25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476"/>
      <c r="AN608" s="6"/>
      <c r="AO608" s="6"/>
      <c r="AP608" s="6"/>
      <c r="AQ608" s="6"/>
      <c r="AR608" s="6"/>
      <c r="AS608" s="6"/>
      <c r="AT608" s="6"/>
      <c r="AU608" s="6"/>
      <c r="AV608" s="6"/>
      <c r="AW608" s="477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</row>
    <row r="609" spans="2:69" ht="15.75" customHeight="1" x14ac:dyDescent="0.25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476"/>
      <c r="AN609" s="6"/>
      <c r="AO609" s="6"/>
      <c r="AP609" s="6"/>
      <c r="AQ609" s="6"/>
      <c r="AR609" s="6"/>
      <c r="AS609" s="6"/>
      <c r="AT609" s="6"/>
      <c r="AU609" s="6"/>
      <c r="AV609" s="6"/>
      <c r="AW609" s="477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</row>
    <row r="610" spans="2:69" ht="15.75" customHeight="1" x14ac:dyDescent="0.25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476"/>
      <c r="AN610" s="6"/>
      <c r="AO610" s="6"/>
      <c r="AP610" s="6"/>
      <c r="AQ610" s="6"/>
      <c r="AR610" s="6"/>
      <c r="AS610" s="6"/>
      <c r="AT610" s="6"/>
      <c r="AU610" s="6"/>
      <c r="AV610" s="6"/>
      <c r="AW610" s="477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</row>
    <row r="611" spans="2:69" ht="15.75" customHeight="1" x14ac:dyDescent="0.25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476"/>
      <c r="AN611" s="6"/>
      <c r="AO611" s="6"/>
      <c r="AP611" s="6"/>
      <c r="AQ611" s="6"/>
      <c r="AR611" s="6"/>
      <c r="AS611" s="6"/>
      <c r="AT611" s="6"/>
      <c r="AU611" s="6"/>
      <c r="AV611" s="6"/>
      <c r="AW611" s="477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</row>
    <row r="612" spans="2:69" ht="15.75" customHeight="1" x14ac:dyDescent="0.25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476"/>
      <c r="AN612" s="6"/>
      <c r="AO612" s="6"/>
      <c r="AP612" s="6"/>
      <c r="AQ612" s="6"/>
      <c r="AR612" s="6"/>
      <c r="AS612" s="6"/>
      <c r="AT612" s="6"/>
      <c r="AU612" s="6"/>
      <c r="AV612" s="6"/>
      <c r="AW612" s="477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</row>
    <row r="613" spans="2:69" ht="15.75" customHeight="1" x14ac:dyDescent="0.25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476"/>
      <c r="AN613" s="6"/>
      <c r="AO613" s="6"/>
      <c r="AP613" s="6"/>
      <c r="AQ613" s="6"/>
      <c r="AR613" s="6"/>
      <c r="AS613" s="6"/>
      <c r="AT613" s="6"/>
      <c r="AU613" s="6"/>
      <c r="AV613" s="6"/>
      <c r="AW613" s="477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</row>
    <row r="614" spans="2:69" ht="15.75" customHeight="1" x14ac:dyDescent="0.25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476"/>
      <c r="AN614" s="6"/>
      <c r="AO614" s="6"/>
      <c r="AP614" s="6"/>
      <c r="AQ614" s="6"/>
      <c r="AR614" s="6"/>
      <c r="AS614" s="6"/>
      <c r="AT614" s="6"/>
      <c r="AU614" s="6"/>
      <c r="AV614" s="6"/>
      <c r="AW614" s="477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</row>
    <row r="615" spans="2:69" ht="15.75" customHeight="1" x14ac:dyDescent="0.25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476"/>
      <c r="AN615" s="6"/>
      <c r="AO615" s="6"/>
      <c r="AP615" s="6"/>
      <c r="AQ615" s="6"/>
      <c r="AR615" s="6"/>
      <c r="AS615" s="6"/>
      <c r="AT615" s="6"/>
      <c r="AU615" s="6"/>
      <c r="AV615" s="6"/>
      <c r="AW615" s="477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</row>
    <row r="616" spans="2:69" ht="15.75" customHeight="1" x14ac:dyDescent="0.25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476"/>
      <c r="AN616" s="6"/>
      <c r="AO616" s="6"/>
      <c r="AP616" s="6"/>
      <c r="AQ616" s="6"/>
      <c r="AR616" s="6"/>
      <c r="AS616" s="6"/>
      <c r="AT616" s="6"/>
      <c r="AU616" s="6"/>
      <c r="AV616" s="6"/>
      <c r="AW616" s="477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</row>
    <row r="617" spans="2:69" ht="15.75" customHeight="1" x14ac:dyDescent="0.25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476"/>
      <c r="AN617" s="6"/>
      <c r="AO617" s="6"/>
      <c r="AP617" s="6"/>
      <c r="AQ617" s="6"/>
      <c r="AR617" s="6"/>
      <c r="AS617" s="6"/>
      <c r="AT617" s="6"/>
      <c r="AU617" s="6"/>
      <c r="AV617" s="6"/>
      <c r="AW617" s="477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</row>
    <row r="618" spans="2:69" ht="15.75" customHeight="1" x14ac:dyDescent="0.25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476"/>
      <c r="AN618" s="6"/>
      <c r="AO618" s="6"/>
      <c r="AP618" s="6"/>
      <c r="AQ618" s="6"/>
      <c r="AR618" s="6"/>
      <c r="AS618" s="6"/>
      <c r="AT618" s="6"/>
      <c r="AU618" s="6"/>
      <c r="AV618" s="6"/>
      <c r="AW618" s="477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</row>
    <row r="619" spans="2:69" ht="15.75" customHeight="1" x14ac:dyDescent="0.25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476"/>
      <c r="AN619" s="6"/>
      <c r="AO619" s="6"/>
      <c r="AP619" s="6"/>
      <c r="AQ619" s="6"/>
      <c r="AR619" s="6"/>
      <c r="AS619" s="6"/>
      <c r="AT619" s="6"/>
      <c r="AU619" s="6"/>
      <c r="AV619" s="6"/>
      <c r="AW619" s="477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</row>
    <row r="620" spans="2:69" ht="15.75" customHeight="1" x14ac:dyDescent="0.25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476"/>
      <c r="AN620" s="6"/>
      <c r="AO620" s="6"/>
      <c r="AP620" s="6"/>
      <c r="AQ620" s="6"/>
      <c r="AR620" s="6"/>
      <c r="AS620" s="6"/>
      <c r="AT620" s="6"/>
      <c r="AU620" s="6"/>
      <c r="AV620" s="6"/>
      <c r="AW620" s="477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</row>
    <row r="621" spans="2:69" ht="15.75" customHeight="1" x14ac:dyDescent="0.25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476"/>
      <c r="AN621" s="6"/>
      <c r="AO621" s="6"/>
      <c r="AP621" s="6"/>
      <c r="AQ621" s="6"/>
      <c r="AR621" s="6"/>
      <c r="AS621" s="6"/>
      <c r="AT621" s="6"/>
      <c r="AU621" s="6"/>
      <c r="AV621" s="6"/>
      <c r="AW621" s="477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</row>
    <row r="622" spans="2:69" ht="15.75" customHeight="1" x14ac:dyDescent="0.25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476"/>
      <c r="AN622" s="6"/>
      <c r="AO622" s="6"/>
      <c r="AP622" s="6"/>
      <c r="AQ622" s="6"/>
      <c r="AR622" s="6"/>
      <c r="AS622" s="6"/>
      <c r="AT622" s="6"/>
      <c r="AU622" s="6"/>
      <c r="AV622" s="6"/>
      <c r="AW622" s="477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</row>
    <row r="623" spans="2:69" ht="15.75" customHeight="1" x14ac:dyDescent="0.25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476"/>
      <c r="AN623" s="6"/>
      <c r="AO623" s="6"/>
      <c r="AP623" s="6"/>
      <c r="AQ623" s="6"/>
      <c r="AR623" s="6"/>
      <c r="AS623" s="6"/>
      <c r="AT623" s="6"/>
      <c r="AU623" s="6"/>
      <c r="AV623" s="6"/>
      <c r="AW623" s="477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</row>
    <row r="624" spans="2:69" ht="15.75" customHeight="1" x14ac:dyDescent="0.25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476"/>
      <c r="AN624" s="6"/>
      <c r="AO624" s="6"/>
      <c r="AP624" s="6"/>
      <c r="AQ624" s="6"/>
      <c r="AR624" s="6"/>
      <c r="AS624" s="6"/>
      <c r="AT624" s="6"/>
      <c r="AU624" s="6"/>
      <c r="AV624" s="6"/>
      <c r="AW624" s="477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</row>
    <row r="625" spans="2:69" ht="15.75" customHeight="1" x14ac:dyDescent="0.25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476"/>
      <c r="AN625" s="6"/>
      <c r="AO625" s="6"/>
      <c r="AP625" s="6"/>
      <c r="AQ625" s="6"/>
      <c r="AR625" s="6"/>
      <c r="AS625" s="6"/>
      <c r="AT625" s="6"/>
      <c r="AU625" s="6"/>
      <c r="AV625" s="6"/>
      <c r="AW625" s="477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</row>
    <row r="626" spans="2:69" ht="15.75" customHeight="1" x14ac:dyDescent="0.25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476"/>
      <c r="AN626" s="6"/>
      <c r="AO626" s="6"/>
      <c r="AP626" s="6"/>
      <c r="AQ626" s="6"/>
      <c r="AR626" s="6"/>
      <c r="AS626" s="6"/>
      <c r="AT626" s="6"/>
      <c r="AU626" s="6"/>
      <c r="AV626" s="6"/>
      <c r="AW626" s="477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</row>
    <row r="627" spans="2:69" ht="15.75" customHeight="1" x14ac:dyDescent="0.25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476"/>
      <c r="AN627" s="6"/>
      <c r="AO627" s="6"/>
      <c r="AP627" s="6"/>
      <c r="AQ627" s="6"/>
      <c r="AR627" s="6"/>
      <c r="AS627" s="6"/>
      <c r="AT627" s="6"/>
      <c r="AU627" s="6"/>
      <c r="AV627" s="6"/>
      <c r="AW627" s="477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</row>
    <row r="628" spans="2:69" ht="15.75" customHeight="1" x14ac:dyDescent="0.25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476"/>
      <c r="AN628" s="6"/>
      <c r="AO628" s="6"/>
      <c r="AP628" s="6"/>
      <c r="AQ628" s="6"/>
      <c r="AR628" s="6"/>
      <c r="AS628" s="6"/>
      <c r="AT628" s="6"/>
      <c r="AU628" s="6"/>
      <c r="AV628" s="6"/>
      <c r="AW628" s="477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</row>
    <row r="629" spans="2:69" ht="15.75" customHeight="1" x14ac:dyDescent="0.25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476"/>
      <c r="AN629" s="6"/>
      <c r="AO629" s="6"/>
      <c r="AP629" s="6"/>
      <c r="AQ629" s="6"/>
      <c r="AR629" s="6"/>
      <c r="AS629" s="6"/>
      <c r="AT629" s="6"/>
      <c r="AU629" s="6"/>
      <c r="AV629" s="6"/>
      <c r="AW629" s="477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</row>
    <row r="630" spans="2:69" ht="15.75" customHeight="1" x14ac:dyDescent="0.25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476"/>
      <c r="AN630" s="6"/>
      <c r="AO630" s="6"/>
      <c r="AP630" s="6"/>
      <c r="AQ630" s="6"/>
      <c r="AR630" s="6"/>
      <c r="AS630" s="6"/>
      <c r="AT630" s="6"/>
      <c r="AU630" s="6"/>
      <c r="AV630" s="6"/>
      <c r="AW630" s="477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</row>
    <row r="631" spans="2:69" ht="15.75" customHeight="1" x14ac:dyDescent="0.25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476"/>
      <c r="AN631" s="6"/>
      <c r="AO631" s="6"/>
      <c r="AP631" s="6"/>
      <c r="AQ631" s="6"/>
      <c r="AR631" s="6"/>
      <c r="AS631" s="6"/>
      <c r="AT631" s="6"/>
      <c r="AU631" s="6"/>
      <c r="AV631" s="6"/>
      <c r="AW631" s="477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</row>
    <row r="632" spans="2:69" ht="15.75" customHeight="1" x14ac:dyDescent="0.25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476"/>
      <c r="AN632" s="6"/>
      <c r="AO632" s="6"/>
      <c r="AP632" s="6"/>
      <c r="AQ632" s="6"/>
      <c r="AR632" s="6"/>
      <c r="AS632" s="6"/>
      <c r="AT632" s="6"/>
      <c r="AU632" s="6"/>
      <c r="AV632" s="6"/>
      <c r="AW632" s="477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</row>
    <row r="633" spans="2:69" ht="15.75" customHeight="1" x14ac:dyDescent="0.25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476"/>
      <c r="AN633" s="6"/>
      <c r="AO633" s="6"/>
      <c r="AP633" s="6"/>
      <c r="AQ633" s="6"/>
      <c r="AR633" s="6"/>
      <c r="AS633" s="6"/>
      <c r="AT633" s="6"/>
      <c r="AU633" s="6"/>
      <c r="AV633" s="6"/>
      <c r="AW633" s="477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</row>
    <row r="634" spans="2:69" ht="15.75" customHeight="1" x14ac:dyDescent="0.25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476"/>
      <c r="AN634" s="6"/>
      <c r="AO634" s="6"/>
      <c r="AP634" s="6"/>
      <c r="AQ634" s="6"/>
      <c r="AR634" s="6"/>
      <c r="AS634" s="6"/>
      <c r="AT634" s="6"/>
      <c r="AU634" s="6"/>
      <c r="AV634" s="6"/>
      <c r="AW634" s="477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</row>
    <row r="635" spans="2:69" ht="15.75" customHeight="1" x14ac:dyDescent="0.25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476"/>
      <c r="AN635" s="6"/>
      <c r="AO635" s="6"/>
      <c r="AP635" s="6"/>
      <c r="AQ635" s="6"/>
      <c r="AR635" s="6"/>
      <c r="AS635" s="6"/>
      <c r="AT635" s="6"/>
      <c r="AU635" s="6"/>
      <c r="AV635" s="6"/>
      <c r="AW635" s="477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</row>
    <row r="636" spans="2:69" ht="15.75" customHeight="1" x14ac:dyDescent="0.25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476"/>
      <c r="AN636" s="6"/>
      <c r="AO636" s="6"/>
      <c r="AP636" s="6"/>
      <c r="AQ636" s="6"/>
      <c r="AR636" s="6"/>
      <c r="AS636" s="6"/>
      <c r="AT636" s="6"/>
      <c r="AU636" s="6"/>
      <c r="AV636" s="6"/>
      <c r="AW636" s="477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</row>
    <row r="637" spans="2:69" ht="15.75" customHeight="1" x14ac:dyDescent="0.25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476"/>
      <c r="AN637" s="6"/>
      <c r="AO637" s="6"/>
      <c r="AP637" s="6"/>
      <c r="AQ637" s="6"/>
      <c r="AR637" s="6"/>
      <c r="AS637" s="6"/>
      <c r="AT637" s="6"/>
      <c r="AU637" s="6"/>
      <c r="AV637" s="6"/>
      <c r="AW637" s="477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</row>
    <row r="638" spans="2:69" ht="15.75" customHeight="1" x14ac:dyDescent="0.25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476"/>
      <c r="AN638" s="6"/>
      <c r="AO638" s="6"/>
      <c r="AP638" s="6"/>
      <c r="AQ638" s="6"/>
      <c r="AR638" s="6"/>
      <c r="AS638" s="6"/>
      <c r="AT638" s="6"/>
      <c r="AU638" s="6"/>
      <c r="AV638" s="6"/>
      <c r="AW638" s="477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</row>
    <row r="639" spans="2:69" ht="15.75" customHeight="1" x14ac:dyDescent="0.25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476"/>
      <c r="AN639" s="6"/>
      <c r="AO639" s="6"/>
      <c r="AP639" s="6"/>
      <c r="AQ639" s="6"/>
      <c r="AR639" s="6"/>
      <c r="AS639" s="6"/>
      <c r="AT639" s="6"/>
      <c r="AU639" s="6"/>
      <c r="AV639" s="6"/>
      <c r="AW639" s="477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</row>
    <row r="640" spans="2:69" ht="15.75" customHeight="1" x14ac:dyDescent="0.25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476"/>
      <c r="AN640" s="6"/>
      <c r="AO640" s="6"/>
      <c r="AP640" s="6"/>
      <c r="AQ640" s="6"/>
      <c r="AR640" s="6"/>
      <c r="AS640" s="6"/>
      <c r="AT640" s="6"/>
      <c r="AU640" s="6"/>
      <c r="AV640" s="6"/>
      <c r="AW640" s="477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</row>
    <row r="641" spans="2:69" ht="15.75" customHeight="1" x14ac:dyDescent="0.25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476"/>
      <c r="AN641" s="6"/>
      <c r="AO641" s="6"/>
      <c r="AP641" s="6"/>
      <c r="AQ641" s="6"/>
      <c r="AR641" s="6"/>
      <c r="AS641" s="6"/>
      <c r="AT641" s="6"/>
      <c r="AU641" s="6"/>
      <c r="AV641" s="6"/>
      <c r="AW641" s="477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</row>
    <row r="642" spans="2:69" ht="15.75" customHeight="1" x14ac:dyDescent="0.25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476"/>
      <c r="AN642" s="6"/>
      <c r="AO642" s="6"/>
      <c r="AP642" s="6"/>
      <c r="AQ642" s="6"/>
      <c r="AR642" s="6"/>
      <c r="AS642" s="6"/>
      <c r="AT642" s="6"/>
      <c r="AU642" s="6"/>
      <c r="AV642" s="6"/>
      <c r="AW642" s="477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</row>
    <row r="643" spans="2:69" ht="15.75" customHeight="1" x14ac:dyDescent="0.25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476"/>
      <c r="AN643" s="6"/>
      <c r="AO643" s="6"/>
      <c r="AP643" s="6"/>
      <c r="AQ643" s="6"/>
      <c r="AR643" s="6"/>
      <c r="AS643" s="6"/>
      <c r="AT643" s="6"/>
      <c r="AU643" s="6"/>
      <c r="AV643" s="6"/>
      <c r="AW643" s="477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</row>
    <row r="644" spans="2:69" ht="15.75" customHeight="1" x14ac:dyDescent="0.25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476"/>
      <c r="AN644" s="6"/>
      <c r="AO644" s="6"/>
      <c r="AP644" s="6"/>
      <c r="AQ644" s="6"/>
      <c r="AR644" s="6"/>
      <c r="AS644" s="6"/>
      <c r="AT644" s="6"/>
      <c r="AU644" s="6"/>
      <c r="AV644" s="6"/>
      <c r="AW644" s="477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</row>
    <row r="645" spans="2:69" ht="15.75" customHeight="1" x14ac:dyDescent="0.25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476"/>
      <c r="AN645" s="6"/>
      <c r="AO645" s="6"/>
      <c r="AP645" s="6"/>
      <c r="AQ645" s="6"/>
      <c r="AR645" s="6"/>
      <c r="AS645" s="6"/>
      <c r="AT645" s="6"/>
      <c r="AU645" s="6"/>
      <c r="AV645" s="6"/>
      <c r="AW645" s="477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</row>
    <row r="646" spans="2:69" ht="15.75" customHeight="1" x14ac:dyDescent="0.25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476"/>
      <c r="AN646" s="6"/>
      <c r="AO646" s="6"/>
      <c r="AP646" s="6"/>
      <c r="AQ646" s="6"/>
      <c r="AR646" s="6"/>
      <c r="AS646" s="6"/>
      <c r="AT646" s="6"/>
      <c r="AU646" s="6"/>
      <c r="AV646" s="6"/>
      <c r="AW646" s="477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</row>
    <row r="647" spans="2:69" ht="15.75" customHeight="1" x14ac:dyDescent="0.25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476"/>
      <c r="AN647" s="6"/>
      <c r="AO647" s="6"/>
      <c r="AP647" s="6"/>
      <c r="AQ647" s="6"/>
      <c r="AR647" s="6"/>
      <c r="AS647" s="6"/>
      <c r="AT647" s="6"/>
      <c r="AU647" s="6"/>
      <c r="AV647" s="6"/>
      <c r="AW647" s="477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</row>
    <row r="648" spans="2:69" ht="15.75" customHeight="1" x14ac:dyDescent="0.25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476"/>
      <c r="AN648" s="6"/>
      <c r="AO648" s="6"/>
      <c r="AP648" s="6"/>
      <c r="AQ648" s="6"/>
      <c r="AR648" s="6"/>
      <c r="AS648" s="6"/>
      <c r="AT648" s="6"/>
      <c r="AU648" s="6"/>
      <c r="AV648" s="6"/>
      <c r="AW648" s="477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</row>
    <row r="649" spans="2:69" ht="15.75" customHeight="1" x14ac:dyDescent="0.25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476"/>
      <c r="AN649" s="6"/>
      <c r="AO649" s="6"/>
      <c r="AP649" s="6"/>
      <c r="AQ649" s="6"/>
      <c r="AR649" s="6"/>
      <c r="AS649" s="6"/>
      <c r="AT649" s="6"/>
      <c r="AU649" s="6"/>
      <c r="AV649" s="6"/>
      <c r="AW649" s="477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</row>
    <row r="650" spans="2:69" ht="15.75" customHeight="1" x14ac:dyDescent="0.25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476"/>
      <c r="AN650" s="6"/>
      <c r="AO650" s="6"/>
      <c r="AP650" s="6"/>
      <c r="AQ650" s="6"/>
      <c r="AR650" s="6"/>
      <c r="AS650" s="6"/>
      <c r="AT650" s="6"/>
      <c r="AU650" s="6"/>
      <c r="AV650" s="6"/>
      <c r="AW650" s="477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</row>
    <row r="651" spans="2:69" ht="15.75" customHeight="1" x14ac:dyDescent="0.25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476"/>
      <c r="AN651" s="6"/>
      <c r="AO651" s="6"/>
      <c r="AP651" s="6"/>
      <c r="AQ651" s="6"/>
      <c r="AR651" s="6"/>
      <c r="AS651" s="6"/>
      <c r="AT651" s="6"/>
      <c r="AU651" s="6"/>
      <c r="AV651" s="6"/>
      <c r="AW651" s="477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</row>
    <row r="652" spans="2:69" ht="15.75" customHeight="1" x14ac:dyDescent="0.25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476"/>
      <c r="AN652" s="6"/>
      <c r="AO652" s="6"/>
      <c r="AP652" s="6"/>
      <c r="AQ652" s="6"/>
      <c r="AR652" s="6"/>
      <c r="AS652" s="6"/>
      <c r="AT652" s="6"/>
      <c r="AU652" s="6"/>
      <c r="AV652" s="6"/>
      <c r="AW652" s="477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</row>
    <row r="653" spans="2:69" ht="15.75" customHeight="1" x14ac:dyDescent="0.25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476"/>
      <c r="AN653" s="6"/>
      <c r="AO653" s="6"/>
      <c r="AP653" s="6"/>
      <c r="AQ653" s="6"/>
      <c r="AR653" s="6"/>
      <c r="AS653" s="6"/>
      <c r="AT653" s="6"/>
      <c r="AU653" s="6"/>
      <c r="AV653" s="6"/>
      <c r="AW653" s="477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</row>
    <row r="654" spans="2:69" ht="15.75" customHeight="1" x14ac:dyDescent="0.25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476"/>
      <c r="AN654" s="6"/>
      <c r="AO654" s="6"/>
      <c r="AP654" s="6"/>
      <c r="AQ654" s="6"/>
      <c r="AR654" s="6"/>
      <c r="AS654" s="6"/>
      <c r="AT654" s="6"/>
      <c r="AU654" s="6"/>
      <c r="AV654" s="6"/>
      <c r="AW654" s="477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</row>
    <row r="655" spans="2:69" ht="15.75" customHeight="1" x14ac:dyDescent="0.25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476"/>
      <c r="AN655" s="6"/>
      <c r="AO655" s="6"/>
      <c r="AP655" s="6"/>
      <c r="AQ655" s="6"/>
      <c r="AR655" s="6"/>
      <c r="AS655" s="6"/>
      <c r="AT655" s="6"/>
      <c r="AU655" s="6"/>
      <c r="AV655" s="6"/>
      <c r="AW655" s="477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</row>
    <row r="656" spans="2:69" ht="15.75" customHeight="1" x14ac:dyDescent="0.25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476"/>
      <c r="AN656" s="6"/>
      <c r="AO656" s="6"/>
      <c r="AP656" s="6"/>
      <c r="AQ656" s="6"/>
      <c r="AR656" s="6"/>
      <c r="AS656" s="6"/>
      <c r="AT656" s="6"/>
      <c r="AU656" s="6"/>
      <c r="AV656" s="6"/>
      <c r="AW656" s="477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</row>
    <row r="657" spans="2:69" ht="15.75" customHeight="1" x14ac:dyDescent="0.25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476"/>
      <c r="AN657" s="6"/>
      <c r="AO657" s="6"/>
      <c r="AP657" s="6"/>
      <c r="AQ657" s="6"/>
      <c r="AR657" s="6"/>
      <c r="AS657" s="6"/>
      <c r="AT657" s="6"/>
      <c r="AU657" s="6"/>
      <c r="AV657" s="6"/>
      <c r="AW657" s="477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</row>
    <row r="658" spans="2:69" ht="15.75" customHeight="1" x14ac:dyDescent="0.25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476"/>
      <c r="AN658" s="6"/>
      <c r="AO658" s="6"/>
      <c r="AP658" s="6"/>
      <c r="AQ658" s="6"/>
      <c r="AR658" s="6"/>
      <c r="AS658" s="6"/>
      <c r="AT658" s="6"/>
      <c r="AU658" s="6"/>
      <c r="AV658" s="6"/>
      <c r="AW658" s="477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</row>
    <row r="659" spans="2:69" ht="15.75" customHeight="1" x14ac:dyDescent="0.25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476"/>
      <c r="AN659" s="6"/>
      <c r="AO659" s="6"/>
      <c r="AP659" s="6"/>
      <c r="AQ659" s="6"/>
      <c r="AR659" s="6"/>
      <c r="AS659" s="6"/>
      <c r="AT659" s="6"/>
      <c r="AU659" s="6"/>
      <c r="AV659" s="6"/>
      <c r="AW659" s="477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</row>
    <row r="660" spans="2:69" ht="15.75" customHeight="1" x14ac:dyDescent="0.25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476"/>
      <c r="AN660" s="6"/>
      <c r="AO660" s="6"/>
      <c r="AP660" s="6"/>
      <c r="AQ660" s="6"/>
      <c r="AR660" s="6"/>
      <c r="AS660" s="6"/>
      <c r="AT660" s="6"/>
      <c r="AU660" s="6"/>
      <c r="AV660" s="6"/>
      <c r="AW660" s="477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</row>
    <row r="661" spans="2:69" ht="15.75" customHeight="1" x14ac:dyDescent="0.25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476"/>
      <c r="AN661" s="6"/>
      <c r="AO661" s="6"/>
      <c r="AP661" s="6"/>
      <c r="AQ661" s="6"/>
      <c r="AR661" s="6"/>
      <c r="AS661" s="6"/>
      <c r="AT661" s="6"/>
      <c r="AU661" s="6"/>
      <c r="AV661" s="6"/>
      <c r="AW661" s="477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</row>
    <row r="662" spans="2:69" ht="15.75" customHeight="1" x14ac:dyDescent="0.25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476"/>
      <c r="AN662" s="6"/>
      <c r="AO662" s="6"/>
      <c r="AP662" s="6"/>
      <c r="AQ662" s="6"/>
      <c r="AR662" s="6"/>
      <c r="AS662" s="6"/>
      <c r="AT662" s="6"/>
      <c r="AU662" s="6"/>
      <c r="AV662" s="6"/>
      <c r="AW662" s="477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</row>
    <row r="663" spans="2:69" ht="15.75" customHeight="1" x14ac:dyDescent="0.25"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476"/>
      <c r="AN663" s="6"/>
      <c r="AO663" s="6"/>
      <c r="AP663" s="6"/>
      <c r="AQ663" s="6"/>
      <c r="AR663" s="6"/>
      <c r="AS663" s="6"/>
      <c r="AT663" s="6"/>
      <c r="AU663" s="6"/>
      <c r="AV663" s="6"/>
      <c r="AW663" s="477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</row>
    <row r="664" spans="2:69" ht="15.75" customHeight="1" x14ac:dyDescent="0.25"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476"/>
      <c r="AN664" s="6"/>
      <c r="AO664" s="6"/>
      <c r="AP664" s="6"/>
      <c r="AQ664" s="6"/>
      <c r="AR664" s="6"/>
      <c r="AS664" s="6"/>
      <c r="AT664" s="6"/>
      <c r="AU664" s="6"/>
      <c r="AV664" s="6"/>
      <c r="AW664" s="477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</row>
    <row r="665" spans="2:69" ht="15.75" customHeight="1" x14ac:dyDescent="0.25"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476"/>
      <c r="AN665" s="6"/>
      <c r="AO665" s="6"/>
      <c r="AP665" s="6"/>
      <c r="AQ665" s="6"/>
      <c r="AR665" s="6"/>
      <c r="AS665" s="6"/>
      <c r="AT665" s="6"/>
      <c r="AU665" s="6"/>
      <c r="AV665" s="6"/>
      <c r="AW665" s="477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</row>
    <row r="666" spans="2:69" ht="15.75" customHeight="1" x14ac:dyDescent="0.25"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476"/>
      <c r="AN666" s="6"/>
      <c r="AO666" s="6"/>
      <c r="AP666" s="6"/>
      <c r="AQ666" s="6"/>
      <c r="AR666" s="6"/>
      <c r="AS666" s="6"/>
      <c r="AT666" s="6"/>
      <c r="AU666" s="6"/>
      <c r="AV666" s="6"/>
      <c r="AW666" s="477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</row>
    <row r="667" spans="2:69" ht="15.75" customHeight="1" x14ac:dyDescent="0.25"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476"/>
      <c r="AN667" s="6"/>
      <c r="AO667" s="6"/>
      <c r="AP667" s="6"/>
      <c r="AQ667" s="6"/>
      <c r="AR667" s="6"/>
      <c r="AS667" s="6"/>
      <c r="AT667" s="6"/>
      <c r="AU667" s="6"/>
      <c r="AV667" s="6"/>
      <c r="AW667" s="477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</row>
    <row r="668" spans="2:69" ht="15.75" customHeight="1" x14ac:dyDescent="0.25"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476"/>
      <c r="AN668" s="6"/>
      <c r="AO668" s="6"/>
      <c r="AP668" s="6"/>
      <c r="AQ668" s="6"/>
      <c r="AR668" s="6"/>
      <c r="AS668" s="6"/>
      <c r="AT668" s="6"/>
      <c r="AU668" s="6"/>
      <c r="AV668" s="6"/>
      <c r="AW668" s="477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</row>
    <row r="669" spans="2:69" ht="15.75" customHeight="1" x14ac:dyDescent="0.25"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476"/>
      <c r="AN669" s="6"/>
      <c r="AO669" s="6"/>
      <c r="AP669" s="6"/>
      <c r="AQ669" s="6"/>
      <c r="AR669" s="6"/>
      <c r="AS669" s="6"/>
      <c r="AT669" s="6"/>
      <c r="AU669" s="6"/>
      <c r="AV669" s="6"/>
      <c r="AW669" s="477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</row>
    <row r="670" spans="2:69" ht="15.75" customHeight="1" x14ac:dyDescent="0.25"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476"/>
      <c r="AN670" s="6"/>
      <c r="AO670" s="6"/>
      <c r="AP670" s="6"/>
      <c r="AQ670" s="6"/>
      <c r="AR670" s="6"/>
      <c r="AS670" s="6"/>
      <c r="AT670" s="6"/>
      <c r="AU670" s="6"/>
      <c r="AV670" s="6"/>
      <c r="AW670" s="477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</row>
    <row r="671" spans="2:69" ht="15.75" customHeight="1" x14ac:dyDescent="0.25"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476"/>
      <c r="AN671" s="6"/>
      <c r="AO671" s="6"/>
      <c r="AP671" s="6"/>
      <c r="AQ671" s="6"/>
      <c r="AR671" s="6"/>
      <c r="AS671" s="6"/>
      <c r="AT671" s="6"/>
      <c r="AU671" s="6"/>
      <c r="AV671" s="6"/>
      <c r="AW671" s="477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</row>
    <row r="672" spans="2:69" ht="15.75" customHeight="1" x14ac:dyDescent="0.25"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476"/>
      <c r="AN672" s="6"/>
      <c r="AO672" s="6"/>
      <c r="AP672" s="6"/>
      <c r="AQ672" s="6"/>
      <c r="AR672" s="6"/>
      <c r="AS672" s="6"/>
      <c r="AT672" s="6"/>
      <c r="AU672" s="6"/>
      <c r="AV672" s="6"/>
      <c r="AW672" s="477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</row>
    <row r="673" spans="2:69" ht="15.75" customHeight="1" x14ac:dyDescent="0.25"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476"/>
      <c r="AN673" s="6"/>
      <c r="AO673" s="6"/>
      <c r="AP673" s="6"/>
      <c r="AQ673" s="6"/>
      <c r="AR673" s="6"/>
      <c r="AS673" s="6"/>
      <c r="AT673" s="6"/>
      <c r="AU673" s="6"/>
      <c r="AV673" s="6"/>
      <c r="AW673" s="477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</row>
    <row r="674" spans="2:69" ht="15.75" customHeight="1" x14ac:dyDescent="0.25"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476"/>
      <c r="AN674" s="6"/>
      <c r="AO674" s="6"/>
      <c r="AP674" s="6"/>
      <c r="AQ674" s="6"/>
      <c r="AR674" s="6"/>
      <c r="AS674" s="6"/>
      <c r="AT674" s="6"/>
      <c r="AU674" s="6"/>
      <c r="AV674" s="6"/>
      <c r="AW674" s="477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</row>
    <row r="675" spans="2:69" ht="15.75" customHeight="1" x14ac:dyDescent="0.25"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476"/>
      <c r="AN675" s="6"/>
      <c r="AO675" s="6"/>
      <c r="AP675" s="6"/>
      <c r="AQ675" s="6"/>
      <c r="AR675" s="6"/>
      <c r="AS675" s="6"/>
      <c r="AT675" s="6"/>
      <c r="AU675" s="6"/>
      <c r="AV675" s="6"/>
      <c r="AW675" s="477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</row>
    <row r="676" spans="2:69" ht="15.75" customHeight="1" x14ac:dyDescent="0.25"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476"/>
      <c r="AN676" s="6"/>
      <c r="AO676" s="6"/>
      <c r="AP676" s="6"/>
      <c r="AQ676" s="6"/>
      <c r="AR676" s="6"/>
      <c r="AS676" s="6"/>
      <c r="AT676" s="6"/>
      <c r="AU676" s="6"/>
      <c r="AV676" s="6"/>
      <c r="AW676" s="477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</row>
    <row r="677" spans="2:69" ht="15.75" customHeight="1" x14ac:dyDescent="0.25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476"/>
      <c r="AN677" s="6"/>
      <c r="AO677" s="6"/>
      <c r="AP677" s="6"/>
      <c r="AQ677" s="6"/>
      <c r="AR677" s="6"/>
      <c r="AS677" s="6"/>
      <c r="AT677" s="6"/>
      <c r="AU677" s="6"/>
      <c r="AV677" s="6"/>
      <c r="AW677" s="477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</row>
    <row r="678" spans="2:69" ht="15.75" customHeight="1" x14ac:dyDescent="0.25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476"/>
      <c r="AN678" s="6"/>
      <c r="AO678" s="6"/>
      <c r="AP678" s="6"/>
      <c r="AQ678" s="6"/>
      <c r="AR678" s="6"/>
      <c r="AS678" s="6"/>
      <c r="AT678" s="6"/>
      <c r="AU678" s="6"/>
      <c r="AV678" s="6"/>
      <c r="AW678" s="477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</row>
    <row r="679" spans="2:69" ht="15.75" customHeight="1" x14ac:dyDescent="0.25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476"/>
      <c r="AN679" s="6"/>
      <c r="AO679" s="6"/>
      <c r="AP679" s="6"/>
      <c r="AQ679" s="6"/>
      <c r="AR679" s="6"/>
      <c r="AS679" s="6"/>
      <c r="AT679" s="6"/>
      <c r="AU679" s="6"/>
      <c r="AV679" s="6"/>
      <c r="AW679" s="477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</row>
    <row r="680" spans="2:69" ht="15.75" customHeight="1" x14ac:dyDescent="0.25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476"/>
      <c r="AN680" s="6"/>
      <c r="AO680" s="6"/>
      <c r="AP680" s="6"/>
      <c r="AQ680" s="6"/>
      <c r="AR680" s="6"/>
      <c r="AS680" s="6"/>
      <c r="AT680" s="6"/>
      <c r="AU680" s="6"/>
      <c r="AV680" s="6"/>
      <c r="AW680" s="477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</row>
    <row r="681" spans="2:69" ht="15.75" customHeight="1" x14ac:dyDescent="0.25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476"/>
      <c r="AN681" s="6"/>
      <c r="AO681" s="6"/>
      <c r="AP681" s="6"/>
      <c r="AQ681" s="6"/>
      <c r="AR681" s="6"/>
      <c r="AS681" s="6"/>
      <c r="AT681" s="6"/>
      <c r="AU681" s="6"/>
      <c r="AV681" s="6"/>
      <c r="AW681" s="477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</row>
    <row r="682" spans="2:69" ht="15.75" customHeight="1" x14ac:dyDescent="0.25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476"/>
      <c r="AN682" s="6"/>
      <c r="AO682" s="6"/>
      <c r="AP682" s="6"/>
      <c r="AQ682" s="6"/>
      <c r="AR682" s="6"/>
      <c r="AS682" s="6"/>
      <c r="AT682" s="6"/>
      <c r="AU682" s="6"/>
      <c r="AV682" s="6"/>
      <c r="AW682" s="477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</row>
    <row r="683" spans="2:69" ht="15.75" customHeight="1" x14ac:dyDescent="0.25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476"/>
      <c r="AN683" s="6"/>
      <c r="AO683" s="6"/>
      <c r="AP683" s="6"/>
      <c r="AQ683" s="6"/>
      <c r="AR683" s="6"/>
      <c r="AS683" s="6"/>
      <c r="AT683" s="6"/>
      <c r="AU683" s="6"/>
      <c r="AV683" s="6"/>
      <c r="AW683" s="477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</row>
    <row r="684" spans="2:69" ht="15.75" customHeight="1" x14ac:dyDescent="0.25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476"/>
      <c r="AN684" s="6"/>
      <c r="AO684" s="6"/>
      <c r="AP684" s="6"/>
      <c r="AQ684" s="6"/>
      <c r="AR684" s="6"/>
      <c r="AS684" s="6"/>
      <c r="AT684" s="6"/>
      <c r="AU684" s="6"/>
      <c r="AV684" s="6"/>
      <c r="AW684" s="477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</row>
    <row r="685" spans="2:69" ht="15.75" customHeight="1" x14ac:dyDescent="0.25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476"/>
      <c r="AN685" s="6"/>
      <c r="AO685" s="6"/>
      <c r="AP685" s="6"/>
      <c r="AQ685" s="6"/>
      <c r="AR685" s="6"/>
      <c r="AS685" s="6"/>
      <c r="AT685" s="6"/>
      <c r="AU685" s="6"/>
      <c r="AV685" s="6"/>
      <c r="AW685" s="477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</row>
    <row r="686" spans="2:69" ht="15.75" customHeight="1" x14ac:dyDescent="0.25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476"/>
      <c r="AN686" s="6"/>
      <c r="AO686" s="6"/>
      <c r="AP686" s="6"/>
      <c r="AQ686" s="6"/>
      <c r="AR686" s="6"/>
      <c r="AS686" s="6"/>
      <c r="AT686" s="6"/>
      <c r="AU686" s="6"/>
      <c r="AV686" s="6"/>
      <c r="AW686" s="477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</row>
    <row r="687" spans="2:69" ht="15.75" customHeight="1" x14ac:dyDescent="0.25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476"/>
      <c r="AN687" s="6"/>
      <c r="AO687" s="6"/>
      <c r="AP687" s="6"/>
      <c r="AQ687" s="6"/>
      <c r="AR687" s="6"/>
      <c r="AS687" s="6"/>
      <c r="AT687" s="6"/>
      <c r="AU687" s="6"/>
      <c r="AV687" s="6"/>
      <c r="AW687" s="477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</row>
    <row r="688" spans="2:69" ht="15.75" customHeight="1" x14ac:dyDescent="0.25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476"/>
      <c r="AN688" s="6"/>
      <c r="AO688" s="6"/>
      <c r="AP688" s="6"/>
      <c r="AQ688" s="6"/>
      <c r="AR688" s="6"/>
      <c r="AS688" s="6"/>
      <c r="AT688" s="6"/>
      <c r="AU688" s="6"/>
      <c r="AV688" s="6"/>
      <c r="AW688" s="477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</row>
    <row r="689" spans="2:69" ht="15.75" customHeight="1" x14ac:dyDescent="0.25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476"/>
      <c r="AN689" s="6"/>
      <c r="AO689" s="6"/>
      <c r="AP689" s="6"/>
      <c r="AQ689" s="6"/>
      <c r="AR689" s="6"/>
      <c r="AS689" s="6"/>
      <c r="AT689" s="6"/>
      <c r="AU689" s="6"/>
      <c r="AV689" s="6"/>
      <c r="AW689" s="477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</row>
    <row r="690" spans="2:69" ht="15.75" customHeight="1" x14ac:dyDescent="0.25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476"/>
      <c r="AN690" s="6"/>
      <c r="AO690" s="6"/>
      <c r="AP690" s="6"/>
      <c r="AQ690" s="6"/>
      <c r="AR690" s="6"/>
      <c r="AS690" s="6"/>
      <c r="AT690" s="6"/>
      <c r="AU690" s="6"/>
      <c r="AV690" s="6"/>
      <c r="AW690" s="477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</row>
    <row r="691" spans="2:69" ht="15.75" customHeight="1" x14ac:dyDescent="0.25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476"/>
      <c r="AN691" s="6"/>
      <c r="AO691" s="6"/>
      <c r="AP691" s="6"/>
      <c r="AQ691" s="6"/>
      <c r="AR691" s="6"/>
      <c r="AS691" s="6"/>
      <c r="AT691" s="6"/>
      <c r="AU691" s="6"/>
      <c r="AV691" s="6"/>
      <c r="AW691" s="477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</row>
    <row r="692" spans="2:69" ht="15.75" customHeight="1" x14ac:dyDescent="0.25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476"/>
      <c r="AN692" s="6"/>
      <c r="AO692" s="6"/>
      <c r="AP692" s="6"/>
      <c r="AQ692" s="6"/>
      <c r="AR692" s="6"/>
      <c r="AS692" s="6"/>
      <c r="AT692" s="6"/>
      <c r="AU692" s="6"/>
      <c r="AV692" s="6"/>
      <c r="AW692" s="477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</row>
    <row r="693" spans="2:69" ht="15.75" customHeight="1" x14ac:dyDescent="0.25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476"/>
      <c r="AN693" s="6"/>
      <c r="AO693" s="6"/>
      <c r="AP693" s="6"/>
      <c r="AQ693" s="6"/>
      <c r="AR693" s="6"/>
      <c r="AS693" s="6"/>
      <c r="AT693" s="6"/>
      <c r="AU693" s="6"/>
      <c r="AV693" s="6"/>
      <c r="AW693" s="477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</row>
    <row r="694" spans="2:69" ht="15.75" customHeight="1" x14ac:dyDescent="0.25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476"/>
      <c r="AN694" s="6"/>
      <c r="AO694" s="6"/>
      <c r="AP694" s="6"/>
      <c r="AQ694" s="6"/>
      <c r="AR694" s="6"/>
      <c r="AS694" s="6"/>
      <c r="AT694" s="6"/>
      <c r="AU694" s="6"/>
      <c r="AV694" s="6"/>
      <c r="AW694" s="477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</row>
    <row r="695" spans="2:69" ht="15.75" customHeight="1" x14ac:dyDescent="0.25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476"/>
      <c r="AN695" s="6"/>
      <c r="AO695" s="6"/>
      <c r="AP695" s="6"/>
      <c r="AQ695" s="6"/>
      <c r="AR695" s="6"/>
      <c r="AS695" s="6"/>
      <c r="AT695" s="6"/>
      <c r="AU695" s="6"/>
      <c r="AV695" s="6"/>
      <c r="AW695" s="477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</row>
    <row r="696" spans="2:69" ht="15.75" customHeight="1" x14ac:dyDescent="0.25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476"/>
      <c r="AN696" s="6"/>
      <c r="AO696" s="6"/>
      <c r="AP696" s="6"/>
      <c r="AQ696" s="6"/>
      <c r="AR696" s="6"/>
      <c r="AS696" s="6"/>
      <c r="AT696" s="6"/>
      <c r="AU696" s="6"/>
      <c r="AV696" s="6"/>
      <c r="AW696" s="477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</row>
    <row r="697" spans="2:69" ht="15.75" customHeight="1" x14ac:dyDescent="0.25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476"/>
      <c r="AN697" s="6"/>
      <c r="AO697" s="6"/>
      <c r="AP697" s="6"/>
      <c r="AQ697" s="6"/>
      <c r="AR697" s="6"/>
      <c r="AS697" s="6"/>
      <c r="AT697" s="6"/>
      <c r="AU697" s="6"/>
      <c r="AV697" s="6"/>
      <c r="AW697" s="477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</row>
    <row r="698" spans="2:69" ht="15.75" customHeight="1" x14ac:dyDescent="0.25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476"/>
      <c r="AN698" s="6"/>
      <c r="AO698" s="6"/>
      <c r="AP698" s="6"/>
      <c r="AQ698" s="6"/>
      <c r="AR698" s="6"/>
      <c r="AS698" s="6"/>
      <c r="AT698" s="6"/>
      <c r="AU698" s="6"/>
      <c r="AV698" s="6"/>
      <c r="AW698" s="477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</row>
    <row r="699" spans="2:69" ht="15.75" customHeight="1" x14ac:dyDescent="0.25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476"/>
      <c r="AN699" s="6"/>
      <c r="AO699" s="6"/>
      <c r="AP699" s="6"/>
      <c r="AQ699" s="6"/>
      <c r="AR699" s="6"/>
      <c r="AS699" s="6"/>
      <c r="AT699" s="6"/>
      <c r="AU699" s="6"/>
      <c r="AV699" s="6"/>
      <c r="AW699" s="477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</row>
    <row r="700" spans="2:69" ht="15.75" customHeight="1" x14ac:dyDescent="0.25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476"/>
      <c r="AN700" s="6"/>
      <c r="AO700" s="6"/>
      <c r="AP700" s="6"/>
      <c r="AQ700" s="6"/>
      <c r="AR700" s="6"/>
      <c r="AS700" s="6"/>
      <c r="AT700" s="6"/>
      <c r="AU700" s="6"/>
      <c r="AV700" s="6"/>
      <c r="AW700" s="477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</row>
    <row r="701" spans="2:69" ht="15.75" customHeight="1" x14ac:dyDescent="0.25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476"/>
      <c r="AN701" s="6"/>
      <c r="AO701" s="6"/>
      <c r="AP701" s="6"/>
      <c r="AQ701" s="6"/>
      <c r="AR701" s="6"/>
      <c r="AS701" s="6"/>
      <c r="AT701" s="6"/>
      <c r="AU701" s="6"/>
      <c r="AV701" s="6"/>
      <c r="AW701" s="477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</row>
    <row r="702" spans="2:69" ht="15.75" customHeight="1" x14ac:dyDescent="0.25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476"/>
      <c r="AN702" s="6"/>
      <c r="AO702" s="6"/>
      <c r="AP702" s="6"/>
      <c r="AQ702" s="6"/>
      <c r="AR702" s="6"/>
      <c r="AS702" s="6"/>
      <c r="AT702" s="6"/>
      <c r="AU702" s="6"/>
      <c r="AV702" s="6"/>
      <c r="AW702" s="477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</row>
    <row r="703" spans="2:69" ht="15.75" customHeight="1" x14ac:dyDescent="0.25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476"/>
      <c r="AN703" s="6"/>
      <c r="AO703" s="6"/>
      <c r="AP703" s="6"/>
      <c r="AQ703" s="6"/>
      <c r="AR703" s="6"/>
      <c r="AS703" s="6"/>
      <c r="AT703" s="6"/>
      <c r="AU703" s="6"/>
      <c r="AV703" s="6"/>
      <c r="AW703" s="477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</row>
    <row r="704" spans="2:69" ht="15.75" customHeight="1" x14ac:dyDescent="0.25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476"/>
      <c r="AN704" s="6"/>
      <c r="AO704" s="6"/>
      <c r="AP704" s="6"/>
      <c r="AQ704" s="6"/>
      <c r="AR704" s="6"/>
      <c r="AS704" s="6"/>
      <c r="AT704" s="6"/>
      <c r="AU704" s="6"/>
      <c r="AV704" s="6"/>
      <c r="AW704" s="477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</row>
    <row r="705" spans="2:69" ht="15.75" customHeight="1" x14ac:dyDescent="0.25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476"/>
      <c r="AN705" s="6"/>
      <c r="AO705" s="6"/>
      <c r="AP705" s="6"/>
      <c r="AQ705" s="6"/>
      <c r="AR705" s="6"/>
      <c r="AS705" s="6"/>
      <c r="AT705" s="6"/>
      <c r="AU705" s="6"/>
      <c r="AV705" s="6"/>
      <c r="AW705" s="477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</row>
    <row r="706" spans="2:69" ht="15.75" customHeight="1" x14ac:dyDescent="0.25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476"/>
      <c r="AN706" s="6"/>
      <c r="AO706" s="6"/>
      <c r="AP706" s="6"/>
      <c r="AQ706" s="6"/>
      <c r="AR706" s="6"/>
      <c r="AS706" s="6"/>
      <c r="AT706" s="6"/>
      <c r="AU706" s="6"/>
      <c r="AV706" s="6"/>
      <c r="AW706" s="477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</row>
    <row r="707" spans="2:69" ht="15.75" customHeight="1" x14ac:dyDescent="0.25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476"/>
      <c r="AN707" s="6"/>
      <c r="AO707" s="6"/>
      <c r="AP707" s="6"/>
      <c r="AQ707" s="6"/>
      <c r="AR707" s="6"/>
      <c r="AS707" s="6"/>
      <c r="AT707" s="6"/>
      <c r="AU707" s="6"/>
      <c r="AV707" s="6"/>
      <c r="AW707" s="477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</row>
    <row r="708" spans="2:69" ht="15.75" customHeight="1" x14ac:dyDescent="0.25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476"/>
      <c r="AN708" s="6"/>
      <c r="AO708" s="6"/>
      <c r="AP708" s="6"/>
      <c r="AQ708" s="6"/>
      <c r="AR708" s="6"/>
      <c r="AS708" s="6"/>
      <c r="AT708" s="6"/>
      <c r="AU708" s="6"/>
      <c r="AV708" s="6"/>
      <c r="AW708" s="477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</row>
    <row r="709" spans="2:69" ht="15.75" customHeight="1" x14ac:dyDescent="0.25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476"/>
      <c r="AN709" s="6"/>
      <c r="AO709" s="6"/>
      <c r="AP709" s="6"/>
      <c r="AQ709" s="6"/>
      <c r="AR709" s="6"/>
      <c r="AS709" s="6"/>
      <c r="AT709" s="6"/>
      <c r="AU709" s="6"/>
      <c r="AV709" s="6"/>
      <c r="AW709" s="477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</row>
    <row r="710" spans="2:69" ht="15.75" customHeight="1" x14ac:dyDescent="0.25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476"/>
      <c r="AN710" s="6"/>
      <c r="AO710" s="6"/>
      <c r="AP710" s="6"/>
      <c r="AQ710" s="6"/>
      <c r="AR710" s="6"/>
      <c r="AS710" s="6"/>
      <c r="AT710" s="6"/>
      <c r="AU710" s="6"/>
      <c r="AV710" s="6"/>
      <c r="AW710" s="477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</row>
    <row r="711" spans="2:69" ht="15.75" customHeight="1" x14ac:dyDescent="0.25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476"/>
      <c r="AN711" s="6"/>
      <c r="AO711" s="6"/>
      <c r="AP711" s="6"/>
      <c r="AQ711" s="6"/>
      <c r="AR711" s="6"/>
      <c r="AS711" s="6"/>
      <c r="AT711" s="6"/>
      <c r="AU711" s="6"/>
      <c r="AV711" s="6"/>
      <c r="AW711" s="477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</row>
    <row r="712" spans="2:69" ht="15.75" customHeight="1" x14ac:dyDescent="0.25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476"/>
      <c r="AN712" s="6"/>
      <c r="AO712" s="6"/>
      <c r="AP712" s="6"/>
      <c r="AQ712" s="6"/>
      <c r="AR712" s="6"/>
      <c r="AS712" s="6"/>
      <c r="AT712" s="6"/>
      <c r="AU712" s="6"/>
      <c r="AV712" s="6"/>
      <c r="AW712" s="477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</row>
    <row r="713" spans="2:69" ht="15.75" customHeight="1" x14ac:dyDescent="0.25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476"/>
      <c r="AN713" s="6"/>
      <c r="AO713" s="6"/>
      <c r="AP713" s="6"/>
      <c r="AQ713" s="6"/>
      <c r="AR713" s="6"/>
      <c r="AS713" s="6"/>
      <c r="AT713" s="6"/>
      <c r="AU713" s="6"/>
      <c r="AV713" s="6"/>
      <c r="AW713" s="477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</row>
    <row r="714" spans="2:69" ht="15.75" customHeight="1" x14ac:dyDescent="0.25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476"/>
      <c r="AN714" s="6"/>
      <c r="AO714" s="6"/>
      <c r="AP714" s="6"/>
      <c r="AQ714" s="6"/>
      <c r="AR714" s="6"/>
      <c r="AS714" s="6"/>
      <c r="AT714" s="6"/>
      <c r="AU714" s="6"/>
      <c r="AV714" s="6"/>
      <c r="AW714" s="477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</row>
    <row r="715" spans="2:69" ht="15.75" customHeight="1" x14ac:dyDescent="0.25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476"/>
      <c r="AN715" s="6"/>
      <c r="AO715" s="6"/>
      <c r="AP715" s="6"/>
      <c r="AQ715" s="6"/>
      <c r="AR715" s="6"/>
      <c r="AS715" s="6"/>
      <c r="AT715" s="6"/>
      <c r="AU715" s="6"/>
      <c r="AV715" s="6"/>
      <c r="AW715" s="477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</row>
    <row r="716" spans="2:69" ht="15.75" customHeight="1" x14ac:dyDescent="0.25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476"/>
      <c r="AN716" s="6"/>
      <c r="AO716" s="6"/>
      <c r="AP716" s="6"/>
      <c r="AQ716" s="6"/>
      <c r="AR716" s="6"/>
      <c r="AS716" s="6"/>
      <c r="AT716" s="6"/>
      <c r="AU716" s="6"/>
      <c r="AV716" s="6"/>
      <c r="AW716" s="477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</row>
    <row r="717" spans="2:69" ht="15.75" customHeight="1" x14ac:dyDescent="0.25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476"/>
      <c r="AN717" s="6"/>
      <c r="AO717" s="6"/>
      <c r="AP717" s="6"/>
      <c r="AQ717" s="6"/>
      <c r="AR717" s="6"/>
      <c r="AS717" s="6"/>
      <c r="AT717" s="6"/>
      <c r="AU717" s="6"/>
      <c r="AV717" s="6"/>
      <c r="AW717" s="477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</row>
    <row r="718" spans="2:69" ht="15.75" customHeight="1" x14ac:dyDescent="0.25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476"/>
      <c r="AN718" s="6"/>
      <c r="AO718" s="6"/>
      <c r="AP718" s="6"/>
      <c r="AQ718" s="6"/>
      <c r="AR718" s="6"/>
      <c r="AS718" s="6"/>
      <c r="AT718" s="6"/>
      <c r="AU718" s="6"/>
      <c r="AV718" s="6"/>
      <c r="AW718" s="477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</row>
    <row r="719" spans="2:69" ht="15.75" customHeight="1" x14ac:dyDescent="0.25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476"/>
      <c r="AN719" s="6"/>
      <c r="AO719" s="6"/>
      <c r="AP719" s="6"/>
      <c r="AQ719" s="6"/>
      <c r="AR719" s="6"/>
      <c r="AS719" s="6"/>
      <c r="AT719" s="6"/>
      <c r="AU719" s="6"/>
      <c r="AV719" s="6"/>
      <c r="AW719" s="477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</row>
    <row r="720" spans="2:69" ht="15.75" customHeight="1" x14ac:dyDescent="0.25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476"/>
      <c r="AN720" s="6"/>
      <c r="AO720" s="6"/>
      <c r="AP720" s="6"/>
      <c r="AQ720" s="6"/>
      <c r="AR720" s="6"/>
      <c r="AS720" s="6"/>
      <c r="AT720" s="6"/>
      <c r="AU720" s="6"/>
      <c r="AV720" s="6"/>
      <c r="AW720" s="477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</row>
    <row r="721" spans="2:69" ht="15.75" customHeight="1" x14ac:dyDescent="0.25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476"/>
      <c r="AN721" s="6"/>
      <c r="AO721" s="6"/>
      <c r="AP721" s="6"/>
      <c r="AQ721" s="6"/>
      <c r="AR721" s="6"/>
      <c r="AS721" s="6"/>
      <c r="AT721" s="6"/>
      <c r="AU721" s="6"/>
      <c r="AV721" s="6"/>
      <c r="AW721" s="477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</row>
    <row r="722" spans="2:69" ht="15.75" customHeight="1" x14ac:dyDescent="0.25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476"/>
      <c r="AN722" s="6"/>
      <c r="AO722" s="6"/>
      <c r="AP722" s="6"/>
      <c r="AQ722" s="6"/>
      <c r="AR722" s="6"/>
      <c r="AS722" s="6"/>
      <c r="AT722" s="6"/>
      <c r="AU722" s="6"/>
      <c r="AV722" s="6"/>
      <c r="AW722" s="477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</row>
    <row r="723" spans="2:69" ht="15.75" customHeight="1" x14ac:dyDescent="0.25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476"/>
      <c r="AN723" s="6"/>
      <c r="AO723" s="6"/>
      <c r="AP723" s="6"/>
      <c r="AQ723" s="6"/>
      <c r="AR723" s="6"/>
      <c r="AS723" s="6"/>
      <c r="AT723" s="6"/>
      <c r="AU723" s="6"/>
      <c r="AV723" s="6"/>
      <c r="AW723" s="477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</row>
    <row r="724" spans="2:69" ht="15.75" customHeight="1" x14ac:dyDescent="0.25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476"/>
      <c r="AN724" s="6"/>
      <c r="AO724" s="6"/>
      <c r="AP724" s="6"/>
      <c r="AQ724" s="6"/>
      <c r="AR724" s="6"/>
      <c r="AS724" s="6"/>
      <c r="AT724" s="6"/>
      <c r="AU724" s="6"/>
      <c r="AV724" s="6"/>
      <c r="AW724" s="477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</row>
    <row r="725" spans="2:69" ht="15.75" customHeight="1" x14ac:dyDescent="0.25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476"/>
      <c r="AN725" s="6"/>
      <c r="AO725" s="6"/>
      <c r="AP725" s="6"/>
      <c r="AQ725" s="6"/>
      <c r="AR725" s="6"/>
      <c r="AS725" s="6"/>
      <c r="AT725" s="6"/>
      <c r="AU725" s="6"/>
      <c r="AV725" s="6"/>
      <c r="AW725" s="477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</row>
    <row r="726" spans="2:69" ht="15.75" customHeight="1" x14ac:dyDescent="0.25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476"/>
      <c r="AN726" s="6"/>
      <c r="AO726" s="6"/>
      <c r="AP726" s="6"/>
      <c r="AQ726" s="6"/>
      <c r="AR726" s="6"/>
      <c r="AS726" s="6"/>
      <c r="AT726" s="6"/>
      <c r="AU726" s="6"/>
      <c r="AV726" s="6"/>
      <c r="AW726" s="477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</row>
    <row r="727" spans="2:69" ht="15.75" customHeight="1" x14ac:dyDescent="0.25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476"/>
      <c r="AN727" s="6"/>
      <c r="AO727" s="6"/>
      <c r="AP727" s="6"/>
      <c r="AQ727" s="6"/>
      <c r="AR727" s="6"/>
      <c r="AS727" s="6"/>
      <c r="AT727" s="6"/>
      <c r="AU727" s="6"/>
      <c r="AV727" s="6"/>
      <c r="AW727" s="477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</row>
    <row r="728" spans="2:69" ht="15.75" customHeight="1" x14ac:dyDescent="0.25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476"/>
      <c r="AN728" s="6"/>
      <c r="AO728" s="6"/>
      <c r="AP728" s="6"/>
      <c r="AQ728" s="6"/>
      <c r="AR728" s="6"/>
      <c r="AS728" s="6"/>
      <c r="AT728" s="6"/>
      <c r="AU728" s="6"/>
      <c r="AV728" s="6"/>
      <c r="AW728" s="477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</row>
    <row r="729" spans="2:69" ht="15.75" customHeight="1" x14ac:dyDescent="0.25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476"/>
      <c r="AN729" s="6"/>
      <c r="AO729" s="6"/>
      <c r="AP729" s="6"/>
      <c r="AQ729" s="6"/>
      <c r="AR729" s="6"/>
      <c r="AS729" s="6"/>
      <c r="AT729" s="6"/>
      <c r="AU729" s="6"/>
      <c r="AV729" s="6"/>
      <c r="AW729" s="477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</row>
    <row r="730" spans="2:69" ht="15.75" customHeight="1" x14ac:dyDescent="0.25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476"/>
      <c r="AN730" s="6"/>
      <c r="AO730" s="6"/>
      <c r="AP730" s="6"/>
      <c r="AQ730" s="6"/>
      <c r="AR730" s="6"/>
      <c r="AS730" s="6"/>
      <c r="AT730" s="6"/>
      <c r="AU730" s="6"/>
      <c r="AV730" s="6"/>
      <c r="AW730" s="477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</row>
    <row r="731" spans="2:69" ht="15.75" customHeight="1" x14ac:dyDescent="0.25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476"/>
      <c r="AN731" s="6"/>
      <c r="AO731" s="6"/>
      <c r="AP731" s="6"/>
      <c r="AQ731" s="6"/>
      <c r="AR731" s="6"/>
      <c r="AS731" s="6"/>
      <c r="AT731" s="6"/>
      <c r="AU731" s="6"/>
      <c r="AV731" s="6"/>
      <c r="AW731" s="477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</row>
    <row r="732" spans="2:69" ht="15.75" customHeight="1" x14ac:dyDescent="0.25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476"/>
      <c r="AN732" s="6"/>
      <c r="AO732" s="6"/>
      <c r="AP732" s="6"/>
      <c r="AQ732" s="6"/>
      <c r="AR732" s="6"/>
      <c r="AS732" s="6"/>
      <c r="AT732" s="6"/>
      <c r="AU732" s="6"/>
      <c r="AV732" s="6"/>
      <c r="AW732" s="477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</row>
    <row r="733" spans="2:69" ht="15.75" customHeight="1" x14ac:dyDescent="0.25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476"/>
      <c r="AN733" s="6"/>
      <c r="AO733" s="6"/>
      <c r="AP733" s="6"/>
      <c r="AQ733" s="6"/>
      <c r="AR733" s="6"/>
      <c r="AS733" s="6"/>
      <c r="AT733" s="6"/>
      <c r="AU733" s="6"/>
      <c r="AV733" s="6"/>
      <c r="AW733" s="477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</row>
    <row r="734" spans="2:69" ht="15.75" customHeight="1" x14ac:dyDescent="0.25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476"/>
      <c r="AN734" s="6"/>
      <c r="AO734" s="6"/>
      <c r="AP734" s="6"/>
      <c r="AQ734" s="6"/>
      <c r="AR734" s="6"/>
      <c r="AS734" s="6"/>
      <c r="AT734" s="6"/>
      <c r="AU734" s="6"/>
      <c r="AV734" s="6"/>
      <c r="AW734" s="477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</row>
    <row r="735" spans="2:69" ht="15.75" customHeight="1" x14ac:dyDescent="0.25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476"/>
      <c r="AN735" s="6"/>
      <c r="AO735" s="6"/>
      <c r="AP735" s="6"/>
      <c r="AQ735" s="6"/>
      <c r="AR735" s="6"/>
      <c r="AS735" s="6"/>
      <c r="AT735" s="6"/>
      <c r="AU735" s="6"/>
      <c r="AV735" s="6"/>
      <c r="AW735" s="477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</row>
    <row r="736" spans="2:69" ht="15.75" customHeight="1" x14ac:dyDescent="0.25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476"/>
      <c r="AN736" s="6"/>
      <c r="AO736" s="6"/>
      <c r="AP736" s="6"/>
      <c r="AQ736" s="6"/>
      <c r="AR736" s="6"/>
      <c r="AS736" s="6"/>
      <c r="AT736" s="6"/>
      <c r="AU736" s="6"/>
      <c r="AV736" s="6"/>
      <c r="AW736" s="477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</row>
    <row r="737" spans="2:69" ht="15.75" customHeight="1" x14ac:dyDescent="0.25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476"/>
      <c r="AN737" s="6"/>
      <c r="AO737" s="6"/>
      <c r="AP737" s="6"/>
      <c r="AQ737" s="6"/>
      <c r="AR737" s="6"/>
      <c r="AS737" s="6"/>
      <c r="AT737" s="6"/>
      <c r="AU737" s="6"/>
      <c r="AV737" s="6"/>
      <c r="AW737" s="477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</row>
    <row r="738" spans="2:69" ht="15.75" customHeight="1" x14ac:dyDescent="0.25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476"/>
      <c r="AN738" s="6"/>
      <c r="AO738" s="6"/>
      <c r="AP738" s="6"/>
      <c r="AQ738" s="6"/>
      <c r="AR738" s="6"/>
      <c r="AS738" s="6"/>
      <c r="AT738" s="6"/>
      <c r="AU738" s="6"/>
      <c r="AV738" s="6"/>
      <c r="AW738" s="477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</row>
    <row r="739" spans="2:69" ht="15.75" customHeight="1" x14ac:dyDescent="0.25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476"/>
      <c r="AN739" s="6"/>
      <c r="AO739" s="6"/>
      <c r="AP739" s="6"/>
      <c r="AQ739" s="6"/>
      <c r="AR739" s="6"/>
      <c r="AS739" s="6"/>
      <c r="AT739" s="6"/>
      <c r="AU739" s="6"/>
      <c r="AV739" s="6"/>
      <c r="AW739" s="477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</row>
    <row r="740" spans="2:69" ht="15.75" customHeight="1" x14ac:dyDescent="0.25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476"/>
      <c r="AN740" s="6"/>
      <c r="AO740" s="6"/>
      <c r="AP740" s="6"/>
      <c r="AQ740" s="6"/>
      <c r="AR740" s="6"/>
      <c r="AS740" s="6"/>
      <c r="AT740" s="6"/>
      <c r="AU740" s="6"/>
      <c r="AV740" s="6"/>
      <c r="AW740" s="477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</row>
    <row r="741" spans="2:69" ht="15.75" customHeight="1" x14ac:dyDescent="0.25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476"/>
      <c r="AN741" s="6"/>
      <c r="AO741" s="6"/>
      <c r="AP741" s="6"/>
      <c r="AQ741" s="6"/>
      <c r="AR741" s="6"/>
      <c r="AS741" s="6"/>
      <c r="AT741" s="6"/>
      <c r="AU741" s="6"/>
      <c r="AV741" s="6"/>
      <c r="AW741" s="477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</row>
    <row r="742" spans="2:69" ht="15.75" customHeight="1" x14ac:dyDescent="0.25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476"/>
      <c r="AN742" s="6"/>
      <c r="AO742" s="6"/>
      <c r="AP742" s="6"/>
      <c r="AQ742" s="6"/>
      <c r="AR742" s="6"/>
      <c r="AS742" s="6"/>
      <c r="AT742" s="6"/>
      <c r="AU742" s="6"/>
      <c r="AV742" s="6"/>
      <c r="AW742" s="477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</row>
    <row r="743" spans="2:69" ht="15.75" customHeight="1" x14ac:dyDescent="0.25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476"/>
      <c r="AN743" s="6"/>
      <c r="AO743" s="6"/>
      <c r="AP743" s="6"/>
      <c r="AQ743" s="6"/>
      <c r="AR743" s="6"/>
      <c r="AS743" s="6"/>
      <c r="AT743" s="6"/>
      <c r="AU743" s="6"/>
      <c r="AV743" s="6"/>
      <c r="AW743" s="477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</row>
    <row r="744" spans="2:69" ht="15.75" customHeight="1" x14ac:dyDescent="0.25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476"/>
      <c r="AN744" s="6"/>
      <c r="AO744" s="6"/>
      <c r="AP744" s="6"/>
      <c r="AQ744" s="6"/>
      <c r="AR744" s="6"/>
      <c r="AS744" s="6"/>
      <c r="AT744" s="6"/>
      <c r="AU744" s="6"/>
      <c r="AV744" s="6"/>
      <c r="AW744" s="477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</row>
    <row r="745" spans="2:69" ht="15.75" customHeight="1" x14ac:dyDescent="0.25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476"/>
      <c r="AN745" s="6"/>
      <c r="AO745" s="6"/>
      <c r="AP745" s="6"/>
      <c r="AQ745" s="6"/>
      <c r="AR745" s="6"/>
      <c r="AS745" s="6"/>
      <c r="AT745" s="6"/>
      <c r="AU745" s="6"/>
      <c r="AV745" s="6"/>
      <c r="AW745" s="477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</row>
    <row r="746" spans="2:69" ht="15.75" customHeight="1" x14ac:dyDescent="0.25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476"/>
      <c r="AN746" s="6"/>
      <c r="AO746" s="6"/>
      <c r="AP746" s="6"/>
      <c r="AQ746" s="6"/>
      <c r="AR746" s="6"/>
      <c r="AS746" s="6"/>
      <c r="AT746" s="6"/>
      <c r="AU746" s="6"/>
      <c r="AV746" s="6"/>
      <c r="AW746" s="477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</row>
    <row r="747" spans="2:69" ht="15.75" customHeight="1" x14ac:dyDescent="0.25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476"/>
      <c r="AN747" s="6"/>
      <c r="AO747" s="6"/>
      <c r="AP747" s="6"/>
      <c r="AQ747" s="6"/>
      <c r="AR747" s="6"/>
      <c r="AS747" s="6"/>
      <c r="AT747" s="6"/>
      <c r="AU747" s="6"/>
      <c r="AV747" s="6"/>
      <c r="AW747" s="477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</row>
    <row r="748" spans="2:69" ht="15.75" customHeight="1" x14ac:dyDescent="0.25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476"/>
      <c r="AN748" s="6"/>
      <c r="AO748" s="6"/>
      <c r="AP748" s="6"/>
      <c r="AQ748" s="6"/>
      <c r="AR748" s="6"/>
      <c r="AS748" s="6"/>
      <c r="AT748" s="6"/>
      <c r="AU748" s="6"/>
      <c r="AV748" s="6"/>
      <c r="AW748" s="477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</row>
    <row r="749" spans="2:69" ht="15.75" customHeight="1" x14ac:dyDescent="0.25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476"/>
      <c r="AN749" s="6"/>
      <c r="AO749" s="6"/>
      <c r="AP749" s="6"/>
      <c r="AQ749" s="6"/>
      <c r="AR749" s="6"/>
      <c r="AS749" s="6"/>
      <c r="AT749" s="6"/>
      <c r="AU749" s="6"/>
      <c r="AV749" s="6"/>
      <c r="AW749" s="477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</row>
    <row r="750" spans="2:69" ht="15.75" customHeight="1" x14ac:dyDescent="0.25"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476"/>
      <c r="AN750" s="6"/>
      <c r="AO750" s="6"/>
      <c r="AP750" s="6"/>
      <c r="AQ750" s="6"/>
      <c r="AR750" s="6"/>
      <c r="AS750" s="6"/>
      <c r="AT750" s="6"/>
      <c r="AU750" s="6"/>
      <c r="AV750" s="6"/>
      <c r="AW750" s="477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</row>
    <row r="751" spans="2:69" ht="15.75" customHeight="1" x14ac:dyDescent="0.25"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476"/>
      <c r="AN751" s="6"/>
      <c r="AO751" s="6"/>
      <c r="AP751" s="6"/>
      <c r="AQ751" s="6"/>
      <c r="AR751" s="6"/>
      <c r="AS751" s="6"/>
      <c r="AT751" s="6"/>
      <c r="AU751" s="6"/>
      <c r="AV751" s="6"/>
      <c r="AW751" s="477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</row>
    <row r="752" spans="2:69" ht="15.75" customHeight="1" x14ac:dyDescent="0.25"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476"/>
      <c r="AN752" s="6"/>
      <c r="AO752" s="6"/>
      <c r="AP752" s="6"/>
      <c r="AQ752" s="6"/>
      <c r="AR752" s="6"/>
      <c r="AS752" s="6"/>
      <c r="AT752" s="6"/>
      <c r="AU752" s="6"/>
      <c r="AV752" s="6"/>
      <c r="AW752" s="477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</row>
    <row r="753" spans="2:69" ht="15.75" customHeight="1" x14ac:dyDescent="0.25"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476"/>
      <c r="AN753" s="6"/>
      <c r="AO753" s="6"/>
      <c r="AP753" s="6"/>
      <c r="AQ753" s="6"/>
      <c r="AR753" s="6"/>
      <c r="AS753" s="6"/>
      <c r="AT753" s="6"/>
      <c r="AU753" s="6"/>
      <c r="AV753" s="6"/>
      <c r="AW753" s="477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</row>
    <row r="754" spans="2:69" ht="15.75" customHeight="1" x14ac:dyDescent="0.25"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476"/>
      <c r="AN754" s="6"/>
      <c r="AO754" s="6"/>
      <c r="AP754" s="6"/>
      <c r="AQ754" s="6"/>
      <c r="AR754" s="6"/>
      <c r="AS754" s="6"/>
      <c r="AT754" s="6"/>
      <c r="AU754" s="6"/>
      <c r="AV754" s="6"/>
      <c r="AW754" s="477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</row>
    <row r="755" spans="2:69" ht="15.75" customHeight="1" x14ac:dyDescent="0.25"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476"/>
      <c r="AN755" s="6"/>
      <c r="AO755" s="6"/>
      <c r="AP755" s="6"/>
      <c r="AQ755" s="6"/>
      <c r="AR755" s="6"/>
      <c r="AS755" s="6"/>
      <c r="AT755" s="6"/>
      <c r="AU755" s="6"/>
      <c r="AV755" s="6"/>
      <c r="AW755" s="477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</row>
    <row r="756" spans="2:69" ht="15.75" customHeight="1" x14ac:dyDescent="0.25"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476"/>
      <c r="AN756" s="6"/>
      <c r="AO756" s="6"/>
      <c r="AP756" s="6"/>
      <c r="AQ756" s="6"/>
      <c r="AR756" s="6"/>
      <c r="AS756" s="6"/>
      <c r="AT756" s="6"/>
      <c r="AU756" s="6"/>
      <c r="AV756" s="6"/>
      <c r="AW756" s="477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</row>
    <row r="757" spans="2:69" ht="15.75" customHeight="1" x14ac:dyDescent="0.25"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476"/>
      <c r="AN757" s="6"/>
      <c r="AO757" s="6"/>
      <c r="AP757" s="6"/>
      <c r="AQ757" s="6"/>
      <c r="AR757" s="6"/>
      <c r="AS757" s="6"/>
      <c r="AT757" s="6"/>
      <c r="AU757" s="6"/>
      <c r="AV757" s="6"/>
      <c r="AW757" s="477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</row>
    <row r="758" spans="2:69" ht="15.75" customHeight="1" x14ac:dyDescent="0.25"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476"/>
      <c r="AN758" s="6"/>
      <c r="AO758" s="6"/>
      <c r="AP758" s="6"/>
      <c r="AQ758" s="6"/>
      <c r="AR758" s="6"/>
      <c r="AS758" s="6"/>
      <c r="AT758" s="6"/>
      <c r="AU758" s="6"/>
      <c r="AV758" s="6"/>
      <c r="AW758" s="477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</row>
    <row r="759" spans="2:69" ht="15.75" customHeight="1" x14ac:dyDescent="0.25"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476"/>
      <c r="AN759" s="6"/>
      <c r="AO759" s="6"/>
      <c r="AP759" s="6"/>
      <c r="AQ759" s="6"/>
      <c r="AR759" s="6"/>
      <c r="AS759" s="6"/>
      <c r="AT759" s="6"/>
      <c r="AU759" s="6"/>
      <c r="AV759" s="6"/>
      <c r="AW759" s="477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</row>
    <row r="760" spans="2:69" ht="15.75" customHeight="1" x14ac:dyDescent="0.25"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476"/>
      <c r="AN760" s="6"/>
      <c r="AO760" s="6"/>
      <c r="AP760" s="6"/>
      <c r="AQ760" s="6"/>
      <c r="AR760" s="6"/>
      <c r="AS760" s="6"/>
      <c r="AT760" s="6"/>
      <c r="AU760" s="6"/>
      <c r="AV760" s="6"/>
      <c r="AW760" s="477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</row>
    <row r="761" spans="2:69" ht="15.75" customHeight="1" x14ac:dyDescent="0.25"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476"/>
      <c r="AN761" s="6"/>
      <c r="AO761" s="6"/>
      <c r="AP761" s="6"/>
      <c r="AQ761" s="6"/>
      <c r="AR761" s="6"/>
      <c r="AS761" s="6"/>
      <c r="AT761" s="6"/>
      <c r="AU761" s="6"/>
      <c r="AV761" s="6"/>
      <c r="AW761" s="477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</row>
    <row r="762" spans="2:69" ht="15.75" customHeight="1" x14ac:dyDescent="0.25"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476"/>
      <c r="AN762" s="6"/>
      <c r="AO762" s="6"/>
      <c r="AP762" s="6"/>
      <c r="AQ762" s="6"/>
      <c r="AR762" s="6"/>
      <c r="AS762" s="6"/>
      <c r="AT762" s="6"/>
      <c r="AU762" s="6"/>
      <c r="AV762" s="6"/>
      <c r="AW762" s="477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</row>
    <row r="763" spans="2:69" ht="15.75" customHeight="1" x14ac:dyDescent="0.25"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476"/>
      <c r="AN763" s="6"/>
      <c r="AO763" s="6"/>
      <c r="AP763" s="6"/>
      <c r="AQ763" s="6"/>
      <c r="AR763" s="6"/>
      <c r="AS763" s="6"/>
      <c r="AT763" s="6"/>
      <c r="AU763" s="6"/>
      <c r="AV763" s="6"/>
      <c r="AW763" s="477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</row>
    <row r="764" spans="2:69" ht="15.75" customHeight="1" x14ac:dyDescent="0.25"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476"/>
      <c r="AN764" s="6"/>
      <c r="AO764" s="6"/>
      <c r="AP764" s="6"/>
      <c r="AQ764" s="6"/>
      <c r="AR764" s="6"/>
      <c r="AS764" s="6"/>
      <c r="AT764" s="6"/>
      <c r="AU764" s="6"/>
      <c r="AV764" s="6"/>
      <c r="AW764" s="477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</row>
    <row r="765" spans="2:69" ht="15.75" customHeight="1" x14ac:dyDescent="0.25"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476"/>
      <c r="AN765" s="6"/>
      <c r="AO765" s="6"/>
      <c r="AP765" s="6"/>
      <c r="AQ765" s="6"/>
      <c r="AR765" s="6"/>
      <c r="AS765" s="6"/>
      <c r="AT765" s="6"/>
      <c r="AU765" s="6"/>
      <c r="AV765" s="6"/>
      <c r="AW765" s="477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</row>
    <row r="766" spans="2:69" ht="15.75" customHeight="1" x14ac:dyDescent="0.25"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476"/>
      <c r="AN766" s="6"/>
      <c r="AO766" s="6"/>
      <c r="AP766" s="6"/>
      <c r="AQ766" s="6"/>
      <c r="AR766" s="6"/>
      <c r="AS766" s="6"/>
      <c r="AT766" s="6"/>
      <c r="AU766" s="6"/>
      <c r="AV766" s="6"/>
      <c r="AW766" s="477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</row>
    <row r="767" spans="2:69" ht="15.75" customHeight="1" x14ac:dyDescent="0.25"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476"/>
      <c r="AN767" s="6"/>
      <c r="AO767" s="6"/>
      <c r="AP767" s="6"/>
      <c r="AQ767" s="6"/>
      <c r="AR767" s="6"/>
      <c r="AS767" s="6"/>
      <c r="AT767" s="6"/>
      <c r="AU767" s="6"/>
      <c r="AV767" s="6"/>
      <c r="AW767" s="477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</row>
    <row r="768" spans="2:69" ht="15.75" customHeight="1" x14ac:dyDescent="0.25"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476"/>
      <c r="AN768" s="6"/>
      <c r="AO768" s="6"/>
      <c r="AP768" s="6"/>
      <c r="AQ768" s="6"/>
      <c r="AR768" s="6"/>
      <c r="AS768" s="6"/>
      <c r="AT768" s="6"/>
      <c r="AU768" s="6"/>
      <c r="AV768" s="6"/>
      <c r="AW768" s="477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</row>
    <row r="769" spans="8:69" ht="15.75" customHeight="1" x14ac:dyDescent="0.25"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476"/>
      <c r="AN769" s="6"/>
      <c r="AO769" s="6"/>
      <c r="AP769" s="6"/>
      <c r="AQ769" s="6"/>
      <c r="AR769" s="6"/>
      <c r="AS769" s="6"/>
      <c r="AT769" s="6"/>
      <c r="AU769" s="6"/>
      <c r="AV769" s="6"/>
      <c r="AW769" s="477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</row>
    <row r="770" spans="8:69" ht="15.75" customHeight="1" x14ac:dyDescent="0.25"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476"/>
      <c r="AN770" s="6"/>
      <c r="AO770" s="6"/>
      <c r="AP770" s="6"/>
      <c r="AQ770" s="6"/>
      <c r="AR770" s="6"/>
      <c r="AS770" s="6"/>
      <c r="AT770" s="6"/>
      <c r="AU770" s="6"/>
      <c r="AV770" s="6"/>
      <c r="AW770" s="477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</row>
    <row r="771" spans="8:69" ht="15.75" customHeight="1" x14ac:dyDescent="0.25"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476"/>
      <c r="AN771" s="6"/>
      <c r="AO771" s="6"/>
      <c r="AP771" s="6"/>
      <c r="AQ771" s="6"/>
      <c r="AR771" s="6"/>
      <c r="AS771" s="6"/>
      <c r="AT771" s="6"/>
      <c r="AU771" s="6"/>
      <c r="AV771" s="6"/>
      <c r="AW771" s="477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</row>
    <row r="772" spans="8:69" ht="15.75" customHeight="1" x14ac:dyDescent="0.25"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476"/>
      <c r="AN772" s="6"/>
      <c r="AO772" s="6"/>
      <c r="AP772" s="6"/>
      <c r="AQ772" s="6"/>
      <c r="AR772" s="6"/>
      <c r="AS772" s="6"/>
      <c r="AT772" s="6"/>
      <c r="AU772" s="6"/>
      <c r="AV772" s="6"/>
      <c r="AW772" s="477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</row>
    <row r="773" spans="8:69" ht="15.75" customHeight="1" x14ac:dyDescent="0.25"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476"/>
      <c r="AN773" s="6"/>
      <c r="AO773" s="6"/>
      <c r="AP773" s="6"/>
      <c r="AQ773" s="6"/>
      <c r="AR773" s="6"/>
      <c r="AS773" s="6"/>
      <c r="AT773" s="6"/>
      <c r="AU773" s="6"/>
      <c r="AV773" s="6"/>
      <c r="AW773" s="477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</row>
    <row r="774" spans="8:69" ht="15.75" customHeight="1" x14ac:dyDescent="0.25"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476"/>
      <c r="AN774" s="6"/>
      <c r="AO774" s="6"/>
      <c r="AP774" s="6"/>
      <c r="AQ774" s="6"/>
      <c r="AR774" s="6"/>
      <c r="AS774" s="6"/>
      <c r="AT774" s="6"/>
      <c r="AU774" s="6"/>
      <c r="AV774" s="6"/>
      <c r="AW774" s="477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</row>
    <row r="775" spans="8:69" ht="15.75" customHeight="1" x14ac:dyDescent="0.25"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476"/>
      <c r="AN775" s="6"/>
      <c r="AO775" s="6"/>
      <c r="AP775" s="6"/>
      <c r="AQ775" s="6"/>
      <c r="AR775" s="6"/>
      <c r="AS775" s="6"/>
      <c r="AT775" s="6"/>
      <c r="AU775" s="6"/>
      <c r="AV775" s="6"/>
      <c r="AW775" s="477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</row>
    <row r="776" spans="8:69" ht="15.75" customHeight="1" x14ac:dyDescent="0.25"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476"/>
      <c r="AN776" s="6"/>
      <c r="AO776" s="6"/>
      <c r="AP776" s="6"/>
      <c r="AQ776" s="6"/>
      <c r="AR776" s="6"/>
      <c r="AS776" s="6"/>
      <c r="AT776" s="6"/>
      <c r="AU776" s="6"/>
      <c r="AV776" s="6"/>
      <c r="AW776" s="477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</row>
    <row r="777" spans="8:69" ht="15.75" customHeight="1" x14ac:dyDescent="0.25"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476"/>
      <c r="AN777" s="6"/>
      <c r="AO777" s="6"/>
      <c r="AP777" s="6"/>
      <c r="AQ777" s="6"/>
      <c r="AR777" s="6"/>
      <c r="AS777" s="6"/>
      <c r="AT777" s="6"/>
      <c r="AU777" s="6"/>
      <c r="AV777" s="6"/>
      <c r="AW777" s="477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</row>
    <row r="778" spans="8:69" ht="15.75" customHeight="1" x14ac:dyDescent="0.25"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476"/>
      <c r="AN778" s="6"/>
      <c r="AO778" s="6"/>
      <c r="AP778" s="6"/>
      <c r="AQ778" s="6"/>
      <c r="AR778" s="6"/>
      <c r="AS778" s="6"/>
      <c r="AT778" s="6"/>
      <c r="AU778" s="6"/>
      <c r="AV778" s="6"/>
      <c r="AW778" s="477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</row>
    <row r="779" spans="8:69" ht="15.75" customHeight="1" x14ac:dyDescent="0.25"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476"/>
      <c r="AN779" s="6"/>
      <c r="AO779" s="6"/>
      <c r="AP779" s="6"/>
      <c r="AQ779" s="6"/>
      <c r="AR779" s="6"/>
      <c r="AS779" s="6"/>
      <c r="AT779" s="6"/>
      <c r="AU779" s="6"/>
      <c r="AV779" s="6"/>
      <c r="AW779" s="477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</row>
    <row r="780" spans="8:69" ht="15.75" customHeight="1" x14ac:dyDescent="0.25"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476"/>
      <c r="AN780" s="6"/>
      <c r="AO780" s="6"/>
      <c r="AP780" s="6"/>
      <c r="AQ780" s="6"/>
      <c r="AR780" s="6"/>
      <c r="AS780" s="6"/>
      <c r="AT780" s="6"/>
      <c r="AU780" s="6"/>
      <c r="AV780" s="6"/>
      <c r="AW780" s="477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</row>
    <row r="781" spans="8:69" ht="15.75" customHeight="1" x14ac:dyDescent="0.25"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476"/>
      <c r="AN781" s="6"/>
      <c r="AO781" s="6"/>
      <c r="AP781" s="6"/>
      <c r="AQ781" s="6"/>
      <c r="AR781" s="6"/>
      <c r="AS781" s="6"/>
      <c r="AT781" s="6"/>
      <c r="AU781" s="6"/>
      <c r="AV781" s="6"/>
      <c r="AW781" s="477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</row>
    <row r="782" spans="8:69" ht="15.75" customHeight="1" x14ac:dyDescent="0.25"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476"/>
      <c r="AN782" s="6"/>
      <c r="AO782" s="6"/>
      <c r="AP782" s="6"/>
      <c r="AQ782" s="6"/>
      <c r="AR782" s="6"/>
      <c r="AS782" s="6"/>
      <c r="AT782" s="6"/>
      <c r="AU782" s="6"/>
      <c r="AV782" s="6"/>
      <c r="AW782" s="477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</row>
    <row r="783" spans="8:69" ht="15.75" customHeight="1" x14ac:dyDescent="0.25"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476"/>
      <c r="AN783" s="6"/>
      <c r="AO783" s="6"/>
      <c r="AP783" s="6"/>
      <c r="AQ783" s="6"/>
      <c r="AR783" s="6"/>
      <c r="AS783" s="6"/>
      <c r="AT783" s="6"/>
      <c r="AU783" s="6"/>
      <c r="AV783" s="6"/>
      <c r="AW783" s="477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</row>
    <row r="784" spans="8:69" ht="15.75" customHeight="1" x14ac:dyDescent="0.25"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476"/>
      <c r="AN784" s="6"/>
      <c r="AO784" s="6"/>
      <c r="AP784" s="6"/>
      <c r="AQ784" s="6"/>
      <c r="AR784" s="6"/>
      <c r="AS784" s="6"/>
      <c r="AT784" s="6"/>
      <c r="AU784" s="6"/>
      <c r="AV784" s="6"/>
      <c r="AW784" s="477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</row>
    <row r="785" spans="8:69" ht="15.75" customHeight="1" x14ac:dyDescent="0.25"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476"/>
      <c r="AN785" s="6"/>
      <c r="AO785" s="6"/>
      <c r="AP785" s="6"/>
      <c r="AQ785" s="6"/>
      <c r="AR785" s="6"/>
      <c r="AS785" s="6"/>
      <c r="AT785" s="6"/>
      <c r="AU785" s="6"/>
      <c r="AV785" s="6"/>
      <c r="AW785" s="477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</row>
    <row r="786" spans="8:69" ht="15.75" customHeight="1" x14ac:dyDescent="0.25"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476"/>
      <c r="AN786" s="6"/>
      <c r="AO786" s="6"/>
      <c r="AP786" s="6"/>
      <c r="AQ786" s="6"/>
      <c r="AR786" s="6"/>
      <c r="AS786" s="6"/>
      <c r="AT786" s="6"/>
      <c r="AU786" s="6"/>
      <c r="AV786" s="6"/>
      <c r="AW786" s="477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</row>
    <row r="787" spans="8:69" ht="15.75" customHeight="1" x14ac:dyDescent="0.25"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476"/>
      <c r="AN787" s="6"/>
      <c r="AO787" s="6"/>
      <c r="AP787" s="6"/>
      <c r="AQ787" s="6"/>
      <c r="AR787" s="6"/>
      <c r="AS787" s="6"/>
      <c r="AT787" s="6"/>
      <c r="AU787" s="6"/>
      <c r="AV787" s="6"/>
      <c r="AW787" s="477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</row>
    <row r="788" spans="8:69" ht="15.75" customHeight="1" x14ac:dyDescent="0.25"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476"/>
      <c r="AN788" s="6"/>
      <c r="AO788" s="6"/>
      <c r="AP788" s="6"/>
      <c r="AQ788" s="6"/>
      <c r="AR788" s="6"/>
      <c r="AS788" s="6"/>
      <c r="AT788" s="6"/>
      <c r="AU788" s="6"/>
      <c r="AV788" s="6"/>
      <c r="AW788" s="477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</row>
    <row r="789" spans="8:69" ht="15.75" customHeight="1" x14ac:dyDescent="0.25"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476"/>
      <c r="AN789" s="6"/>
      <c r="AO789" s="6"/>
      <c r="AP789" s="6"/>
      <c r="AQ789" s="6"/>
      <c r="AR789" s="6"/>
      <c r="AS789" s="6"/>
      <c r="AT789" s="6"/>
      <c r="AU789" s="6"/>
      <c r="AV789" s="6"/>
      <c r="AW789" s="477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</row>
    <row r="790" spans="8:69" ht="15.75" customHeight="1" x14ac:dyDescent="0.25"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476"/>
      <c r="AN790" s="6"/>
      <c r="AO790" s="6"/>
      <c r="AP790" s="6"/>
      <c r="AQ790" s="6"/>
      <c r="AR790" s="6"/>
      <c r="AS790" s="6"/>
      <c r="AT790" s="6"/>
      <c r="AU790" s="6"/>
      <c r="AV790" s="6"/>
      <c r="AW790" s="477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</row>
    <row r="791" spans="8:69" ht="15.75" customHeight="1" x14ac:dyDescent="0.25"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476"/>
      <c r="AN791" s="6"/>
      <c r="AO791" s="6"/>
      <c r="AP791" s="6"/>
      <c r="AQ791" s="6"/>
      <c r="AR791" s="6"/>
      <c r="AS791" s="6"/>
      <c r="AT791" s="6"/>
      <c r="AU791" s="6"/>
      <c r="AV791" s="6"/>
      <c r="AW791" s="477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</row>
    <row r="792" spans="8:69" ht="15.75" customHeight="1" x14ac:dyDescent="0.25"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476"/>
      <c r="AN792" s="6"/>
      <c r="AO792" s="6"/>
      <c r="AP792" s="6"/>
      <c r="AQ792" s="6"/>
      <c r="AR792" s="6"/>
      <c r="AS792" s="6"/>
      <c r="AT792" s="6"/>
      <c r="AU792" s="6"/>
      <c r="AV792" s="6"/>
      <c r="AW792" s="477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</row>
    <row r="793" spans="8:69" ht="15.75" customHeight="1" x14ac:dyDescent="0.25"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476"/>
      <c r="AN793" s="6"/>
      <c r="AO793" s="6"/>
      <c r="AP793" s="6"/>
      <c r="AQ793" s="6"/>
      <c r="AR793" s="6"/>
      <c r="AS793" s="6"/>
      <c r="AT793" s="6"/>
      <c r="AU793" s="6"/>
      <c r="AV793" s="6"/>
      <c r="AW793" s="477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</row>
    <row r="794" spans="8:69" ht="15.75" customHeight="1" x14ac:dyDescent="0.25"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476"/>
      <c r="AN794" s="6"/>
      <c r="AO794" s="6"/>
      <c r="AP794" s="6"/>
      <c r="AQ794" s="6"/>
      <c r="AR794" s="6"/>
      <c r="AS794" s="6"/>
      <c r="AT794" s="6"/>
      <c r="AU794" s="6"/>
      <c r="AV794" s="6"/>
      <c r="AW794" s="477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</row>
    <row r="795" spans="8:69" ht="15.75" customHeight="1" x14ac:dyDescent="0.25"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476"/>
      <c r="AN795" s="6"/>
      <c r="AO795" s="6"/>
      <c r="AP795" s="6"/>
      <c r="AQ795" s="6"/>
      <c r="AR795" s="6"/>
      <c r="AS795" s="6"/>
      <c r="AT795" s="6"/>
      <c r="AU795" s="6"/>
      <c r="AV795" s="6"/>
      <c r="AW795" s="477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</row>
    <row r="796" spans="8:69" ht="15.75" customHeight="1" x14ac:dyDescent="0.25"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476"/>
      <c r="AN796" s="6"/>
      <c r="AO796" s="6"/>
      <c r="AP796" s="6"/>
      <c r="AQ796" s="6"/>
      <c r="AR796" s="6"/>
      <c r="AS796" s="6"/>
      <c r="AT796" s="6"/>
      <c r="AU796" s="6"/>
      <c r="AV796" s="6"/>
      <c r="AW796" s="477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</row>
    <row r="797" spans="8:69" ht="15.75" customHeight="1" x14ac:dyDescent="0.25"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476"/>
      <c r="AN797" s="6"/>
      <c r="AO797" s="6"/>
      <c r="AP797" s="6"/>
      <c r="AQ797" s="6"/>
      <c r="AR797" s="6"/>
      <c r="AS797" s="6"/>
      <c r="AT797" s="6"/>
      <c r="AU797" s="6"/>
      <c r="AV797" s="6"/>
      <c r="AW797" s="477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</row>
    <row r="798" spans="8:69" ht="15.75" customHeight="1" x14ac:dyDescent="0.25"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476"/>
      <c r="AN798" s="6"/>
      <c r="AO798" s="6"/>
      <c r="AP798" s="6"/>
      <c r="AQ798" s="6"/>
      <c r="AR798" s="6"/>
      <c r="AS798" s="6"/>
      <c r="AT798" s="6"/>
      <c r="AU798" s="6"/>
      <c r="AV798" s="6"/>
      <c r="AW798" s="477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</row>
    <row r="799" spans="8:69" ht="15.75" customHeight="1" x14ac:dyDescent="0.25"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476"/>
      <c r="AN799" s="6"/>
      <c r="AO799" s="6"/>
      <c r="AP799" s="6"/>
      <c r="AQ799" s="6"/>
      <c r="AR799" s="6"/>
      <c r="AS799" s="6"/>
      <c r="AT799" s="6"/>
      <c r="AU799" s="6"/>
      <c r="AV799" s="6"/>
      <c r="AW799" s="477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</row>
    <row r="800" spans="8:69" ht="15.75" customHeight="1" x14ac:dyDescent="0.25"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476"/>
      <c r="AN800" s="6"/>
      <c r="AO800" s="6"/>
      <c r="AP800" s="6"/>
      <c r="AQ800" s="6"/>
      <c r="AR800" s="6"/>
      <c r="AS800" s="6"/>
      <c r="AT800" s="6"/>
      <c r="AU800" s="6"/>
      <c r="AV800" s="6"/>
      <c r="AW800" s="477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</row>
    <row r="801" spans="8:69" ht="15.75" customHeight="1" x14ac:dyDescent="0.25"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476"/>
      <c r="AN801" s="6"/>
      <c r="AO801" s="6"/>
      <c r="AP801" s="6"/>
      <c r="AQ801" s="6"/>
      <c r="AR801" s="6"/>
      <c r="AS801" s="6"/>
      <c r="AT801" s="6"/>
      <c r="AU801" s="6"/>
      <c r="AV801" s="6"/>
      <c r="AW801" s="477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</row>
    <row r="802" spans="8:69" ht="15.75" customHeight="1" x14ac:dyDescent="0.25"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476"/>
      <c r="AN802" s="6"/>
      <c r="AO802" s="6"/>
      <c r="AP802" s="6"/>
      <c r="AQ802" s="6"/>
      <c r="AR802" s="6"/>
      <c r="AS802" s="6"/>
      <c r="AT802" s="6"/>
      <c r="AU802" s="6"/>
      <c r="AV802" s="6"/>
      <c r="AW802" s="477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</row>
    <row r="803" spans="8:69" ht="15.75" customHeight="1" x14ac:dyDescent="0.25"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476"/>
      <c r="AN803" s="6"/>
      <c r="AO803" s="6"/>
      <c r="AP803" s="6"/>
      <c r="AQ803" s="6"/>
      <c r="AR803" s="6"/>
      <c r="AS803" s="6"/>
      <c r="AT803" s="6"/>
      <c r="AU803" s="6"/>
      <c r="AV803" s="6"/>
      <c r="AW803" s="477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</row>
    <row r="804" spans="8:69" ht="15.75" customHeight="1" x14ac:dyDescent="0.25"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476"/>
      <c r="AN804" s="6"/>
      <c r="AO804" s="6"/>
      <c r="AP804" s="6"/>
      <c r="AQ804" s="6"/>
      <c r="AR804" s="6"/>
      <c r="AS804" s="6"/>
      <c r="AT804" s="6"/>
      <c r="AU804" s="6"/>
      <c r="AV804" s="6"/>
      <c r="AW804" s="477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</row>
    <row r="805" spans="8:69" ht="15.75" customHeight="1" x14ac:dyDescent="0.25"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476"/>
      <c r="AN805" s="6"/>
      <c r="AO805" s="6"/>
      <c r="AP805" s="6"/>
      <c r="AQ805" s="6"/>
      <c r="AR805" s="6"/>
      <c r="AS805" s="6"/>
      <c r="AT805" s="6"/>
      <c r="AU805" s="6"/>
      <c r="AV805" s="6"/>
      <c r="AW805" s="477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</row>
    <row r="806" spans="8:69" ht="15.75" customHeight="1" x14ac:dyDescent="0.25"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476"/>
      <c r="AN806" s="6"/>
      <c r="AO806" s="6"/>
      <c r="AP806" s="6"/>
      <c r="AQ806" s="6"/>
      <c r="AR806" s="6"/>
      <c r="AS806" s="6"/>
      <c r="AT806" s="6"/>
      <c r="AU806" s="6"/>
      <c r="AV806" s="6"/>
      <c r="AW806" s="477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</row>
    <row r="807" spans="8:69" ht="15.75" customHeight="1" x14ac:dyDescent="0.25"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476"/>
      <c r="AN807" s="6"/>
      <c r="AO807" s="6"/>
      <c r="AP807" s="6"/>
      <c r="AQ807" s="6"/>
      <c r="AR807" s="6"/>
      <c r="AS807" s="6"/>
      <c r="AT807" s="6"/>
      <c r="AU807" s="6"/>
      <c r="AV807" s="6"/>
      <c r="AW807" s="477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</row>
    <row r="808" spans="8:69" ht="15.75" customHeight="1" x14ac:dyDescent="0.25"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476"/>
      <c r="AN808" s="6"/>
      <c r="AO808" s="6"/>
      <c r="AP808" s="6"/>
      <c r="AQ808" s="6"/>
      <c r="AR808" s="6"/>
      <c r="AS808" s="6"/>
      <c r="AT808" s="6"/>
      <c r="AU808" s="6"/>
      <c r="AV808" s="6"/>
      <c r="AW808" s="477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</row>
    <row r="809" spans="8:69" ht="15.75" customHeight="1" x14ac:dyDescent="0.25"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476"/>
      <c r="AN809" s="6"/>
      <c r="AO809" s="6"/>
      <c r="AP809" s="6"/>
      <c r="AQ809" s="6"/>
      <c r="AR809" s="6"/>
      <c r="AS809" s="6"/>
      <c r="AT809" s="6"/>
      <c r="AU809" s="6"/>
      <c r="AV809" s="6"/>
      <c r="AW809" s="477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</row>
    <row r="810" spans="8:69" ht="15.75" customHeight="1" x14ac:dyDescent="0.25"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476"/>
      <c r="AN810" s="6"/>
      <c r="AO810" s="6"/>
      <c r="AP810" s="6"/>
      <c r="AQ810" s="6"/>
      <c r="AR810" s="6"/>
      <c r="AS810" s="6"/>
      <c r="AT810" s="6"/>
      <c r="AU810" s="6"/>
      <c r="AV810" s="6"/>
      <c r="AW810" s="477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</row>
    <row r="811" spans="8:69" ht="15.75" customHeight="1" x14ac:dyDescent="0.25"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476"/>
      <c r="AN811" s="6"/>
      <c r="AO811" s="6"/>
      <c r="AP811" s="6"/>
      <c r="AQ811" s="6"/>
      <c r="AR811" s="6"/>
      <c r="AS811" s="6"/>
      <c r="AT811" s="6"/>
      <c r="AU811" s="6"/>
      <c r="AV811" s="6"/>
      <c r="AW811" s="477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</row>
    <row r="812" spans="8:69" ht="15.75" customHeight="1" x14ac:dyDescent="0.25"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476"/>
      <c r="AN812" s="6"/>
      <c r="AO812" s="6"/>
      <c r="AP812" s="6"/>
      <c r="AQ812" s="6"/>
      <c r="AR812" s="6"/>
      <c r="AS812" s="6"/>
      <c r="AT812" s="6"/>
      <c r="AU812" s="6"/>
      <c r="AV812" s="6"/>
      <c r="AW812" s="477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</row>
    <row r="813" spans="8:69" ht="15.75" customHeight="1" x14ac:dyDescent="0.25"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476"/>
      <c r="AN813" s="6"/>
      <c r="AO813" s="6"/>
      <c r="AP813" s="6"/>
      <c r="AQ813" s="6"/>
      <c r="AR813" s="6"/>
      <c r="AS813" s="6"/>
      <c r="AT813" s="6"/>
      <c r="AU813" s="6"/>
      <c r="AV813" s="6"/>
      <c r="AW813" s="477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</row>
    <row r="814" spans="8:69" ht="15.75" customHeight="1" x14ac:dyDescent="0.25"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476"/>
      <c r="AN814" s="6"/>
      <c r="AO814" s="6"/>
      <c r="AP814" s="6"/>
      <c r="AQ814" s="6"/>
      <c r="AR814" s="6"/>
      <c r="AS814" s="6"/>
      <c r="AT814" s="6"/>
      <c r="AU814" s="6"/>
      <c r="AV814" s="6"/>
      <c r="AW814" s="477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</row>
    <row r="815" spans="8:69" ht="15.75" customHeight="1" x14ac:dyDescent="0.25"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476"/>
      <c r="AN815" s="6"/>
      <c r="AO815" s="6"/>
      <c r="AP815" s="6"/>
      <c r="AQ815" s="6"/>
      <c r="AR815" s="6"/>
      <c r="AS815" s="6"/>
      <c r="AT815" s="6"/>
      <c r="AU815" s="6"/>
      <c r="AV815" s="6"/>
      <c r="AW815" s="477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</row>
    <row r="816" spans="8:69" ht="15.75" customHeight="1" x14ac:dyDescent="0.25"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476"/>
      <c r="AN816" s="6"/>
      <c r="AO816" s="6"/>
      <c r="AP816" s="6"/>
      <c r="AQ816" s="6"/>
      <c r="AR816" s="6"/>
      <c r="AS816" s="6"/>
      <c r="AT816" s="6"/>
      <c r="AU816" s="6"/>
      <c r="AV816" s="6"/>
      <c r="AW816" s="477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</row>
    <row r="817" spans="8:69" ht="15.75" customHeight="1" x14ac:dyDescent="0.25"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476"/>
      <c r="AN817" s="6"/>
      <c r="AO817" s="6"/>
      <c r="AP817" s="6"/>
      <c r="AQ817" s="6"/>
      <c r="AR817" s="6"/>
      <c r="AS817" s="6"/>
      <c r="AT817" s="6"/>
      <c r="AU817" s="6"/>
      <c r="AV817" s="6"/>
      <c r="AW817" s="477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</row>
    <row r="818" spans="8:69" ht="15.75" customHeight="1" x14ac:dyDescent="0.25"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476"/>
      <c r="AN818" s="6"/>
      <c r="AO818" s="6"/>
      <c r="AP818" s="6"/>
      <c r="AQ818" s="6"/>
      <c r="AR818" s="6"/>
      <c r="AS818" s="6"/>
      <c r="AT818" s="6"/>
      <c r="AU818" s="6"/>
      <c r="AV818" s="6"/>
      <c r="AW818" s="477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</row>
    <row r="819" spans="8:69" ht="15.75" customHeight="1" x14ac:dyDescent="0.25"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476"/>
      <c r="AN819" s="6"/>
      <c r="AO819" s="6"/>
      <c r="AP819" s="6"/>
      <c r="AQ819" s="6"/>
      <c r="AR819" s="6"/>
      <c r="AS819" s="6"/>
      <c r="AT819" s="6"/>
      <c r="AU819" s="6"/>
      <c r="AV819" s="6"/>
      <c r="AW819" s="477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</row>
    <row r="820" spans="8:69" ht="15.75" customHeight="1" x14ac:dyDescent="0.25"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476"/>
      <c r="AN820" s="6"/>
      <c r="AO820" s="6"/>
      <c r="AP820" s="6"/>
      <c r="AQ820" s="6"/>
      <c r="AR820" s="6"/>
      <c r="AS820" s="6"/>
      <c r="AT820" s="6"/>
      <c r="AU820" s="6"/>
      <c r="AV820" s="6"/>
      <c r="AW820" s="477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</row>
    <row r="821" spans="8:69" ht="15.75" customHeight="1" x14ac:dyDescent="0.25"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476"/>
      <c r="AN821" s="6"/>
      <c r="AO821" s="6"/>
      <c r="AP821" s="6"/>
      <c r="AQ821" s="6"/>
      <c r="AR821" s="6"/>
      <c r="AS821" s="6"/>
      <c r="AT821" s="6"/>
      <c r="AU821" s="6"/>
      <c r="AV821" s="6"/>
      <c r="AW821" s="477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</row>
    <row r="822" spans="8:69" ht="15.75" customHeight="1" x14ac:dyDescent="0.25"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476"/>
      <c r="AN822" s="6"/>
      <c r="AO822" s="6"/>
      <c r="AP822" s="6"/>
      <c r="AQ822" s="6"/>
      <c r="AR822" s="6"/>
      <c r="AS822" s="6"/>
      <c r="AT822" s="6"/>
      <c r="AU822" s="6"/>
      <c r="AV822" s="6"/>
      <c r="AW822" s="477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</row>
    <row r="823" spans="8:69" ht="15.75" customHeight="1" x14ac:dyDescent="0.25"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476"/>
      <c r="AN823" s="6"/>
      <c r="AO823" s="6"/>
      <c r="AP823" s="6"/>
      <c r="AQ823" s="6"/>
      <c r="AR823" s="6"/>
      <c r="AS823" s="6"/>
      <c r="AT823" s="6"/>
      <c r="AU823" s="6"/>
      <c r="AV823" s="6"/>
      <c r="AW823" s="477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</row>
    <row r="824" spans="8:69" ht="15.75" customHeight="1" x14ac:dyDescent="0.25"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476"/>
      <c r="AN824" s="6"/>
      <c r="AO824" s="6"/>
      <c r="AP824" s="6"/>
      <c r="AQ824" s="6"/>
      <c r="AR824" s="6"/>
      <c r="AS824" s="6"/>
      <c r="AT824" s="6"/>
      <c r="AU824" s="6"/>
      <c r="AV824" s="6"/>
      <c r="AW824" s="477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</row>
    <row r="825" spans="8:69" ht="15.75" customHeight="1" x14ac:dyDescent="0.25"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476"/>
      <c r="AN825" s="6"/>
      <c r="AO825" s="6"/>
      <c r="AP825" s="6"/>
      <c r="AQ825" s="6"/>
      <c r="AR825" s="6"/>
      <c r="AS825" s="6"/>
      <c r="AT825" s="6"/>
      <c r="AU825" s="6"/>
      <c r="AV825" s="6"/>
      <c r="AW825" s="477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</row>
    <row r="826" spans="8:69" ht="15.75" customHeight="1" x14ac:dyDescent="0.25"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476"/>
      <c r="AN826" s="6"/>
      <c r="AO826" s="6"/>
      <c r="AP826" s="6"/>
      <c r="AQ826" s="6"/>
      <c r="AR826" s="6"/>
      <c r="AS826" s="6"/>
      <c r="AT826" s="6"/>
      <c r="AU826" s="6"/>
      <c r="AV826" s="6"/>
      <c r="AW826" s="477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</row>
    <row r="827" spans="8:69" ht="15.75" customHeight="1" x14ac:dyDescent="0.25"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476"/>
      <c r="AN827" s="6"/>
      <c r="AO827" s="6"/>
      <c r="AP827" s="6"/>
      <c r="AQ827" s="6"/>
      <c r="AR827" s="6"/>
      <c r="AS827" s="6"/>
      <c r="AT827" s="6"/>
      <c r="AU827" s="6"/>
      <c r="AV827" s="6"/>
      <c r="AW827" s="477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</row>
    <row r="828" spans="8:69" ht="15.75" customHeight="1" x14ac:dyDescent="0.25"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476"/>
      <c r="AN828" s="6"/>
      <c r="AO828" s="6"/>
      <c r="AP828" s="6"/>
      <c r="AQ828" s="6"/>
      <c r="AR828" s="6"/>
      <c r="AS828" s="6"/>
      <c r="AT828" s="6"/>
      <c r="AU828" s="6"/>
      <c r="AV828" s="6"/>
      <c r="AW828" s="477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</row>
    <row r="829" spans="8:69" ht="15.75" customHeight="1" x14ac:dyDescent="0.25"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476"/>
      <c r="AN829" s="6"/>
      <c r="AO829" s="6"/>
      <c r="AP829" s="6"/>
      <c r="AQ829" s="6"/>
      <c r="AR829" s="6"/>
      <c r="AS829" s="6"/>
      <c r="AT829" s="6"/>
      <c r="AU829" s="6"/>
      <c r="AV829" s="6"/>
      <c r="AW829" s="477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</row>
    <row r="830" spans="8:69" ht="15.75" customHeight="1" x14ac:dyDescent="0.25"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476"/>
      <c r="AN830" s="6"/>
      <c r="AO830" s="6"/>
      <c r="AP830" s="6"/>
      <c r="AQ830" s="6"/>
      <c r="AR830" s="6"/>
      <c r="AS830" s="6"/>
      <c r="AT830" s="6"/>
      <c r="AU830" s="6"/>
      <c r="AV830" s="6"/>
      <c r="AW830" s="477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</row>
    <row r="831" spans="8:69" ht="15.75" customHeight="1" x14ac:dyDescent="0.25"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476"/>
      <c r="AN831" s="6"/>
      <c r="AO831" s="6"/>
      <c r="AP831" s="6"/>
      <c r="AQ831" s="6"/>
      <c r="AR831" s="6"/>
      <c r="AS831" s="6"/>
      <c r="AT831" s="6"/>
      <c r="AU831" s="6"/>
      <c r="AV831" s="6"/>
      <c r="AW831" s="477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</row>
    <row r="832" spans="8:69" ht="15.75" customHeight="1" x14ac:dyDescent="0.25"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476"/>
      <c r="AN832" s="6"/>
      <c r="AO832" s="6"/>
      <c r="AP832" s="6"/>
      <c r="AQ832" s="6"/>
      <c r="AR832" s="6"/>
      <c r="AS832" s="6"/>
      <c r="AT832" s="6"/>
      <c r="AU832" s="6"/>
      <c r="AV832" s="6"/>
      <c r="AW832" s="477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</row>
    <row r="833" spans="8:69" ht="15.75" customHeight="1" x14ac:dyDescent="0.25"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476"/>
      <c r="AN833" s="6"/>
      <c r="AO833" s="6"/>
      <c r="AP833" s="6"/>
      <c r="AQ833" s="6"/>
      <c r="AR833" s="6"/>
      <c r="AS833" s="6"/>
      <c r="AT833" s="6"/>
      <c r="AU833" s="6"/>
      <c r="AV833" s="6"/>
      <c r="AW833" s="477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</row>
    <row r="834" spans="8:69" ht="15.75" customHeight="1" x14ac:dyDescent="0.25"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476"/>
      <c r="AN834" s="6"/>
      <c r="AO834" s="6"/>
      <c r="AP834" s="6"/>
      <c r="AQ834" s="6"/>
      <c r="AR834" s="6"/>
      <c r="AS834" s="6"/>
      <c r="AT834" s="6"/>
      <c r="AU834" s="6"/>
      <c r="AV834" s="6"/>
      <c r="AW834" s="477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</row>
    <row r="835" spans="8:69" ht="15.75" customHeight="1" x14ac:dyDescent="0.25"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476"/>
      <c r="AN835" s="6"/>
      <c r="AO835" s="6"/>
      <c r="AP835" s="6"/>
      <c r="AQ835" s="6"/>
      <c r="AR835" s="6"/>
      <c r="AS835" s="6"/>
      <c r="AT835" s="6"/>
      <c r="AU835" s="6"/>
      <c r="AV835" s="6"/>
      <c r="AW835" s="477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</row>
    <row r="836" spans="8:69" ht="15.75" customHeight="1" x14ac:dyDescent="0.25"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476"/>
      <c r="AN836" s="6"/>
      <c r="AO836" s="6"/>
      <c r="AP836" s="6"/>
      <c r="AQ836" s="6"/>
      <c r="AR836" s="6"/>
      <c r="AS836" s="6"/>
      <c r="AT836" s="6"/>
      <c r="AU836" s="6"/>
      <c r="AV836" s="6"/>
      <c r="AW836" s="477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</row>
    <row r="837" spans="8:69" ht="15.75" customHeight="1" x14ac:dyDescent="0.25"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476"/>
      <c r="AN837" s="6"/>
      <c r="AO837" s="6"/>
      <c r="AP837" s="6"/>
      <c r="AQ837" s="6"/>
      <c r="AR837" s="6"/>
      <c r="AS837" s="6"/>
      <c r="AT837" s="6"/>
      <c r="AU837" s="6"/>
      <c r="AV837" s="6"/>
      <c r="AW837" s="477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</row>
    <row r="838" spans="8:69" ht="15.75" customHeight="1" x14ac:dyDescent="0.25"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476"/>
      <c r="AN838" s="6"/>
      <c r="AO838" s="6"/>
      <c r="AP838" s="6"/>
      <c r="AQ838" s="6"/>
      <c r="AR838" s="6"/>
      <c r="AS838" s="6"/>
      <c r="AT838" s="6"/>
      <c r="AU838" s="6"/>
      <c r="AV838" s="6"/>
      <c r="AW838" s="477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</row>
    <row r="839" spans="8:69" ht="15.75" customHeight="1" x14ac:dyDescent="0.25"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476"/>
      <c r="AN839" s="6"/>
      <c r="AO839" s="6"/>
      <c r="AP839" s="6"/>
      <c r="AQ839" s="6"/>
      <c r="AR839" s="6"/>
      <c r="AS839" s="6"/>
      <c r="AT839" s="6"/>
      <c r="AU839" s="6"/>
      <c r="AV839" s="6"/>
      <c r="AW839" s="477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</row>
    <row r="840" spans="8:69" ht="15.75" customHeight="1" x14ac:dyDescent="0.25"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476"/>
      <c r="AN840" s="6"/>
      <c r="AO840" s="6"/>
      <c r="AP840" s="6"/>
      <c r="AQ840" s="6"/>
      <c r="AR840" s="6"/>
      <c r="AS840" s="6"/>
      <c r="AT840" s="6"/>
      <c r="AU840" s="6"/>
      <c r="AV840" s="6"/>
      <c r="AW840" s="477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</row>
    <row r="841" spans="8:69" ht="15.75" customHeight="1" x14ac:dyDescent="0.25"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476"/>
      <c r="AN841" s="6"/>
      <c r="AO841" s="6"/>
      <c r="AP841" s="6"/>
      <c r="AQ841" s="6"/>
      <c r="AR841" s="6"/>
      <c r="AS841" s="6"/>
      <c r="AT841" s="6"/>
      <c r="AU841" s="6"/>
      <c r="AV841" s="6"/>
      <c r="AW841" s="477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</row>
    <row r="842" spans="8:69" ht="15.75" customHeight="1" x14ac:dyDescent="0.25"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476"/>
      <c r="AN842" s="6"/>
      <c r="AO842" s="6"/>
      <c r="AP842" s="6"/>
      <c r="AQ842" s="6"/>
      <c r="AR842" s="6"/>
      <c r="AS842" s="6"/>
      <c r="AT842" s="6"/>
      <c r="AU842" s="6"/>
      <c r="AV842" s="6"/>
      <c r="AW842" s="477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</row>
    <row r="843" spans="8:69" ht="15.75" customHeight="1" x14ac:dyDescent="0.25"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476"/>
      <c r="AN843" s="6"/>
      <c r="AO843" s="6"/>
      <c r="AP843" s="6"/>
      <c r="AQ843" s="6"/>
      <c r="AR843" s="6"/>
      <c r="AS843" s="6"/>
      <c r="AT843" s="6"/>
      <c r="AU843" s="6"/>
      <c r="AV843" s="6"/>
      <c r="AW843" s="477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</row>
    <row r="844" spans="8:69" ht="15.75" customHeight="1" x14ac:dyDescent="0.25"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476"/>
      <c r="AN844" s="6"/>
      <c r="AO844" s="6"/>
      <c r="AP844" s="6"/>
      <c r="AQ844" s="6"/>
      <c r="AR844" s="6"/>
      <c r="AS844" s="6"/>
      <c r="AT844" s="6"/>
      <c r="AU844" s="6"/>
      <c r="AV844" s="6"/>
      <c r="AW844" s="477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</row>
    <row r="845" spans="8:69" ht="15.75" customHeight="1" x14ac:dyDescent="0.25"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476"/>
      <c r="AN845" s="6"/>
      <c r="AO845" s="6"/>
      <c r="AP845" s="6"/>
      <c r="AQ845" s="6"/>
      <c r="AR845" s="6"/>
      <c r="AS845" s="6"/>
      <c r="AT845" s="6"/>
      <c r="AU845" s="6"/>
      <c r="AV845" s="6"/>
      <c r="AW845" s="477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</row>
    <row r="846" spans="8:69" ht="15.75" customHeight="1" x14ac:dyDescent="0.25"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476"/>
      <c r="AN846" s="6"/>
      <c r="AO846" s="6"/>
      <c r="AP846" s="6"/>
      <c r="AQ846" s="6"/>
      <c r="AR846" s="6"/>
      <c r="AS846" s="6"/>
      <c r="AT846" s="6"/>
      <c r="AU846" s="6"/>
      <c r="AV846" s="6"/>
      <c r="AW846" s="477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</row>
    <row r="847" spans="8:69" ht="15.75" customHeight="1" x14ac:dyDescent="0.25"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476"/>
      <c r="AN847" s="6"/>
      <c r="AO847" s="6"/>
      <c r="AP847" s="6"/>
      <c r="AQ847" s="6"/>
      <c r="AR847" s="6"/>
      <c r="AS847" s="6"/>
      <c r="AT847" s="6"/>
      <c r="AU847" s="6"/>
      <c r="AV847" s="6"/>
      <c r="AW847" s="477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</row>
    <row r="848" spans="8:69" ht="15.75" customHeight="1" x14ac:dyDescent="0.25"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476"/>
      <c r="AN848" s="6"/>
      <c r="AO848" s="6"/>
      <c r="AP848" s="6"/>
      <c r="AQ848" s="6"/>
      <c r="AR848" s="6"/>
      <c r="AS848" s="6"/>
      <c r="AT848" s="6"/>
      <c r="AU848" s="6"/>
      <c r="AV848" s="6"/>
      <c r="AW848" s="477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</row>
    <row r="849" spans="8:69" ht="15.75" customHeight="1" x14ac:dyDescent="0.25"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476"/>
      <c r="AN849" s="6"/>
      <c r="AO849" s="6"/>
      <c r="AP849" s="6"/>
      <c r="AQ849" s="6"/>
      <c r="AR849" s="6"/>
      <c r="AS849" s="6"/>
      <c r="AT849" s="6"/>
      <c r="AU849" s="6"/>
      <c r="AV849" s="6"/>
      <c r="AW849" s="477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</row>
    <row r="850" spans="8:69" ht="15.75" customHeight="1" x14ac:dyDescent="0.25"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476"/>
      <c r="AN850" s="6"/>
      <c r="AO850" s="6"/>
      <c r="AP850" s="6"/>
      <c r="AQ850" s="6"/>
      <c r="AR850" s="6"/>
      <c r="AS850" s="6"/>
      <c r="AT850" s="6"/>
      <c r="AU850" s="6"/>
      <c r="AV850" s="6"/>
      <c r="AW850" s="477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</row>
    <row r="851" spans="8:69" ht="15.75" customHeight="1" x14ac:dyDescent="0.25"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476"/>
      <c r="AN851" s="6"/>
      <c r="AO851" s="6"/>
      <c r="AP851" s="6"/>
      <c r="AQ851" s="6"/>
      <c r="AR851" s="6"/>
      <c r="AS851" s="6"/>
      <c r="AT851" s="6"/>
      <c r="AU851" s="6"/>
      <c r="AV851" s="6"/>
      <c r="AW851" s="477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</row>
    <row r="852" spans="8:69" ht="15.75" customHeight="1" x14ac:dyDescent="0.25"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476"/>
      <c r="AN852" s="6"/>
      <c r="AO852" s="6"/>
      <c r="AP852" s="6"/>
      <c r="AQ852" s="6"/>
      <c r="AR852" s="6"/>
      <c r="AS852" s="6"/>
      <c r="AT852" s="6"/>
      <c r="AU852" s="6"/>
      <c r="AV852" s="6"/>
      <c r="AW852" s="477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</row>
    <row r="853" spans="8:69" ht="15.75" customHeight="1" x14ac:dyDescent="0.25"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476"/>
      <c r="AN853" s="6"/>
      <c r="AO853" s="6"/>
      <c r="AP853" s="6"/>
      <c r="AQ853" s="6"/>
      <c r="AR853" s="6"/>
      <c r="AS853" s="6"/>
      <c r="AT853" s="6"/>
      <c r="AU853" s="6"/>
      <c r="AV853" s="6"/>
      <c r="AW853" s="477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</row>
    <row r="854" spans="8:69" ht="15.75" customHeight="1" x14ac:dyDescent="0.25"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476"/>
      <c r="AN854" s="6"/>
      <c r="AO854" s="6"/>
      <c r="AP854" s="6"/>
      <c r="AQ854" s="6"/>
      <c r="AR854" s="6"/>
      <c r="AS854" s="6"/>
      <c r="AT854" s="6"/>
      <c r="AU854" s="6"/>
      <c r="AV854" s="6"/>
      <c r="AW854" s="477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</row>
    <row r="855" spans="8:69" ht="15.75" customHeight="1" x14ac:dyDescent="0.25"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476"/>
      <c r="AN855" s="6"/>
      <c r="AO855" s="6"/>
      <c r="AP855" s="6"/>
      <c r="AQ855" s="6"/>
      <c r="AR855" s="6"/>
      <c r="AS855" s="6"/>
      <c r="AT855" s="6"/>
      <c r="AU855" s="6"/>
      <c r="AV855" s="6"/>
      <c r="AW855" s="477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</row>
    <row r="856" spans="8:69" ht="15.75" customHeight="1" x14ac:dyDescent="0.25"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476"/>
      <c r="AN856" s="6"/>
      <c r="AO856" s="6"/>
      <c r="AP856" s="6"/>
      <c r="AQ856" s="6"/>
      <c r="AR856" s="6"/>
      <c r="AS856" s="6"/>
      <c r="AT856" s="6"/>
      <c r="AU856" s="6"/>
      <c r="AV856" s="6"/>
      <c r="AW856" s="477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</row>
    <row r="857" spans="8:69" ht="15.75" customHeight="1" x14ac:dyDescent="0.25"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476"/>
      <c r="AN857" s="6"/>
      <c r="AO857" s="6"/>
      <c r="AP857" s="6"/>
      <c r="AQ857" s="6"/>
      <c r="AR857" s="6"/>
      <c r="AS857" s="6"/>
      <c r="AT857" s="6"/>
      <c r="AU857" s="6"/>
      <c r="AV857" s="6"/>
      <c r="AW857" s="477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</row>
    <row r="858" spans="8:69" ht="15.75" customHeight="1" x14ac:dyDescent="0.25"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476"/>
      <c r="AN858" s="6"/>
      <c r="AO858" s="6"/>
      <c r="AP858" s="6"/>
      <c r="AQ858" s="6"/>
      <c r="AR858" s="6"/>
      <c r="AS858" s="6"/>
      <c r="AT858" s="6"/>
      <c r="AU858" s="6"/>
      <c r="AV858" s="6"/>
      <c r="AW858" s="477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</row>
    <row r="859" spans="8:69" ht="15.75" customHeight="1" x14ac:dyDescent="0.25"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476"/>
      <c r="AN859" s="6"/>
      <c r="AO859" s="6"/>
      <c r="AP859" s="6"/>
      <c r="AQ859" s="6"/>
      <c r="AR859" s="6"/>
      <c r="AS859" s="6"/>
      <c r="AT859" s="6"/>
      <c r="AU859" s="6"/>
      <c r="AV859" s="6"/>
      <c r="AW859" s="477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</row>
    <row r="860" spans="8:69" ht="15.75" customHeight="1" x14ac:dyDescent="0.25"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476"/>
      <c r="AN860" s="6"/>
      <c r="AO860" s="6"/>
      <c r="AP860" s="6"/>
      <c r="AQ860" s="6"/>
      <c r="AR860" s="6"/>
      <c r="AS860" s="6"/>
      <c r="AT860" s="6"/>
      <c r="AU860" s="6"/>
      <c r="AV860" s="6"/>
      <c r="AW860" s="477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</row>
    <row r="861" spans="8:69" ht="15.75" customHeight="1" x14ac:dyDescent="0.25"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476"/>
      <c r="AN861" s="6"/>
      <c r="AO861" s="6"/>
      <c r="AP861" s="6"/>
      <c r="AQ861" s="6"/>
      <c r="AR861" s="6"/>
      <c r="AS861" s="6"/>
      <c r="AT861" s="6"/>
      <c r="AU861" s="6"/>
      <c r="AV861" s="6"/>
      <c r="AW861" s="477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</row>
    <row r="862" spans="8:69" ht="15.75" customHeight="1" x14ac:dyDescent="0.25"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476"/>
      <c r="AN862" s="6"/>
      <c r="AO862" s="6"/>
      <c r="AP862" s="6"/>
      <c r="AQ862" s="6"/>
      <c r="AR862" s="6"/>
      <c r="AS862" s="6"/>
      <c r="AT862" s="6"/>
      <c r="AU862" s="6"/>
      <c r="AV862" s="6"/>
      <c r="AW862" s="477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</row>
    <row r="863" spans="8:69" ht="15.75" customHeight="1" x14ac:dyDescent="0.25"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476"/>
      <c r="AN863" s="6"/>
      <c r="AO863" s="6"/>
      <c r="AP863" s="6"/>
      <c r="AQ863" s="6"/>
      <c r="AR863" s="6"/>
      <c r="AS863" s="6"/>
      <c r="AT863" s="6"/>
      <c r="AU863" s="6"/>
      <c r="AV863" s="6"/>
      <c r="AW863" s="477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</row>
    <row r="864" spans="8:69" ht="15.75" customHeight="1" x14ac:dyDescent="0.25"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476"/>
      <c r="AN864" s="6"/>
      <c r="AO864" s="6"/>
      <c r="AP864" s="6"/>
      <c r="AQ864" s="6"/>
      <c r="AR864" s="6"/>
      <c r="AS864" s="6"/>
      <c r="AT864" s="6"/>
      <c r="AU864" s="6"/>
      <c r="AV864" s="6"/>
      <c r="AW864" s="477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</row>
    <row r="865" spans="8:69" ht="15.75" customHeight="1" x14ac:dyDescent="0.25"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476"/>
      <c r="AN865" s="6"/>
      <c r="AO865" s="6"/>
      <c r="AP865" s="6"/>
      <c r="AQ865" s="6"/>
      <c r="AR865" s="6"/>
      <c r="AS865" s="6"/>
      <c r="AT865" s="6"/>
      <c r="AU865" s="6"/>
      <c r="AV865" s="6"/>
      <c r="AW865" s="477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</row>
    <row r="866" spans="8:69" ht="15.75" customHeight="1" x14ac:dyDescent="0.25"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476"/>
      <c r="AN866" s="6"/>
      <c r="AO866" s="6"/>
      <c r="AP866" s="6"/>
      <c r="AQ866" s="6"/>
      <c r="AR866" s="6"/>
      <c r="AS866" s="6"/>
      <c r="AT866" s="6"/>
      <c r="AU866" s="6"/>
      <c r="AV866" s="6"/>
      <c r="AW866" s="477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</row>
    <row r="867" spans="8:69" ht="15.75" customHeight="1" x14ac:dyDescent="0.25"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476"/>
      <c r="AN867" s="6"/>
      <c r="AO867" s="6"/>
      <c r="AP867" s="6"/>
      <c r="AQ867" s="6"/>
      <c r="AR867" s="6"/>
      <c r="AS867" s="6"/>
      <c r="AT867" s="6"/>
      <c r="AU867" s="6"/>
      <c r="AV867" s="6"/>
      <c r="AW867" s="477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</row>
    <row r="868" spans="8:69" ht="15.75" customHeight="1" x14ac:dyDescent="0.25"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476"/>
      <c r="AN868" s="6"/>
      <c r="AO868" s="6"/>
      <c r="AP868" s="6"/>
      <c r="AQ868" s="6"/>
      <c r="AR868" s="6"/>
      <c r="AS868" s="6"/>
      <c r="AT868" s="6"/>
      <c r="AU868" s="6"/>
      <c r="AV868" s="6"/>
      <c r="AW868" s="477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</row>
    <row r="869" spans="8:69" ht="15.75" customHeight="1" x14ac:dyDescent="0.25"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476"/>
      <c r="AN869" s="6"/>
      <c r="AO869" s="6"/>
      <c r="AP869" s="6"/>
      <c r="AQ869" s="6"/>
      <c r="AR869" s="6"/>
      <c r="AS869" s="6"/>
      <c r="AT869" s="6"/>
      <c r="AU869" s="6"/>
      <c r="AV869" s="6"/>
      <c r="AW869" s="477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</row>
    <row r="870" spans="8:69" ht="15.75" customHeight="1" x14ac:dyDescent="0.25"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476"/>
      <c r="AN870" s="6"/>
      <c r="AO870" s="6"/>
      <c r="AP870" s="6"/>
      <c r="AQ870" s="6"/>
      <c r="AR870" s="6"/>
      <c r="AS870" s="6"/>
      <c r="AT870" s="6"/>
      <c r="AU870" s="6"/>
      <c r="AV870" s="6"/>
      <c r="AW870" s="477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</row>
    <row r="871" spans="8:69" ht="15.75" customHeight="1" x14ac:dyDescent="0.25"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476"/>
      <c r="AN871" s="6"/>
      <c r="AO871" s="6"/>
      <c r="AP871" s="6"/>
      <c r="AQ871" s="6"/>
      <c r="AR871" s="6"/>
      <c r="AS871" s="6"/>
      <c r="AT871" s="6"/>
      <c r="AU871" s="6"/>
      <c r="AV871" s="6"/>
      <c r="AW871" s="477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</row>
    <row r="872" spans="8:69" ht="15.75" customHeight="1" x14ac:dyDescent="0.25"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476"/>
      <c r="AN872" s="6"/>
      <c r="AO872" s="6"/>
      <c r="AP872" s="6"/>
      <c r="AQ872" s="6"/>
      <c r="AR872" s="6"/>
      <c r="AS872" s="6"/>
      <c r="AT872" s="6"/>
      <c r="AU872" s="6"/>
      <c r="AV872" s="6"/>
      <c r="AW872" s="477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</row>
    <row r="873" spans="8:69" ht="15.75" customHeight="1" x14ac:dyDescent="0.25"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476"/>
      <c r="AN873" s="6"/>
      <c r="AO873" s="6"/>
      <c r="AP873" s="6"/>
      <c r="AQ873" s="6"/>
      <c r="AR873" s="6"/>
      <c r="AS873" s="6"/>
      <c r="AT873" s="6"/>
      <c r="AU873" s="6"/>
      <c r="AV873" s="6"/>
      <c r="AW873" s="477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</row>
    <row r="874" spans="8:69" ht="15.75" customHeight="1" x14ac:dyDescent="0.25"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476"/>
      <c r="AN874" s="6"/>
      <c r="AO874" s="6"/>
      <c r="AP874" s="6"/>
      <c r="AQ874" s="6"/>
      <c r="AR874" s="6"/>
      <c r="AS874" s="6"/>
      <c r="AT874" s="6"/>
      <c r="AU874" s="6"/>
      <c r="AV874" s="6"/>
      <c r="AW874" s="477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</row>
    <row r="875" spans="8:69" ht="15.75" customHeight="1" x14ac:dyDescent="0.25"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476"/>
      <c r="AN875" s="6"/>
      <c r="AO875" s="6"/>
      <c r="AP875" s="6"/>
      <c r="AQ875" s="6"/>
      <c r="AR875" s="6"/>
      <c r="AS875" s="6"/>
      <c r="AT875" s="6"/>
      <c r="AU875" s="6"/>
      <c r="AV875" s="6"/>
      <c r="AW875" s="477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</row>
    <row r="876" spans="8:69" ht="15.75" customHeight="1" x14ac:dyDescent="0.25"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476"/>
      <c r="AN876" s="6"/>
      <c r="AO876" s="6"/>
      <c r="AP876" s="6"/>
      <c r="AQ876" s="6"/>
      <c r="AR876" s="6"/>
      <c r="AS876" s="6"/>
      <c r="AT876" s="6"/>
      <c r="AU876" s="6"/>
      <c r="AV876" s="6"/>
      <c r="AW876" s="477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</row>
    <row r="877" spans="8:69" ht="15.75" customHeight="1" x14ac:dyDescent="0.25"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476"/>
      <c r="AN877" s="6"/>
      <c r="AO877" s="6"/>
      <c r="AP877" s="6"/>
      <c r="AQ877" s="6"/>
      <c r="AR877" s="6"/>
      <c r="AS877" s="6"/>
      <c r="AT877" s="6"/>
      <c r="AU877" s="6"/>
      <c r="AV877" s="6"/>
      <c r="AW877" s="477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</row>
    <row r="878" spans="8:69" ht="15.75" customHeight="1" x14ac:dyDescent="0.25"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476"/>
      <c r="AN878" s="6"/>
      <c r="AO878" s="6"/>
      <c r="AP878" s="6"/>
      <c r="AQ878" s="6"/>
      <c r="AR878" s="6"/>
      <c r="AS878" s="6"/>
      <c r="AT878" s="6"/>
      <c r="AU878" s="6"/>
      <c r="AV878" s="6"/>
      <c r="AW878" s="477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</row>
    <row r="879" spans="8:69" ht="15.75" customHeight="1" x14ac:dyDescent="0.25"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476"/>
      <c r="AN879" s="6"/>
      <c r="AO879" s="6"/>
      <c r="AP879" s="6"/>
      <c r="AQ879" s="6"/>
      <c r="AR879" s="6"/>
      <c r="AS879" s="6"/>
      <c r="AT879" s="6"/>
      <c r="AU879" s="6"/>
      <c r="AV879" s="6"/>
      <c r="AW879" s="477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</row>
    <row r="880" spans="8:69" ht="15.75" customHeight="1" x14ac:dyDescent="0.25"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476"/>
      <c r="AN880" s="6"/>
      <c r="AO880" s="6"/>
      <c r="AP880" s="6"/>
      <c r="AQ880" s="6"/>
      <c r="AR880" s="6"/>
      <c r="AS880" s="6"/>
      <c r="AT880" s="6"/>
      <c r="AU880" s="6"/>
      <c r="AV880" s="6"/>
      <c r="AW880" s="477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</row>
    <row r="881" spans="8:69" ht="15.75" customHeight="1" x14ac:dyDescent="0.25"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476"/>
      <c r="AN881" s="6"/>
      <c r="AO881" s="6"/>
      <c r="AP881" s="6"/>
      <c r="AQ881" s="6"/>
      <c r="AR881" s="6"/>
      <c r="AS881" s="6"/>
      <c r="AT881" s="6"/>
      <c r="AU881" s="6"/>
      <c r="AV881" s="6"/>
      <c r="AW881" s="477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</row>
    <row r="882" spans="8:69" ht="15.75" customHeight="1" x14ac:dyDescent="0.25"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476"/>
      <c r="AN882" s="6"/>
      <c r="AO882" s="6"/>
      <c r="AP882" s="6"/>
      <c r="AQ882" s="6"/>
      <c r="AR882" s="6"/>
      <c r="AS882" s="6"/>
      <c r="AT882" s="6"/>
      <c r="AU882" s="6"/>
      <c r="AV882" s="6"/>
      <c r="AW882" s="477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</row>
    <row r="883" spans="8:69" ht="15.75" customHeight="1" x14ac:dyDescent="0.25"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476"/>
      <c r="AN883" s="6"/>
      <c r="AO883" s="6"/>
      <c r="AP883" s="6"/>
      <c r="AQ883" s="6"/>
      <c r="AR883" s="6"/>
      <c r="AS883" s="6"/>
      <c r="AT883" s="6"/>
      <c r="AU883" s="6"/>
      <c r="AV883" s="6"/>
      <c r="AW883" s="477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</row>
    <row r="884" spans="8:69" ht="15.75" customHeight="1" x14ac:dyDescent="0.25"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476"/>
      <c r="AN884" s="6"/>
      <c r="AO884" s="6"/>
      <c r="AP884" s="6"/>
      <c r="AQ884" s="6"/>
      <c r="AR884" s="6"/>
      <c r="AS884" s="6"/>
      <c r="AT884" s="6"/>
      <c r="AU884" s="6"/>
      <c r="AV884" s="6"/>
      <c r="AW884" s="477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</row>
    <row r="885" spans="8:69" ht="15.75" customHeight="1" x14ac:dyDescent="0.25"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476"/>
      <c r="AN885" s="6"/>
      <c r="AO885" s="6"/>
      <c r="AP885" s="6"/>
      <c r="AQ885" s="6"/>
      <c r="AR885" s="6"/>
      <c r="AS885" s="6"/>
      <c r="AT885" s="6"/>
      <c r="AU885" s="6"/>
      <c r="AV885" s="6"/>
      <c r="AW885" s="477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</row>
    <row r="886" spans="8:69" ht="15.75" customHeight="1" x14ac:dyDescent="0.25"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476"/>
      <c r="AN886" s="6"/>
      <c r="AO886" s="6"/>
      <c r="AP886" s="6"/>
      <c r="AQ886" s="6"/>
      <c r="AR886" s="6"/>
      <c r="AS886" s="6"/>
      <c r="AT886" s="6"/>
      <c r="AU886" s="6"/>
      <c r="AV886" s="6"/>
      <c r="AW886" s="477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</row>
    <row r="887" spans="8:69" ht="15.75" customHeight="1" x14ac:dyDescent="0.25"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476"/>
      <c r="AN887" s="6"/>
      <c r="AO887" s="6"/>
      <c r="AP887" s="6"/>
      <c r="AQ887" s="6"/>
      <c r="AR887" s="6"/>
      <c r="AS887" s="6"/>
      <c r="AT887" s="6"/>
      <c r="AU887" s="6"/>
      <c r="AV887" s="6"/>
      <c r="AW887" s="477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</row>
    <row r="888" spans="8:69" ht="15.75" customHeight="1" x14ac:dyDescent="0.25"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476"/>
      <c r="AN888" s="6"/>
      <c r="AO888" s="6"/>
      <c r="AP888" s="6"/>
      <c r="AQ888" s="6"/>
      <c r="AR888" s="6"/>
      <c r="AS888" s="6"/>
      <c r="AT888" s="6"/>
      <c r="AU888" s="6"/>
      <c r="AV888" s="6"/>
      <c r="AW888" s="477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</row>
    <row r="889" spans="8:69" ht="15.75" customHeight="1" x14ac:dyDescent="0.25"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476"/>
      <c r="AN889" s="6"/>
      <c r="AO889" s="6"/>
      <c r="AP889" s="6"/>
      <c r="AQ889" s="6"/>
      <c r="AR889" s="6"/>
      <c r="AS889" s="6"/>
      <c r="AT889" s="6"/>
      <c r="AU889" s="6"/>
      <c r="AV889" s="6"/>
      <c r="AW889" s="477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</row>
    <row r="890" spans="8:69" ht="15.75" customHeight="1" x14ac:dyDescent="0.25"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476"/>
      <c r="AN890" s="6"/>
      <c r="AO890" s="6"/>
      <c r="AP890" s="6"/>
      <c r="AQ890" s="6"/>
      <c r="AR890" s="6"/>
      <c r="AS890" s="6"/>
      <c r="AT890" s="6"/>
      <c r="AU890" s="6"/>
      <c r="AV890" s="6"/>
      <c r="AW890" s="477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</row>
    <row r="891" spans="8:69" ht="15.75" customHeight="1" x14ac:dyDescent="0.25"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476"/>
      <c r="AN891" s="6"/>
      <c r="AO891" s="6"/>
      <c r="AP891" s="6"/>
      <c r="AQ891" s="6"/>
      <c r="AR891" s="6"/>
      <c r="AS891" s="6"/>
      <c r="AT891" s="6"/>
      <c r="AU891" s="6"/>
      <c r="AV891" s="6"/>
      <c r="AW891" s="477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</row>
    <row r="892" spans="8:69" ht="15.75" customHeight="1" x14ac:dyDescent="0.25"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476"/>
      <c r="AN892" s="6"/>
      <c r="AO892" s="6"/>
      <c r="AP892" s="6"/>
      <c r="AQ892" s="6"/>
      <c r="AR892" s="6"/>
      <c r="AS892" s="6"/>
      <c r="AT892" s="6"/>
      <c r="AU892" s="6"/>
      <c r="AV892" s="6"/>
      <c r="AW892" s="477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</row>
    <row r="893" spans="8:69" ht="15.75" customHeight="1" x14ac:dyDescent="0.25"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476"/>
      <c r="AN893" s="6"/>
      <c r="AO893" s="6"/>
      <c r="AP893" s="6"/>
      <c r="AQ893" s="6"/>
      <c r="AR893" s="6"/>
      <c r="AS893" s="6"/>
      <c r="AT893" s="6"/>
      <c r="AU893" s="6"/>
      <c r="AV893" s="6"/>
      <c r="AW893" s="477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</row>
    <row r="894" spans="8:69" ht="15.75" customHeight="1" x14ac:dyDescent="0.25"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476"/>
      <c r="AN894" s="6"/>
      <c r="AO894" s="6"/>
      <c r="AP894" s="6"/>
      <c r="AQ894" s="6"/>
      <c r="AR894" s="6"/>
      <c r="AS894" s="6"/>
      <c r="AT894" s="6"/>
      <c r="AU894" s="6"/>
      <c r="AV894" s="6"/>
      <c r="AW894" s="477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</row>
    <row r="895" spans="8:69" ht="15.75" customHeight="1" x14ac:dyDescent="0.25"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476"/>
      <c r="AN895" s="6"/>
      <c r="AO895" s="6"/>
      <c r="AP895" s="6"/>
      <c r="AQ895" s="6"/>
      <c r="AR895" s="6"/>
      <c r="AS895" s="6"/>
      <c r="AT895" s="6"/>
      <c r="AU895" s="6"/>
      <c r="AV895" s="6"/>
      <c r="AW895" s="477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</row>
    <row r="896" spans="8:69" ht="15.75" customHeight="1" x14ac:dyDescent="0.25"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476"/>
      <c r="AN896" s="6"/>
      <c r="AO896" s="6"/>
      <c r="AP896" s="6"/>
      <c r="AQ896" s="6"/>
      <c r="AR896" s="6"/>
      <c r="AS896" s="6"/>
      <c r="AT896" s="6"/>
      <c r="AU896" s="6"/>
      <c r="AV896" s="6"/>
      <c r="AW896" s="477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</row>
    <row r="897" spans="8:69" ht="15.75" customHeight="1" x14ac:dyDescent="0.25"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476"/>
      <c r="AN897" s="6"/>
      <c r="AO897" s="6"/>
      <c r="AP897" s="6"/>
      <c r="AQ897" s="6"/>
      <c r="AR897" s="6"/>
      <c r="AS897" s="6"/>
      <c r="AT897" s="6"/>
      <c r="AU897" s="6"/>
      <c r="AV897" s="6"/>
      <c r="AW897" s="477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</row>
    <row r="898" spans="8:69" ht="15.75" customHeight="1" x14ac:dyDescent="0.25"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476"/>
      <c r="AN898" s="6"/>
      <c r="AO898" s="6"/>
      <c r="AP898" s="6"/>
      <c r="AQ898" s="6"/>
      <c r="AR898" s="6"/>
      <c r="AS898" s="6"/>
      <c r="AT898" s="6"/>
      <c r="AU898" s="6"/>
      <c r="AV898" s="6"/>
      <c r="AW898" s="477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</row>
    <row r="899" spans="8:69" ht="15.75" customHeight="1" x14ac:dyDescent="0.25"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476"/>
      <c r="AN899" s="6"/>
      <c r="AO899" s="6"/>
      <c r="AP899" s="6"/>
      <c r="AQ899" s="6"/>
      <c r="AR899" s="6"/>
      <c r="AS899" s="6"/>
      <c r="AT899" s="6"/>
      <c r="AU899" s="6"/>
      <c r="AV899" s="6"/>
      <c r="AW899" s="477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</row>
    <row r="900" spans="8:69" ht="15.75" customHeight="1" x14ac:dyDescent="0.25"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476"/>
      <c r="AN900" s="6"/>
      <c r="AO900" s="6"/>
      <c r="AP900" s="6"/>
      <c r="AQ900" s="6"/>
      <c r="AR900" s="6"/>
      <c r="AS900" s="6"/>
      <c r="AT900" s="6"/>
      <c r="AU900" s="6"/>
      <c r="AV900" s="6"/>
      <c r="AW900" s="477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</row>
    <row r="901" spans="8:69" ht="15.75" customHeight="1" x14ac:dyDescent="0.25"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476"/>
      <c r="AN901" s="6"/>
      <c r="AO901" s="6"/>
      <c r="AP901" s="6"/>
      <c r="AQ901" s="6"/>
      <c r="AR901" s="6"/>
      <c r="AS901" s="6"/>
      <c r="AT901" s="6"/>
      <c r="AU901" s="6"/>
      <c r="AV901" s="6"/>
      <c r="AW901" s="477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</row>
    <row r="902" spans="8:69" ht="15.75" customHeight="1" x14ac:dyDescent="0.25"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476"/>
      <c r="AN902" s="6"/>
      <c r="AO902" s="6"/>
      <c r="AP902" s="6"/>
      <c r="AQ902" s="6"/>
      <c r="AR902" s="6"/>
      <c r="AS902" s="6"/>
      <c r="AT902" s="6"/>
      <c r="AU902" s="6"/>
      <c r="AV902" s="6"/>
      <c r="AW902" s="477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</row>
    <row r="903" spans="8:69" ht="15.75" customHeight="1" x14ac:dyDescent="0.25"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476"/>
      <c r="AN903" s="6"/>
      <c r="AO903" s="6"/>
      <c r="AP903" s="6"/>
      <c r="AQ903" s="6"/>
      <c r="AR903" s="6"/>
      <c r="AS903" s="6"/>
      <c r="AT903" s="6"/>
      <c r="AU903" s="6"/>
      <c r="AV903" s="6"/>
      <c r="AW903" s="477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</row>
    <row r="904" spans="8:69" ht="15.75" customHeight="1" x14ac:dyDescent="0.25"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476"/>
      <c r="AN904" s="6"/>
      <c r="AO904" s="6"/>
      <c r="AP904" s="6"/>
      <c r="AQ904" s="6"/>
      <c r="AR904" s="6"/>
      <c r="AS904" s="6"/>
      <c r="AT904" s="6"/>
      <c r="AU904" s="6"/>
      <c r="AV904" s="6"/>
      <c r="AW904" s="477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</row>
    <row r="905" spans="8:69" ht="15.75" customHeight="1" x14ac:dyDescent="0.25"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476"/>
      <c r="AN905" s="6"/>
      <c r="AO905" s="6"/>
      <c r="AP905" s="6"/>
      <c r="AQ905" s="6"/>
      <c r="AR905" s="6"/>
      <c r="AS905" s="6"/>
      <c r="AT905" s="6"/>
      <c r="AU905" s="6"/>
      <c r="AV905" s="6"/>
      <c r="AW905" s="477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</row>
    <row r="906" spans="8:69" ht="15.75" customHeight="1" x14ac:dyDescent="0.25"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476"/>
      <c r="AN906" s="6"/>
      <c r="AO906" s="6"/>
      <c r="AP906" s="6"/>
      <c r="AQ906" s="6"/>
      <c r="AR906" s="6"/>
      <c r="AS906" s="6"/>
      <c r="AT906" s="6"/>
      <c r="AU906" s="6"/>
      <c r="AV906" s="6"/>
      <c r="AW906" s="477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</row>
    <row r="907" spans="8:69" ht="15.75" customHeight="1" x14ac:dyDescent="0.25"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476"/>
      <c r="AN907" s="6"/>
      <c r="AO907" s="6"/>
      <c r="AP907" s="6"/>
      <c r="AQ907" s="6"/>
      <c r="AR907" s="6"/>
      <c r="AS907" s="6"/>
      <c r="AT907" s="6"/>
      <c r="AU907" s="6"/>
      <c r="AV907" s="6"/>
      <c r="AW907" s="477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</row>
    <row r="908" spans="8:69" ht="15.75" customHeight="1" x14ac:dyDescent="0.25"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476"/>
      <c r="AN908" s="6"/>
      <c r="AO908" s="6"/>
      <c r="AP908" s="6"/>
      <c r="AQ908" s="6"/>
      <c r="AR908" s="6"/>
      <c r="AS908" s="6"/>
      <c r="AT908" s="6"/>
      <c r="AU908" s="6"/>
      <c r="AV908" s="6"/>
      <c r="AW908" s="477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</row>
    <row r="909" spans="8:69" ht="15.75" customHeight="1" x14ac:dyDescent="0.25"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476"/>
      <c r="AN909" s="6"/>
      <c r="AO909" s="6"/>
      <c r="AP909" s="6"/>
      <c r="AQ909" s="6"/>
      <c r="AR909" s="6"/>
      <c r="AS909" s="6"/>
      <c r="AT909" s="6"/>
      <c r="AU909" s="6"/>
      <c r="AV909" s="6"/>
      <c r="AW909" s="477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</row>
    <row r="910" spans="8:69" ht="15.75" customHeight="1" x14ac:dyDescent="0.25"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476"/>
      <c r="AN910" s="6"/>
      <c r="AO910" s="6"/>
      <c r="AP910" s="6"/>
      <c r="AQ910" s="6"/>
      <c r="AR910" s="6"/>
      <c r="AS910" s="6"/>
      <c r="AT910" s="6"/>
      <c r="AU910" s="6"/>
      <c r="AV910" s="6"/>
      <c r="AW910" s="477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</row>
    <row r="911" spans="8:69" ht="15.75" customHeight="1" x14ac:dyDescent="0.25"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476"/>
      <c r="AN911" s="6"/>
      <c r="AO911" s="6"/>
      <c r="AP911" s="6"/>
      <c r="AQ911" s="6"/>
      <c r="AR911" s="6"/>
      <c r="AS911" s="6"/>
      <c r="AT911" s="6"/>
      <c r="AU911" s="6"/>
      <c r="AV911" s="6"/>
      <c r="AW911" s="477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</row>
    <row r="912" spans="8:69" ht="15.75" customHeight="1" x14ac:dyDescent="0.25"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476"/>
      <c r="AN912" s="6"/>
      <c r="AO912" s="6"/>
      <c r="AP912" s="6"/>
      <c r="AQ912" s="6"/>
      <c r="AR912" s="6"/>
      <c r="AS912" s="6"/>
      <c r="AT912" s="6"/>
      <c r="AU912" s="6"/>
      <c r="AV912" s="6"/>
      <c r="AW912" s="477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</row>
    <row r="913" spans="8:69" ht="15.75" customHeight="1" x14ac:dyDescent="0.25"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476"/>
      <c r="AN913" s="6"/>
      <c r="AO913" s="6"/>
      <c r="AP913" s="6"/>
      <c r="AQ913" s="6"/>
      <c r="AR913" s="6"/>
      <c r="AS913" s="6"/>
      <c r="AT913" s="6"/>
      <c r="AU913" s="6"/>
      <c r="AV913" s="6"/>
      <c r="AW913" s="477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</row>
    <row r="914" spans="8:69" ht="15.75" customHeight="1" x14ac:dyDescent="0.25"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476"/>
      <c r="AN914" s="6"/>
      <c r="AO914" s="6"/>
      <c r="AP914" s="6"/>
      <c r="AQ914" s="6"/>
      <c r="AR914" s="6"/>
      <c r="AS914" s="6"/>
      <c r="AT914" s="6"/>
      <c r="AU914" s="6"/>
      <c r="AV914" s="6"/>
      <c r="AW914" s="477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</row>
    <row r="915" spans="8:69" ht="15.75" customHeight="1" x14ac:dyDescent="0.25"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476"/>
      <c r="AN915" s="6"/>
      <c r="AO915" s="6"/>
      <c r="AP915" s="6"/>
      <c r="AQ915" s="6"/>
      <c r="AR915" s="6"/>
      <c r="AS915" s="6"/>
      <c r="AT915" s="6"/>
      <c r="AU915" s="6"/>
      <c r="AV915" s="6"/>
      <c r="AW915" s="477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</row>
    <row r="916" spans="8:69" ht="15.75" customHeight="1" x14ac:dyDescent="0.25"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476"/>
      <c r="AN916" s="6"/>
      <c r="AO916" s="6"/>
      <c r="AP916" s="6"/>
      <c r="AQ916" s="6"/>
      <c r="AR916" s="6"/>
      <c r="AS916" s="6"/>
      <c r="AT916" s="6"/>
      <c r="AU916" s="6"/>
      <c r="AV916" s="6"/>
      <c r="AW916" s="477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</row>
    <row r="917" spans="8:69" ht="15.75" customHeight="1" x14ac:dyDescent="0.25"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476"/>
      <c r="AN917" s="6"/>
      <c r="AO917" s="6"/>
      <c r="AP917" s="6"/>
      <c r="AQ917" s="6"/>
      <c r="AR917" s="6"/>
      <c r="AS917" s="6"/>
      <c r="AT917" s="6"/>
      <c r="AU917" s="6"/>
      <c r="AV917" s="6"/>
      <c r="AW917" s="477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</row>
    <row r="918" spans="8:69" ht="15.75" customHeight="1" x14ac:dyDescent="0.25"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476"/>
      <c r="AN918" s="6"/>
      <c r="AO918" s="6"/>
      <c r="AP918" s="6"/>
      <c r="AQ918" s="6"/>
      <c r="AR918" s="6"/>
      <c r="AS918" s="6"/>
      <c r="AT918" s="6"/>
      <c r="AU918" s="6"/>
      <c r="AV918" s="6"/>
      <c r="AW918" s="477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</row>
    <row r="919" spans="8:69" ht="15.75" customHeight="1" x14ac:dyDescent="0.25"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476"/>
      <c r="AN919" s="6"/>
      <c r="AO919" s="6"/>
      <c r="AP919" s="6"/>
      <c r="AQ919" s="6"/>
      <c r="AR919" s="6"/>
      <c r="AS919" s="6"/>
      <c r="AT919" s="6"/>
      <c r="AU919" s="6"/>
      <c r="AV919" s="6"/>
      <c r="AW919" s="477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</row>
    <row r="920" spans="8:69" ht="15.75" customHeight="1" x14ac:dyDescent="0.25"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476"/>
      <c r="AN920" s="6"/>
      <c r="AO920" s="6"/>
      <c r="AP920" s="6"/>
      <c r="AQ920" s="6"/>
      <c r="AR920" s="6"/>
      <c r="AS920" s="6"/>
      <c r="AT920" s="6"/>
      <c r="AU920" s="6"/>
      <c r="AV920" s="6"/>
      <c r="AW920" s="477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</row>
    <row r="921" spans="8:69" ht="15.75" customHeight="1" x14ac:dyDescent="0.25"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476"/>
      <c r="AN921" s="6"/>
      <c r="AO921" s="6"/>
      <c r="AP921" s="6"/>
      <c r="AQ921" s="6"/>
      <c r="AR921" s="6"/>
      <c r="AS921" s="6"/>
      <c r="AT921" s="6"/>
      <c r="AU921" s="6"/>
      <c r="AV921" s="6"/>
      <c r="AW921" s="477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</row>
    <row r="922" spans="8:69" ht="15.75" customHeight="1" x14ac:dyDescent="0.25"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476"/>
      <c r="AN922" s="6"/>
      <c r="AO922" s="6"/>
      <c r="AP922" s="6"/>
      <c r="AQ922" s="6"/>
      <c r="AR922" s="6"/>
      <c r="AS922" s="6"/>
      <c r="AT922" s="6"/>
      <c r="AU922" s="6"/>
      <c r="AV922" s="6"/>
      <c r="AW922" s="477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</row>
    <row r="923" spans="8:69" ht="15.75" customHeight="1" x14ac:dyDescent="0.25"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476"/>
      <c r="AN923" s="6"/>
      <c r="AO923" s="6"/>
      <c r="AP923" s="6"/>
      <c r="AQ923" s="6"/>
      <c r="AR923" s="6"/>
      <c r="AS923" s="6"/>
      <c r="AT923" s="6"/>
      <c r="AU923" s="6"/>
      <c r="AV923" s="6"/>
      <c r="AW923" s="477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</row>
    <row r="924" spans="8:69" ht="15.75" customHeight="1" x14ac:dyDescent="0.25"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476"/>
      <c r="AN924" s="6"/>
      <c r="AO924" s="6"/>
      <c r="AP924" s="6"/>
      <c r="AQ924" s="6"/>
      <c r="AR924" s="6"/>
      <c r="AS924" s="6"/>
      <c r="AT924" s="6"/>
      <c r="AU924" s="6"/>
      <c r="AV924" s="6"/>
      <c r="AW924" s="477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</row>
    <row r="925" spans="8:69" ht="15.75" customHeight="1" x14ac:dyDescent="0.25"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476"/>
      <c r="AN925" s="6"/>
      <c r="AO925" s="6"/>
      <c r="AP925" s="6"/>
      <c r="AQ925" s="6"/>
      <c r="AR925" s="6"/>
      <c r="AS925" s="6"/>
      <c r="AT925" s="6"/>
      <c r="AU925" s="6"/>
      <c r="AV925" s="6"/>
      <c r="AW925" s="477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</row>
    <row r="926" spans="8:69" ht="15.75" customHeight="1" x14ac:dyDescent="0.25"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476"/>
      <c r="AN926" s="6"/>
      <c r="AO926" s="6"/>
      <c r="AP926" s="6"/>
      <c r="AQ926" s="6"/>
      <c r="AR926" s="6"/>
      <c r="AS926" s="6"/>
      <c r="AT926" s="6"/>
      <c r="AU926" s="6"/>
      <c r="AV926" s="6"/>
      <c r="AW926" s="477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</row>
    <row r="927" spans="8:69" ht="15.75" customHeight="1" x14ac:dyDescent="0.25"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476"/>
      <c r="AN927" s="6"/>
      <c r="AO927" s="6"/>
      <c r="AP927" s="6"/>
      <c r="AQ927" s="6"/>
      <c r="AR927" s="6"/>
      <c r="AS927" s="6"/>
      <c r="AT927" s="6"/>
      <c r="AU927" s="6"/>
      <c r="AV927" s="6"/>
      <c r="AW927" s="477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</row>
    <row r="928" spans="8:69" ht="15.75" customHeight="1" x14ac:dyDescent="0.25"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476"/>
      <c r="AN928" s="6"/>
      <c r="AO928" s="6"/>
      <c r="AP928" s="6"/>
      <c r="AQ928" s="6"/>
      <c r="AR928" s="6"/>
      <c r="AS928" s="6"/>
      <c r="AT928" s="6"/>
      <c r="AU928" s="6"/>
      <c r="AV928" s="6"/>
      <c r="AW928" s="477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</row>
    <row r="929" spans="8:69" ht="15.75" customHeight="1" x14ac:dyDescent="0.25"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476"/>
      <c r="AN929" s="6"/>
      <c r="AO929" s="6"/>
      <c r="AP929" s="6"/>
      <c r="AQ929" s="6"/>
      <c r="AR929" s="6"/>
      <c r="AS929" s="6"/>
      <c r="AT929" s="6"/>
      <c r="AU929" s="6"/>
      <c r="AV929" s="6"/>
      <c r="AW929" s="477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</row>
    <row r="930" spans="8:69" ht="15.75" customHeight="1" x14ac:dyDescent="0.25"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476"/>
      <c r="AN930" s="6"/>
      <c r="AO930" s="6"/>
      <c r="AP930" s="6"/>
      <c r="AQ930" s="6"/>
      <c r="AR930" s="6"/>
      <c r="AS930" s="6"/>
      <c r="AT930" s="6"/>
      <c r="AU930" s="6"/>
      <c r="AV930" s="6"/>
      <c r="AW930" s="477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</row>
    <row r="931" spans="8:69" ht="15.75" customHeight="1" x14ac:dyDescent="0.25"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476"/>
      <c r="AN931" s="6"/>
      <c r="AO931" s="6"/>
      <c r="AP931" s="6"/>
      <c r="AQ931" s="6"/>
      <c r="AR931" s="6"/>
      <c r="AS931" s="6"/>
      <c r="AT931" s="6"/>
      <c r="AU931" s="6"/>
      <c r="AV931" s="6"/>
      <c r="AW931" s="477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</row>
    <row r="932" spans="8:69" ht="15.75" customHeight="1" x14ac:dyDescent="0.25"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476"/>
      <c r="AN932" s="6"/>
      <c r="AO932" s="6"/>
      <c r="AP932" s="6"/>
      <c r="AQ932" s="6"/>
      <c r="AR932" s="6"/>
      <c r="AS932" s="6"/>
      <c r="AT932" s="6"/>
      <c r="AU932" s="6"/>
      <c r="AV932" s="6"/>
      <c r="AW932" s="477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</row>
    <row r="933" spans="8:69" ht="15.75" customHeight="1" x14ac:dyDescent="0.25"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476"/>
      <c r="AN933" s="6"/>
      <c r="AO933" s="6"/>
      <c r="AP933" s="6"/>
      <c r="AQ933" s="6"/>
      <c r="AR933" s="6"/>
      <c r="AS933" s="6"/>
      <c r="AT933" s="6"/>
      <c r="AU933" s="6"/>
      <c r="AV933" s="6"/>
      <c r="AW933" s="477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</row>
    <row r="934" spans="8:69" ht="15.75" customHeight="1" x14ac:dyDescent="0.25"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476"/>
      <c r="AN934" s="6"/>
      <c r="AO934" s="6"/>
      <c r="AP934" s="6"/>
      <c r="AQ934" s="6"/>
      <c r="AR934" s="6"/>
      <c r="AS934" s="6"/>
      <c r="AT934" s="6"/>
      <c r="AU934" s="6"/>
      <c r="AV934" s="6"/>
      <c r="AW934" s="477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</row>
    <row r="935" spans="8:69" ht="15.75" customHeight="1" x14ac:dyDescent="0.25"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476"/>
      <c r="AN935" s="6"/>
      <c r="AO935" s="6"/>
      <c r="AP935" s="6"/>
      <c r="AQ935" s="6"/>
      <c r="AR935" s="6"/>
      <c r="AS935" s="6"/>
      <c r="AT935" s="6"/>
      <c r="AU935" s="6"/>
      <c r="AV935" s="6"/>
      <c r="AW935" s="477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</row>
    <row r="936" spans="8:69" ht="15.75" customHeight="1" x14ac:dyDescent="0.25"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476"/>
      <c r="AN936" s="6"/>
      <c r="AO936" s="6"/>
      <c r="AP936" s="6"/>
      <c r="AQ936" s="6"/>
      <c r="AR936" s="6"/>
      <c r="AS936" s="6"/>
      <c r="AT936" s="6"/>
      <c r="AU936" s="6"/>
      <c r="AV936" s="6"/>
      <c r="AW936" s="477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</row>
    <row r="937" spans="8:69" ht="15.75" customHeight="1" x14ac:dyDescent="0.25"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476"/>
      <c r="AN937" s="6"/>
      <c r="AO937" s="6"/>
      <c r="AP937" s="6"/>
      <c r="AQ937" s="6"/>
      <c r="AR937" s="6"/>
      <c r="AS937" s="6"/>
      <c r="AT937" s="6"/>
      <c r="AU937" s="6"/>
      <c r="AV937" s="6"/>
      <c r="AW937" s="477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</row>
    <row r="938" spans="8:69" ht="15.75" customHeight="1" x14ac:dyDescent="0.25"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476"/>
      <c r="AN938" s="6"/>
      <c r="AO938" s="6"/>
      <c r="AP938" s="6"/>
      <c r="AQ938" s="6"/>
      <c r="AR938" s="6"/>
      <c r="AS938" s="6"/>
      <c r="AT938" s="6"/>
      <c r="AU938" s="6"/>
      <c r="AV938" s="6"/>
      <c r="AW938" s="477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</row>
    <row r="939" spans="8:69" ht="15.75" customHeight="1" x14ac:dyDescent="0.25"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476"/>
      <c r="AN939" s="6"/>
      <c r="AO939" s="6"/>
      <c r="AP939" s="6"/>
      <c r="AQ939" s="6"/>
      <c r="AR939" s="6"/>
      <c r="AS939" s="6"/>
      <c r="AT939" s="6"/>
      <c r="AU939" s="6"/>
      <c r="AV939" s="6"/>
      <c r="AW939" s="477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</row>
    <row r="940" spans="8:69" ht="15.75" customHeight="1" x14ac:dyDescent="0.25"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476"/>
      <c r="AN940" s="6"/>
      <c r="AO940" s="6"/>
      <c r="AP940" s="6"/>
      <c r="AQ940" s="6"/>
      <c r="AR940" s="6"/>
      <c r="AS940" s="6"/>
      <c r="AT940" s="6"/>
      <c r="AU940" s="6"/>
      <c r="AV940" s="6"/>
      <c r="AW940" s="477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</row>
    <row r="941" spans="8:69" ht="15.75" customHeight="1" x14ac:dyDescent="0.25"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476"/>
      <c r="AN941" s="6"/>
      <c r="AO941" s="6"/>
      <c r="AP941" s="6"/>
      <c r="AQ941" s="6"/>
      <c r="AR941" s="6"/>
      <c r="AS941" s="6"/>
      <c r="AT941" s="6"/>
      <c r="AU941" s="6"/>
      <c r="AV941" s="6"/>
      <c r="AW941" s="477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</row>
    <row r="942" spans="8:69" ht="15.75" customHeight="1" x14ac:dyDescent="0.25"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476"/>
      <c r="AN942" s="6"/>
      <c r="AO942" s="6"/>
      <c r="AP942" s="6"/>
      <c r="AQ942" s="6"/>
      <c r="AR942" s="6"/>
      <c r="AS942" s="6"/>
      <c r="AT942" s="6"/>
      <c r="AU942" s="6"/>
      <c r="AV942" s="6"/>
      <c r="AW942" s="477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</row>
    <row r="943" spans="8:69" ht="15.75" customHeight="1" x14ac:dyDescent="0.25"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476"/>
      <c r="AN943" s="6"/>
      <c r="AO943" s="6"/>
      <c r="AP943" s="6"/>
      <c r="AQ943" s="6"/>
      <c r="AR943" s="6"/>
      <c r="AS943" s="6"/>
      <c r="AT943" s="6"/>
      <c r="AU943" s="6"/>
      <c r="AV943" s="6"/>
      <c r="AW943" s="477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</row>
    <row r="944" spans="8:69" ht="15.75" customHeight="1" x14ac:dyDescent="0.25"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476"/>
      <c r="AN944" s="6"/>
      <c r="AO944" s="6"/>
      <c r="AP944" s="6"/>
      <c r="AQ944" s="6"/>
      <c r="AR944" s="6"/>
      <c r="AS944" s="6"/>
      <c r="AT944" s="6"/>
      <c r="AU944" s="6"/>
      <c r="AV944" s="6"/>
      <c r="AW944" s="477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</row>
    <row r="945" spans="8:69" ht="15.75" customHeight="1" x14ac:dyDescent="0.25"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476"/>
      <c r="AN945" s="6"/>
      <c r="AO945" s="6"/>
      <c r="AP945" s="6"/>
      <c r="AQ945" s="6"/>
      <c r="AR945" s="6"/>
      <c r="AS945" s="6"/>
      <c r="AT945" s="6"/>
      <c r="AU945" s="6"/>
      <c r="AV945" s="6"/>
      <c r="AW945" s="477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</row>
    <row r="946" spans="8:69" ht="15.75" customHeight="1" x14ac:dyDescent="0.25"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476"/>
      <c r="AN946" s="6"/>
      <c r="AO946" s="6"/>
      <c r="AP946" s="6"/>
      <c r="AQ946" s="6"/>
      <c r="AR946" s="6"/>
      <c r="AS946" s="6"/>
      <c r="AT946" s="6"/>
      <c r="AU946" s="6"/>
      <c r="AV946" s="6"/>
      <c r="AW946" s="477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</row>
    <row r="947" spans="8:69" ht="15.75" customHeight="1" x14ac:dyDescent="0.25"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476"/>
      <c r="AN947" s="6"/>
      <c r="AO947" s="6"/>
      <c r="AP947" s="6"/>
      <c r="AQ947" s="6"/>
      <c r="AR947" s="6"/>
      <c r="AS947" s="6"/>
      <c r="AT947" s="6"/>
      <c r="AU947" s="6"/>
      <c r="AV947" s="6"/>
      <c r="AW947" s="477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</row>
    <row r="948" spans="8:69" ht="15.75" customHeight="1" x14ac:dyDescent="0.25"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476"/>
      <c r="AN948" s="6"/>
      <c r="AO948" s="6"/>
      <c r="AP948" s="6"/>
      <c r="AQ948" s="6"/>
      <c r="AR948" s="6"/>
      <c r="AS948" s="6"/>
      <c r="AT948" s="6"/>
      <c r="AU948" s="6"/>
      <c r="AV948" s="6"/>
      <c r="AW948" s="477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</row>
    <row r="949" spans="8:69" ht="15.75" customHeight="1" x14ac:dyDescent="0.25"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476"/>
      <c r="AN949" s="6"/>
      <c r="AO949" s="6"/>
      <c r="AP949" s="6"/>
      <c r="AQ949" s="6"/>
      <c r="AR949" s="6"/>
      <c r="AS949" s="6"/>
      <c r="AT949" s="6"/>
      <c r="AU949" s="6"/>
      <c r="AV949" s="6"/>
      <c r="AW949" s="477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</row>
    <row r="950" spans="8:69" ht="15.75" customHeight="1" x14ac:dyDescent="0.25"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476"/>
      <c r="AN950" s="6"/>
      <c r="AO950" s="6"/>
      <c r="AP950" s="6"/>
      <c r="AQ950" s="6"/>
      <c r="AR950" s="6"/>
      <c r="AS950" s="6"/>
      <c r="AT950" s="6"/>
      <c r="AU950" s="6"/>
      <c r="AV950" s="6"/>
      <c r="AW950" s="477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</row>
    <row r="951" spans="8:69" ht="15.75" customHeight="1" x14ac:dyDescent="0.25"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476"/>
      <c r="AN951" s="6"/>
      <c r="AO951" s="6"/>
      <c r="AP951" s="6"/>
      <c r="AQ951" s="6"/>
      <c r="AR951" s="6"/>
      <c r="AS951" s="6"/>
      <c r="AT951" s="6"/>
      <c r="AU951" s="6"/>
      <c r="AV951" s="6"/>
      <c r="AW951" s="477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</row>
    <row r="952" spans="8:69" ht="15.75" customHeight="1" x14ac:dyDescent="0.25"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476"/>
      <c r="AN952" s="6"/>
      <c r="AO952" s="6"/>
      <c r="AP952" s="6"/>
      <c r="AQ952" s="6"/>
      <c r="AR952" s="6"/>
      <c r="AS952" s="6"/>
      <c r="AT952" s="6"/>
      <c r="AU952" s="6"/>
      <c r="AV952" s="6"/>
      <c r="AW952" s="477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</row>
    <row r="953" spans="8:69" ht="15.75" customHeight="1" x14ac:dyDescent="0.25"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476"/>
      <c r="AN953" s="6"/>
      <c r="AO953" s="6"/>
      <c r="AP953" s="6"/>
      <c r="AQ953" s="6"/>
      <c r="AR953" s="6"/>
      <c r="AS953" s="6"/>
      <c r="AT953" s="6"/>
      <c r="AU953" s="6"/>
      <c r="AV953" s="6"/>
      <c r="AW953" s="477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</row>
    <row r="954" spans="8:69" ht="15.75" customHeight="1" x14ac:dyDescent="0.25"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476"/>
      <c r="AN954" s="6"/>
      <c r="AO954" s="6"/>
      <c r="AP954" s="6"/>
      <c r="AQ954" s="6"/>
      <c r="AR954" s="6"/>
      <c r="AS954" s="6"/>
      <c r="AT954" s="6"/>
      <c r="AU954" s="6"/>
      <c r="AV954" s="6"/>
      <c r="AW954" s="477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</row>
    <row r="955" spans="8:69" ht="15.75" customHeight="1" x14ac:dyDescent="0.25"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476"/>
      <c r="AN955" s="6"/>
      <c r="AO955" s="6"/>
      <c r="AP955" s="6"/>
      <c r="AQ955" s="6"/>
      <c r="AR955" s="6"/>
      <c r="AS955" s="6"/>
      <c r="AT955" s="6"/>
      <c r="AU955" s="6"/>
      <c r="AV955" s="6"/>
      <c r="AW955" s="477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</row>
    <row r="956" spans="8:69" ht="15.75" customHeight="1" x14ac:dyDescent="0.25"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476"/>
      <c r="AN956" s="6"/>
      <c r="AO956" s="6"/>
      <c r="AP956" s="6"/>
      <c r="AQ956" s="6"/>
      <c r="AR956" s="6"/>
      <c r="AS956" s="6"/>
      <c r="AT956" s="6"/>
      <c r="AU956" s="6"/>
      <c r="AV956" s="6"/>
      <c r="AW956" s="477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</row>
    <row r="957" spans="8:69" ht="15.75" customHeight="1" x14ac:dyDescent="0.25"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476"/>
      <c r="AN957" s="6"/>
      <c r="AO957" s="6"/>
      <c r="AP957" s="6"/>
      <c r="AQ957" s="6"/>
      <c r="AR957" s="6"/>
      <c r="AS957" s="6"/>
      <c r="AT957" s="6"/>
      <c r="AU957" s="6"/>
      <c r="AV957" s="6"/>
      <c r="AW957" s="477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</row>
    <row r="958" spans="8:69" ht="15.75" customHeight="1" x14ac:dyDescent="0.25"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476"/>
      <c r="AN958" s="6"/>
      <c r="AO958" s="6"/>
      <c r="AP958" s="6"/>
      <c r="AQ958" s="6"/>
      <c r="AR958" s="6"/>
      <c r="AS958" s="6"/>
      <c r="AT958" s="6"/>
      <c r="AU958" s="6"/>
      <c r="AV958" s="6"/>
      <c r="AW958" s="477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</row>
    <row r="959" spans="8:69" ht="15.75" customHeight="1" x14ac:dyDescent="0.25"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476"/>
      <c r="AN959" s="6"/>
      <c r="AO959" s="6"/>
      <c r="AP959" s="6"/>
      <c r="AQ959" s="6"/>
      <c r="AR959" s="6"/>
      <c r="AS959" s="6"/>
      <c r="AT959" s="6"/>
      <c r="AU959" s="6"/>
      <c r="AV959" s="6"/>
      <c r="AW959" s="477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</row>
    <row r="960" spans="8:69" ht="15.75" customHeight="1" x14ac:dyDescent="0.25"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476"/>
      <c r="AN960" s="6"/>
      <c r="AO960" s="6"/>
      <c r="AP960" s="6"/>
      <c r="AQ960" s="6"/>
      <c r="AR960" s="6"/>
      <c r="AS960" s="6"/>
      <c r="AT960" s="6"/>
      <c r="AU960" s="6"/>
      <c r="AV960" s="6"/>
      <c r="AW960" s="477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</row>
    <row r="961" spans="8:69" ht="15.75" customHeight="1" x14ac:dyDescent="0.25"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476"/>
      <c r="AN961" s="6"/>
      <c r="AO961" s="6"/>
      <c r="AP961" s="6"/>
      <c r="AQ961" s="6"/>
      <c r="AR961" s="6"/>
      <c r="AS961" s="6"/>
      <c r="AT961" s="6"/>
      <c r="AU961" s="6"/>
      <c r="AV961" s="6"/>
      <c r="AW961" s="477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</row>
    <row r="962" spans="8:69" ht="15.75" customHeight="1" x14ac:dyDescent="0.25"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476"/>
      <c r="AN962" s="6"/>
      <c r="AO962" s="6"/>
      <c r="AP962" s="6"/>
      <c r="AQ962" s="6"/>
      <c r="AR962" s="6"/>
      <c r="AS962" s="6"/>
      <c r="AT962" s="6"/>
      <c r="AU962" s="6"/>
      <c r="AV962" s="6"/>
      <c r="AW962" s="477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</row>
    <row r="963" spans="8:69" ht="15.75" customHeight="1" x14ac:dyDescent="0.25"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476"/>
      <c r="AN963" s="6"/>
      <c r="AO963" s="6"/>
      <c r="AP963" s="6"/>
      <c r="AQ963" s="6"/>
      <c r="AR963" s="6"/>
      <c r="AS963" s="6"/>
      <c r="AT963" s="6"/>
      <c r="AU963" s="6"/>
      <c r="AV963" s="6"/>
      <c r="AW963" s="477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</row>
    <row r="964" spans="8:69" ht="15.75" customHeight="1" x14ac:dyDescent="0.25"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476"/>
      <c r="AN964" s="6"/>
      <c r="AO964" s="6"/>
      <c r="AP964" s="6"/>
      <c r="AQ964" s="6"/>
      <c r="AR964" s="6"/>
      <c r="AS964" s="6"/>
      <c r="AT964" s="6"/>
      <c r="AU964" s="6"/>
      <c r="AV964" s="6"/>
      <c r="AW964" s="477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</row>
    <row r="965" spans="8:69" ht="15.75" customHeight="1" x14ac:dyDescent="0.25"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476"/>
      <c r="AN965" s="6"/>
      <c r="AO965" s="6"/>
      <c r="AP965" s="6"/>
      <c r="AQ965" s="6"/>
      <c r="AR965" s="6"/>
      <c r="AS965" s="6"/>
      <c r="AT965" s="6"/>
      <c r="AU965" s="6"/>
      <c r="AV965" s="6"/>
      <c r="AW965" s="477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</row>
    <row r="966" spans="8:69" ht="15.75" customHeight="1" x14ac:dyDescent="0.25"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476"/>
      <c r="AN966" s="6"/>
      <c r="AO966" s="6"/>
      <c r="AP966" s="6"/>
      <c r="AQ966" s="6"/>
      <c r="AR966" s="6"/>
      <c r="AS966" s="6"/>
      <c r="AT966" s="6"/>
      <c r="AU966" s="6"/>
      <c r="AV966" s="6"/>
      <c r="AW966" s="477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</row>
    <row r="967" spans="8:69" ht="15.75" customHeight="1" x14ac:dyDescent="0.25"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476"/>
      <c r="AN967" s="6"/>
      <c r="AO967" s="6"/>
      <c r="AP967" s="6"/>
      <c r="AQ967" s="6"/>
      <c r="AR967" s="6"/>
      <c r="AS967" s="6"/>
      <c r="AT967" s="6"/>
      <c r="AU967" s="6"/>
      <c r="AV967" s="6"/>
      <c r="AW967" s="477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</row>
    <row r="968" spans="8:69" ht="15.75" customHeight="1" x14ac:dyDescent="0.25"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476"/>
      <c r="AN968" s="6"/>
      <c r="AO968" s="6"/>
      <c r="AP968" s="6"/>
      <c r="AQ968" s="6"/>
      <c r="AR968" s="6"/>
      <c r="AS968" s="6"/>
      <c r="AT968" s="6"/>
      <c r="AU968" s="6"/>
      <c r="AV968" s="6"/>
      <c r="AW968" s="477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</row>
    <row r="969" spans="8:69" ht="15.75" customHeight="1" x14ac:dyDescent="0.25"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476"/>
      <c r="AN969" s="6"/>
      <c r="AO969" s="6"/>
      <c r="AP969" s="6"/>
      <c r="AQ969" s="6"/>
      <c r="AR969" s="6"/>
      <c r="AS969" s="6"/>
      <c r="AT969" s="6"/>
      <c r="AU969" s="6"/>
      <c r="AV969" s="6"/>
      <c r="AW969" s="477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</row>
    <row r="970" spans="8:69" ht="15.75" customHeight="1" x14ac:dyDescent="0.25"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476"/>
      <c r="AN970" s="6"/>
      <c r="AO970" s="6"/>
      <c r="AP970" s="6"/>
      <c r="AQ970" s="6"/>
      <c r="AR970" s="6"/>
      <c r="AS970" s="6"/>
      <c r="AT970" s="6"/>
      <c r="AU970" s="6"/>
      <c r="AV970" s="6"/>
      <c r="AW970" s="477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</row>
    <row r="971" spans="8:69" ht="15.75" customHeight="1" x14ac:dyDescent="0.25"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476"/>
      <c r="AN971" s="6"/>
      <c r="AO971" s="6"/>
      <c r="AP971" s="6"/>
      <c r="AQ971" s="6"/>
      <c r="AR971" s="6"/>
      <c r="AS971" s="6"/>
      <c r="AT971" s="6"/>
      <c r="AU971" s="6"/>
      <c r="AV971" s="6"/>
      <c r="AW971" s="477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</row>
    <row r="972" spans="8:69" ht="15.75" customHeight="1" x14ac:dyDescent="0.25"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476"/>
      <c r="AN972" s="6"/>
      <c r="AO972" s="6"/>
      <c r="AP972" s="6"/>
      <c r="AQ972" s="6"/>
      <c r="AR972" s="6"/>
      <c r="AS972" s="6"/>
      <c r="AT972" s="6"/>
      <c r="AU972" s="6"/>
      <c r="AV972" s="6"/>
      <c r="AW972" s="477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</row>
    <row r="973" spans="8:69" ht="15.75" customHeight="1" x14ac:dyDescent="0.25"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476"/>
      <c r="AN973" s="6"/>
      <c r="AO973" s="6"/>
      <c r="AP973" s="6"/>
      <c r="AQ973" s="6"/>
      <c r="AR973" s="6"/>
      <c r="AS973" s="6"/>
      <c r="AT973" s="6"/>
      <c r="AU973" s="6"/>
      <c r="AV973" s="6"/>
      <c r="AW973" s="477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</row>
    <row r="974" spans="8:69" ht="15.75" customHeight="1" x14ac:dyDescent="0.25"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476"/>
      <c r="AN974" s="6"/>
      <c r="AO974" s="6"/>
      <c r="AP974" s="6"/>
      <c r="AQ974" s="6"/>
      <c r="AR974" s="6"/>
      <c r="AS974" s="6"/>
      <c r="AT974" s="6"/>
      <c r="AU974" s="6"/>
      <c r="AV974" s="6"/>
      <c r="AW974" s="477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</row>
    <row r="975" spans="8:69" ht="15.75" customHeight="1" x14ac:dyDescent="0.25"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476"/>
      <c r="AN975" s="6"/>
      <c r="AO975" s="6"/>
      <c r="AP975" s="6"/>
      <c r="AQ975" s="6"/>
      <c r="AR975" s="6"/>
      <c r="AS975" s="6"/>
      <c r="AT975" s="6"/>
      <c r="AU975" s="6"/>
      <c r="AV975" s="6"/>
      <c r="AW975" s="477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</row>
    <row r="976" spans="8:69" ht="15.75" customHeight="1" x14ac:dyDescent="0.25"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476"/>
      <c r="AN976" s="6"/>
      <c r="AO976" s="6"/>
      <c r="AP976" s="6"/>
      <c r="AQ976" s="6"/>
      <c r="AR976" s="6"/>
      <c r="AS976" s="6"/>
      <c r="AT976" s="6"/>
      <c r="AU976" s="6"/>
      <c r="AV976" s="6"/>
      <c r="AW976" s="477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</row>
    <row r="977" spans="8:69" ht="15.75" customHeight="1" x14ac:dyDescent="0.25"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476"/>
      <c r="AN977" s="6"/>
      <c r="AO977" s="6"/>
      <c r="AP977" s="6"/>
      <c r="AQ977" s="6"/>
      <c r="AR977" s="6"/>
      <c r="AS977" s="6"/>
      <c r="AT977" s="6"/>
      <c r="AU977" s="6"/>
      <c r="AV977" s="6"/>
      <c r="AW977" s="477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</row>
    <row r="978" spans="8:69" ht="15.75" customHeight="1" x14ac:dyDescent="0.25"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476"/>
      <c r="AN978" s="6"/>
      <c r="AO978" s="6"/>
      <c r="AP978" s="6"/>
      <c r="AQ978" s="6"/>
      <c r="AR978" s="6"/>
      <c r="AS978" s="6"/>
      <c r="AT978" s="6"/>
      <c r="AU978" s="6"/>
      <c r="AV978" s="6"/>
      <c r="AW978" s="477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</row>
    <row r="979" spans="8:69" ht="15.75" customHeight="1" x14ac:dyDescent="0.25"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476"/>
      <c r="AN979" s="6"/>
      <c r="AO979" s="6"/>
      <c r="AP979" s="6"/>
      <c r="AQ979" s="6"/>
      <c r="AR979" s="6"/>
      <c r="AS979" s="6"/>
      <c r="AT979" s="6"/>
      <c r="AU979" s="6"/>
      <c r="AV979" s="6"/>
      <c r="AW979" s="477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</row>
    <row r="980" spans="8:69" ht="15.75" customHeight="1" x14ac:dyDescent="0.25"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476"/>
      <c r="AN980" s="6"/>
      <c r="AO980" s="6"/>
      <c r="AP980" s="6"/>
      <c r="AQ980" s="6"/>
      <c r="AR980" s="6"/>
      <c r="AS980" s="6"/>
      <c r="AT980" s="6"/>
      <c r="AU980" s="6"/>
      <c r="AV980" s="6"/>
      <c r="AW980" s="477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</row>
    <row r="981" spans="8:69" ht="15.75" customHeight="1" x14ac:dyDescent="0.25"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476"/>
      <c r="AN981" s="6"/>
      <c r="AO981" s="6"/>
      <c r="AP981" s="6"/>
      <c r="AQ981" s="6"/>
      <c r="AR981" s="6"/>
      <c r="AS981" s="6"/>
      <c r="AT981" s="6"/>
      <c r="AU981" s="6"/>
      <c r="AV981" s="6"/>
      <c r="AW981" s="477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</row>
    <row r="982" spans="8:69" ht="15.75" customHeight="1" x14ac:dyDescent="0.25"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476"/>
      <c r="AN982" s="6"/>
      <c r="AO982" s="6"/>
      <c r="AP982" s="6"/>
      <c r="AQ982" s="6"/>
      <c r="AR982" s="6"/>
      <c r="AS982" s="6"/>
      <c r="AT982" s="6"/>
      <c r="AU982" s="6"/>
      <c r="AV982" s="6"/>
      <c r="AW982" s="477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</row>
    <row r="983" spans="8:69" ht="15.75" customHeight="1" x14ac:dyDescent="0.25"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476"/>
      <c r="AN983" s="6"/>
      <c r="AO983" s="6"/>
      <c r="AP983" s="6"/>
      <c r="AQ983" s="6"/>
      <c r="AR983" s="6"/>
      <c r="AS983" s="6"/>
      <c r="AT983" s="6"/>
      <c r="AU983" s="6"/>
      <c r="AV983" s="6"/>
      <c r="AW983" s="477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</row>
    <row r="984" spans="8:69" ht="15.75" customHeight="1" x14ac:dyDescent="0.25"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476"/>
      <c r="AN984" s="6"/>
      <c r="AO984" s="6"/>
      <c r="AP984" s="6"/>
      <c r="AQ984" s="6"/>
      <c r="AR984" s="6"/>
      <c r="AS984" s="6"/>
      <c r="AT984" s="6"/>
      <c r="AU984" s="6"/>
      <c r="AV984" s="6"/>
      <c r="AW984" s="477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</row>
    <row r="985" spans="8:69" ht="15.75" customHeight="1" x14ac:dyDescent="0.25"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476"/>
      <c r="AN985" s="6"/>
      <c r="AO985" s="6"/>
      <c r="AP985" s="6"/>
      <c r="AQ985" s="6"/>
      <c r="AR985" s="6"/>
      <c r="AS985" s="6"/>
      <c r="AT985" s="6"/>
      <c r="AU985" s="6"/>
      <c r="AV985" s="6"/>
      <c r="AW985" s="477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</row>
    <row r="986" spans="8:69" ht="15.75" customHeight="1" x14ac:dyDescent="0.25"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476"/>
      <c r="AN986" s="6"/>
      <c r="AO986" s="6"/>
      <c r="AP986" s="6"/>
      <c r="AQ986" s="6"/>
      <c r="AR986" s="6"/>
      <c r="AS986" s="6"/>
      <c r="AT986" s="6"/>
      <c r="AU986" s="6"/>
      <c r="AV986" s="6"/>
      <c r="AW986" s="477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</row>
    <row r="987" spans="8:69" ht="15.75" customHeight="1" x14ac:dyDescent="0.25"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476"/>
      <c r="AN987" s="6"/>
      <c r="AO987" s="6"/>
      <c r="AP987" s="6"/>
      <c r="AQ987" s="6"/>
      <c r="AR987" s="6"/>
      <c r="AS987" s="6"/>
      <c r="AT987" s="6"/>
      <c r="AU987" s="6"/>
      <c r="AV987" s="6"/>
      <c r="AW987" s="477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</row>
    <row r="988" spans="8:69" ht="15.75" customHeight="1" x14ac:dyDescent="0.25"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476"/>
      <c r="AN988" s="6"/>
      <c r="AO988" s="6"/>
      <c r="AP988" s="6"/>
      <c r="AQ988" s="6"/>
      <c r="AR988" s="6"/>
      <c r="AS988" s="6"/>
      <c r="AT988" s="6"/>
      <c r="AU988" s="6"/>
      <c r="AV988" s="6"/>
      <c r="AW988" s="477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</row>
    <row r="989" spans="8:69" ht="15.75" customHeight="1" x14ac:dyDescent="0.25"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476"/>
      <c r="AN989" s="6"/>
      <c r="AO989" s="6"/>
      <c r="AP989" s="6"/>
      <c r="AQ989" s="6"/>
      <c r="AR989" s="6"/>
      <c r="AS989" s="6"/>
      <c r="AT989" s="6"/>
      <c r="AU989" s="6"/>
      <c r="AV989" s="6"/>
      <c r="AW989" s="477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</row>
    <row r="990" spans="8:69" ht="15.75" customHeight="1" x14ac:dyDescent="0.25"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476"/>
      <c r="AN990" s="6"/>
      <c r="AO990" s="6"/>
      <c r="AP990" s="6"/>
      <c r="AQ990" s="6"/>
      <c r="AR990" s="6"/>
      <c r="AS990" s="6"/>
      <c r="AT990" s="6"/>
      <c r="AU990" s="6"/>
      <c r="AV990" s="6"/>
      <c r="AW990" s="477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</row>
    <row r="991" spans="8:69" ht="15.75" customHeight="1" x14ac:dyDescent="0.25"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476"/>
      <c r="AN991" s="6"/>
      <c r="AO991" s="6"/>
      <c r="AP991" s="6"/>
      <c r="AQ991" s="6"/>
      <c r="AR991" s="6"/>
      <c r="AS991" s="6"/>
      <c r="AT991" s="6"/>
      <c r="AU991" s="6"/>
      <c r="AV991" s="6"/>
      <c r="AW991" s="477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</row>
    <row r="992" spans="8:69" ht="15.75" customHeight="1" x14ac:dyDescent="0.25"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476"/>
      <c r="AN992" s="6"/>
      <c r="AO992" s="6"/>
      <c r="AP992" s="6"/>
      <c r="AQ992" s="6"/>
      <c r="AR992" s="6"/>
      <c r="AS992" s="6"/>
      <c r="AT992" s="6"/>
      <c r="AU992" s="6"/>
      <c r="AV992" s="6"/>
      <c r="AW992" s="477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</row>
    <row r="993" spans="8:69" ht="15.75" customHeight="1" x14ac:dyDescent="0.25"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476"/>
      <c r="AN993" s="6"/>
      <c r="AO993" s="6"/>
      <c r="AP993" s="6"/>
      <c r="AQ993" s="6"/>
      <c r="AR993" s="6"/>
      <c r="AS993" s="6"/>
      <c r="AT993" s="6"/>
      <c r="AU993" s="6"/>
      <c r="AV993" s="6"/>
      <c r="AW993" s="477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</row>
    <row r="994" spans="8:69" ht="15.75" customHeight="1" x14ac:dyDescent="0.25"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476"/>
      <c r="AN994" s="6"/>
      <c r="AO994" s="6"/>
      <c r="AP994" s="6"/>
      <c r="AQ994" s="6"/>
      <c r="AR994" s="6"/>
      <c r="AS994" s="6"/>
      <c r="AT994" s="6"/>
      <c r="AU994" s="6"/>
      <c r="AV994" s="6"/>
      <c r="AW994" s="477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</row>
    <row r="995" spans="8:69" ht="15.75" customHeight="1" x14ac:dyDescent="0.25"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476"/>
      <c r="AN995" s="6"/>
      <c r="AO995" s="6"/>
      <c r="AP995" s="6"/>
      <c r="AQ995" s="6"/>
      <c r="AR995" s="6"/>
      <c r="AS995" s="6"/>
      <c r="AT995" s="6"/>
      <c r="AU995" s="6"/>
      <c r="AV995" s="6"/>
      <c r="AW995" s="477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</row>
    <row r="996" spans="8:69" ht="15.75" customHeight="1" x14ac:dyDescent="0.25"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476"/>
      <c r="AN996" s="6"/>
      <c r="AO996" s="6"/>
      <c r="AP996" s="6"/>
      <c r="AQ996" s="6"/>
      <c r="AR996" s="6"/>
      <c r="AS996" s="6"/>
      <c r="AT996" s="6"/>
      <c r="AU996" s="6"/>
      <c r="AV996" s="6"/>
      <c r="AW996" s="477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</row>
    <row r="997" spans="8:69" ht="15.75" customHeight="1" x14ac:dyDescent="0.25"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476"/>
      <c r="AN997" s="6"/>
      <c r="AO997" s="6"/>
      <c r="AP997" s="6"/>
      <c r="AQ997" s="6"/>
      <c r="AR997" s="6"/>
      <c r="AS997" s="6"/>
      <c r="AT997" s="6"/>
      <c r="AU997" s="6"/>
      <c r="AV997" s="6"/>
      <c r="AW997" s="477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</row>
    <row r="998" spans="8:69" ht="15.75" customHeight="1" x14ac:dyDescent="0.25"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476"/>
      <c r="AN998" s="6"/>
      <c r="AO998" s="6"/>
      <c r="AP998" s="6"/>
      <c r="AQ998" s="6"/>
      <c r="AR998" s="6"/>
      <c r="AS998" s="6"/>
      <c r="AT998" s="6"/>
      <c r="AU998" s="6"/>
      <c r="AV998" s="6"/>
      <c r="AW998" s="477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</row>
    <row r="999" spans="8:69" ht="15.75" customHeight="1" x14ac:dyDescent="0.25"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476"/>
      <c r="AN999" s="6"/>
      <c r="AO999" s="6"/>
      <c r="AP999" s="6"/>
      <c r="AQ999" s="6"/>
      <c r="AR999" s="6"/>
      <c r="AS999" s="6"/>
      <c r="AT999" s="6"/>
      <c r="AU999" s="6"/>
      <c r="AV999" s="6"/>
      <c r="AW999" s="477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</row>
    <row r="1000" spans="8:69" ht="15.75" customHeight="1" x14ac:dyDescent="0.25"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47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477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</row>
  </sheetData>
  <mergeCells count="1">
    <mergeCell ref="F131:G131"/>
  </mergeCells>
  <conditionalFormatting sqref="B128">
    <cfRule type="cellIs" dxfId="60" priority="37" operator="lessThan">
      <formula>0</formula>
    </cfRule>
  </conditionalFormatting>
  <conditionalFormatting sqref="C133">
    <cfRule type="cellIs" dxfId="59" priority="39" operator="equal">
      <formula>$D$133</formula>
    </cfRule>
    <cfRule type="cellIs" dxfId="58" priority="38" operator="notEqual">
      <formula>$D$133</formula>
    </cfRule>
  </conditionalFormatting>
  <conditionalFormatting sqref="D133">
    <cfRule type="cellIs" dxfId="57" priority="41" operator="equal">
      <formula>$C$133</formula>
    </cfRule>
    <cfRule type="cellIs" dxfId="56" priority="40" operator="notEqual">
      <formula>$C$133</formula>
    </cfRule>
  </conditionalFormatting>
  <conditionalFormatting sqref="E56:E69">
    <cfRule type="containsText" dxfId="55" priority="44" operator="containsText" text="&quot;Yes&quot;">
      <formula>NOT(ISERROR(SEARCH(("""Yes"""),(E56))))</formula>
    </cfRule>
    <cfRule type="containsText" dxfId="54" priority="43" operator="containsText" text="YES">
      <formula>NOT(ISERROR(SEARCH(("YES"),(E56))))</formula>
    </cfRule>
    <cfRule type="containsText" dxfId="53" priority="42" operator="containsText" text="NO">
      <formula>NOT(ISERROR(SEARCH(("NO"),(E56))))</formula>
    </cfRule>
  </conditionalFormatting>
  <conditionalFormatting sqref="E149:E159">
    <cfRule type="cellIs" dxfId="52" priority="45" operator="lessThan">
      <formula>0</formula>
    </cfRule>
  </conditionalFormatting>
  <conditionalFormatting sqref="E137:G147">
    <cfRule type="cellIs" dxfId="51" priority="46" operator="lessThan">
      <formula>0</formula>
    </cfRule>
  </conditionalFormatting>
  <conditionalFormatting sqref="F150:G159">
    <cfRule type="cellIs" dxfId="50" priority="47" operator="lessThan">
      <formula>0</formula>
    </cfRule>
  </conditionalFormatting>
  <conditionalFormatting sqref="G128:R128">
    <cfRule type="cellIs" dxfId="49" priority="11" operator="lessThan">
      <formula>0</formula>
    </cfRule>
  </conditionalFormatting>
  <conditionalFormatting sqref="H137:H138">
    <cfRule type="cellIs" dxfId="48" priority="1" operator="lessThan">
      <formula>0</formula>
    </cfRule>
  </conditionalFormatting>
  <conditionalFormatting sqref="H162">
    <cfRule type="cellIs" dxfId="47" priority="4" operator="lessThan">
      <formula>0</formula>
    </cfRule>
  </conditionalFormatting>
  <conditionalFormatting sqref="H170">
    <cfRule type="cellIs" dxfId="46" priority="5" operator="lessThan">
      <formula>0</formula>
    </cfRule>
  </conditionalFormatting>
  <conditionalFormatting sqref="H178">
    <cfRule type="cellIs" dxfId="45" priority="6" operator="lessThan">
      <formula>0</formula>
    </cfRule>
  </conditionalFormatting>
  <conditionalFormatting sqref="H149:M159">
    <cfRule type="cellIs" dxfId="44" priority="2" operator="lessThan">
      <formula>0</formula>
    </cfRule>
  </conditionalFormatting>
  <conditionalFormatting sqref="H7:R7">
    <cfRule type="cellIs" dxfId="43" priority="20" operator="lessThan">
      <formula>0</formula>
    </cfRule>
  </conditionalFormatting>
  <conditionalFormatting sqref="H9:R53 H73 J73:R73 H74:R74">
    <cfRule type="cellIs" dxfId="42" priority="14" operator="lessThan">
      <formula>0</formula>
    </cfRule>
  </conditionalFormatting>
  <conditionalFormatting sqref="H55:R70 J91:R91">
    <cfRule type="cellIs" dxfId="41" priority="16" operator="lessThan">
      <formula>0</formula>
    </cfRule>
  </conditionalFormatting>
  <conditionalFormatting sqref="H83:R90 H95:R102">
    <cfRule type="cellIs" dxfId="40" priority="10" operator="lessThan">
      <formula>0</formula>
    </cfRule>
  </conditionalFormatting>
  <conditionalFormatting sqref="H103:R109">
    <cfRule type="cellIs" dxfId="39" priority="12" operator="lessThan">
      <formula>0</formula>
    </cfRule>
  </conditionalFormatting>
  <conditionalFormatting sqref="H110:R130">
    <cfRule type="cellIs" dxfId="38" priority="13" operator="lessThan">
      <formula>0</formula>
    </cfRule>
  </conditionalFormatting>
  <conditionalFormatting sqref="I138:J147">
    <cfRule type="cellIs" dxfId="37" priority="3" operator="lessThan">
      <formula>0</formula>
    </cfRule>
  </conditionalFormatting>
  <conditionalFormatting sqref="I148:K148 L162:M162 N162:N176 H163:M168 H171:M176 H177:N184">
    <cfRule type="cellIs" dxfId="36" priority="8" operator="lessThan">
      <formula>0</formula>
    </cfRule>
  </conditionalFormatting>
  <conditionalFormatting sqref="J135:O136">
    <cfRule type="cellIs" dxfId="35" priority="9" operator="lessThan">
      <formula>0</formula>
    </cfRule>
  </conditionalFormatting>
  <conditionalFormatting sqref="J8:R8 X60:BQ68 X71:BQ81 X83:BQ116 X117:Z117 AF117:BQ117 X136:AA136 AC136:BQ136 X137:BQ138">
    <cfRule type="cellIs" dxfId="34" priority="64" operator="lessThan">
      <formula>0</formula>
    </cfRule>
  </conditionalFormatting>
  <conditionalFormatting sqref="J54:R54 H85:I85 H92:R93">
    <cfRule type="cellIs" dxfId="33" priority="19" operator="lessThan">
      <formula>0</formula>
    </cfRule>
  </conditionalFormatting>
  <conditionalFormatting sqref="J134:R134">
    <cfRule type="cellIs" dxfId="32" priority="93" operator="lessThan">
      <formula>0</formula>
    </cfRule>
  </conditionalFormatting>
  <conditionalFormatting sqref="L170:M170">
    <cfRule type="cellIs" dxfId="31" priority="7" operator="lessThan">
      <formula>0</formula>
    </cfRule>
  </conditionalFormatting>
  <conditionalFormatting sqref="X7:BQ58">
    <cfRule type="cellIs" dxfId="30" priority="63" operator="lessThan">
      <formula>0</formula>
    </cfRule>
  </conditionalFormatting>
  <conditionalFormatting sqref="X118:BQ126">
    <cfRule type="cellIs" dxfId="29" priority="67" operator="lessThan">
      <formula>0</formula>
    </cfRule>
  </conditionalFormatting>
  <conditionalFormatting sqref="X129:BQ135">
    <cfRule type="cellIs" dxfId="28" priority="68" operator="lessThan">
      <formula>0</formula>
    </cfRule>
  </conditionalFormatting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Z401"/>
  <sheetViews>
    <sheetView showGridLines="0" topLeftCell="A6" zoomScale="85" zoomScaleNormal="85" workbookViewId="0">
      <selection activeCell="P17" sqref="P17"/>
    </sheetView>
  </sheetViews>
  <sheetFormatPr defaultColWidth="14.42578125" defaultRowHeight="15" customHeight="1" outlineLevelRow="1" x14ac:dyDescent="0.25"/>
  <cols>
    <col min="1" max="1" width="1.140625" style="1168" customWidth="1"/>
    <col min="2" max="2" width="38.42578125" style="1168" customWidth="1"/>
    <col min="3" max="3" width="8.140625" style="1168" customWidth="1"/>
    <col min="4" max="4" width="16.140625" style="1168" bestFit="1" customWidth="1"/>
    <col min="5" max="5" width="20.7109375" style="1168" bestFit="1" customWidth="1"/>
    <col min="6" max="6" width="9.7109375" style="1168" customWidth="1"/>
    <col min="7" max="11" width="11.42578125" style="1168" customWidth="1"/>
    <col min="12" max="12" width="10.7109375" style="1168" customWidth="1"/>
    <col min="13" max="13" width="11.7109375" style="1168" customWidth="1"/>
    <col min="14" max="14" width="10.42578125" style="1168" customWidth="1"/>
    <col min="15" max="15" width="12.85546875" style="1168" customWidth="1"/>
    <col min="16" max="16" width="12.5703125" style="1168" customWidth="1"/>
    <col min="17" max="126" width="10.28515625" style="1168" customWidth="1"/>
    <col min="127" max="127" width="9.140625" style="1168" customWidth="1"/>
    <col min="128" max="130" width="8.7109375" style="1168" hidden="1" customWidth="1"/>
    <col min="131" max="16384" width="14.42578125" style="1168"/>
  </cols>
  <sheetData>
    <row r="1" spans="1:130" ht="28.5" customHeight="1" x14ac:dyDescent="0.3">
      <c r="A1" s="1169"/>
      <c r="B1" s="1922" t="str">
        <f>IF(NAME="","Insert Project Name on Prelim Page",NAME)</f>
        <v>Town Center</v>
      </c>
      <c r="C1" s="1922"/>
      <c r="D1" s="1922"/>
      <c r="E1" s="1922"/>
      <c r="F1" s="1922"/>
      <c r="G1" s="1922"/>
      <c r="H1" s="1922"/>
      <c r="I1" s="1922"/>
      <c r="J1" s="1922"/>
      <c r="K1" s="1922"/>
      <c r="L1" s="1922"/>
      <c r="M1" s="1922"/>
      <c r="N1" s="1922"/>
      <c r="O1" s="1922"/>
      <c r="P1" s="1922"/>
      <c r="Q1" s="1922"/>
      <c r="R1" s="1922"/>
      <c r="S1" s="1922"/>
      <c r="T1" s="1922"/>
      <c r="U1" s="1922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K1" s="1169"/>
      <c r="AL1" s="1169"/>
      <c r="AM1" s="1169"/>
      <c r="AN1" s="1169"/>
      <c r="AO1" s="1169"/>
      <c r="AP1" s="1169"/>
      <c r="AQ1" s="1169"/>
      <c r="AR1" s="1169"/>
      <c r="AS1" s="1169"/>
      <c r="AT1" s="1169"/>
      <c r="AU1" s="1169"/>
      <c r="AV1" s="1169"/>
      <c r="AW1" s="1169"/>
      <c r="AX1" s="1169"/>
      <c r="AY1" s="1169"/>
      <c r="AZ1" s="1169"/>
      <c r="BA1" s="1169"/>
      <c r="BB1" s="1169"/>
      <c r="BC1" s="1169"/>
      <c r="BD1" s="1169"/>
      <c r="BE1" s="1169"/>
      <c r="BF1" s="1169"/>
      <c r="BG1" s="1169"/>
      <c r="BH1" s="1169"/>
      <c r="BI1" s="1169"/>
      <c r="BJ1" s="1169"/>
      <c r="BK1" s="1169"/>
      <c r="BL1" s="1169"/>
      <c r="BM1" s="1169"/>
      <c r="BN1" s="1169"/>
      <c r="BO1" s="1169"/>
      <c r="BP1" s="1169"/>
      <c r="BQ1" s="1169"/>
      <c r="BR1" s="1169"/>
      <c r="BS1" s="1169"/>
      <c r="BT1" s="1169"/>
      <c r="BU1" s="1169"/>
      <c r="BV1" s="1169"/>
      <c r="BW1" s="1169"/>
      <c r="BX1" s="1169"/>
      <c r="BY1" s="1169"/>
      <c r="BZ1" s="1169"/>
      <c r="CA1" s="1169"/>
      <c r="CB1" s="1169"/>
      <c r="CC1" s="1169"/>
      <c r="CD1" s="1169"/>
      <c r="CE1" s="1169"/>
      <c r="CF1" s="1169"/>
      <c r="CG1" s="1169"/>
      <c r="CH1" s="1169"/>
      <c r="CI1" s="1169"/>
      <c r="CJ1" s="1169"/>
      <c r="CK1" s="1169"/>
      <c r="CL1" s="1169"/>
      <c r="CM1" s="1169"/>
      <c r="CN1" s="1169"/>
      <c r="CO1" s="1169"/>
      <c r="CP1" s="1169"/>
      <c r="CQ1" s="1169"/>
      <c r="CR1" s="1169"/>
      <c r="CS1" s="1169"/>
      <c r="CT1" s="1169"/>
      <c r="CU1" s="1169"/>
      <c r="CV1" s="1169"/>
      <c r="CW1" s="1169"/>
      <c r="CX1" s="1169"/>
      <c r="CY1" s="1169"/>
      <c r="CZ1" s="1169"/>
      <c r="DA1" s="1169"/>
      <c r="DB1" s="1169"/>
      <c r="DC1" s="1169"/>
      <c r="DD1" s="1169"/>
      <c r="DE1" s="1169"/>
      <c r="DF1" s="1169"/>
      <c r="DG1" s="1169"/>
      <c r="DH1" s="1169"/>
      <c r="DI1" s="1169"/>
      <c r="DJ1" s="1169"/>
      <c r="DK1" s="1169"/>
      <c r="DL1" s="1169"/>
      <c r="DM1" s="1169"/>
      <c r="DN1" s="1169"/>
      <c r="DO1" s="1169"/>
      <c r="DP1" s="1169"/>
      <c r="DQ1" s="1169"/>
      <c r="DR1" s="1169"/>
      <c r="DS1" s="1169"/>
      <c r="DT1" s="1169"/>
      <c r="DU1" s="1169"/>
      <c r="DV1" s="1169"/>
      <c r="DW1" s="1169"/>
      <c r="DX1" s="1169"/>
      <c r="DY1" s="1169"/>
      <c r="DZ1" s="1169"/>
    </row>
    <row r="2" spans="1:130" ht="20.25" customHeight="1" x14ac:dyDescent="0.25">
      <c r="A2" s="1169"/>
      <c r="B2" s="1923" t="str">
        <f>CITY</f>
        <v>Santa Maria, CA 93454</v>
      </c>
      <c r="C2" s="1923"/>
      <c r="D2" s="1923"/>
      <c r="E2" s="1923"/>
      <c r="F2" s="1923"/>
      <c r="G2" s="1923"/>
      <c r="H2" s="1923"/>
      <c r="I2" s="1923"/>
      <c r="J2" s="1923"/>
      <c r="K2" s="1923"/>
      <c r="L2" s="1923"/>
      <c r="M2" s="1923"/>
      <c r="N2" s="1923"/>
      <c r="O2" s="1923"/>
      <c r="P2" s="1923"/>
      <c r="Q2" s="1923"/>
      <c r="R2" s="1923"/>
      <c r="S2" s="1923"/>
      <c r="T2" s="1923"/>
      <c r="U2" s="1923"/>
      <c r="V2" s="1169"/>
      <c r="W2" s="1169"/>
      <c r="X2" s="1169"/>
      <c r="Y2" s="1169"/>
      <c r="Z2" s="1169"/>
      <c r="AA2" s="1169"/>
      <c r="AB2" s="1169"/>
      <c r="AC2" s="1169"/>
      <c r="AD2" s="1169"/>
      <c r="AE2" s="1169"/>
      <c r="AF2" s="1169"/>
      <c r="AG2" s="1169"/>
      <c r="AH2" s="1169"/>
      <c r="AI2" s="1169"/>
      <c r="AJ2" s="1169"/>
      <c r="AK2" s="1169"/>
      <c r="AL2" s="1169"/>
      <c r="AM2" s="1169"/>
      <c r="AN2" s="1169"/>
      <c r="AO2" s="1169"/>
      <c r="AP2" s="1169"/>
      <c r="AQ2" s="1169"/>
      <c r="AR2" s="1169"/>
      <c r="AS2" s="1169"/>
      <c r="AT2" s="1169"/>
      <c r="AU2" s="1169"/>
      <c r="AV2" s="1169"/>
      <c r="AW2" s="1169"/>
      <c r="AX2" s="1169"/>
      <c r="AY2" s="1169"/>
      <c r="AZ2" s="1169"/>
      <c r="BA2" s="1169"/>
      <c r="BB2" s="1169"/>
      <c r="BC2" s="1169"/>
      <c r="BD2" s="1169"/>
      <c r="BE2" s="1169"/>
      <c r="BF2" s="1169"/>
      <c r="BG2" s="1169"/>
      <c r="BH2" s="1169"/>
      <c r="BI2" s="1169"/>
      <c r="BJ2" s="1169"/>
      <c r="BK2" s="1169"/>
      <c r="BL2" s="1169"/>
      <c r="BM2" s="1169"/>
      <c r="BN2" s="1169"/>
      <c r="BO2" s="1169"/>
      <c r="BP2" s="1169"/>
      <c r="BQ2" s="1169"/>
      <c r="BR2" s="1169"/>
      <c r="BS2" s="1169"/>
      <c r="BT2" s="1169"/>
      <c r="BU2" s="1169"/>
      <c r="BV2" s="1169"/>
      <c r="BW2" s="1169"/>
      <c r="BX2" s="1169"/>
      <c r="BY2" s="1169"/>
      <c r="BZ2" s="1169"/>
      <c r="CA2" s="1169"/>
      <c r="CB2" s="1169"/>
      <c r="CC2" s="1169"/>
      <c r="CD2" s="1169"/>
      <c r="CE2" s="1169"/>
      <c r="CF2" s="1169"/>
      <c r="CG2" s="1169"/>
      <c r="CH2" s="1169"/>
      <c r="CI2" s="1169"/>
      <c r="CJ2" s="1169"/>
      <c r="CK2" s="1169"/>
      <c r="CL2" s="1169"/>
      <c r="CM2" s="1169"/>
      <c r="CN2" s="1169"/>
      <c r="CO2" s="1169"/>
      <c r="CP2" s="1169"/>
      <c r="CQ2" s="1169"/>
      <c r="CR2" s="1169"/>
      <c r="CS2" s="1169"/>
      <c r="CT2" s="1169"/>
      <c r="CU2" s="1169"/>
      <c r="CV2" s="1169"/>
      <c r="CW2" s="1169"/>
      <c r="CX2" s="1169"/>
      <c r="CY2" s="1169"/>
      <c r="CZ2" s="1169"/>
      <c r="DA2" s="1169"/>
      <c r="DB2" s="1169"/>
      <c r="DC2" s="1169"/>
      <c r="DD2" s="1169"/>
      <c r="DE2" s="1169"/>
      <c r="DF2" s="1169"/>
      <c r="DG2" s="1169"/>
      <c r="DH2" s="1169"/>
      <c r="DI2" s="1169"/>
      <c r="DJ2" s="1169"/>
      <c r="DK2" s="1169"/>
      <c r="DL2" s="1169"/>
      <c r="DM2" s="1169"/>
      <c r="DN2" s="1169"/>
      <c r="DO2" s="1169"/>
      <c r="DP2" s="1169"/>
      <c r="DQ2" s="1169"/>
      <c r="DR2" s="1169"/>
      <c r="DS2" s="1169"/>
      <c r="DT2" s="1169"/>
      <c r="DU2" s="1169"/>
      <c r="DV2" s="1169"/>
      <c r="DW2" s="1169"/>
      <c r="DX2" s="1169"/>
      <c r="DY2" s="1169"/>
      <c r="DZ2" s="1169"/>
    </row>
    <row r="3" spans="1:130" ht="12.75" customHeight="1" x14ac:dyDescent="0.25">
      <c r="A3" s="6"/>
      <c r="B3" s="579" t="s">
        <v>648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1653"/>
      <c r="O3" s="1979"/>
      <c r="P3" s="1980"/>
      <c r="Q3" s="579"/>
      <c r="R3" s="579"/>
      <c r="S3" s="579"/>
      <c r="T3" s="579"/>
      <c r="U3" s="579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ht="12.75" customHeight="1" x14ac:dyDescent="0.25">
      <c r="A4" s="6"/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1653"/>
      <c r="O4" s="1653"/>
      <c r="P4" s="165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</row>
    <row r="5" spans="1:130" ht="12.75" customHeight="1" x14ac:dyDescent="0.25">
      <c r="A5" s="6"/>
      <c r="B5" s="23" t="s">
        <v>371</v>
      </c>
      <c r="C5" s="271"/>
      <c r="D5" s="1173" t="s">
        <v>372</v>
      </c>
      <c r="E5" s="1174">
        <f>IF(D5="Equity Multiple",0,1)</f>
        <v>1</v>
      </c>
      <c r="F5" s="1172"/>
      <c r="G5" s="1172"/>
      <c r="H5" s="1172"/>
      <c r="I5" s="1172"/>
      <c r="J5" s="1172"/>
      <c r="K5" s="1172"/>
      <c r="L5" s="1172"/>
      <c r="M5" s="1172"/>
      <c r="N5" s="1172"/>
      <c r="O5" s="1172"/>
      <c r="P5" s="1172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</row>
    <row r="6" spans="1:130" ht="12.75" customHeight="1" x14ac:dyDescent="0.25">
      <c r="A6" s="6"/>
      <c r="B6" s="23" t="s">
        <v>373</v>
      </c>
      <c r="C6" s="271"/>
      <c r="D6" s="12" t="s">
        <v>374</v>
      </c>
      <c r="E6" s="271"/>
      <c r="F6" s="1172"/>
      <c r="G6" s="1172"/>
      <c r="H6" s="1172"/>
      <c r="I6" s="1172"/>
      <c r="J6" s="1172"/>
      <c r="K6" s="12" t="s">
        <v>375</v>
      </c>
      <c r="L6" s="1175">
        <f>'Monthly DCF'!I3</f>
        <v>46418</v>
      </c>
      <c r="M6" s="1172"/>
      <c r="N6" s="1172"/>
      <c r="O6" s="1172"/>
      <c r="P6" s="1172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</row>
    <row r="7" spans="1:130" ht="4.5" customHeight="1" x14ac:dyDescent="0.25">
      <c r="A7" s="6"/>
      <c r="B7" s="6"/>
      <c r="C7" s="6"/>
      <c r="D7" s="12"/>
      <c r="E7" s="6"/>
      <c r="F7" s="10"/>
      <c r="G7" s="10"/>
      <c r="H7" s="10"/>
      <c r="I7" s="10"/>
      <c r="J7" s="10"/>
      <c r="K7" s="10"/>
      <c r="L7" s="10"/>
      <c r="M7" s="1172"/>
      <c r="N7" s="10"/>
      <c r="O7" s="10"/>
      <c r="P7" s="10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</row>
    <row r="8" spans="1:130" ht="12.75" customHeight="1" x14ac:dyDescent="0.25">
      <c r="A8" s="6"/>
      <c r="B8" s="77" t="s">
        <v>376</v>
      </c>
      <c r="C8" s="1176" t="s">
        <v>377</v>
      </c>
      <c r="D8" s="1176" t="s">
        <v>211</v>
      </c>
      <c r="E8" s="6"/>
      <c r="F8" s="212"/>
      <c r="G8" s="10"/>
      <c r="H8" s="10"/>
      <c r="I8" s="10"/>
      <c r="J8" s="10"/>
      <c r="K8" s="10"/>
      <c r="L8" s="10"/>
      <c r="M8" s="1172"/>
      <c r="N8" s="10"/>
      <c r="O8" s="10"/>
      <c r="P8" s="1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</row>
    <row r="9" spans="1:130" ht="12.75" customHeight="1" x14ac:dyDescent="0.25">
      <c r="A9" s="6"/>
      <c r="B9" s="6" t="s">
        <v>378</v>
      </c>
      <c r="C9" s="1177">
        <f>D9/SUM(D9:D10)</f>
        <v>0.45503392395516223</v>
      </c>
      <c r="D9" s="1178">
        <f>EQUITY</f>
        <v>4592371.3268850893</v>
      </c>
      <c r="E9" s="6"/>
      <c r="F9" s="7"/>
      <c r="G9" s="1179"/>
      <c r="H9" s="10"/>
      <c r="I9" s="10"/>
      <c r="J9" s="10"/>
      <c r="K9" s="1180" t="s">
        <v>379</v>
      </c>
      <c r="L9" s="1181" t="str">
        <f>IF(L11=L10,"OK","Error")</f>
        <v>OK</v>
      </c>
      <c r="M9" s="10"/>
      <c r="N9" s="10"/>
      <c r="O9" s="10"/>
      <c r="P9" s="1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</row>
    <row r="10" spans="1:130" ht="12.75" customHeight="1" x14ac:dyDescent="0.25">
      <c r="A10" s="6"/>
      <c r="B10" s="6" t="s">
        <v>380</v>
      </c>
      <c r="C10" s="1177">
        <f>1-C9</f>
        <v>0.54496607604483782</v>
      </c>
      <c r="D10" s="1182">
        <f>JVEQUITY</f>
        <v>5500000</v>
      </c>
      <c r="E10" s="6"/>
      <c r="F10" s="7"/>
      <c r="G10" s="1179"/>
      <c r="H10" s="10"/>
      <c r="I10" s="10"/>
      <c r="J10" s="10"/>
      <c r="K10" s="1183" t="s">
        <v>381</v>
      </c>
      <c r="L10" s="1184">
        <f>ROUND((D36+D47),0)/1000000</f>
        <v>-7.0660920000000003</v>
      </c>
      <c r="M10" s="10"/>
      <c r="N10" s="10"/>
      <c r="O10" s="10"/>
      <c r="P10" s="10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</row>
    <row r="11" spans="1:130" ht="12.75" customHeight="1" x14ac:dyDescent="0.25">
      <c r="A11" s="6"/>
      <c r="B11" s="6" t="s">
        <v>314</v>
      </c>
      <c r="C11" s="1185"/>
      <c r="D11" s="1178">
        <f>IF(C11="Annual",-SUMIF(F57:P57,"&lt;0"),-SUMIF(F160:DV160,"&lt;0"))</f>
        <v>10092372</v>
      </c>
      <c r="E11" s="6"/>
      <c r="F11" s="7"/>
      <c r="G11" s="1179"/>
      <c r="H11" s="10"/>
      <c r="I11" s="10"/>
      <c r="J11" s="10"/>
      <c r="K11" s="1186" t="s">
        <v>382</v>
      </c>
      <c r="L11" s="1187">
        <f>ROUND(SUM(F56:P56),0)/1000000</f>
        <v>-7.0660920000000003</v>
      </c>
      <c r="M11" s="10"/>
      <c r="N11" s="10"/>
      <c r="O11" s="10"/>
      <c r="P11" s="10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</row>
    <row r="12" spans="1:130" ht="0.75" customHeight="1" x14ac:dyDescent="0.25">
      <c r="A12" s="6"/>
      <c r="B12" s="6"/>
      <c r="C12" s="1188"/>
      <c r="D12" s="205"/>
      <c r="E12" s="6"/>
      <c r="F12" s="7"/>
      <c r="G12" s="1179"/>
      <c r="H12" s="10"/>
      <c r="I12" s="10"/>
      <c r="J12" s="10"/>
      <c r="K12" s="10"/>
      <c r="L12" s="10"/>
      <c r="M12" s="10"/>
      <c r="N12" s="10"/>
      <c r="O12" s="10"/>
      <c r="P12" s="10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</row>
    <row r="13" spans="1:130" ht="14.25" customHeight="1" x14ac:dyDescent="0.25">
      <c r="A13" s="6"/>
      <c r="B13" s="6"/>
      <c r="C13" s="6"/>
      <c r="D13" s="12"/>
      <c r="E13" s="6"/>
      <c r="F13" s="1981" t="s">
        <v>383</v>
      </c>
      <c r="G13" s="1982"/>
      <c r="H13" s="1984" t="s">
        <v>384</v>
      </c>
      <c r="I13" s="1985"/>
      <c r="J13" s="1190"/>
      <c r="K13" s="10"/>
      <c r="L13" s="10"/>
      <c r="M13" s="10"/>
      <c r="N13" s="10"/>
      <c r="O13" s="10"/>
      <c r="P13" s="10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</row>
    <row r="14" spans="1:130" ht="12.75" customHeight="1" x14ac:dyDescent="0.25">
      <c r="A14" s="6"/>
      <c r="B14" s="77" t="str">
        <f>IF(D5="Equity Multiple","Promote Structure (Equity Multiple Hurdles)","Promote Structure (IRR Hurdles)")</f>
        <v>Promote Structure (IRR Hurdles)</v>
      </c>
      <c r="C14" s="78"/>
      <c r="D14" s="1191"/>
      <c r="E14" s="78"/>
      <c r="F14" s="1969"/>
      <c r="G14" s="1983"/>
      <c r="H14" s="1192" t="s">
        <v>385</v>
      </c>
      <c r="I14" s="1192" t="s">
        <v>386</v>
      </c>
      <c r="J14" s="1193" t="s">
        <v>387</v>
      </c>
      <c r="K14" s="1194"/>
      <c r="L14" s="1194"/>
      <c r="M14" s="1194"/>
      <c r="N14" s="1194"/>
      <c r="O14" s="10"/>
      <c r="P14" s="10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</row>
    <row r="15" spans="1:130" ht="12.75" customHeight="1" x14ac:dyDescent="0.25">
      <c r="A15" s="6"/>
      <c r="B15" s="6" t="s">
        <v>388</v>
      </c>
      <c r="C15" s="1189" t="s">
        <v>389</v>
      </c>
      <c r="D15" s="1195" t="s">
        <v>390</v>
      </c>
      <c r="E15" s="1196">
        <f t="shared" ref="E15:E17" si="0">IF($D$5="Equity Multiple",C16,D16)</f>
        <v>0.15</v>
      </c>
      <c r="F15" s="1986" t="s">
        <v>391</v>
      </c>
      <c r="G15" s="1987"/>
      <c r="H15" s="1197">
        <f>Equity_Share_Sponsor</f>
        <v>0.45503392395516223</v>
      </c>
      <c r="I15" s="1188">
        <f t="shared" ref="I15:I18" si="1">1-H15</f>
        <v>0.54496607604483782</v>
      </c>
      <c r="J15" s="1988" t="str">
        <f>IF(I15=Equity_Share_LP,"Pref prorata to LP/Sponsor, then Pro rata return of capital","Return of capital and Pref NOT pro rata")</f>
        <v>Pref prorata to LP/Sponsor, then Pro rata return of capital</v>
      </c>
      <c r="K15" s="1989"/>
      <c r="L15" s="1989"/>
      <c r="M15" s="1989"/>
      <c r="N15" s="1989"/>
      <c r="O15" s="10"/>
      <c r="P15" s="10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</row>
    <row r="16" spans="1:130" ht="12.75" customHeight="1" x14ac:dyDescent="0.25">
      <c r="A16" s="6"/>
      <c r="B16" s="6" t="s">
        <v>392</v>
      </c>
      <c r="C16" s="1198">
        <v>0</v>
      </c>
      <c r="D16" s="1199">
        <v>0.15</v>
      </c>
      <c r="E16" s="1200">
        <f t="shared" si="0"/>
        <v>0.25</v>
      </c>
      <c r="F16" s="1990">
        <v>0.3</v>
      </c>
      <c r="G16" s="1982"/>
      <c r="H16" s="1201">
        <f>1-(Equity_Share_LP*(1-F16))</f>
        <v>0.61852374676861355</v>
      </c>
      <c r="I16" s="1188">
        <f t="shared" si="1"/>
        <v>0.38147625323138645</v>
      </c>
      <c r="J16" s="1991" t="str">
        <f>IF(Equity_Share_Sponsor&lt;&gt;H15,TEXT(I15,"0.0%")&amp;"/"&amp;TEXT(H15,"0.0%")&amp;" to "&amp;(IF(D5="IRR",TEXT(E15,"0.0%"),TEXT(E15,"0.0X")))&amp;", then "&amp;TEXT(I16,"0.0%")&amp;"/"&amp;TEXT(H16,"0.0%")&amp;" to "&amp;(IF(D5="IRR",TEXT(E16,"0.0%"),TEXT(E16,"0.0X"))),"Prorata to LP/Sponsor to "&amp;(IF(D5="IRR",TEXT(E15,"0.0%"),TEXT(E15,"0.0X")))&amp;", then "&amp;TEXT(I16,"0.0%")&amp;"/"&amp;TEXT(H16,"0.0%")&amp;" to "&amp;(IF(D5="IRR",TEXT(E16,"0.0%"),TEXT(E16,"0.0X"))))</f>
        <v>Prorata to LP/Sponsor to 15.0%, then 38.1%/61.9% to 25.0%</v>
      </c>
      <c r="K16" s="1985"/>
      <c r="L16" s="1985"/>
      <c r="M16" s="1985"/>
      <c r="N16" s="1985"/>
      <c r="O16" s="10"/>
      <c r="P16" s="10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</row>
    <row r="17" spans="1:130" ht="12.75" customHeight="1" x14ac:dyDescent="0.25">
      <c r="A17" s="6"/>
      <c r="B17" s="6" t="s">
        <v>393</v>
      </c>
      <c r="C17" s="1198">
        <v>0</v>
      </c>
      <c r="D17" s="1199">
        <v>0.25</v>
      </c>
      <c r="E17" s="1200">
        <f t="shared" si="0"/>
        <v>0.4</v>
      </c>
      <c r="F17" s="1990">
        <v>0.5</v>
      </c>
      <c r="G17" s="1982"/>
      <c r="H17" s="1201">
        <f>1-(Equity_Share_LP*(1-F17))</f>
        <v>0.72751696197758109</v>
      </c>
      <c r="I17" s="1188">
        <f t="shared" si="1"/>
        <v>0.27248303802241891</v>
      </c>
      <c r="J17" s="1991" t="str">
        <f>TEXT(I16,"0.0%")&amp;"/"&amp;TEXT(H16,"0.0%")&amp;" to "&amp;(IF(D5="IRR",TEXT(E16,"0.0%"),TEXT(E16,"0.0X")))&amp;", then "&amp;TEXT(I17,"0.0%")&amp;"/"&amp;TEXT(H17,"0.0%")&amp;" to "&amp;(IF(D5="IRR",TEXT(E17,"0.0%"),TEXT(E17,"0.0X")))</f>
        <v>38.1%/61.9% to 25.0%, then 27.2%/72.8% to 40.0%</v>
      </c>
      <c r="K17" s="1985"/>
      <c r="L17" s="1985"/>
      <c r="M17" s="1985"/>
      <c r="N17" s="1985"/>
      <c r="O17" s="10"/>
      <c r="P17" s="10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</row>
    <row r="18" spans="1:130" ht="12.75" customHeight="1" x14ac:dyDescent="0.25">
      <c r="A18" s="6"/>
      <c r="B18" s="6" t="s">
        <v>394</v>
      </c>
      <c r="C18" s="1198">
        <v>0</v>
      </c>
      <c r="D18" s="1199">
        <v>0.4</v>
      </c>
      <c r="E18" s="1200"/>
      <c r="F18" s="1990">
        <v>0.9</v>
      </c>
      <c r="G18" s="1982"/>
      <c r="H18" s="1201">
        <f>1-(Equity_Share_LP*(1-F18))</f>
        <v>0.94550339239551628</v>
      </c>
      <c r="I18" s="1188">
        <f t="shared" si="1"/>
        <v>5.4496607604483716E-2</v>
      </c>
      <c r="J18" s="1991" t="str">
        <f>TEXT(I17,"0.0%")&amp;"/"&amp;TEXT(H17,"0.0%")&amp;" to "&amp;(IF(D5="IRR",TEXT(E17,"0.0%"),TEXT(E17,"0.0X")))&amp;", then "&amp;TEXT(I18,"0.0%")&amp;"/"&amp;TEXT(H18,"0.0%")&amp;" thereafter"</f>
        <v>27.2%/72.8% to 40.0%, then 5.4%/94.6% thereafter</v>
      </c>
      <c r="K18" s="1985"/>
      <c r="L18" s="1985"/>
      <c r="M18" s="1985"/>
      <c r="N18" s="1985"/>
      <c r="O18" s="10"/>
      <c r="P18" s="10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</row>
    <row r="19" spans="1:130" ht="4.5" customHeight="1" x14ac:dyDescent="0.25">
      <c r="A19" s="6"/>
      <c r="B19" s="6"/>
      <c r="C19" s="6"/>
      <c r="D19" s="1202"/>
      <c r="E19" s="1200"/>
      <c r="F19" s="1179"/>
      <c r="G19" s="136"/>
      <c r="H19" s="458"/>
      <c r="I19" s="458"/>
      <c r="J19" s="10"/>
      <c r="K19" s="10"/>
      <c r="L19" s="10"/>
      <c r="M19" s="10"/>
      <c r="N19" s="10"/>
      <c r="O19" s="10"/>
      <c r="P19" s="10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</row>
    <row r="20" spans="1:130" ht="12.75" customHeight="1" x14ac:dyDescent="0.25">
      <c r="A20" s="6"/>
      <c r="B20" s="6" t="s">
        <v>395</v>
      </c>
      <c r="C20" s="6"/>
      <c r="D20" s="1199" t="s">
        <v>396</v>
      </c>
      <c r="E20" s="1200"/>
      <c r="F20" s="1179"/>
      <c r="G20" s="136"/>
      <c r="H20" s="458"/>
      <c r="I20" s="458"/>
      <c r="J20" s="10"/>
      <c r="K20" s="10"/>
      <c r="L20" s="10"/>
      <c r="M20" s="10"/>
      <c r="N20" s="10"/>
      <c r="O20" s="10"/>
      <c r="P20" s="10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</row>
    <row r="21" spans="1:130" ht="12.75" customHeight="1" x14ac:dyDescent="0.25">
      <c r="A21" s="6"/>
      <c r="B21" s="6"/>
      <c r="C21" s="6"/>
      <c r="D21" s="1202"/>
      <c r="E21" s="1200"/>
      <c r="F21" s="10" t="s">
        <v>397</v>
      </c>
      <c r="G21" s="136"/>
      <c r="H21" s="458"/>
      <c r="I21" s="458"/>
      <c r="J21" s="10"/>
      <c r="K21" s="10"/>
      <c r="L21" s="10"/>
      <c r="M21" s="10"/>
      <c r="N21" s="10"/>
      <c r="O21" s="10"/>
      <c r="P21" s="10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</row>
    <row r="22" spans="1:130" ht="12.75" hidden="1" customHeight="1" x14ac:dyDescent="0.25">
      <c r="A22" s="6"/>
      <c r="B22" s="77" t="s">
        <v>398</v>
      </c>
      <c r="C22" s="1191" t="s">
        <v>377</v>
      </c>
      <c r="D22" s="1203" t="s">
        <v>399</v>
      </c>
      <c r="E22" s="1203" t="s">
        <v>400</v>
      </c>
      <c r="F22" s="1203" t="s">
        <v>401</v>
      </c>
      <c r="G22" s="136"/>
      <c r="H22" s="458"/>
      <c r="I22" s="458"/>
      <c r="J22" s="10"/>
      <c r="K22" s="10"/>
      <c r="L22" s="10"/>
      <c r="M22" s="10"/>
      <c r="N22" s="10"/>
      <c r="O22" s="10"/>
      <c r="P22" s="10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</row>
    <row r="23" spans="1:130" ht="12.75" hidden="1" customHeight="1" x14ac:dyDescent="0.25">
      <c r="A23" s="6"/>
      <c r="B23" s="7" t="s">
        <v>402</v>
      </c>
      <c r="C23" s="1204">
        <v>0</v>
      </c>
      <c r="D23" s="1205"/>
      <c r="E23" s="239">
        <f>+D23*C23/12</f>
        <v>0</v>
      </c>
      <c r="F23" s="1178" t="s">
        <v>403</v>
      </c>
      <c r="G23" s="136"/>
      <c r="H23" s="458"/>
      <c r="I23" s="458"/>
      <c r="J23" s="10"/>
      <c r="K23" s="10"/>
      <c r="L23" s="10"/>
      <c r="M23" s="10"/>
      <c r="N23" s="10"/>
      <c r="O23" s="10"/>
      <c r="P23" s="10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</row>
    <row r="24" spans="1:130" ht="12.75" hidden="1" customHeight="1" x14ac:dyDescent="0.25">
      <c r="A24" s="6"/>
      <c r="B24" s="7" t="s">
        <v>404</v>
      </c>
      <c r="C24" s="1204">
        <v>0</v>
      </c>
      <c r="D24" s="1206"/>
      <c r="E24" s="239">
        <f t="shared" ref="E24:E25" si="2">+D24*C24</f>
        <v>0</v>
      </c>
      <c r="F24" s="1178" t="s">
        <v>405</v>
      </c>
      <c r="G24" s="136"/>
      <c r="H24" s="458"/>
      <c r="I24" s="458"/>
      <c r="J24" s="10"/>
      <c r="K24" s="10"/>
      <c r="L24" s="10"/>
      <c r="M24" s="10"/>
      <c r="N24" s="10"/>
      <c r="O24" s="10"/>
      <c r="P24" s="10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</row>
    <row r="25" spans="1:130" ht="12.75" hidden="1" customHeight="1" x14ac:dyDescent="0.25">
      <c r="A25" s="6"/>
      <c r="B25" s="7" t="s">
        <v>406</v>
      </c>
      <c r="C25" s="1204">
        <v>0</v>
      </c>
      <c r="D25" s="1206"/>
      <c r="E25" s="239">
        <f t="shared" si="2"/>
        <v>0</v>
      </c>
      <c r="F25" s="1178" t="s">
        <v>407</v>
      </c>
      <c r="G25" s="136"/>
      <c r="H25" s="458"/>
      <c r="I25" s="458"/>
      <c r="J25" s="10"/>
      <c r="K25" s="10"/>
      <c r="L25" s="10"/>
      <c r="M25" s="10"/>
      <c r="N25" s="10"/>
      <c r="O25" s="10"/>
      <c r="P25" s="10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</row>
    <row r="26" spans="1:130" ht="12.75" customHeight="1" x14ac:dyDescent="0.25">
      <c r="A26" s="6"/>
      <c r="B26" s="6"/>
      <c r="C26" s="6"/>
      <c r="D26" s="1202"/>
      <c r="E26" s="1200"/>
      <c r="F26" s="1179"/>
      <c r="G26" s="136"/>
      <c r="H26" s="458"/>
      <c r="I26" s="458"/>
      <c r="J26" s="10"/>
      <c r="K26" s="10"/>
      <c r="L26" s="10"/>
      <c r="M26" s="10"/>
      <c r="N26" s="10"/>
      <c r="O26" s="10"/>
      <c r="P26" s="10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</row>
    <row r="27" spans="1:130" ht="12.75" hidden="1" customHeight="1" x14ac:dyDescent="0.25">
      <c r="A27" s="6"/>
      <c r="B27" s="1170" t="s">
        <v>408</v>
      </c>
      <c r="C27" s="1170"/>
      <c r="D27" s="1170"/>
      <c r="E27" s="1170"/>
      <c r="F27" s="1170"/>
      <c r="G27" s="1170"/>
      <c r="H27" s="1170"/>
      <c r="I27" s="1170"/>
      <c r="J27" s="1170"/>
      <c r="K27" s="1170"/>
      <c r="L27" s="1170"/>
      <c r="M27" s="1170"/>
      <c r="N27" s="1170"/>
      <c r="O27" s="1170"/>
      <c r="P27" s="1170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</row>
    <row r="28" spans="1:130" ht="12.75" hidden="1" customHeight="1" x14ac:dyDescent="0.25">
      <c r="A28" s="6"/>
      <c r="B28" s="314" t="str">
        <f>IF(Construction_Length&gt;0,"IT IS RECOMMENDED TO USE MONTHLY CASH FLOW WHEN DEVELOPMENT MODULE IS ACTIVATED","")</f>
        <v>IT IS RECOMMENDED TO USE MONTHLY CASH FLOW WHEN DEVELOPMENT MODULE IS ACTIVATED</v>
      </c>
      <c r="C28" s="6"/>
      <c r="D28" s="1202"/>
      <c r="E28" s="1200"/>
      <c r="F28" s="1179"/>
      <c r="G28" s="136"/>
      <c r="H28" s="458"/>
      <c r="I28" s="458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</row>
    <row r="29" spans="1:130" ht="12.75" hidden="1" customHeight="1" x14ac:dyDescent="0.25">
      <c r="A29" s="6"/>
      <c r="B29" s="77" t="s">
        <v>409</v>
      </c>
      <c r="C29" s="78"/>
      <c r="D29" s="1207"/>
      <c r="E29" s="1208"/>
      <c r="F29" s="1191" t="s">
        <v>410</v>
      </c>
      <c r="G29" s="1209">
        <v>1</v>
      </c>
      <c r="H29" s="1209">
        <f t="shared" ref="H29:P29" si="3">IF(H57="","",G29+1)</f>
        <v>2</v>
      </c>
      <c r="I29" s="1209">
        <f t="shared" si="3"/>
        <v>3</v>
      </c>
      <c r="J29" s="1209">
        <f t="shared" si="3"/>
        <v>4</v>
      </c>
      <c r="K29" s="1209">
        <f t="shared" si="3"/>
        <v>5</v>
      </c>
      <c r="L29" s="1209">
        <f t="shared" si="3"/>
        <v>6</v>
      </c>
      <c r="M29" s="1209">
        <f t="shared" si="3"/>
        <v>7</v>
      </c>
      <c r="N29" s="1209">
        <f t="shared" si="3"/>
        <v>8</v>
      </c>
      <c r="O29" s="1209">
        <f t="shared" si="3"/>
        <v>9</v>
      </c>
      <c r="P29" s="1209">
        <f t="shared" si="3"/>
        <v>10</v>
      </c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</row>
    <row r="30" spans="1:130" ht="12.75" hidden="1" customHeight="1" x14ac:dyDescent="0.25">
      <c r="A30" s="6"/>
      <c r="B30" s="1210" t="s">
        <v>411</v>
      </c>
      <c r="C30" s="6"/>
      <c r="D30" s="1202"/>
      <c r="E30" s="1200"/>
      <c r="F30" s="1211"/>
      <c r="G30" s="1178"/>
      <c r="H30" s="1178"/>
      <c r="I30" s="1178"/>
      <c r="J30" s="1178"/>
      <c r="K30" s="1178"/>
      <c r="L30" s="1178"/>
      <c r="M30" s="1178"/>
      <c r="N30" s="1178"/>
      <c r="O30" s="1178"/>
      <c r="P30" s="117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</row>
    <row r="31" spans="1:130" ht="12.75" hidden="1" customHeight="1" x14ac:dyDescent="0.25">
      <c r="A31" s="6"/>
      <c r="B31" s="7" t="s">
        <v>412</v>
      </c>
      <c r="C31" s="6"/>
      <c r="D31" s="523">
        <f>SUM(F65:P65)</f>
        <v>14003691.549636807</v>
      </c>
      <c r="E31" s="1200"/>
      <c r="F31" s="1178"/>
      <c r="G31" s="1178"/>
      <c r="H31" s="1178"/>
      <c r="I31" s="1178"/>
      <c r="J31" s="1178"/>
      <c r="K31" s="1178"/>
      <c r="L31" s="1178"/>
      <c r="M31" s="1178"/>
      <c r="N31" s="1178"/>
      <c r="O31" s="1178"/>
      <c r="P31" s="1178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</row>
    <row r="32" spans="1:130" ht="12.75" hidden="1" customHeight="1" x14ac:dyDescent="0.25">
      <c r="A32" s="6"/>
      <c r="B32" s="7" t="s">
        <v>373</v>
      </c>
      <c r="C32" s="6"/>
      <c r="D32" s="523">
        <f>D35</f>
        <v>5500000.3668247918</v>
      </c>
      <c r="E32" s="1200"/>
      <c r="F32" s="1178"/>
      <c r="G32" s="1178"/>
      <c r="H32" s="1178"/>
      <c r="I32" s="1178"/>
      <c r="J32" s="1178"/>
      <c r="K32" s="1178"/>
      <c r="L32" s="1178"/>
      <c r="M32" s="1178"/>
      <c r="N32" s="1178"/>
      <c r="O32" s="1178"/>
      <c r="P32" s="1178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</row>
    <row r="33" spans="1:130" ht="12.75" hidden="1" customHeight="1" x14ac:dyDescent="0.25">
      <c r="A33" s="6"/>
      <c r="B33" s="7" t="s">
        <v>413</v>
      </c>
      <c r="C33" s="6"/>
      <c r="D33" s="1212">
        <f>SUM(F34:P34)-D32-D31</f>
        <v>-17854471.979848627</v>
      </c>
      <c r="E33" s="1200"/>
      <c r="F33" s="1178"/>
      <c r="G33" s="1178"/>
      <c r="H33" s="1178"/>
      <c r="I33" s="1178"/>
      <c r="J33" s="1178"/>
      <c r="K33" s="1178"/>
      <c r="L33" s="1178"/>
      <c r="M33" s="1178"/>
      <c r="N33" s="1178"/>
      <c r="O33" s="1178"/>
      <c r="P33" s="117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</row>
    <row r="34" spans="1:130" ht="12.75" hidden="1" customHeight="1" x14ac:dyDescent="0.25">
      <c r="A34" s="6"/>
      <c r="B34" s="7" t="s">
        <v>414</v>
      </c>
      <c r="C34" s="6"/>
      <c r="D34" s="523">
        <f>SUM(D31:D33)</f>
        <v>1649219.9366129711</v>
      </c>
      <c r="E34" s="1200"/>
      <c r="F34" s="1178">
        <f t="shared" ref="F34:P34" si="4">IF(F29="","",F70+F88+F103+F110)</f>
        <v>0</v>
      </c>
      <c r="G34" s="1178">
        <f t="shared" si="4"/>
        <v>0</v>
      </c>
      <c r="H34" s="1178">
        <f t="shared" si="4"/>
        <v>0</v>
      </c>
      <c r="I34" s="1178">
        <f t="shared" si="4"/>
        <v>114494.10278056416</v>
      </c>
      <c r="J34" s="1178">
        <f t="shared" si="4"/>
        <v>140857.38167530924</v>
      </c>
      <c r="K34" s="1178">
        <f t="shared" si="4"/>
        <v>167220.66057005432</v>
      </c>
      <c r="L34" s="1178">
        <f t="shared" si="4"/>
        <v>193583.93946479939</v>
      </c>
      <c r="M34" s="1178">
        <f t="shared" si="4"/>
        <v>219947.21835954447</v>
      </c>
      <c r="N34" s="1178">
        <f t="shared" si="4"/>
        <v>246310.49725428954</v>
      </c>
      <c r="O34" s="1178">
        <f t="shared" si="4"/>
        <v>272673.77614903462</v>
      </c>
      <c r="P34" s="1178">
        <f t="shared" si="4"/>
        <v>294132.36035937612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</row>
    <row r="35" spans="1:130" ht="12.75" hidden="1" customHeight="1" x14ac:dyDescent="0.25">
      <c r="A35" s="6"/>
      <c r="B35" s="7" t="s">
        <v>415</v>
      </c>
      <c r="C35" s="6"/>
      <c r="D35" s="1212">
        <f>SUM(F35:P35)</f>
        <v>5500000.3668247918</v>
      </c>
      <c r="E35" s="1200"/>
      <c r="F35" s="1178">
        <f t="shared" ref="F35:P35" si="5">F66</f>
        <v>2045560.6845345572</v>
      </c>
      <c r="G35" s="1178">
        <f t="shared" si="5"/>
        <v>3454439.6822902346</v>
      </c>
      <c r="H35" s="1178">
        <f t="shared" si="5"/>
        <v>0</v>
      </c>
      <c r="I35" s="1178">
        <f t="shared" si="5"/>
        <v>0</v>
      </c>
      <c r="J35" s="1178">
        <f t="shared" si="5"/>
        <v>0</v>
      </c>
      <c r="K35" s="1178">
        <f t="shared" si="5"/>
        <v>0</v>
      </c>
      <c r="L35" s="1178">
        <f t="shared" si="5"/>
        <v>0</v>
      </c>
      <c r="M35" s="1178">
        <f t="shared" si="5"/>
        <v>0</v>
      </c>
      <c r="N35" s="1178">
        <f t="shared" si="5"/>
        <v>0</v>
      </c>
      <c r="O35" s="1178">
        <f t="shared" si="5"/>
        <v>0</v>
      </c>
      <c r="P35" s="1178">
        <f t="shared" si="5"/>
        <v>0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</row>
    <row r="36" spans="1:130" ht="12.75" hidden="1" customHeight="1" x14ac:dyDescent="0.25">
      <c r="A36" s="6"/>
      <c r="B36" s="7" t="s">
        <v>416</v>
      </c>
      <c r="C36" s="6"/>
      <c r="D36" s="523">
        <f>D34-D35</f>
        <v>-3850780.4302118206</v>
      </c>
      <c r="E36" s="1200"/>
      <c r="F36" s="1211"/>
      <c r="G36" s="1178"/>
      <c r="H36" s="1178"/>
      <c r="I36" s="1178"/>
      <c r="J36" s="1178"/>
      <c r="K36" s="1178"/>
      <c r="L36" s="1178"/>
      <c r="M36" s="1178"/>
      <c r="N36" s="1178"/>
      <c r="O36" s="1178"/>
      <c r="P36" s="1178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</row>
    <row r="37" spans="1:130" ht="12.75" hidden="1" customHeight="1" x14ac:dyDescent="0.25">
      <c r="A37" s="6"/>
      <c r="B37" s="7" t="s">
        <v>417</v>
      </c>
      <c r="C37" s="6"/>
      <c r="D37" s="196">
        <f>IRR(F37:P37)</f>
        <v>-0.16001274951853783</v>
      </c>
      <c r="E37" s="1200"/>
      <c r="F37" s="1178">
        <f t="shared" ref="F37:P37" si="6">IF(F29="","",(-F35)+F34)</f>
        <v>-2045560.6845345572</v>
      </c>
      <c r="G37" s="1178">
        <f t="shared" si="6"/>
        <v>-3454439.6822902346</v>
      </c>
      <c r="H37" s="1178">
        <f t="shared" si="6"/>
        <v>0</v>
      </c>
      <c r="I37" s="1178">
        <f t="shared" si="6"/>
        <v>114494.10278056416</v>
      </c>
      <c r="J37" s="1178">
        <f t="shared" si="6"/>
        <v>140857.38167530924</v>
      </c>
      <c r="K37" s="1178">
        <f t="shared" si="6"/>
        <v>167220.66057005432</v>
      </c>
      <c r="L37" s="1178">
        <f t="shared" si="6"/>
        <v>193583.93946479939</v>
      </c>
      <c r="M37" s="1178">
        <f t="shared" si="6"/>
        <v>219947.21835954447</v>
      </c>
      <c r="N37" s="1178">
        <f t="shared" si="6"/>
        <v>246310.49725428954</v>
      </c>
      <c r="O37" s="1178">
        <f t="shared" si="6"/>
        <v>272673.77614903462</v>
      </c>
      <c r="P37" s="1178">
        <f t="shared" si="6"/>
        <v>294132.36035937612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</row>
    <row r="38" spans="1:130" ht="12.75" hidden="1" customHeight="1" x14ac:dyDescent="0.25">
      <c r="A38" s="6"/>
      <c r="B38" s="7" t="s">
        <v>418</v>
      </c>
      <c r="C38" s="6"/>
      <c r="D38" s="1213">
        <f>D34/D35</f>
        <v>0.29985815029410318</v>
      </c>
      <c r="E38" s="1200"/>
      <c r="F38" s="1211"/>
      <c r="G38" s="1178"/>
      <c r="H38" s="1178"/>
      <c r="I38" s="1178"/>
      <c r="J38" s="1178"/>
      <c r="K38" s="1178"/>
      <c r="L38" s="1178"/>
      <c r="M38" s="1178"/>
      <c r="N38" s="1178"/>
      <c r="O38" s="1178"/>
      <c r="P38" s="1178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</row>
    <row r="39" spans="1:130" ht="4.5" hidden="1" customHeight="1" x14ac:dyDescent="0.25">
      <c r="A39" s="6"/>
      <c r="B39" s="7"/>
      <c r="C39" s="6"/>
      <c r="D39" s="1202"/>
      <c r="E39" s="1200"/>
      <c r="F39" s="1211"/>
      <c r="G39" s="1178"/>
      <c r="H39" s="1178"/>
      <c r="I39" s="1178"/>
      <c r="J39" s="1178"/>
      <c r="K39" s="1178"/>
      <c r="L39" s="1178"/>
      <c r="M39" s="1178"/>
      <c r="N39" s="1178"/>
      <c r="O39" s="1178"/>
      <c r="P39" s="1178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</row>
    <row r="40" spans="1:130" ht="12.75" hidden="1" customHeight="1" x14ac:dyDescent="0.25">
      <c r="A40" s="6"/>
      <c r="B40" s="1210" t="s">
        <v>419</v>
      </c>
      <c r="C40" s="6"/>
      <c r="D40" s="1202"/>
      <c r="E40" s="1200"/>
      <c r="F40" s="1211"/>
      <c r="G40" s="1178"/>
      <c r="H40" s="1178"/>
      <c r="I40" s="1178"/>
      <c r="J40" s="1178"/>
      <c r="K40" s="1178"/>
      <c r="L40" s="1178"/>
      <c r="M40" s="1178"/>
      <c r="N40" s="1178"/>
      <c r="O40" s="1178"/>
      <c r="P40" s="1178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</row>
    <row r="41" spans="1:130" ht="12.75" hidden="1" customHeight="1" x14ac:dyDescent="0.25">
      <c r="A41" s="6"/>
      <c r="B41" s="7" t="s">
        <v>412</v>
      </c>
      <c r="C41" s="6"/>
      <c r="D41" s="523">
        <f>D31/I15*H15</f>
        <v>11692754.82601729</v>
      </c>
      <c r="E41" s="1200"/>
      <c r="F41" s="1178"/>
      <c r="G41" s="1178"/>
      <c r="H41" s="1178"/>
      <c r="I41" s="1178"/>
      <c r="J41" s="1178"/>
      <c r="K41" s="1178"/>
      <c r="L41" s="1178"/>
      <c r="M41" s="1178"/>
      <c r="N41" s="1178"/>
      <c r="O41" s="1178"/>
      <c r="P41" s="1178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</row>
    <row r="42" spans="1:130" ht="12.75" hidden="1" customHeight="1" x14ac:dyDescent="0.25">
      <c r="A42" s="6"/>
      <c r="B42" s="7" t="s">
        <v>373</v>
      </c>
      <c r="C42" s="6"/>
      <c r="D42" s="523">
        <f>D46</f>
        <v>4592371.6331752082</v>
      </c>
      <c r="E42" s="1200"/>
      <c r="F42" s="1214"/>
      <c r="G42" s="1178"/>
      <c r="H42" s="1178"/>
      <c r="I42" s="1178"/>
      <c r="J42" s="1178"/>
      <c r="K42" s="1178"/>
      <c r="L42" s="1178"/>
      <c r="M42" s="1178"/>
      <c r="N42" s="1178"/>
      <c r="O42" s="1178"/>
      <c r="P42" s="1178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</row>
    <row r="43" spans="1:130" ht="12.75" hidden="1" customHeight="1" x14ac:dyDescent="0.25">
      <c r="A43" s="6"/>
      <c r="B43" s="7" t="s">
        <v>413</v>
      </c>
      <c r="C43" s="6"/>
      <c r="D43" s="523">
        <f>D33/Equity_Share_LP*Equity_Share_Sponsor</f>
        <v>-14908066.395805469</v>
      </c>
      <c r="E43" s="1200"/>
      <c r="F43" s="1178"/>
      <c r="G43" s="1178"/>
      <c r="H43" s="1178"/>
      <c r="I43" s="1178"/>
      <c r="J43" s="1178"/>
      <c r="K43" s="1178"/>
      <c r="L43" s="1178"/>
      <c r="M43" s="1178"/>
      <c r="N43" s="1178"/>
      <c r="O43" s="1178"/>
      <c r="P43" s="1178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</row>
    <row r="44" spans="1:130" ht="12.75" hidden="1" customHeight="1" x14ac:dyDescent="0.25">
      <c r="A44" s="6"/>
      <c r="B44" s="7" t="s">
        <v>420</v>
      </c>
      <c r="C44" s="6"/>
      <c r="D44" s="1212">
        <f>SUM(F45:P45)-SUM(D41:D43)</f>
        <v>-2.3283064365386963E-9</v>
      </c>
      <c r="E44" s="1200"/>
      <c r="F44" s="1178"/>
      <c r="G44" s="1178"/>
      <c r="H44" s="1178"/>
      <c r="I44" s="1178"/>
      <c r="J44" s="1178"/>
      <c r="K44" s="1178"/>
      <c r="L44" s="1178"/>
      <c r="M44" s="1178"/>
      <c r="N44" s="1178"/>
      <c r="O44" s="1178"/>
      <c r="P44" s="1178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</row>
    <row r="45" spans="1:130" ht="12.75" hidden="1" customHeight="1" x14ac:dyDescent="0.25">
      <c r="A45" s="6"/>
      <c r="B45" s="7" t="s">
        <v>421</v>
      </c>
      <c r="C45" s="6"/>
      <c r="D45" s="523">
        <f>SUM(D41:D44)</f>
        <v>1377060.0633870284</v>
      </c>
      <c r="E45" s="1200"/>
      <c r="F45" s="1178">
        <f t="shared" ref="F45:P45" si="7">IF(F29="","",F73+F89+F104+F111+F53)</f>
        <v>0</v>
      </c>
      <c r="G45" s="1178">
        <f t="shared" si="7"/>
        <v>0</v>
      </c>
      <c r="H45" s="1178">
        <f t="shared" si="7"/>
        <v>0</v>
      </c>
      <c r="I45" s="1178">
        <f t="shared" si="7"/>
        <v>95599.89721943585</v>
      </c>
      <c r="J45" s="1178">
        <f t="shared" si="7"/>
        <v>117612.61832469079</v>
      </c>
      <c r="K45" s="1178">
        <f t="shared" si="7"/>
        <v>139625.33942994571</v>
      </c>
      <c r="L45" s="1178">
        <f t="shared" si="7"/>
        <v>161638.06053520064</v>
      </c>
      <c r="M45" s="1178">
        <f t="shared" si="7"/>
        <v>183650.78164045556</v>
      </c>
      <c r="N45" s="1178">
        <f t="shared" si="7"/>
        <v>205663.50274571049</v>
      </c>
      <c r="O45" s="1178">
        <f t="shared" si="7"/>
        <v>227676.22385096541</v>
      </c>
      <c r="P45" s="1178">
        <f t="shared" si="7"/>
        <v>245593.63964062388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</row>
    <row r="46" spans="1:130" ht="12.75" hidden="1" customHeight="1" x14ac:dyDescent="0.25">
      <c r="A46" s="6"/>
      <c r="B46" s="7" t="s">
        <v>422</v>
      </c>
      <c r="C46" s="6"/>
      <c r="D46" s="1212">
        <f>SUM(F46:P46)</f>
        <v>4592371.6331752082</v>
      </c>
      <c r="E46" s="1200"/>
      <c r="F46" s="1178">
        <f t="shared" ref="F46:P46" si="8">IF(F29="","",-(MIN(F57,0)+F66))</f>
        <v>1707995.3154654428</v>
      </c>
      <c r="G46" s="1178">
        <f t="shared" si="8"/>
        <v>2884376.3177097654</v>
      </c>
      <c r="H46" s="1178">
        <f t="shared" si="8"/>
        <v>0</v>
      </c>
      <c r="I46" s="1178">
        <f t="shared" si="8"/>
        <v>0</v>
      </c>
      <c r="J46" s="1178">
        <f t="shared" si="8"/>
        <v>0</v>
      </c>
      <c r="K46" s="1178">
        <f t="shared" si="8"/>
        <v>0</v>
      </c>
      <c r="L46" s="1178">
        <f t="shared" si="8"/>
        <v>0</v>
      </c>
      <c r="M46" s="1178">
        <f t="shared" si="8"/>
        <v>0</v>
      </c>
      <c r="N46" s="1178">
        <f t="shared" si="8"/>
        <v>0</v>
      </c>
      <c r="O46" s="1178">
        <f t="shared" si="8"/>
        <v>0</v>
      </c>
      <c r="P46" s="1178">
        <f t="shared" si="8"/>
        <v>0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</row>
    <row r="47" spans="1:130" ht="12.75" hidden="1" customHeight="1" x14ac:dyDescent="0.25">
      <c r="A47" s="6"/>
      <c r="B47" s="7" t="s">
        <v>423</v>
      </c>
      <c r="C47" s="6"/>
      <c r="D47" s="523">
        <f>+D45-D46</f>
        <v>-3215311.5697881798</v>
      </c>
      <c r="E47" s="1215"/>
      <c r="F47" s="1211"/>
      <c r="G47" s="1178"/>
      <c r="H47" s="1178"/>
      <c r="I47" s="1178"/>
      <c r="J47" s="1178"/>
      <c r="K47" s="1178"/>
      <c r="L47" s="1178"/>
      <c r="M47" s="1178"/>
      <c r="N47" s="1178"/>
      <c r="O47" s="1178"/>
      <c r="P47" s="1178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</row>
    <row r="48" spans="1:130" ht="12.75" hidden="1" customHeight="1" x14ac:dyDescent="0.25">
      <c r="A48" s="6"/>
      <c r="B48" s="7" t="s">
        <v>424</v>
      </c>
      <c r="C48" s="6"/>
      <c r="D48" s="1216">
        <f>IFERROR(IRR(F48:P48),"NA")</f>
        <v>-0.16001274951853783</v>
      </c>
      <c r="E48" s="1200"/>
      <c r="F48" s="1178">
        <f t="shared" ref="F48:P48" si="9">IF(F29="","",(-F46)+F45)</f>
        <v>-1707995.3154654428</v>
      </c>
      <c r="G48" s="1178">
        <f t="shared" si="9"/>
        <v>-2884376.3177097654</v>
      </c>
      <c r="H48" s="1178">
        <f t="shared" si="9"/>
        <v>0</v>
      </c>
      <c r="I48" s="1178">
        <f t="shared" si="9"/>
        <v>95599.89721943585</v>
      </c>
      <c r="J48" s="1178">
        <f t="shared" si="9"/>
        <v>117612.61832469079</v>
      </c>
      <c r="K48" s="1178">
        <f t="shared" si="9"/>
        <v>139625.33942994571</v>
      </c>
      <c r="L48" s="1178">
        <f t="shared" si="9"/>
        <v>161638.06053520064</v>
      </c>
      <c r="M48" s="1178">
        <f t="shared" si="9"/>
        <v>183650.78164045556</v>
      </c>
      <c r="N48" s="1178">
        <f t="shared" si="9"/>
        <v>205663.50274571049</v>
      </c>
      <c r="O48" s="1178">
        <f t="shared" si="9"/>
        <v>227676.22385096541</v>
      </c>
      <c r="P48" s="1178">
        <f t="shared" si="9"/>
        <v>245593.63964062388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</row>
    <row r="49" spans="1:130" ht="12.75" hidden="1" customHeight="1" x14ac:dyDescent="0.25">
      <c r="A49" s="6"/>
      <c r="B49" s="7" t="s">
        <v>425</v>
      </c>
      <c r="C49" s="6"/>
      <c r="D49" s="1217">
        <f>IFERROR(SUMIF(F48:P48,"&gt;0")/-SUMIF(F48:P48,"&lt;0"),"NA")</f>
        <v>0.29985815029410334</v>
      </c>
      <c r="E49" s="1200"/>
      <c r="F49" s="1211"/>
      <c r="G49" s="1178"/>
      <c r="H49" s="1178"/>
      <c r="I49" s="1178"/>
      <c r="J49" s="1178"/>
      <c r="K49" s="1178"/>
      <c r="L49" s="1178"/>
      <c r="M49" s="1178"/>
      <c r="N49" s="1178"/>
      <c r="O49" s="1178"/>
      <c r="P49" s="1178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</row>
    <row r="50" spans="1:130" ht="4.5" hidden="1" customHeight="1" x14ac:dyDescent="0.25">
      <c r="A50" s="6"/>
      <c r="B50" s="1218"/>
      <c r="C50" s="314"/>
      <c r="D50" s="1219"/>
      <c r="E50" s="6"/>
      <c r="F50" s="1178"/>
      <c r="G50" s="1178"/>
      <c r="H50" s="1178"/>
      <c r="I50" s="1178"/>
      <c r="J50" s="1178"/>
      <c r="K50" s="1178"/>
      <c r="L50" s="1178"/>
      <c r="M50" s="1178"/>
      <c r="N50" s="1178"/>
      <c r="O50" s="1178"/>
      <c r="P50" s="1178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</row>
    <row r="51" spans="1:130" ht="12.75" hidden="1" customHeight="1" outlineLevel="1" x14ac:dyDescent="0.25">
      <c r="A51" s="6"/>
      <c r="B51" s="77" t="s">
        <v>426</v>
      </c>
      <c r="C51" s="78"/>
      <c r="D51" s="78"/>
      <c r="E51" s="1194"/>
      <c r="F51" s="1209">
        <v>0</v>
      </c>
      <c r="G51" s="1209">
        <f t="shared" ref="G51:P51" si="10">G29</f>
        <v>1</v>
      </c>
      <c r="H51" s="1209">
        <f t="shared" si="10"/>
        <v>2</v>
      </c>
      <c r="I51" s="1209">
        <f t="shared" si="10"/>
        <v>3</v>
      </c>
      <c r="J51" s="1209">
        <f t="shared" si="10"/>
        <v>4</v>
      </c>
      <c r="K51" s="1209">
        <f t="shared" si="10"/>
        <v>5</v>
      </c>
      <c r="L51" s="1209">
        <f t="shared" si="10"/>
        <v>6</v>
      </c>
      <c r="M51" s="1209">
        <f t="shared" si="10"/>
        <v>7</v>
      </c>
      <c r="N51" s="1209">
        <f t="shared" si="10"/>
        <v>8</v>
      </c>
      <c r="O51" s="1209">
        <f t="shared" si="10"/>
        <v>9</v>
      </c>
      <c r="P51" s="1209">
        <f t="shared" si="10"/>
        <v>10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</row>
    <row r="52" spans="1:130" ht="12.75" hidden="1" customHeight="1" outlineLevel="1" x14ac:dyDescent="0.25">
      <c r="A52" s="6"/>
      <c r="B52" s="6" t="s">
        <v>398</v>
      </c>
      <c r="C52" s="6"/>
      <c r="D52" s="1220" t="s">
        <v>377</v>
      </c>
      <c r="E52" s="1220" t="s">
        <v>427</v>
      </c>
      <c r="F52" s="1221">
        <f>'Monthly DCF'!H3</f>
        <v>46387</v>
      </c>
      <c r="G52" s="1222">
        <f>EDATE(F52,1)</f>
        <v>46418</v>
      </c>
      <c r="H52" s="1222">
        <f t="shared" ref="H52:P52" si="11">EDATE(G52,12)</f>
        <v>46783</v>
      </c>
      <c r="I52" s="1222">
        <f t="shared" si="11"/>
        <v>47149</v>
      </c>
      <c r="J52" s="1222">
        <f t="shared" si="11"/>
        <v>47514</v>
      </c>
      <c r="K52" s="1222">
        <f t="shared" si="11"/>
        <v>47879</v>
      </c>
      <c r="L52" s="1222">
        <f t="shared" si="11"/>
        <v>48244</v>
      </c>
      <c r="M52" s="1222">
        <f t="shared" si="11"/>
        <v>48610</v>
      </c>
      <c r="N52" s="1222">
        <f t="shared" si="11"/>
        <v>48975</v>
      </c>
      <c r="O52" s="1222">
        <f t="shared" si="11"/>
        <v>49340</v>
      </c>
      <c r="P52" s="1222">
        <f t="shared" si="11"/>
        <v>49705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</row>
    <row r="53" spans="1:130" ht="12.75" hidden="1" customHeight="1" outlineLevel="1" x14ac:dyDescent="0.25">
      <c r="A53" s="6"/>
      <c r="B53" s="7" t="s">
        <v>428</v>
      </c>
      <c r="C53" s="6"/>
      <c r="D53" s="51">
        <f t="shared" ref="D53:E53" si="12">+C23</f>
        <v>0</v>
      </c>
      <c r="E53" s="1223">
        <f t="shared" si="12"/>
        <v>0</v>
      </c>
      <c r="F53" s="1223">
        <f>IF(Construction_Module_On?,0,D24*C24)</f>
        <v>0</v>
      </c>
      <c r="G53" s="1223">
        <f>IF(G56="","",$D$23*$C$23+(H56="")*($C$25*$D$25)+IF(Construction_Module_On?,D24*C24))</f>
        <v>0</v>
      </c>
      <c r="H53" s="1223">
        <f t="shared" ref="H53:P53" si="13">IF(H56="","",$D$23*$C$23+(I56="")*($C$25*$D$25))</f>
        <v>0</v>
      </c>
      <c r="I53" s="1223">
        <f t="shared" si="13"/>
        <v>0</v>
      </c>
      <c r="J53" s="1223">
        <f t="shared" si="13"/>
        <v>0</v>
      </c>
      <c r="K53" s="1223">
        <f t="shared" si="13"/>
        <v>0</v>
      </c>
      <c r="L53" s="1223">
        <f t="shared" si="13"/>
        <v>0</v>
      </c>
      <c r="M53" s="1223">
        <f t="shared" si="13"/>
        <v>0</v>
      </c>
      <c r="N53" s="1223">
        <f t="shared" si="13"/>
        <v>0</v>
      </c>
      <c r="O53" s="1223">
        <f t="shared" si="13"/>
        <v>0</v>
      </c>
      <c r="P53" s="1223">
        <f t="shared" si="13"/>
        <v>0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</row>
    <row r="54" spans="1:130" ht="12.75" hidden="1" customHeight="1" outlineLevel="1" x14ac:dyDescent="0.25">
      <c r="A54" s="6"/>
      <c r="B54" s="7" t="s">
        <v>404</v>
      </c>
      <c r="C54" s="6"/>
      <c r="D54" s="51">
        <f t="shared" ref="D54:E54" si="14">+C24</f>
        <v>0</v>
      </c>
      <c r="E54" s="1223">
        <f t="shared" si="14"/>
        <v>0</v>
      </c>
      <c r="F54" s="1205"/>
      <c r="G54" s="1223"/>
      <c r="H54" s="1223"/>
      <c r="I54" s="1223"/>
      <c r="J54" s="1223"/>
      <c r="K54" s="1223"/>
      <c r="L54" s="1223"/>
      <c r="M54" s="1223"/>
      <c r="N54" s="1223"/>
      <c r="O54" s="1223"/>
      <c r="P54" s="1223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</row>
    <row r="55" spans="1:130" ht="12.75" hidden="1" customHeight="1" outlineLevel="1" x14ac:dyDescent="0.25">
      <c r="A55" s="6"/>
      <c r="B55" s="7" t="s">
        <v>406</v>
      </c>
      <c r="C55" s="6"/>
      <c r="D55" s="51">
        <f t="shared" ref="D55:E55" si="15">+C25</f>
        <v>0</v>
      </c>
      <c r="E55" s="1223">
        <f t="shared" si="15"/>
        <v>0</v>
      </c>
      <c r="F55" s="1205"/>
      <c r="G55" s="1223"/>
      <c r="H55" s="1223"/>
      <c r="I55" s="1223"/>
      <c r="J55" s="1223"/>
      <c r="K55" s="1223"/>
      <c r="L55" s="1223"/>
      <c r="M55" s="1223"/>
      <c r="N55" s="1223"/>
      <c r="O55" s="1223"/>
      <c r="P55" s="1223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</row>
    <row r="56" spans="1:130" ht="12.75" hidden="1" customHeight="1" outlineLevel="1" x14ac:dyDescent="0.25">
      <c r="A56" s="6"/>
      <c r="B56" s="7" t="s">
        <v>429</v>
      </c>
      <c r="C56" s="6"/>
      <c r="D56" s="6"/>
      <c r="E56" s="523"/>
      <c r="F56" s="1224">
        <f>F159</f>
        <v>-3753556</v>
      </c>
      <c r="G56" s="1224">
        <f>SUM(G159:R159)</f>
        <v>-6338816</v>
      </c>
      <c r="H56" s="1224">
        <f>SUM(S159:AD159)</f>
        <v>0</v>
      </c>
      <c r="I56" s="1224">
        <f t="shared" ref="I56:P56" si="16">SUM(AE159:AP159)</f>
        <v>210094</v>
      </c>
      <c r="J56" s="1225">
        <f>SUM(AF159:AQ159)</f>
        <v>258470</v>
      </c>
      <c r="K56" s="1225">
        <f t="shared" si="16"/>
        <v>306846</v>
      </c>
      <c r="L56" s="1225">
        <f t="shared" si="16"/>
        <v>355222</v>
      </c>
      <c r="M56" s="1225">
        <f t="shared" si="16"/>
        <v>403598</v>
      </c>
      <c r="N56" s="1225">
        <f t="shared" si="16"/>
        <v>451974</v>
      </c>
      <c r="O56" s="1225">
        <f t="shared" si="16"/>
        <v>500350</v>
      </c>
      <c r="P56" s="1225">
        <f t="shared" si="16"/>
        <v>539726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</row>
    <row r="57" spans="1:130" ht="12.75" hidden="1" customHeight="1" outlineLevel="1" x14ac:dyDescent="0.25">
      <c r="A57" s="6"/>
      <c r="B57" s="6" t="s">
        <v>430</v>
      </c>
      <c r="C57" s="6"/>
      <c r="D57" s="6"/>
      <c r="E57" s="523"/>
      <c r="F57" s="1178">
        <f t="shared" ref="F57:P57" si="17">IF(F56="","",F56-F53)</f>
        <v>-3753556</v>
      </c>
      <c r="G57" s="1178">
        <f t="shared" si="17"/>
        <v>-6338816</v>
      </c>
      <c r="H57" s="1178">
        <f t="shared" si="17"/>
        <v>0</v>
      </c>
      <c r="I57" s="1178">
        <f t="shared" si="17"/>
        <v>210094</v>
      </c>
      <c r="J57" s="1178">
        <f t="shared" si="17"/>
        <v>258470</v>
      </c>
      <c r="K57" s="1178">
        <f t="shared" si="17"/>
        <v>306846</v>
      </c>
      <c r="L57" s="1178">
        <f t="shared" si="17"/>
        <v>355222</v>
      </c>
      <c r="M57" s="1178">
        <f t="shared" si="17"/>
        <v>403598</v>
      </c>
      <c r="N57" s="1178">
        <f t="shared" si="17"/>
        <v>451974</v>
      </c>
      <c r="O57" s="1178">
        <f t="shared" si="17"/>
        <v>500350</v>
      </c>
      <c r="P57" s="1178">
        <f t="shared" si="17"/>
        <v>539726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</row>
    <row r="58" spans="1:130" ht="12.75" hidden="1" customHeight="1" outlineLevel="1" x14ac:dyDescent="0.25">
      <c r="A58" s="6"/>
      <c r="B58" s="7" t="s">
        <v>431</v>
      </c>
      <c r="C58" s="6"/>
      <c r="D58" s="6"/>
      <c r="E58" s="6"/>
      <c r="F58" s="1216">
        <f>IRR(F57:P57)</f>
        <v>-0.16001274951853761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</row>
    <row r="59" spans="1:130" ht="12.75" hidden="1" customHeight="1" outlineLevel="1" x14ac:dyDescent="0.25">
      <c r="A59" s="6"/>
      <c r="B59" s="7" t="s">
        <v>432</v>
      </c>
      <c r="C59" s="6"/>
      <c r="D59" s="6"/>
      <c r="E59" s="6"/>
      <c r="F59" s="1226">
        <f>SUMIF(F57:P57,"&gt;0")/-SUMIF(F57:P57,"&lt;0")</f>
        <v>0.29985815029410329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</row>
    <row r="60" spans="1:130" ht="4.5" hidden="1" customHeight="1" outlineLevel="1" x14ac:dyDescent="0.25">
      <c r="A60" s="6"/>
      <c r="B60" s="6"/>
      <c r="C60" s="6"/>
      <c r="D60" s="6"/>
      <c r="E60" s="12"/>
      <c r="F60" s="1227"/>
      <c r="G60" s="12"/>
      <c r="H60" s="12"/>
      <c r="I60" s="12"/>
      <c r="J60" s="12"/>
      <c r="K60" s="12"/>
      <c r="L60" s="12"/>
      <c r="M60" s="12"/>
      <c r="N60" s="12"/>
      <c r="O60" s="12"/>
      <c r="P60" s="1227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</row>
    <row r="61" spans="1:130" ht="12.75" hidden="1" customHeight="1" outlineLevel="1" x14ac:dyDescent="0.25">
      <c r="A61" s="6"/>
      <c r="B61" s="23" t="s">
        <v>433</v>
      </c>
      <c r="C61" s="6"/>
      <c r="D61" s="6"/>
      <c r="E61" s="6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</row>
    <row r="62" spans="1:130" ht="12.75" hidden="1" customHeight="1" outlineLevel="1" x14ac:dyDescent="0.25">
      <c r="A62" s="6"/>
      <c r="B62" s="1228" t="s">
        <v>434</v>
      </c>
      <c r="C62" s="1229">
        <f>E15</f>
        <v>0.15</v>
      </c>
      <c r="D62" s="78"/>
      <c r="E62" s="78"/>
      <c r="F62" s="1191"/>
      <c r="G62" s="1191"/>
      <c r="H62" s="1191"/>
      <c r="I62" s="1191"/>
      <c r="J62" s="1191"/>
      <c r="K62" s="1191"/>
      <c r="L62" s="1191"/>
      <c r="M62" s="1191"/>
      <c r="N62" s="1191"/>
      <c r="O62" s="1191"/>
      <c r="P62" s="119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</row>
    <row r="63" spans="1:130" ht="12.75" hidden="1" customHeight="1" outlineLevel="1" x14ac:dyDescent="0.25">
      <c r="A63" s="6"/>
      <c r="B63" s="6" t="s">
        <v>435</v>
      </c>
      <c r="C63" s="6"/>
      <c r="D63" s="6"/>
      <c r="E63" s="6"/>
      <c r="F63" s="1178">
        <f t="shared" ref="F63:P63" si="18">IF(F51="","",E68)</f>
        <v>0</v>
      </c>
      <c r="G63" s="1178">
        <f t="shared" si="18"/>
        <v>2045560.6845345572</v>
      </c>
      <c r="H63" s="1178">
        <f t="shared" si="18"/>
        <v>5806834.4695049748</v>
      </c>
      <c r="I63" s="1178">
        <f t="shared" si="18"/>
        <v>6677859.6399307214</v>
      </c>
      <c r="J63" s="1178">
        <f t="shared" si="18"/>
        <v>7565044.4831397654</v>
      </c>
      <c r="K63" s="1178">
        <f t="shared" si="18"/>
        <v>8558943.7739354223</v>
      </c>
      <c r="L63" s="1178">
        <f t="shared" si="18"/>
        <v>9675564.6794556826</v>
      </c>
      <c r="M63" s="1178">
        <f t="shared" si="18"/>
        <v>10933315.441909235</v>
      </c>
      <c r="N63" s="1178">
        <f t="shared" si="18"/>
        <v>12353365.539836075</v>
      </c>
      <c r="O63" s="1178">
        <f t="shared" si="18"/>
        <v>13960059.873557197</v>
      </c>
      <c r="P63" s="1178">
        <f t="shared" si="18"/>
        <v>15781395.078441743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</row>
    <row r="64" spans="1:130" ht="12.75" hidden="1" customHeight="1" outlineLevel="1" x14ac:dyDescent="0.25">
      <c r="A64" s="6"/>
      <c r="B64" s="6" t="s">
        <v>436</v>
      </c>
      <c r="C64" s="6"/>
      <c r="D64" s="6"/>
      <c r="E64" s="6"/>
      <c r="F64" s="1230" t="str">
        <f>IF(SUM(G64:P64)=SUM(F66:P66),"All Equity Returned","Insufficient Cash Flow")</f>
        <v>Insufficient Cash Flow</v>
      </c>
      <c r="G64" s="1178">
        <f t="shared" ref="G64:P64" si="19">IF(G51="","",G70-G65)</f>
        <v>-306834.10268018354</v>
      </c>
      <c r="H64" s="1178">
        <f t="shared" si="19"/>
        <v>-871025.17042574624</v>
      </c>
      <c r="I64" s="1178">
        <f t="shared" si="19"/>
        <v>-887184.84320904408</v>
      </c>
      <c r="J64" s="1178">
        <f t="shared" si="19"/>
        <v>-993899.29079565546</v>
      </c>
      <c r="K64" s="1178">
        <f t="shared" si="19"/>
        <v>-1116620.9055202589</v>
      </c>
      <c r="L64" s="1178">
        <f t="shared" si="19"/>
        <v>-1257750.762453553</v>
      </c>
      <c r="M64" s="1178">
        <f t="shared" si="19"/>
        <v>-1420050.0979268409</v>
      </c>
      <c r="N64" s="1178">
        <f t="shared" si="19"/>
        <v>-1606694.3337211218</v>
      </c>
      <c r="O64" s="1178">
        <f t="shared" si="19"/>
        <v>-1821335.2048845449</v>
      </c>
      <c r="P64" s="1178">
        <f t="shared" si="19"/>
        <v>-2073076.9014068854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</row>
    <row r="65" spans="1:130" ht="12.75" hidden="1" customHeight="1" outlineLevel="1" x14ac:dyDescent="0.25">
      <c r="A65" s="6"/>
      <c r="B65" s="6" t="s">
        <v>437</v>
      </c>
      <c r="C65" s="6"/>
      <c r="D65" s="6"/>
      <c r="E65" s="6"/>
      <c r="F65" s="1178">
        <f t="shared" ref="F65:P65" si="20">IF(F63="","",IF($D$5="Equity Multiple",E66*$C62-E66,F63*Preferred_Return))</f>
        <v>0</v>
      </c>
      <c r="G65" s="1178">
        <f t="shared" si="20"/>
        <v>306834.10268018354</v>
      </c>
      <c r="H65" s="1178">
        <f t="shared" si="20"/>
        <v>871025.17042574624</v>
      </c>
      <c r="I65" s="1178">
        <f t="shared" si="20"/>
        <v>1001678.9459896082</v>
      </c>
      <c r="J65" s="1178">
        <f t="shared" si="20"/>
        <v>1134756.6724709647</v>
      </c>
      <c r="K65" s="1178">
        <f t="shared" si="20"/>
        <v>1283841.5660903133</v>
      </c>
      <c r="L65" s="1178">
        <f t="shared" si="20"/>
        <v>1451334.7019183524</v>
      </c>
      <c r="M65" s="1178">
        <f t="shared" si="20"/>
        <v>1639997.3162863853</v>
      </c>
      <c r="N65" s="1178">
        <f t="shared" si="20"/>
        <v>1853004.8309754112</v>
      </c>
      <c r="O65" s="1178">
        <f t="shared" si="20"/>
        <v>2094008.9810335794</v>
      </c>
      <c r="P65" s="1178">
        <f t="shared" si="20"/>
        <v>2367209.2617662614</v>
      </c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</row>
    <row r="66" spans="1:130" ht="12.75" hidden="1" customHeight="1" outlineLevel="1" x14ac:dyDescent="0.25">
      <c r="A66" s="6"/>
      <c r="B66" s="6" t="s">
        <v>438</v>
      </c>
      <c r="C66" s="6"/>
      <c r="D66" s="6"/>
      <c r="E66" s="6"/>
      <c r="F66" s="1178">
        <f t="shared" ref="F66:P66" si="21">IF(F63="","",-MIN(0,F57*Equity_Share_LP))</f>
        <v>2045560.6845345572</v>
      </c>
      <c r="G66" s="1178">
        <f t="shared" si="21"/>
        <v>3454439.6822902346</v>
      </c>
      <c r="H66" s="1178">
        <f t="shared" si="21"/>
        <v>0</v>
      </c>
      <c r="I66" s="1178">
        <f t="shared" si="21"/>
        <v>0</v>
      </c>
      <c r="J66" s="1178">
        <f t="shared" si="21"/>
        <v>0</v>
      </c>
      <c r="K66" s="1178">
        <f t="shared" si="21"/>
        <v>0</v>
      </c>
      <c r="L66" s="1178">
        <f t="shared" si="21"/>
        <v>0</v>
      </c>
      <c r="M66" s="1178">
        <f t="shared" si="21"/>
        <v>0</v>
      </c>
      <c r="N66" s="1178">
        <f t="shared" si="21"/>
        <v>0</v>
      </c>
      <c r="O66" s="1178">
        <f t="shared" si="21"/>
        <v>0</v>
      </c>
      <c r="P66" s="1178">
        <f t="shared" si="21"/>
        <v>0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</row>
    <row r="67" spans="1:130" ht="12.75" hidden="1" customHeight="1" outlineLevel="1" x14ac:dyDescent="0.25">
      <c r="A67" s="6"/>
      <c r="B67" s="6" t="s">
        <v>439</v>
      </c>
      <c r="C67" s="6"/>
      <c r="D67" s="6"/>
      <c r="E67" s="6"/>
      <c r="F67" s="1178">
        <f>MAX(F57,F65)</f>
        <v>0</v>
      </c>
      <c r="G67" s="1178">
        <f t="shared" ref="G67:P67" si="22">IF(G63="","",MIN(G63+G65,MAX(G57,0)*$I$15))</f>
        <v>0</v>
      </c>
      <c r="H67" s="1178">
        <f t="shared" si="22"/>
        <v>0</v>
      </c>
      <c r="I67" s="1178">
        <f t="shared" si="22"/>
        <v>114494.10278056416</v>
      </c>
      <c r="J67" s="1178">
        <f t="shared" si="22"/>
        <v>140857.38167530924</v>
      </c>
      <c r="K67" s="1178">
        <f t="shared" si="22"/>
        <v>167220.66057005432</v>
      </c>
      <c r="L67" s="1178">
        <f t="shared" si="22"/>
        <v>193583.93946479939</v>
      </c>
      <c r="M67" s="1178">
        <f t="shared" si="22"/>
        <v>219947.21835954447</v>
      </c>
      <c r="N67" s="1178">
        <f t="shared" si="22"/>
        <v>246310.49725428954</v>
      </c>
      <c r="O67" s="1178">
        <f t="shared" si="22"/>
        <v>272673.77614903462</v>
      </c>
      <c r="P67" s="1178">
        <f t="shared" si="22"/>
        <v>294132.36035937612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</row>
    <row r="68" spans="1:130" ht="12.75" hidden="1" customHeight="1" outlineLevel="1" x14ac:dyDescent="0.25">
      <c r="A68" s="6"/>
      <c r="B68" s="6" t="s">
        <v>440</v>
      </c>
      <c r="C68" s="6"/>
      <c r="D68" s="6"/>
      <c r="E68" s="6"/>
      <c r="F68" s="1178">
        <f>F63+F66-F67</f>
        <v>2045560.6845345572</v>
      </c>
      <c r="G68" s="1178">
        <f t="shared" ref="G68:P68" si="23">IF(G63="","",G63+G65+G66-G67)</f>
        <v>5806834.4695049748</v>
      </c>
      <c r="H68" s="1178">
        <f t="shared" si="23"/>
        <v>6677859.6399307214</v>
      </c>
      <c r="I68" s="1178">
        <f t="shared" si="23"/>
        <v>7565044.4831397654</v>
      </c>
      <c r="J68" s="1178">
        <f t="shared" si="23"/>
        <v>8558943.7739354223</v>
      </c>
      <c r="K68" s="1178">
        <f t="shared" si="23"/>
        <v>9675564.6794556826</v>
      </c>
      <c r="L68" s="1178">
        <f t="shared" si="23"/>
        <v>10933315.441909235</v>
      </c>
      <c r="M68" s="1178">
        <f t="shared" si="23"/>
        <v>12353365.539836075</v>
      </c>
      <c r="N68" s="1178">
        <f t="shared" si="23"/>
        <v>13960059.873557197</v>
      </c>
      <c r="O68" s="1178">
        <f t="shared" si="23"/>
        <v>15781395.078441743</v>
      </c>
      <c r="P68" s="1178">
        <f t="shared" si="23"/>
        <v>17854471.979848631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</row>
    <row r="69" spans="1:130" ht="12.75" hidden="1" customHeight="1" outlineLevel="1" x14ac:dyDescent="0.25">
      <c r="A69" s="6"/>
      <c r="B69" s="1231">
        <f>C62</f>
        <v>0.15</v>
      </c>
      <c r="C69" s="6"/>
      <c r="D69" s="6"/>
      <c r="E69" s="1232">
        <f>IF($D$5="IRR",IRR(F69:P69),SUMIF(F69:P69,"&gt;0")/-SUMIF(F69:P69,"&lt;0"))</f>
        <v>-0.16001274951853783</v>
      </c>
      <c r="F69" s="1178">
        <f t="shared" ref="F69:P69" si="24">IF(F63="","",-F66+F67)</f>
        <v>-2045560.6845345572</v>
      </c>
      <c r="G69" s="1178">
        <f t="shared" si="24"/>
        <v>-3454439.6822902346</v>
      </c>
      <c r="H69" s="1178">
        <f t="shared" si="24"/>
        <v>0</v>
      </c>
      <c r="I69" s="1178">
        <f t="shared" si="24"/>
        <v>114494.10278056416</v>
      </c>
      <c r="J69" s="1178">
        <f t="shared" si="24"/>
        <v>140857.38167530924</v>
      </c>
      <c r="K69" s="1178">
        <f t="shared" si="24"/>
        <v>167220.66057005432</v>
      </c>
      <c r="L69" s="1178">
        <f t="shared" si="24"/>
        <v>193583.93946479939</v>
      </c>
      <c r="M69" s="1178">
        <f t="shared" si="24"/>
        <v>219947.21835954447</v>
      </c>
      <c r="N69" s="1178">
        <f t="shared" si="24"/>
        <v>246310.49725428954</v>
      </c>
      <c r="O69" s="1178">
        <f t="shared" si="24"/>
        <v>272673.77614903462</v>
      </c>
      <c r="P69" s="1178">
        <f t="shared" si="24"/>
        <v>294132.36035937612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</row>
    <row r="70" spans="1:130" ht="12.75" hidden="1" customHeight="1" outlineLevel="1" x14ac:dyDescent="0.25">
      <c r="A70" s="6"/>
      <c r="B70" s="6" t="s">
        <v>441</v>
      </c>
      <c r="C70" s="6"/>
      <c r="D70" s="6"/>
      <c r="E70" s="6"/>
      <c r="F70" s="1178">
        <f>MAX(F57,F65)</f>
        <v>0</v>
      </c>
      <c r="G70" s="1178">
        <f>IF(G63="","",MIN(G63+G65,MAX(G57,0)*$I$15))</f>
        <v>0</v>
      </c>
      <c r="H70" s="1178">
        <f t="shared" ref="H70:P70" si="25">H67</f>
        <v>0</v>
      </c>
      <c r="I70" s="1178">
        <f t="shared" si="25"/>
        <v>114494.10278056416</v>
      </c>
      <c r="J70" s="1178">
        <f t="shared" si="25"/>
        <v>140857.38167530924</v>
      </c>
      <c r="K70" s="1178">
        <f t="shared" si="25"/>
        <v>167220.66057005432</v>
      </c>
      <c r="L70" s="1178">
        <f t="shared" si="25"/>
        <v>193583.93946479939</v>
      </c>
      <c r="M70" s="1178">
        <f t="shared" si="25"/>
        <v>219947.21835954447</v>
      </c>
      <c r="N70" s="1178">
        <f t="shared" si="25"/>
        <v>246310.49725428954</v>
      </c>
      <c r="O70" s="1178">
        <f t="shared" si="25"/>
        <v>272673.77614903462</v>
      </c>
      <c r="P70" s="1178">
        <f t="shared" si="25"/>
        <v>294132.36035937612</v>
      </c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</row>
    <row r="71" spans="1:130" ht="4.5" hidden="1" customHeight="1" outlineLevel="1" x14ac:dyDescent="0.25">
      <c r="A71" s="6"/>
      <c r="B71" s="6"/>
      <c r="C71" s="6"/>
      <c r="D71" s="6"/>
      <c r="E71" s="6"/>
      <c r="F71" s="1178"/>
      <c r="G71" s="1178"/>
      <c r="H71" s="1178"/>
      <c r="I71" s="1178"/>
      <c r="J71" s="1178"/>
      <c r="K71" s="1178"/>
      <c r="L71" s="1178"/>
      <c r="M71" s="1178"/>
      <c r="N71" s="1178"/>
      <c r="O71" s="1178"/>
      <c r="P71" s="1178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</row>
    <row r="72" spans="1:130" ht="12.75" hidden="1" customHeight="1" outlineLevel="1" x14ac:dyDescent="0.25">
      <c r="A72" s="6"/>
      <c r="B72" s="6" t="s">
        <v>442</v>
      </c>
      <c r="C72" s="6"/>
      <c r="D72" s="6"/>
      <c r="E72" s="6"/>
      <c r="F72" s="1178">
        <f t="shared" ref="F72:P72" si="26">IF(F51="","",-MIN(0,F57*Equity_Share_Sponsor))</f>
        <v>1707995.3154654428</v>
      </c>
      <c r="G72" s="1178">
        <f t="shared" si="26"/>
        <v>2884376.3177097659</v>
      </c>
      <c r="H72" s="1178">
        <f t="shared" si="26"/>
        <v>0</v>
      </c>
      <c r="I72" s="1178">
        <f t="shared" si="26"/>
        <v>0</v>
      </c>
      <c r="J72" s="1178">
        <f t="shared" si="26"/>
        <v>0</v>
      </c>
      <c r="K72" s="1178">
        <f t="shared" si="26"/>
        <v>0</v>
      </c>
      <c r="L72" s="1178">
        <f t="shared" si="26"/>
        <v>0</v>
      </c>
      <c r="M72" s="1178">
        <f t="shared" si="26"/>
        <v>0</v>
      </c>
      <c r="N72" s="1178">
        <f t="shared" si="26"/>
        <v>0</v>
      </c>
      <c r="O72" s="1178">
        <f t="shared" si="26"/>
        <v>0</v>
      </c>
      <c r="P72" s="1178">
        <f t="shared" si="26"/>
        <v>0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</row>
    <row r="73" spans="1:130" ht="12.75" hidden="1" customHeight="1" outlineLevel="1" x14ac:dyDescent="0.25">
      <c r="A73" s="6"/>
      <c r="B73" s="6" t="s">
        <v>443</v>
      </c>
      <c r="C73" s="6"/>
      <c r="D73" s="6"/>
      <c r="E73" s="6"/>
      <c r="F73" s="1178">
        <f t="shared" ref="F73:P73" si="27">IF(F63="","",F70/$I$15*$H$15)</f>
        <v>0</v>
      </c>
      <c r="G73" s="1178">
        <f t="shared" si="27"/>
        <v>0</v>
      </c>
      <c r="H73" s="1178">
        <f t="shared" si="27"/>
        <v>0</v>
      </c>
      <c r="I73" s="1178">
        <f t="shared" si="27"/>
        <v>95599.89721943585</v>
      </c>
      <c r="J73" s="1178">
        <f t="shared" si="27"/>
        <v>117612.61832469079</v>
      </c>
      <c r="K73" s="1178">
        <f t="shared" si="27"/>
        <v>139625.33942994571</v>
      </c>
      <c r="L73" s="1178">
        <f t="shared" si="27"/>
        <v>161638.06053520064</v>
      </c>
      <c r="M73" s="1178">
        <f t="shared" si="27"/>
        <v>183650.78164045556</v>
      </c>
      <c r="N73" s="1178">
        <f t="shared" si="27"/>
        <v>205663.50274571049</v>
      </c>
      <c r="O73" s="1178">
        <f t="shared" si="27"/>
        <v>227676.22385096541</v>
      </c>
      <c r="P73" s="1178">
        <f t="shared" si="27"/>
        <v>245593.63964062388</v>
      </c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</row>
    <row r="74" spans="1:130" ht="4.5" hidden="1" customHeight="1" outlineLevel="1" x14ac:dyDescent="0.25">
      <c r="A74" s="6"/>
      <c r="B74" s="6"/>
      <c r="C74" s="6"/>
      <c r="D74" s="6"/>
      <c r="E74" s="6"/>
      <c r="F74" s="1178"/>
      <c r="G74" s="1178"/>
      <c r="H74" s="1178"/>
      <c r="I74" s="1178"/>
      <c r="J74" s="1178"/>
      <c r="K74" s="1178"/>
      <c r="L74" s="1178"/>
      <c r="M74" s="1178"/>
      <c r="N74" s="1178"/>
      <c r="O74" s="1178"/>
      <c r="P74" s="1178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</row>
    <row r="75" spans="1:130" ht="12.75" hidden="1" customHeight="1" outlineLevel="1" x14ac:dyDescent="0.25">
      <c r="A75" s="6"/>
      <c r="B75" s="6" t="str">
        <f>"Total Distributions ("&amp;B61&amp;")"</f>
        <v>Total Distributions (Return of Capital &amp; Hurdle 1 (Preferred Return))</v>
      </c>
      <c r="C75" s="6"/>
      <c r="D75" s="6"/>
      <c r="E75" s="6"/>
      <c r="F75" s="1178">
        <f t="shared" ref="F75:P75" si="28">IF(F63="","",F73+F70)</f>
        <v>0</v>
      </c>
      <c r="G75" s="1178">
        <f t="shared" si="28"/>
        <v>0</v>
      </c>
      <c r="H75" s="1178">
        <f t="shared" si="28"/>
        <v>0</v>
      </c>
      <c r="I75" s="1178">
        <f t="shared" si="28"/>
        <v>210094</v>
      </c>
      <c r="J75" s="1178">
        <f t="shared" si="28"/>
        <v>258470.00000000003</v>
      </c>
      <c r="K75" s="1178">
        <f t="shared" si="28"/>
        <v>306846</v>
      </c>
      <c r="L75" s="1178">
        <f t="shared" si="28"/>
        <v>355222</v>
      </c>
      <c r="M75" s="1178">
        <f t="shared" si="28"/>
        <v>403598</v>
      </c>
      <c r="N75" s="1178">
        <f t="shared" si="28"/>
        <v>451974</v>
      </c>
      <c r="O75" s="1178">
        <f t="shared" si="28"/>
        <v>500350</v>
      </c>
      <c r="P75" s="1178">
        <f t="shared" si="28"/>
        <v>539726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</row>
    <row r="76" spans="1:130" ht="12.75" hidden="1" customHeight="1" outlineLevel="1" x14ac:dyDescent="0.25">
      <c r="A76" s="6"/>
      <c r="B76" s="6" t="s">
        <v>444</v>
      </c>
      <c r="C76" s="6"/>
      <c r="D76" s="6"/>
      <c r="E76" s="6"/>
      <c r="F76" s="1178">
        <f t="shared" ref="F76:P76" si="29">IF(F63="","",MAX(F57-F75,0))</f>
        <v>0</v>
      </c>
      <c r="G76" s="1178">
        <f t="shared" si="29"/>
        <v>0</v>
      </c>
      <c r="H76" s="1178">
        <f t="shared" si="29"/>
        <v>0</v>
      </c>
      <c r="I76" s="1178">
        <f t="shared" si="29"/>
        <v>0</v>
      </c>
      <c r="J76" s="1178">
        <f t="shared" si="29"/>
        <v>0</v>
      </c>
      <c r="K76" s="1178">
        <f t="shared" si="29"/>
        <v>0</v>
      </c>
      <c r="L76" s="1178">
        <f t="shared" si="29"/>
        <v>0</v>
      </c>
      <c r="M76" s="1178">
        <f t="shared" si="29"/>
        <v>0</v>
      </c>
      <c r="N76" s="1178">
        <f t="shared" si="29"/>
        <v>0</v>
      </c>
      <c r="O76" s="1178">
        <f t="shared" si="29"/>
        <v>0</v>
      </c>
      <c r="P76" s="1178">
        <f t="shared" si="29"/>
        <v>0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</row>
    <row r="77" spans="1:130" ht="14.25" hidden="1" customHeight="1" outlineLevel="1" x14ac:dyDescent="0.25">
      <c r="A77" s="6"/>
      <c r="B77" s="6"/>
      <c r="C77" s="6"/>
      <c r="D77" s="6"/>
      <c r="E77" s="6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</row>
    <row r="78" spans="1:130" ht="12.75" hidden="1" customHeight="1" outlineLevel="1" x14ac:dyDescent="0.25">
      <c r="A78" s="6"/>
      <c r="B78" s="23" t="s">
        <v>392</v>
      </c>
      <c r="C78" s="6"/>
      <c r="D78" s="6"/>
      <c r="E78" s="6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</row>
    <row r="79" spans="1:130" ht="12.75" hidden="1" customHeight="1" outlineLevel="1" x14ac:dyDescent="0.25">
      <c r="A79" s="6"/>
      <c r="B79" s="1228" t="s">
        <v>434</v>
      </c>
      <c r="C79" s="1229">
        <f>E16</f>
        <v>0.25</v>
      </c>
      <c r="D79" s="78"/>
      <c r="E79" s="78"/>
      <c r="F79" s="1191"/>
      <c r="G79" s="1191"/>
      <c r="H79" s="1191"/>
      <c r="I79" s="1191"/>
      <c r="J79" s="1191"/>
      <c r="K79" s="1191"/>
      <c r="L79" s="1191"/>
      <c r="M79" s="1191"/>
      <c r="N79" s="1191"/>
      <c r="O79" s="1191"/>
      <c r="P79" s="1191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</row>
    <row r="80" spans="1:130" ht="12.75" hidden="1" customHeight="1" outlineLevel="1" x14ac:dyDescent="0.25">
      <c r="A80" s="6"/>
      <c r="B80" s="6" t="s">
        <v>435</v>
      </c>
      <c r="C80" s="6"/>
      <c r="D80" s="6"/>
      <c r="E80" s="6"/>
      <c r="F80" s="1178">
        <f t="shared" ref="F80:P80" si="30">IF(F51="","",E85)</f>
        <v>0</v>
      </c>
      <c r="G80" s="1178">
        <f t="shared" si="30"/>
        <v>2045560.6845345572</v>
      </c>
      <c r="H80" s="1178">
        <f t="shared" si="30"/>
        <v>6011390.5379584311</v>
      </c>
      <c r="I80" s="1178">
        <f t="shared" si="30"/>
        <v>7514238.1724480391</v>
      </c>
      <c r="J80" s="1178">
        <f t="shared" si="30"/>
        <v>9278303.6127794851</v>
      </c>
      <c r="K80" s="1178">
        <f t="shared" si="30"/>
        <v>11457022.134299047</v>
      </c>
      <c r="L80" s="1178">
        <f t="shared" si="30"/>
        <v>14154057.007303756</v>
      </c>
      <c r="M80" s="1178">
        <f t="shared" si="30"/>
        <v>17498987.319664896</v>
      </c>
      <c r="N80" s="1178">
        <f t="shared" si="30"/>
        <v>21653786.931221575</v>
      </c>
      <c r="O80" s="1178">
        <f t="shared" si="30"/>
        <v>26820923.166772678</v>
      </c>
      <c r="P80" s="1178">
        <f t="shared" si="30"/>
        <v>33253480.182316814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</row>
    <row r="81" spans="1:130" ht="12.75" hidden="1" customHeight="1" outlineLevel="1" x14ac:dyDescent="0.25">
      <c r="A81" s="6"/>
      <c r="B81" s="6" t="s">
        <v>445</v>
      </c>
      <c r="C81" s="6"/>
      <c r="D81" s="6"/>
      <c r="E81" s="6"/>
      <c r="F81" s="1178">
        <f t="shared" ref="F81:P81" si="31">IF(F80="","",IF($D$5="Equity Multiple",E82*$C79-E82,F80*$C79))</f>
        <v>0</v>
      </c>
      <c r="G81" s="1178">
        <f t="shared" si="31"/>
        <v>511390.17113363929</v>
      </c>
      <c r="H81" s="1178">
        <f t="shared" si="31"/>
        <v>1502847.6344896078</v>
      </c>
      <c r="I81" s="1178">
        <f t="shared" si="31"/>
        <v>1878559.5431120098</v>
      </c>
      <c r="J81" s="1178">
        <f t="shared" si="31"/>
        <v>2319575.9031948713</v>
      </c>
      <c r="K81" s="1178">
        <f t="shared" si="31"/>
        <v>2864255.5335747618</v>
      </c>
      <c r="L81" s="1178">
        <f t="shared" si="31"/>
        <v>3538514.2518259389</v>
      </c>
      <c r="M81" s="1178">
        <f t="shared" si="31"/>
        <v>4374746.8299162239</v>
      </c>
      <c r="N81" s="1178">
        <f t="shared" si="31"/>
        <v>5413446.7328053936</v>
      </c>
      <c r="O81" s="1178">
        <f t="shared" si="31"/>
        <v>6705230.7916931696</v>
      </c>
      <c r="P81" s="1178">
        <f t="shared" si="31"/>
        <v>8313370.0455792034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</row>
    <row r="82" spans="1:130" ht="12.75" hidden="1" customHeight="1" outlineLevel="1" x14ac:dyDescent="0.25">
      <c r="A82" s="6"/>
      <c r="B82" s="6" t="s">
        <v>438</v>
      </c>
      <c r="C82" s="6"/>
      <c r="D82" s="6"/>
      <c r="E82" s="6"/>
      <c r="F82" s="1178">
        <f t="shared" ref="F82:P82" si="32">IF(F80="","",-MIN(0,F$57*Equity_Share_LP))</f>
        <v>2045560.6845345572</v>
      </c>
      <c r="G82" s="1178">
        <f t="shared" si="32"/>
        <v>3454439.6822902346</v>
      </c>
      <c r="H82" s="1178">
        <f t="shared" si="32"/>
        <v>0</v>
      </c>
      <c r="I82" s="1178">
        <f t="shared" si="32"/>
        <v>0</v>
      </c>
      <c r="J82" s="1178">
        <f t="shared" si="32"/>
        <v>0</v>
      </c>
      <c r="K82" s="1178">
        <f t="shared" si="32"/>
        <v>0</v>
      </c>
      <c r="L82" s="1178">
        <f t="shared" si="32"/>
        <v>0</v>
      </c>
      <c r="M82" s="1178">
        <f t="shared" si="32"/>
        <v>0</v>
      </c>
      <c r="N82" s="1178">
        <f t="shared" si="32"/>
        <v>0</v>
      </c>
      <c r="O82" s="1178">
        <f t="shared" si="32"/>
        <v>0</v>
      </c>
      <c r="P82" s="1178">
        <f t="shared" si="32"/>
        <v>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</row>
    <row r="83" spans="1:130" ht="12.75" hidden="1" customHeight="1" outlineLevel="1" x14ac:dyDescent="0.25">
      <c r="A83" s="6"/>
      <c r="B83" s="6" t="s">
        <v>446</v>
      </c>
      <c r="C83" s="6"/>
      <c r="D83" s="6"/>
      <c r="E83" s="6"/>
      <c r="F83" s="1178">
        <f t="shared" ref="F83:P83" si="33">F70</f>
        <v>0</v>
      </c>
      <c r="G83" s="1178">
        <f t="shared" si="33"/>
        <v>0</v>
      </c>
      <c r="H83" s="1178">
        <f t="shared" si="33"/>
        <v>0</v>
      </c>
      <c r="I83" s="1178">
        <f t="shared" si="33"/>
        <v>114494.10278056416</v>
      </c>
      <c r="J83" s="1178">
        <f t="shared" si="33"/>
        <v>140857.38167530924</v>
      </c>
      <c r="K83" s="1178">
        <f t="shared" si="33"/>
        <v>167220.66057005432</v>
      </c>
      <c r="L83" s="1178">
        <f t="shared" si="33"/>
        <v>193583.93946479939</v>
      </c>
      <c r="M83" s="1178">
        <f t="shared" si="33"/>
        <v>219947.21835954447</v>
      </c>
      <c r="N83" s="1178">
        <f t="shared" si="33"/>
        <v>246310.49725428954</v>
      </c>
      <c r="O83" s="1178">
        <f t="shared" si="33"/>
        <v>272673.77614903462</v>
      </c>
      <c r="P83" s="1178">
        <f t="shared" si="33"/>
        <v>294132.36035937612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</row>
    <row r="84" spans="1:130" ht="12.75" hidden="1" customHeight="1" outlineLevel="1" x14ac:dyDescent="0.25">
      <c r="A84" s="6"/>
      <c r="B84" s="6" t="str">
        <f>"Distributions to LP "&amp;B78</f>
        <v>Distributions to LP Hurdle 2</v>
      </c>
      <c r="C84" s="6"/>
      <c r="D84" s="6"/>
      <c r="E84" s="6"/>
      <c r="F84" s="1178">
        <f t="shared" ref="F84:P84" si="34">IF(F80="","",MIN(F80+F81-F83,F76*$I$16))</f>
        <v>0</v>
      </c>
      <c r="G84" s="1178">
        <f t="shared" si="34"/>
        <v>0</v>
      </c>
      <c r="H84" s="1178">
        <f t="shared" si="34"/>
        <v>0</v>
      </c>
      <c r="I84" s="1178">
        <f t="shared" si="34"/>
        <v>0</v>
      </c>
      <c r="J84" s="1178">
        <f t="shared" si="34"/>
        <v>0</v>
      </c>
      <c r="K84" s="1178">
        <f t="shared" si="34"/>
        <v>0</v>
      </c>
      <c r="L84" s="1178">
        <f t="shared" si="34"/>
        <v>0</v>
      </c>
      <c r="M84" s="1178">
        <f t="shared" si="34"/>
        <v>0</v>
      </c>
      <c r="N84" s="1178">
        <f t="shared" si="34"/>
        <v>0</v>
      </c>
      <c r="O84" s="1178">
        <f t="shared" si="34"/>
        <v>0</v>
      </c>
      <c r="P84" s="1178">
        <f t="shared" si="34"/>
        <v>0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</row>
    <row r="85" spans="1:130" ht="12.75" hidden="1" customHeight="1" outlineLevel="1" x14ac:dyDescent="0.25">
      <c r="A85" s="6"/>
      <c r="B85" s="6" t="s">
        <v>440</v>
      </c>
      <c r="C85" s="6"/>
      <c r="D85" s="6"/>
      <c r="E85" s="6"/>
      <c r="F85" s="1178">
        <f>F80+F82-F84</f>
        <v>2045560.6845345572</v>
      </c>
      <c r="G85" s="1178">
        <f t="shared" ref="G85:P85" si="35">IF(G80="","",G80+G81+G82-G83-G84)</f>
        <v>6011390.5379584311</v>
      </c>
      <c r="H85" s="1178">
        <f t="shared" si="35"/>
        <v>7514238.1724480391</v>
      </c>
      <c r="I85" s="1178">
        <f t="shared" si="35"/>
        <v>9278303.6127794851</v>
      </c>
      <c r="J85" s="1178">
        <f t="shared" si="35"/>
        <v>11457022.134299047</v>
      </c>
      <c r="K85" s="1178">
        <f t="shared" si="35"/>
        <v>14154057.007303756</v>
      </c>
      <c r="L85" s="1178">
        <f t="shared" si="35"/>
        <v>17498987.319664896</v>
      </c>
      <c r="M85" s="1178">
        <f t="shared" si="35"/>
        <v>21653786.931221575</v>
      </c>
      <c r="N85" s="1178">
        <f t="shared" si="35"/>
        <v>26820923.166772678</v>
      </c>
      <c r="O85" s="1178">
        <f t="shared" si="35"/>
        <v>33253480.182316814</v>
      </c>
      <c r="P85" s="1178">
        <f t="shared" si="35"/>
        <v>41272717.867536642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</row>
    <row r="86" spans="1:130" ht="12.75" hidden="1" customHeight="1" outlineLevel="1" x14ac:dyDescent="0.25">
      <c r="A86" s="6"/>
      <c r="B86" s="1231">
        <f>C79</f>
        <v>0.25</v>
      </c>
      <c r="C86" s="6"/>
      <c r="D86" s="6"/>
      <c r="E86" s="1232">
        <f>IF($D$5="IRR",IRR(F86:P86),SUMIF(F86:P86,"&gt;0")/-SUMIF(F86:P86,"&lt;0"))</f>
        <v>-0.16001274951853783</v>
      </c>
      <c r="F86" s="1178">
        <f>IF(F80="","",-F82+F84)</f>
        <v>-2045560.6845345572</v>
      </c>
      <c r="G86" s="1178">
        <f t="shared" ref="G86:P86" si="36">IF(G80="","",-G82+G83+G84)</f>
        <v>-3454439.6822902346</v>
      </c>
      <c r="H86" s="1178">
        <f t="shared" si="36"/>
        <v>0</v>
      </c>
      <c r="I86" s="1178">
        <f t="shared" si="36"/>
        <v>114494.10278056416</v>
      </c>
      <c r="J86" s="1178">
        <f t="shared" si="36"/>
        <v>140857.38167530924</v>
      </c>
      <c r="K86" s="1178">
        <f t="shared" si="36"/>
        <v>167220.66057005432</v>
      </c>
      <c r="L86" s="1178">
        <f t="shared" si="36"/>
        <v>193583.93946479939</v>
      </c>
      <c r="M86" s="1178">
        <f t="shared" si="36"/>
        <v>219947.21835954447</v>
      </c>
      <c r="N86" s="1178">
        <f t="shared" si="36"/>
        <v>246310.49725428954</v>
      </c>
      <c r="O86" s="1178">
        <f t="shared" si="36"/>
        <v>272673.77614903462</v>
      </c>
      <c r="P86" s="1178">
        <f t="shared" si="36"/>
        <v>294132.36035937612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</row>
    <row r="87" spans="1:130" ht="4.5" hidden="1" customHeight="1" outlineLevel="1" x14ac:dyDescent="0.25">
      <c r="A87" s="6"/>
      <c r="B87" s="271" t="s">
        <v>447</v>
      </c>
      <c r="C87" s="271" t="s">
        <v>447</v>
      </c>
      <c r="D87" s="271" t="s">
        <v>447</v>
      </c>
      <c r="E87" s="271" t="s">
        <v>447</v>
      </c>
      <c r="F87" s="1233" t="str">
        <f t="shared" ref="F87:P87" si="37">IF(F80="","",".")</f>
        <v>.</v>
      </c>
      <c r="G87" s="1233" t="str">
        <f t="shared" si="37"/>
        <v>.</v>
      </c>
      <c r="H87" s="1233" t="str">
        <f t="shared" si="37"/>
        <v>.</v>
      </c>
      <c r="I87" s="1233" t="str">
        <f t="shared" si="37"/>
        <v>.</v>
      </c>
      <c r="J87" s="1233" t="str">
        <f t="shared" si="37"/>
        <v>.</v>
      </c>
      <c r="K87" s="1233" t="str">
        <f t="shared" si="37"/>
        <v>.</v>
      </c>
      <c r="L87" s="1233" t="str">
        <f t="shared" si="37"/>
        <v>.</v>
      </c>
      <c r="M87" s="1233" t="str">
        <f t="shared" si="37"/>
        <v>.</v>
      </c>
      <c r="N87" s="1233" t="str">
        <f t="shared" si="37"/>
        <v>.</v>
      </c>
      <c r="O87" s="1233" t="str">
        <f t="shared" si="37"/>
        <v>.</v>
      </c>
      <c r="P87" s="1233" t="str">
        <f t="shared" si="37"/>
        <v>.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</row>
    <row r="88" spans="1:130" ht="12.75" hidden="1" customHeight="1" outlineLevel="1" x14ac:dyDescent="0.25">
      <c r="A88" s="6"/>
      <c r="B88" s="6" t="s">
        <v>441</v>
      </c>
      <c r="C88" s="6"/>
      <c r="D88" s="6"/>
      <c r="E88" s="6"/>
      <c r="F88" s="1178">
        <f t="shared" ref="F88:P88" si="38">IF(F80="","",F84)</f>
        <v>0</v>
      </c>
      <c r="G88" s="1178">
        <f t="shared" si="38"/>
        <v>0</v>
      </c>
      <c r="H88" s="1178">
        <f t="shared" si="38"/>
        <v>0</v>
      </c>
      <c r="I88" s="1178">
        <f t="shared" si="38"/>
        <v>0</v>
      </c>
      <c r="J88" s="1178">
        <f t="shared" si="38"/>
        <v>0</v>
      </c>
      <c r="K88" s="1178">
        <f t="shared" si="38"/>
        <v>0</v>
      </c>
      <c r="L88" s="1178">
        <f t="shared" si="38"/>
        <v>0</v>
      </c>
      <c r="M88" s="1178">
        <f t="shared" si="38"/>
        <v>0</v>
      </c>
      <c r="N88" s="1178">
        <f t="shared" si="38"/>
        <v>0</v>
      </c>
      <c r="O88" s="1178">
        <f t="shared" si="38"/>
        <v>0</v>
      </c>
      <c r="P88" s="1178">
        <f t="shared" si="38"/>
        <v>0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</row>
    <row r="89" spans="1:130" ht="12.75" hidden="1" customHeight="1" outlineLevel="1" x14ac:dyDescent="0.25">
      <c r="A89" s="6"/>
      <c r="B89" s="6" t="s">
        <v>443</v>
      </c>
      <c r="C89" s="6"/>
      <c r="D89" s="6"/>
      <c r="E89" s="6"/>
      <c r="F89" s="1178">
        <f t="shared" ref="F89:P89" si="39">IF(F80="","",F88/$I$16*$H$16)</f>
        <v>0</v>
      </c>
      <c r="G89" s="1178">
        <f t="shared" si="39"/>
        <v>0</v>
      </c>
      <c r="H89" s="1178">
        <f t="shared" si="39"/>
        <v>0</v>
      </c>
      <c r="I89" s="1178">
        <f t="shared" si="39"/>
        <v>0</v>
      </c>
      <c r="J89" s="1178">
        <f t="shared" si="39"/>
        <v>0</v>
      </c>
      <c r="K89" s="1178">
        <f t="shared" si="39"/>
        <v>0</v>
      </c>
      <c r="L89" s="1178">
        <f t="shared" si="39"/>
        <v>0</v>
      </c>
      <c r="M89" s="1178">
        <f t="shared" si="39"/>
        <v>0</v>
      </c>
      <c r="N89" s="1178">
        <f t="shared" si="39"/>
        <v>0</v>
      </c>
      <c r="O89" s="1178">
        <f t="shared" si="39"/>
        <v>0</v>
      </c>
      <c r="P89" s="1178">
        <f t="shared" si="39"/>
        <v>0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</row>
    <row r="90" spans="1:130" ht="12.75" hidden="1" customHeight="1" outlineLevel="1" x14ac:dyDescent="0.25">
      <c r="A90" s="6"/>
      <c r="B90" s="6" t="str">
        <f>"Total Distributions ("&amp;B78&amp;")"</f>
        <v>Total Distributions (Hurdle 2)</v>
      </c>
      <c r="C90" s="6"/>
      <c r="D90" s="6"/>
      <c r="E90" s="6"/>
      <c r="F90" s="1178">
        <f t="shared" ref="F90:P90" si="40">IF(F80="","",F88+F89)</f>
        <v>0</v>
      </c>
      <c r="G90" s="1178">
        <f t="shared" si="40"/>
        <v>0</v>
      </c>
      <c r="H90" s="1178">
        <f t="shared" si="40"/>
        <v>0</v>
      </c>
      <c r="I90" s="1178">
        <f t="shared" si="40"/>
        <v>0</v>
      </c>
      <c r="J90" s="1178">
        <f t="shared" si="40"/>
        <v>0</v>
      </c>
      <c r="K90" s="1178">
        <f t="shared" si="40"/>
        <v>0</v>
      </c>
      <c r="L90" s="1178">
        <f t="shared" si="40"/>
        <v>0</v>
      </c>
      <c r="M90" s="1178">
        <f t="shared" si="40"/>
        <v>0</v>
      </c>
      <c r="N90" s="1178">
        <f t="shared" si="40"/>
        <v>0</v>
      </c>
      <c r="O90" s="1178">
        <f t="shared" si="40"/>
        <v>0</v>
      </c>
      <c r="P90" s="1178">
        <f t="shared" si="40"/>
        <v>0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</row>
    <row r="91" spans="1:130" ht="12.75" hidden="1" customHeight="1" outlineLevel="1" x14ac:dyDescent="0.25">
      <c r="A91" s="6"/>
      <c r="B91" s="6" t="s">
        <v>444</v>
      </c>
      <c r="C91" s="6"/>
      <c r="D91" s="6"/>
      <c r="E91" s="6"/>
      <c r="F91" s="1178">
        <f t="shared" ref="F91:P91" si="41">IF(F80="","",MAX(F$57-F75-F90,0))</f>
        <v>0</v>
      </c>
      <c r="G91" s="1178">
        <f t="shared" si="41"/>
        <v>0</v>
      </c>
      <c r="H91" s="1178">
        <f t="shared" si="41"/>
        <v>0</v>
      </c>
      <c r="I91" s="1178">
        <f t="shared" si="41"/>
        <v>0</v>
      </c>
      <c r="J91" s="1178">
        <f t="shared" si="41"/>
        <v>0</v>
      </c>
      <c r="K91" s="1178">
        <f t="shared" si="41"/>
        <v>0</v>
      </c>
      <c r="L91" s="1178">
        <f t="shared" si="41"/>
        <v>0</v>
      </c>
      <c r="M91" s="1178">
        <f t="shared" si="41"/>
        <v>0</v>
      </c>
      <c r="N91" s="1178">
        <f t="shared" si="41"/>
        <v>0</v>
      </c>
      <c r="O91" s="1178">
        <f t="shared" si="41"/>
        <v>0</v>
      </c>
      <c r="P91" s="1178">
        <f t="shared" si="41"/>
        <v>0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</row>
    <row r="92" spans="1:130" ht="4.5" hidden="1" customHeight="1" outlineLevel="1" x14ac:dyDescent="0.25">
      <c r="A92" s="6"/>
      <c r="B92" s="6"/>
      <c r="C92" s="6"/>
      <c r="D92" s="6"/>
      <c r="E92" s="6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</row>
    <row r="93" spans="1:130" ht="12.75" hidden="1" customHeight="1" outlineLevel="1" x14ac:dyDescent="0.25">
      <c r="A93" s="6"/>
      <c r="B93" s="23" t="s">
        <v>393</v>
      </c>
      <c r="C93" s="6"/>
      <c r="D93" s="6"/>
      <c r="E93" s="6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</row>
    <row r="94" spans="1:130" ht="12.75" hidden="1" customHeight="1" outlineLevel="1" x14ac:dyDescent="0.25">
      <c r="A94" s="6"/>
      <c r="B94" s="1228" t="s">
        <v>434</v>
      </c>
      <c r="C94" s="1229">
        <f>E17</f>
        <v>0.4</v>
      </c>
      <c r="D94" s="78"/>
      <c r="E94" s="78"/>
      <c r="F94" s="1191"/>
      <c r="G94" s="1191"/>
      <c r="H94" s="1191"/>
      <c r="I94" s="1191"/>
      <c r="J94" s="1191"/>
      <c r="K94" s="1191"/>
      <c r="L94" s="1191"/>
      <c r="M94" s="1191"/>
      <c r="N94" s="1191"/>
      <c r="O94" s="1191"/>
      <c r="P94" s="1191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</row>
    <row r="95" spans="1:130" ht="12.75" hidden="1" customHeight="1" outlineLevel="1" x14ac:dyDescent="0.25">
      <c r="A95" s="6"/>
      <c r="B95" s="6" t="s">
        <v>435</v>
      </c>
      <c r="C95" s="6"/>
      <c r="D95" s="6"/>
      <c r="E95" s="6"/>
      <c r="F95" s="1178">
        <f t="shared" ref="F95:P95" si="42">IF(F73="","",E100)</f>
        <v>0</v>
      </c>
      <c r="G95" s="1178">
        <f t="shared" si="42"/>
        <v>2045560.6845345572</v>
      </c>
      <c r="H95" s="1178">
        <f t="shared" si="42"/>
        <v>6318224.6406386141</v>
      </c>
      <c r="I95" s="1178">
        <f t="shared" si="42"/>
        <v>8845514.4968940597</v>
      </c>
      <c r="J95" s="1178">
        <f t="shared" si="42"/>
        <v>12269226.19287112</v>
      </c>
      <c r="K95" s="1178">
        <f t="shared" si="42"/>
        <v>17036059.288344257</v>
      </c>
      <c r="L95" s="1178">
        <f t="shared" si="42"/>
        <v>23683262.343111902</v>
      </c>
      <c r="M95" s="1178">
        <f t="shared" si="42"/>
        <v>32962983.340891864</v>
      </c>
      <c r="N95" s="1178">
        <f t="shared" si="42"/>
        <v>45928229.458889067</v>
      </c>
      <c r="O95" s="1178">
        <f t="shared" si="42"/>
        <v>64053210.745190404</v>
      </c>
      <c r="P95" s="1178">
        <f t="shared" si="42"/>
        <v>89401821.26711753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</row>
    <row r="96" spans="1:130" ht="12.75" hidden="1" customHeight="1" outlineLevel="1" x14ac:dyDescent="0.25">
      <c r="A96" s="6"/>
      <c r="B96" s="6" t="s">
        <v>448</v>
      </c>
      <c r="C96" s="6"/>
      <c r="D96" s="6"/>
      <c r="E96" s="6"/>
      <c r="F96" s="1178">
        <f t="shared" ref="F96:P96" si="43">IF(F95="","",IF($D$5="Equity Multiple",E97*$C94-E97,F95*$C94))</f>
        <v>0</v>
      </c>
      <c r="G96" s="1178">
        <f t="shared" si="43"/>
        <v>818224.27381382289</v>
      </c>
      <c r="H96" s="1178">
        <f t="shared" si="43"/>
        <v>2527289.8562554456</v>
      </c>
      <c r="I96" s="1178">
        <f t="shared" si="43"/>
        <v>3538205.7987576239</v>
      </c>
      <c r="J96" s="1178">
        <f t="shared" si="43"/>
        <v>4907690.4771484481</v>
      </c>
      <c r="K96" s="1178">
        <f t="shared" si="43"/>
        <v>6814423.715337703</v>
      </c>
      <c r="L96" s="1178">
        <f t="shared" si="43"/>
        <v>9473304.9372447617</v>
      </c>
      <c r="M96" s="1178">
        <f t="shared" si="43"/>
        <v>13185193.336356746</v>
      </c>
      <c r="N96" s="1178">
        <f t="shared" si="43"/>
        <v>18371291.783555627</v>
      </c>
      <c r="O96" s="1178">
        <f t="shared" si="43"/>
        <v>25621284.298076164</v>
      </c>
      <c r="P96" s="1178">
        <f t="shared" si="43"/>
        <v>35760728.506847017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</row>
    <row r="97" spans="1:130" ht="12.75" hidden="1" customHeight="1" outlineLevel="1" x14ac:dyDescent="0.25">
      <c r="A97" s="6"/>
      <c r="B97" s="6" t="s">
        <v>438</v>
      </c>
      <c r="C97" s="6"/>
      <c r="D97" s="6"/>
      <c r="E97" s="6"/>
      <c r="F97" s="1178">
        <f t="shared" ref="F97:P97" si="44">IF(F95="","",-MIN(0,F$57*Equity_Share_LP))</f>
        <v>2045560.6845345572</v>
      </c>
      <c r="G97" s="1178">
        <f t="shared" si="44"/>
        <v>3454439.6822902346</v>
      </c>
      <c r="H97" s="1178">
        <f t="shared" si="44"/>
        <v>0</v>
      </c>
      <c r="I97" s="1178">
        <f t="shared" si="44"/>
        <v>0</v>
      </c>
      <c r="J97" s="1178">
        <f t="shared" si="44"/>
        <v>0</v>
      </c>
      <c r="K97" s="1178">
        <f t="shared" si="44"/>
        <v>0</v>
      </c>
      <c r="L97" s="1178">
        <f t="shared" si="44"/>
        <v>0</v>
      </c>
      <c r="M97" s="1178">
        <f t="shared" si="44"/>
        <v>0</v>
      </c>
      <c r="N97" s="1178">
        <f t="shared" si="44"/>
        <v>0</v>
      </c>
      <c r="O97" s="1178">
        <f t="shared" si="44"/>
        <v>0</v>
      </c>
      <c r="P97" s="1178">
        <f t="shared" si="44"/>
        <v>0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</row>
    <row r="98" spans="1:130" ht="12.75" hidden="1" customHeight="1" outlineLevel="1" x14ac:dyDescent="0.25">
      <c r="A98" s="6"/>
      <c r="B98" s="6" t="s">
        <v>446</v>
      </c>
      <c r="C98" s="6"/>
      <c r="D98" s="6"/>
      <c r="E98" s="6"/>
      <c r="F98" s="1178">
        <f t="shared" ref="F98:P98" si="45">IF(F95="","",F88+F70)</f>
        <v>0</v>
      </c>
      <c r="G98" s="1178">
        <f t="shared" si="45"/>
        <v>0</v>
      </c>
      <c r="H98" s="1178">
        <f t="shared" si="45"/>
        <v>0</v>
      </c>
      <c r="I98" s="1178">
        <f t="shared" si="45"/>
        <v>114494.10278056416</v>
      </c>
      <c r="J98" s="1178">
        <f t="shared" si="45"/>
        <v>140857.38167530924</v>
      </c>
      <c r="K98" s="1178">
        <f t="shared" si="45"/>
        <v>167220.66057005432</v>
      </c>
      <c r="L98" s="1178">
        <f t="shared" si="45"/>
        <v>193583.93946479939</v>
      </c>
      <c r="M98" s="1178">
        <f t="shared" si="45"/>
        <v>219947.21835954447</v>
      </c>
      <c r="N98" s="1178">
        <f t="shared" si="45"/>
        <v>246310.49725428954</v>
      </c>
      <c r="O98" s="1178">
        <f t="shared" si="45"/>
        <v>272673.77614903462</v>
      </c>
      <c r="P98" s="1178">
        <f t="shared" si="45"/>
        <v>294132.36035937612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</row>
    <row r="99" spans="1:130" ht="12.75" hidden="1" customHeight="1" outlineLevel="1" x14ac:dyDescent="0.25">
      <c r="A99" s="6"/>
      <c r="B99" s="6" t="str">
        <f>"Distributions to LP "&amp;B93</f>
        <v>Distributions to LP Hurdle 3</v>
      </c>
      <c r="C99" s="6"/>
      <c r="D99" s="6"/>
      <c r="E99" s="6"/>
      <c r="F99" s="1178">
        <f t="shared" ref="F99:P99" si="46">IF(F95="","",MIN(F95+F96-F98,F91*$I$17))</f>
        <v>0</v>
      </c>
      <c r="G99" s="1178">
        <f t="shared" si="46"/>
        <v>0</v>
      </c>
      <c r="H99" s="1178">
        <f t="shared" si="46"/>
        <v>0</v>
      </c>
      <c r="I99" s="1178">
        <f t="shared" si="46"/>
        <v>0</v>
      </c>
      <c r="J99" s="1178">
        <f t="shared" si="46"/>
        <v>0</v>
      </c>
      <c r="K99" s="1178">
        <f t="shared" si="46"/>
        <v>0</v>
      </c>
      <c r="L99" s="1178">
        <f t="shared" si="46"/>
        <v>0</v>
      </c>
      <c r="M99" s="1178">
        <f t="shared" si="46"/>
        <v>0</v>
      </c>
      <c r="N99" s="1178">
        <f t="shared" si="46"/>
        <v>0</v>
      </c>
      <c r="O99" s="1178">
        <f t="shared" si="46"/>
        <v>0</v>
      </c>
      <c r="P99" s="1178">
        <f t="shared" si="46"/>
        <v>0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</row>
    <row r="100" spans="1:130" ht="12.75" hidden="1" customHeight="1" outlineLevel="1" x14ac:dyDescent="0.25">
      <c r="A100" s="6"/>
      <c r="B100" s="6" t="s">
        <v>440</v>
      </c>
      <c r="C100" s="6"/>
      <c r="D100" s="6"/>
      <c r="E100" s="6"/>
      <c r="F100" s="1178">
        <f>F95+F97-F99</f>
        <v>2045560.6845345572</v>
      </c>
      <c r="G100" s="1178">
        <f t="shared" ref="G100:P100" si="47">IF(G95="","",G95+G96+G97-G98-G99)</f>
        <v>6318224.6406386141</v>
      </c>
      <c r="H100" s="1178">
        <f t="shared" si="47"/>
        <v>8845514.4968940597</v>
      </c>
      <c r="I100" s="1178">
        <f t="shared" si="47"/>
        <v>12269226.19287112</v>
      </c>
      <c r="J100" s="1178">
        <f t="shared" si="47"/>
        <v>17036059.288344257</v>
      </c>
      <c r="K100" s="1178">
        <f t="shared" si="47"/>
        <v>23683262.343111902</v>
      </c>
      <c r="L100" s="1178">
        <f t="shared" si="47"/>
        <v>32962983.340891864</v>
      </c>
      <c r="M100" s="1178">
        <f t="shared" si="47"/>
        <v>45928229.458889067</v>
      </c>
      <c r="N100" s="1178">
        <f t="shared" si="47"/>
        <v>64053210.745190404</v>
      </c>
      <c r="O100" s="1178">
        <f t="shared" si="47"/>
        <v>89401821.26711753</v>
      </c>
      <c r="P100" s="1178">
        <f t="shared" si="47"/>
        <v>124868417.41360518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</row>
    <row r="101" spans="1:130" ht="12.75" hidden="1" customHeight="1" outlineLevel="1" x14ac:dyDescent="0.25">
      <c r="A101" s="6"/>
      <c r="B101" s="1231">
        <f>C94</f>
        <v>0.4</v>
      </c>
      <c r="C101" s="6"/>
      <c r="D101" s="6"/>
      <c r="E101" s="1232">
        <f>IF($D$5="IRR",IRR(F101:P101),SUMIF(F101:P101,"&gt;0")/-SUMIF(F101:P101,"&lt;0"))</f>
        <v>-0.16001274951853783</v>
      </c>
      <c r="F101" s="1178">
        <f>IF(F95="","",-F97+F99)</f>
        <v>-2045560.6845345572</v>
      </c>
      <c r="G101" s="1178">
        <f t="shared" ref="G101:P101" si="48">IF(G95="","",-G97+G98+G99)</f>
        <v>-3454439.6822902346</v>
      </c>
      <c r="H101" s="1178">
        <f t="shared" si="48"/>
        <v>0</v>
      </c>
      <c r="I101" s="1178">
        <f t="shared" si="48"/>
        <v>114494.10278056416</v>
      </c>
      <c r="J101" s="1178">
        <f t="shared" si="48"/>
        <v>140857.38167530924</v>
      </c>
      <c r="K101" s="1178">
        <f t="shared" si="48"/>
        <v>167220.66057005432</v>
      </c>
      <c r="L101" s="1178">
        <f t="shared" si="48"/>
        <v>193583.93946479939</v>
      </c>
      <c r="M101" s="1178">
        <f t="shared" si="48"/>
        <v>219947.21835954447</v>
      </c>
      <c r="N101" s="1178">
        <f t="shared" si="48"/>
        <v>246310.49725428954</v>
      </c>
      <c r="O101" s="1178">
        <f t="shared" si="48"/>
        <v>272673.77614903462</v>
      </c>
      <c r="P101" s="1178">
        <f t="shared" si="48"/>
        <v>294132.36035937612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</row>
    <row r="102" spans="1:130" ht="4.5" hidden="1" customHeight="1" outlineLevel="1" x14ac:dyDescent="0.25">
      <c r="A102" s="6"/>
      <c r="B102" s="271" t="s">
        <v>447</v>
      </c>
      <c r="C102" s="271" t="s">
        <v>447</v>
      </c>
      <c r="D102" s="271" t="s">
        <v>447</v>
      </c>
      <c r="E102" s="271" t="s">
        <v>447</v>
      </c>
      <c r="F102" s="1233" t="str">
        <f t="shared" ref="F102:P102" si="49">IF(F95="","",".")</f>
        <v>.</v>
      </c>
      <c r="G102" s="1233" t="str">
        <f t="shared" si="49"/>
        <v>.</v>
      </c>
      <c r="H102" s="1233" t="str">
        <f t="shared" si="49"/>
        <v>.</v>
      </c>
      <c r="I102" s="1233" t="str">
        <f t="shared" si="49"/>
        <v>.</v>
      </c>
      <c r="J102" s="1233" t="str">
        <f t="shared" si="49"/>
        <v>.</v>
      </c>
      <c r="K102" s="1233" t="str">
        <f t="shared" si="49"/>
        <v>.</v>
      </c>
      <c r="L102" s="1233" t="str">
        <f t="shared" si="49"/>
        <v>.</v>
      </c>
      <c r="M102" s="1233" t="str">
        <f t="shared" si="49"/>
        <v>.</v>
      </c>
      <c r="N102" s="1233" t="str">
        <f t="shared" si="49"/>
        <v>.</v>
      </c>
      <c r="O102" s="1233" t="str">
        <f t="shared" si="49"/>
        <v>.</v>
      </c>
      <c r="P102" s="1233" t="str">
        <f t="shared" si="49"/>
        <v>.</v>
      </c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</row>
    <row r="103" spans="1:130" ht="12.75" hidden="1" customHeight="1" outlineLevel="1" x14ac:dyDescent="0.25">
      <c r="A103" s="6"/>
      <c r="B103" s="6" t="s">
        <v>441</v>
      </c>
      <c r="C103" s="6"/>
      <c r="D103" s="6"/>
      <c r="E103" s="6"/>
      <c r="F103" s="1178">
        <f t="shared" ref="F103:P103" si="50">IF(F95="","",F99)</f>
        <v>0</v>
      </c>
      <c r="G103" s="1178">
        <f t="shared" si="50"/>
        <v>0</v>
      </c>
      <c r="H103" s="1178">
        <f t="shared" si="50"/>
        <v>0</v>
      </c>
      <c r="I103" s="1178">
        <f t="shared" si="50"/>
        <v>0</v>
      </c>
      <c r="J103" s="1178">
        <f t="shared" si="50"/>
        <v>0</v>
      </c>
      <c r="K103" s="1178">
        <f t="shared" si="50"/>
        <v>0</v>
      </c>
      <c r="L103" s="1178">
        <f t="shared" si="50"/>
        <v>0</v>
      </c>
      <c r="M103" s="1178">
        <f t="shared" si="50"/>
        <v>0</v>
      </c>
      <c r="N103" s="1178">
        <f t="shared" si="50"/>
        <v>0</v>
      </c>
      <c r="O103" s="1178">
        <f t="shared" si="50"/>
        <v>0</v>
      </c>
      <c r="P103" s="1178">
        <f t="shared" si="50"/>
        <v>0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</row>
    <row r="104" spans="1:130" ht="12.75" hidden="1" customHeight="1" outlineLevel="1" x14ac:dyDescent="0.25">
      <c r="A104" s="6"/>
      <c r="B104" s="6" t="s">
        <v>443</v>
      </c>
      <c r="C104" s="6"/>
      <c r="D104" s="6"/>
      <c r="E104" s="6"/>
      <c r="F104" s="1178">
        <f t="shared" ref="F104:P104" si="51">IF(F95="","",F103/$I$17*$H$17)</f>
        <v>0</v>
      </c>
      <c r="G104" s="1178">
        <f t="shared" si="51"/>
        <v>0</v>
      </c>
      <c r="H104" s="1178">
        <f t="shared" si="51"/>
        <v>0</v>
      </c>
      <c r="I104" s="1178">
        <f t="shared" si="51"/>
        <v>0</v>
      </c>
      <c r="J104" s="1178">
        <f t="shared" si="51"/>
        <v>0</v>
      </c>
      <c r="K104" s="1178">
        <f t="shared" si="51"/>
        <v>0</v>
      </c>
      <c r="L104" s="1178">
        <f t="shared" si="51"/>
        <v>0</v>
      </c>
      <c r="M104" s="1178">
        <f t="shared" si="51"/>
        <v>0</v>
      </c>
      <c r="N104" s="1178">
        <f t="shared" si="51"/>
        <v>0</v>
      </c>
      <c r="O104" s="1178">
        <f t="shared" si="51"/>
        <v>0</v>
      </c>
      <c r="P104" s="1178">
        <f t="shared" si="51"/>
        <v>0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spans="1:130" ht="12.75" hidden="1" customHeight="1" outlineLevel="1" x14ac:dyDescent="0.25">
      <c r="A105" s="6"/>
      <c r="B105" s="6" t="str">
        <f>"Total Distributions ("&amp;B93&amp;")"</f>
        <v>Total Distributions (Hurdle 3)</v>
      </c>
      <c r="C105" s="6"/>
      <c r="D105" s="6"/>
      <c r="E105" s="6"/>
      <c r="F105" s="1178">
        <f t="shared" ref="F105:P105" si="52">IF(F95="","",F103+F104)</f>
        <v>0</v>
      </c>
      <c r="G105" s="1178">
        <f t="shared" si="52"/>
        <v>0</v>
      </c>
      <c r="H105" s="1178">
        <f t="shared" si="52"/>
        <v>0</v>
      </c>
      <c r="I105" s="1178">
        <f t="shared" si="52"/>
        <v>0</v>
      </c>
      <c r="J105" s="1178">
        <f t="shared" si="52"/>
        <v>0</v>
      </c>
      <c r="K105" s="1178">
        <f t="shared" si="52"/>
        <v>0</v>
      </c>
      <c r="L105" s="1178">
        <f t="shared" si="52"/>
        <v>0</v>
      </c>
      <c r="M105" s="1178">
        <f t="shared" si="52"/>
        <v>0</v>
      </c>
      <c r="N105" s="1178">
        <f t="shared" si="52"/>
        <v>0</v>
      </c>
      <c r="O105" s="1178">
        <f t="shared" si="52"/>
        <v>0</v>
      </c>
      <c r="P105" s="1178">
        <f t="shared" si="52"/>
        <v>0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spans="1:130" ht="12.75" hidden="1" customHeight="1" outlineLevel="1" x14ac:dyDescent="0.25">
      <c r="A106" s="6"/>
      <c r="B106" s="6" t="s">
        <v>444</v>
      </c>
      <c r="C106" s="6"/>
      <c r="D106" s="6"/>
      <c r="E106" s="6"/>
      <c r="F106" s="1178">
        <f t="shared" ref="F106:P106" si="53">IF(F95="","",MAX(F$57-F75-F90-F105,0))</f>
        <v>0</v>
      </c>
      <c r="G106" s="1178">
        <f t="shared" si="53"/>
        <v>0</v>
      </c>
      <c r="H106" s="1178">
        <f t="shared" si="53"/>
        <v>0</v>
      </c>
      <c r="I106" s="1178">
        <f t="shared" si="53"/>
        <v>0</v>
      </c>
      <c r="J106" s="1178">
        <f t="shared" si="53"/>
        <v>0</v>
      </c>
      <c r="K106" s="1178">
        <f t="shared" si="53"/>
        <v>0</v>
      </c>
      <c r="L106" s="1178">
        <f t="shared" si="53"/>
        <v>0</v>
      </c>
      <c r="M106" s="1178">
        <f t="shared" si="53"/>
        <v>0</v>
      </c>
      <c r="N106" s="1178">
        <f t="shared" si="53"/>
        <v>0</v>
      </c>
      <c r="O106" s="1178">
        <f t="shared" si="53"/>
        <v>0</v>
      </c>
      <c r="P106" s="1178">
        <f t="shared" si="53"/>
        <v>0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spans="1:130" ht="4.5" hidden="1" customHeight="1" outlineLevel="1" x14ac:dyDescent="0.25">
      <c r="A107" s="6"/>
      <c r="B107" s="6"/>
      <c r="C107" s="6"/>
      <c r="D107" s="6"/>
      <c r="E107" s="6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spans="1:130" ht="12.75" hidden="1" customHeight="1" outlineLevel="1" x14ac:dyDescent="0.25">
      <c r="A108" s="6"/>
      <c r="B108" s="23" t="s">
        <v>394</v>
      </c>
      <c r="C108" s="6"/>
      <c r="D108" s="6"/>
      <c r="E108" s="6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</row>
    <row r="109" spans="1:130" ht="12.75" hidden="1" customHeight="1" outlineLevel="1" x14ac:dyDescent="0.25">
      <c r="A109" s="6"/>
      <c r="B109" s="1228" t="s">
        <v>449</v>
      </c>
      <c r="C109" s="1229">
        <f>C94</f>
        <v>0.4</v>
      </c>
      <c r="D109" s="78"/>
      <c r="E109" s="78"/>
      <c r="F109" s="1191"/>
      <c r="G109" s="1191"/>
      <c r="H109" s="1191"/>
      <c r="I109" s="1191"/>
      <c r="J109" s="1191"/>
      <c r="K109" s="1191"/>
      <c r="L109" s="1191"/>
      <c r="M109" s="1191"/>
      <c r="N109" s="1191"/>
      <c r="O109" s="1191"/>
      <c r="P109" s="1191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</row>
    <row r="110" spans="1:130" ht="12.75" hidden="1" customHeight="1" outlineLevel="1" x14ac:dyDescent="0.25">
      <c r="A110" s="6"/>
      <c r="B110" s="6" t="s">
        <v>441</v>
      </c>
      <c r="C110" s="6"/>
      <c r="D110" s="6"/>
      <c r="E110" s="6"/>
      <c r="F110" s="1178">
        <f t="shared" ref="F110:P110" si="54">IF(F95="","",F106*$I$18)</f>
        <v>0</v>
      </c>
      <c r="G110" s="1178">
        <f t="shared" si="54"/>
        <v>0</v>
      </c>
      <c r="H110" s="1178">
        <f t="shared" si="54"/>
        <v>0</v>
      </c>
      <c r="I110" s="1178">
        <f t="shared" si="54"/>
        <v>0</v>
      </c>
      <c r="J110" s="1178">
        <f t="shared" si="54"/>
        <v>0</v>
      </c>
      <c r="K110" s="1178">
        <f t="shared" si="54"/>
        <v>0</v>
      </c>
      <c r="L110" s="1178">
        <f t="shared" si="54"/>
        <v>0</v>
      </c>
      <c r="M110" s="1178">
        <f t="shared" si="54"/>
        <v>0</v>
      </c>
      <c r="N110" s="1178">
        <f t="shared" si="54"/>
        <v>0</v>
      </c>
      <c r="O110" s="1178">
        <f t="shared" si="54"/>
        <v>0</v>
      </c>
      <c r="P110" s="1178">
        <f t="shared" si="54"/>
        <v>0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</row>
    <row r="111" spans="1:130" ht="12.75" hidden="1" customHeight="1" outlineLevel="1" x14ac:dyDescent="0.25">
      <c r="A111" s="6"/>
      <c r="B111" s="6" t="s">
        <v>443</v>
      </c>
      <c r="C111" s="6"/>
      <c r="D111" s="6"/>
      <c r="E111" s="6"/>
      <c r="F111" s="1178">
        <f t="shared" ref="F111:P111" si="55">IF(F110="","",F106-F110)</f>
        <v>0</v>
      </c>
      <c r="G111" s="1178">
        <f t="shared" si="55"/>
        <v>0</v>
      </c>
      <c r="H111" s="1178">
        <f t="shared" si="55"/>
        <v>0</v>
      </c>
      <c r="I111" s="1178">
        <f t="shared" si="55"/>
        <v>0</v>
      </c>
      <c r="J111" s="1178">
        <f t="shared" si="55"/>
        <v>0</v>
      </c>
      <c r="K111" s="1178">
        <f t="shared" si="55"/>
        <v>0</v>
      </c>
      <c r="L111" s="1178">
        <f t="shared" si="55"/>
        <v>0</v>
      </c>
      <c r="M111" s="1178">
        <f t="shared" si="55"/>
        <v>0</v>
      </c>
      <c r="N111" s="1178">
        <f t="shared" si="55"/>
        <v>0</v>
      </c>
      <c r="O111" s="1178">
        <f t="shared" si="55"/>
        <v>0</v>
      </c>
      <c r="P111" s="1178">
        <f t="shared" si="55"/>
        <v>0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</row>
    <row r="112" spans="1:130" ht="12.75" hidden="1" customHeight="1" outlineLevel="1" x14ac:dyDescent="0.25">
      <c r="A112" s="6"/>
      <c r="B112" s="6" t="str">
        <f>"Total Distributions ("&amp;B108&amp;")"</f>
        <v>Total Distributions (Hurdle 4)</v>
      </c>
      <c r="C112" s="6"/>
      <c r="D112" s="6"/>
      <c r="E112" s="6"/>
      <c r="F112" s="1178">
        <f t="shared" ref="F112:P112" si="56">IF(F110="","",F110+F111)</f>
        <v>0</v>
      </c>
      <c r="G112" s="1178">
        <f t="shared" si="56"/>
        <v>0</v>
      </c>
      <c r="H112" s="1178">
        <f t="shared" si="56"/>
        <v>0</v>
      </c>
      <c r="I112" s="1178">
        <f t="shared" si="56"/>
        <v>0</v>
      </c>
      <c r="J112" s="1178">
        <f t="shared" si="56"/>
        <v>0</v>
      </c>
      <c r="K112" s="1178">
        <f t="shared" si="56"/>
        <v>0</v>
      </c>
      <c r="L112" s="1178">
        <f t="shared" si="56"/>
        <v>0</v>
      </c>
      <c r="M112" s="1178">
        <f t="shared" si="56"/>
        <v>0</v>
      </c>
      <c r="N112" s="1178">
        <f t="shared" si="56"/>
        <v>0</v>
      </c>
      <c r="O112" s="1178">
        <f t="shared" si="56"/>
        <v>0</v>
      </c>
      <c r="P112" s="1178">
        <f t="shared" si="56"/>
        <v>0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</row>
    <row r="113" spans="1:130" ht="12.75" hidden="1" customHeight="1" outlineLevel="1" x14ac:dyDescent="0.25">
      <c r="A113" s="6"/>
      <c r="B113" s="6" t="s">
        <v>444</v>
      </c>
      <c r="C113" s="6"/>
      <c r="D113" s="6"/>
      <c r="E113" s="6"/>
      <c r="F113" s="1178">
        <f t="shared" ref="F113:P113" si="57">IF(F110="","",F106-F112)</f>
        <v>0</v>
      </c>
      <c r="G113" s="1178">
        <f t="shared" si="57"/>
        <v>0</v>
      </c>
      <c r="H113" s="1178">
        <f t="shared" si="57"/>
        <v>0</v>
      </c>
      <c r="I113" s="1178">
        <f t="shared" si="57"/>
        <v>0</v>
      </c>
      <c r="J113" s="1178">
        <f t="shared" si="57"/>
        <v>0</v>
      </c>
      <c r="K113" s="1178">
        <f t="shared" si="57"/>
        <v>0</v>
      </c>
      <c r="L113" s="1178">
        <f t="shared" si="57"/>
        <v>0</v>
      </c>
      <c r="M113" s="1178">
        <f t="shared" si="57"/>
        <v>0</v>
      </c>
      <c r="N113" s="1178">
        <f t="shared" si="57"/>
        <v>0</v>
      </c>
      <c r="O113" s="1178">
        <f t="shared" si="57"/>
        <v>0</v>
      </c>
      <c r="P113" s="1178">
        <f t="shared" si="57"/>
        <v>0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</row>
    <row r="114" spans="1:130" ht="12.75" hidden="1" customHeight="1" collapsed="1" x14ac:dyDescent="0.25">
      <c r="A114" s="6"/>
      <c r="B114" s="6"/>
      <c r="C114" s="6"/>
      <c r="D114" s="6"/>
      <c r="E114" s="6"/>
      <c r="F114" s="1178"/>
      <c r="G114" s="1178"/>
      <c r="H114" s="1178"/>
      <c r="I114" s="1178"/>
      <c r="J114" s="1178"/>
      <c r="K114" s="1178"/>
      <c r="L114" s="1178"/>
      <c r="M114" s="1178"/>
      <c r="N114" s="1178"/>
      <c r="O114" s="1178"/>
      <c r="P114" s="1178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</row>
    <row r="115" spans="1:130" ht="12.75" customHeight="1" x14ac:dyDescent="0.25">
      <c r="A115" s="6"/>
      <c r="B115" s="1170" t="s">
        <v>649</v>
      </c>
      <c r="C115" s="1170"/>
      <c r="D115" s="1170"/>
      <c r="E115" s="1170"/>
      <c r="F115" s="1170"/>
      <c r="G115" s="1170"/>
      <c r="H115" s="1170"/>
      <c r="I115" s="1170"/>
      <c r="J115" s="1170"/>
      <c r="K115" s="1170"/>
      <c r="L115" s="1170"/>
      <c r="M115" s="1170"/>
      <c r="N115" s="1171"/>
      <c r="O115" s="1171"/>
      <c r="P115" s="1171"/>
      <c r="Q115" s="1171"/>
      <c r="R115" s="1171"/>
      <c r="S115" s="1171"/>
      <c r="T115" s="1171"/>
      <c r="U115" s="1171"/>
      <c r="V115" s="1171"/>
      <c r="W115" s="1171"/>
      <c r="X115" s="1171"/>
      <c r="Y115" s="1171"/>
      <c r="Z115" s="1171"/>
      <c r="AA115" s="1171"/>
      <c r="AB115" s="1171"/>
      <c r="AC115" s="1171"/>
      <c r="AD115" s="1171"/>
      <c r="AE115" s="1171"/>
      <c r="AF115" s="1171"/>
      <c r="AG115" s="1171"/>
      <c r="AH115" s="1171"/>
      <c r="AI115" s="1171"/>
      <c r="AJ115" s="1171"/>
      <c r="AK115" s="1171"/>
      <c r="AL115" s="1171"/>
      <c r="AM115" s="1171"/>
      <c r="AN115" s="1171"/>
      <c r="AO115" s="1171"/>
      <c r="AP115" s="1171"/>
      <c r="AQ115" s="1171"/>
      <c r="AR115" s="1171"/>
      <c r="AS115" s="1171"/>
      <c r="AT115" s="1171"/>
      <c r="AU115" s="1171"/>
      <c r="AV115" s="1171"/>
      <c r="AW115" s="1171"/>
      <c r="AX115" s="1171"/>
      <c r="AY115" s="1171"/>
      <c r="AZ115" s="1171"/>
      <c r="BA115" s="1171"/>
      <c r="BB115" s="1171"/>
      <c r="BC115" s="1171"/>
      <c r="BD115" s="1171"/>
      <c r="BE115" s="1171"/>
      <c r="BF115" s="1171"/>
      <c r="BG115" s="1171"/>
      <c r="BH115" s="1171"/>
      <c r="BI115" s="1171"/>
      <c r="BJ115" s="1171"/>
      <c r="BK115" s="1171"/>
      <c r="BL115" s="1171"/>
      <c r="BM115" s="1171"/>
      <c r="BN115" s="1171"/>
      <c r="BO115" s="1171"/>
      <c r="BP115" s="1171"/>
      <c r="BQ115" s="1171"/>
      <c r="BR115" s="1171"/>
      <c r="BS115" s="1171"/>
      <c r="BT115" s="1171"/>
      <c r="BU115" s="1171"/>
      <c r="BV115" s="1171"/>
      <c r="BW115" s="1171"/>
      <c r="BX115" s="1171"/>
      <c r="BY115" s="1171"/>
      <c r="BZ115" s="1171"/>
      <c r="CA115" s="1171"/>
      <c r="CB115" s="1171"/>
      <c r="CC115" s="1171"/>
      <c r="CD115" s="1171"/>
      <c r="CE115" s="1171"/>
      <c r="CF115" s="1171"/>
      <c r="CG115" s="1171"/>
      <c r="CH115" s="1171"/>
      <c r="CI115" s="1171"/>
      <c r="CJ115" s="1171"/>
      <c r="CK115" s="1171"/>
      <c r="CL115" s="1171"/>
      <c r="CM115" s="1171"/>
      <c r="CN115" s="1171"/>
      <c r="CO115" s="1171"/>
      <c r="CP115" s="1171"/>
      <c r="CQ115" s="1171"/>
      <c r="CR115" s="1171"/>
      <c r="CS115" s="1171"/>
      <c r="CT115" s="1171"/>
      <c r="CU115" s="1171"/>
      <c r="CV115" s="1171"/>
      <c r="CW115" s="1171"/>
      <c r="CX115" s="1171"/>
      <c r="CY115" s="1171"/>
      <c r="CZ115" s="1171"/>
      <c r="DA115" s="1171"/>
      <c r="DB115" s="1171"/>
      <c r="DC115" s="1171"/>
      <c r="DD115" s="1171"/>
      <c r="DE115" s="1171"/>
      <c r="DF115" s="1171"/>
      <c r="DG115" s="1171"/>
      <c r="DH115" s="1171"/>
      <c r="DI115" s="1171"/>
      <c r="DJ115" s="1171"/>
      <c r="DK115" s="1171"/>
      <c r="DL115" s="1171"/>
      <c r="DM115" s="1171"/>
      <c r="DN115" s="1171"/>
      <c r="DO115" s="1171"/>
      <c r="DP115" s="1171"/>
      <c r="DQ115" s="1171"/>
      <c r="DR115" s="1171"/>
      <c r="DS115" s="1171"/>
      <c r="DT115" s="1171"/>
      <c r="DU115" s="1171"/>
      <c r="DV115" s="1171"/>
      <c r="DW115" s="6"/>
      <c r="DX115" s="6"/>
      <c r="DY115" s="6"/>
      <c r="DZ115" s="6"/>
    </row>
    <row r="116" spans="1:130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1234"/>
      <c r="O116" s="1234"/>
      <c r="P116" s="1234"/>
      <c r="Q116" s="1234"/>
      <c r="R116" s="1234"/>
      <c r="S116" s="1234"/>
      <c r="T116" s="1234"/>
      <c r="U116" s="1234"/>
      <c r="V116" s="1234"/>
      <c r="W116" s="1234"/>
      <c r="X116" s="1234"/>
      <c r="Y116" s="1234"/>
      <c r="Z116" s="1234"/>
      <c r="AA116" s="1234"/>
      <c r="AB116" s="1234"/>
      <c r="AC116" s="1234"/>
      <c r="AD116" s="1234"/>
      <c r="AE116" s="1234"/>
      <c r="AF116" s="1234"/>
      <c r="AG116" s="1234"/>
      <c r="AH116" s="1234"/>
      <c r="AI116" s="1234"/>
      <c r="AJ116" s="1234"/>
      <c r="AK116" s="1234"/>
      <c r="AL116" s="1234"/>
      <c r="AM116" s="1234"/>
      <c r="AN116" s="1234"/>
      <c r="AO116" s="1234"/>
      <c r="AP116" s="1234"/>
      <c r="AQ116" s="1234"/>
      <c r="AR116" s="1234"/>
      <c r="AS116" s="1234"/>
      <c r="AT116" s="1234"/>
      <c r="AU116" s="1234"/>
      <c r="AV116" s="1234"/>
      <c r="AW116" s="1234"/>
      <c r="AX116" s="1234"/>
      <c r="AY116" s="1234"/>
      <c r="AZ116" s="1234"/>
      <c r="BA116" s="1234"/>
      <c r="BB116" s="1234"/>
      <c r="BC116" s="1234"/>
      <c r="BD116" s="1234"/>
      <c r="BE116" s="1234"/>
      <c r="BF116" s="1234"/>
      <c r="BG116" s="1234"/>
      <c r="BH116" s="1234"/>
      <c r="BI116" s="1234"/>
      <c r="BJ116" s="1234"/>
      <c r="BK116" s="1234"/>
      <c r="BL116" s="1234"/>
      <c r="BM116" s="1234"/>
      <c r="BN116" s="1234"/>
      <c r="BO116" s="1234"/>
      <c r="BP116" s="1234"/>
      <c r="BQ116" s="1234"/>
      <c r="BR116" s="1234"/>
      <c r="BS116" s="1234"/>
      <c r="BT116" s="1234"/>
      <c r="BU116" s="1234"/>
      <c r="BV116" s="1234"/>
      <c r="BW116" s="1234"/>
      <c r="BX116" s="1234"/>
      <c r="BY116" s="1234"/>
      <c r="BZ116" s="1234"/>
      <c r="CA116" s="1234"/>
      <c r="CB116" s="1234"/>
      <c r="CC116" s="1234"/>
      <c r="CD116" s="1234"/>
      <c r="CE116" s="1234"/>
      <c r="CF116" s="1234"/>
      <c r="CG116" s="1234"/>
      <c r="CH116" s="1234"/>
      <c r="CI116" s="1234"/>
      <c r="CJ116" s="1234"/>
      <c r="CK116" s="1234"/>
      <c r="CL116" s="1234"/>
      <c r="CM116" s="1234"/>
      <c r="CN116" s="1234"/>
      <c r="CO116" s="1234"/>
      <c r="CP116" s="1234"/>
      <c r="CQ116" s="1234"/>
      <c r="CR116" s="1234"/>
      <c r="CS116" s="1234"/>
      <c r="CT116" s="1234"/>
      <c r="CU116" s="1234"/>
      <c r="CV116" s="1234"/>
      <c r="CW116" s="1234"/>
      <c r="CX116" s="1234"/>
      <c r="CY116" s="1234"/>
      <c r="CZ116" s="1234"/>
      <c r="DA116" s="1234"/>
      <c r="DB116" s="1234"/>
      <c r="DC116" s="1234"/>
      <c r="DD116" s="1234"/>
      <c r="DE116" s="1234"/>
      <c r="DF116" s="1234"/>
      <c r="DG116" s="1234"/>
      <c r="DH116" s="1234"/>
      <c r="DI116" s="1234"/>
      <c r="DJ116" s="1234"/>
      <c r="DK116" s="1234"/>
      <c r="DL116" s="1234"/>
      <c r="DM116" s="1234"/>
      <c r="DN116" s="1234"/>
      <c r="DO116" s="1234"/>
      <c r="DP116" s="1234"/>
      <c r="DQ116" s="1234"/>
      <c r="DR116" s="1234"/>
      <c r="DS116" s="1234"/>
      <c r="DT116" s="1234"/>
      <c r="DU116" s="1234"/>
      <c r="DV116" s="1234"/>
      <c r="DW116" s="6"/>
      <c r="DX116" s="6"/>
      <c r="DY116" s="6"/>
      <c r="DZ116" s="6"/>
    </row>
    <row r="117" spans="1:130" ht="12.75" customHeight="1" x14ac:dyDescent="0.25">
      <c r="A117" s="6"/>
      <c r="B117" s="6"/>
      <c r="C117" s="6"/>
      <c r="D117" s="1202"/>
      <c r="E117" s="1235" t="s">
        <v>450</v>
      </c>
      <c r="F117" s="1236">
        <f t="shared" ref="F117:DV117" si="58">IF(F160="","",EOMONTH($L$6,F118-1))</f>
        <v>46387</v>
      </c>
      <c r="G117" s="1236">
        <f t="shared" si="58"/>
        <v>46418</v>
      </c>
      <c r="H117" s="1236">
        <f t="shared" si="58"/>
        <v>46446</v>
      </c>
      <c r="I117" s="1236">
        <f t="shared" si="58"/>
        <v>46477</v>
      </c>
      <c r="J117" s="1236">
        <f t="shared" si="58"/>
        <v>46507</v>
      </c>
      <c r="K117" s="1236">
        <f t="shared" si="58"/>
        <v>46538</v>
      </c>
      <c r="L117" s="1236">
        <f t="shared" si="58"/>
        <v>46568</v>
      </c>
      <c r="M117" s="1236">
        <f t="shared" si="58"/>
        <v>46599</v>
      </c>
      <c r="N117" s="1236">
        <f t="shared" si="58"/>
        <v>46630</v>
      </c>
      <c r="O117" s="1236">
        <f t="shared" si="58"/>
        <v>46660</v>
      </c>
      <c r="P117" s="1236">
        <f t="shared" si="58"/>
        <v>46691</v>
      </c>
      <c r="Q117" s="1236">
        <f t="shared" si="58"/>
        <v>46721</v>
      </c>
      <c r="R117" s="1236">
        <f t="shared" si="58"/>
        <v>46752</v>
      </c>
      <c r="S117" s="1236">
        <f t="shared" si="58"/>
        <v>46783</v>
      </c>
      <c r="T117" s="1236">
        <f t="shared" si="58"/>
        <v>46812</v>
      </c>
      <c r="U117" s="1236">
        <f t="shared" si="58"/>
        <v>46843</v>
      </c>
      <c r="V117" s="1236">
        <f t="shared" si="58"/>
        <v>46873</v>
      </c>
      <c r="W117" s="1236">
        <f t="shared" si="58"/>
        <v>46904</v>
      </c>
      <c r="X117" s="1236">
        <f t="shared" si="58"/>
        <v>46934</v>
      </c>
      <c r="Y117" s="1236">
        <f t="shared" si="58"/>
        <v>46965</v>
      </c>
      <c r="Z117" s="1236">
        <f t="shared" si="58"/>
        <v>46996</v>
      </c>
      <c r="AA117" s="1236">
        <f t="shared" si="58"/>
        <v>47026</v>
      </c>
      <c r="AB117" s="1236">
        <f t="shared" si="58"/>
        <v>47057</v>
      </c>
      <c r="AC117" s="1236">
        <f t="shared" si="58"/>
        <v>47087</v>
      </c>
      <c r="AD117" s="1236">
        <f t="shared" si="58"/>
        <v>47118</v>
      </c>
      <c r="AE117" s="1236">
        <f t="shared" si="58"/>
        <v>47149</v>
      </c>
      <c r="AF117" s="1236">
        <f t="shared" si="58"/>
        <v>47177</v>
      </c>
      <c r="AG117" s="1236">
        <f t="shared" si="58"/>
        <v>47208</v>
      </c>
      <c r="AH117" s="1236">
        <f t="shared" si="58"/>
        <v>47238</v>
      </c>
      <c r="AI117" s="1236">
        <f t="shared" si="58"/>
        <v>47269</v>
      </c>
      <c r="AJ117" s="1236">
        <f t="shared" si="58"/>
        <v>47299</v>
      </c>
      <c r="AK117" s="1236">
        <f t="shared" si="58"/>
        <v>47330</v>
      </c>
      <c r="AL117" s="1236">
        <f t="shared" si="58"/>
        <v>47361</v>
      </c>
      <c r="AM117" s="1236">
        <f t="shared" si="58"/>
        <v>47391</v>
      </c>
      <c r="AN117" s="1236">
        <f t="shared" si="58"/>
        <v>47422</v>
      </c>
      <c r="AO117" s="1236">
        <f t="shared" si="58"/>
        <v>47452</v>
      </c>
      <c r="AP117" s="1236">
        <f t="shared" si="58"/>
        <v>47483</v>
      </c>
      <c r="AQ117" s="1236">
        <f t="shared" si="58"/>
        <v>47514</v>
      </c>
      <c r="AR117" s="1236">
        <f t="shared" si="58"/>
        <v>47542</v>
      </c>
      <c r="AS117" s="1236">
        <f t="shared" si="58"/>
        <v>47573</v>
      </c>
      <c r="AT117" s="1236">
        <f t="shared" si="58"/>
        <v>47603</v>
      </c>
      <c r="AU117" s="1236">
        <f t="shared" si="58"/>
        <v>47634</v>
      </c>
      <c r="AV117" s="1236">
        <f t="shared" si="58"/>
        <v>47664</v>
      </c>
      <c r="AW117" s="1236">
        <f t="shared" si="58"/>
        <v>47695</v>
      </c>
      <c r="AX117" s="1236">
        <f t="shared" si="58"/>
        <v>47726</v>
      </c>
      <c r="AY117" s="1236">
        <f t="shared" si="58"/>
        <v>47756</v>
      </c>
      <c r="AZ117" s="1236">
        <f t="shared" si="58"/>
        <v>47787</v>
      </c>
      <c r="BA117" s="1236">
        <f t="shared" si="58"/>
        <v>47817</v>
      </c>
      <c r="BB117" s="1236">
        <f t="shared" si="58"/>
        <v>47848</v>
      </c>
      <c r="BC117" s="1236">
        <f t="shared" si="58"/>
        <v>47879</v>
      </c>
      <c r="BD117" s="1236">
        <f t="shared" si="58"/>
        <v>47907</v>
      </c>
      <c r="BE117" s="1236">
        <f t="shared" si="58"/>
        <v>47938</v>
      </c>
      <c r="BF117" s="1236">
        <f t="shared" si="58"/>
        <v>47968</v>
      </c>
      <c r="BG117" s="1236">
        <f t="shared" si="58"/>
        <v>47999</v>
      </c>
      <c r="BH117" s="1236">
        <f t="shared" si="58"/>
        <v>48029</v>
      </c>
      <c r="BI117" s="1236">
        <f t="shared" si="58"/>
        <v>48060</v>
      </c>
      <c r="BJ117" s="1236">
        <f t="shared" si="58"/>
        <v>48091</v>
      </c>
      <c r="BK117" s="1236">
        <f t="shared" si="58"/>
        <v>48121</v>
      </c>
      <c r="BL117" s="1236">
        <f t="shared" si="58"/>
        <v>48152</v>
      </c>
      <c r="BM117" s="1236">
        <f t="shared" si="58"/>
        <v>48182</v>
      </c>
      <c r="BN117" s="1236">
        <f t="shared" si="58"/>
        <v>48213</v>
      </c>
      <c r="BO117" s="1236">
        <f t="shared" si="58"/>
        <v>48244</v>
      </c>
      <c r="BP117" s="1236">
        <f t="shared" si="58"/>
        <v>48273</v>
      </c>
      <c r="BQ117" s="1236">
        <f t="shared" si="58"/>
        <v>48304</v>
      </c>
      <c r="BR117" s="1236">
        <f t="shared" si="58"/>
        <v>48334</v>
      </c>
      <c r="BS117" s="1236">
        <f t="shared" si="58"/>
        <v>48365</v>
      </c>
      <c r="BT117" s="1236">
        <f t="shared" si="58"/>
        <v>48395</v>
      </c>
      <c r="BU117" s="1236">
        <f t="shared" si="58"/>
        <v>48426</v>
      </c>
      <c r="BV117" s="1236">
        <f t="shared" si="58"/>
        <v>48457</v>
      </c>
      <c r="BW117" s="1236">
        <f t="shared" si="58"/>
        <v>48487</v>
      </c>
      <c r="BX117" s="1236">
        <f t="shared" si="58"/>
        <v>48518</v>
      </c>
      <c r="BY117" s="1236">
        <f t="shared" si="58"/>
        <v>48548</v>
      </c>
      <c r="BZ117" s="1236">
        <f t="shared" si="58"/>
        <v>48579</v>
      </c>
      <c r="CA117" s="1236">
        <f t="shared" si="58"/>
        <v>48610</v>
      </c>
      <c r="CB117" s="1236">
        <f t="shared" si="58"/>
        <v>48638</v>
      </c>
      <c r="CC117" s="1236">
        <f t="shared" si="58"/>
        <v>48669</v>
      </c>
      <c r="CD117" s="1236">
        <f t="shared" si="58"/>
        <v>48699</v>
      </c>
      <c r="CE117" s="1236">
        <f t="shared" si="58"/>
        <v>48730</v>
      </c>
      <c r="CF117" s="1236">
        <f t="shared" si="58"/>
        <v>48760</v>
      </c>
      <c r="CG117" s="1236">
        <f t="shared" si="58"/>
        <v>48791</v>
      </c>
      <c r="CH117" s="1236">
        <f t="shared" si="58"/>
        <v>48822</v>
      </c>
      <c r="CI117" s="1236">
        <f t="shared" si="58"/>
        <v>48852</v>
      </c>
      <c r="CJ117" s="1236">
        <f t="shared" si="58"/>
        <v>48883</v>
      </c>
      <c r="CK117" s="1236">
        <f t="shared" si="58"/>
        <v>48913</v>
      </c>
      <c r="CL117" s="1236">
        <f t="shared" si="58"/>
        <v>48944</v>
      </c>
      <c r="CM117" s="1236">
        <f t="shared" si="58"/>
        <v>48975</v>
      </c>
      <c r="CN117" s="1236">
        <f t="shared" si="58"/>
        <v>49003</v>
      </c>
      <c r="CO117" s="1236">
        <f t="shared" si="58"/>
        <v>49034</v>
      </c>
      <c r="CP117" s="1236">
        <f t="shared" si="58"/>
        <v>49064</v>
      </c>
      <c r="CQ117" s="1236">
        <f t="shared" si="58"/>
        <v>49095</v>
      </c>
      <c r="CR117" s="1236">
        <f t="shared" si="58"/>
        <v>49125</v>
      </c>
      <c r="CS117" s="1236">
        <f t="shared" si="58"/>
        <v>49156</v>
      </c>
      <c r="CT117" s="1236">
        <f t="shared" si="58"/>
        <v>49187</v>
      </c>
      <c r="CU117" s="1236">
        <f t="shared" si="58"/>
        <v>49217</v>
      </c>
      <c r="CV117" s="1236">
        <f t="shared" si="58"/>
        <v>49248</v>
      </c>
      <c r="CW117" s="1236">
        <f t="shared" si="58"/>
        <v>49278</v>
      </c>
      <c r="CX117" s="1236">
        <f t="shared" si="58"/>
        <v>49309</v>
      </c>
      <c r="CY117" s="1236">
        <f t="shared" si="58"/>
        <v>49340</v>
      </c>
      <c r="CZ117" s="1236">
        <f t="shared" si="58"/>
        <v>49368</v>
      </c>
      <c r="DA117" s="1236">
        <f t="shared" si="58"/>
        <v>49399</v>
      </c>
      <c r="DB117" s="1236">
        <f t="shared" si="58"/>
        <v>49429</v>
      </c>
      <c r="DC117" s="1236">
        <f t="shared" si="58"/>
        <v>49460</v>
      </c>
      <c r="DD117" s="1236">
        <f t="shared" si="58"/>
        <v>49490</v>
      </c>
      <c r="DE117" s="1236">
        <f t="shared" si="58"/>
        <v>49521</v>
      </c>
      <c r="DF117" s="1236">
        <f t="shared" si="58"/>
        <v>49552</v>
      </c>
      <c r="DG117" s="1236">
        <f t="shared" si="58"/>
        <v>49582</v>
      </c>
      <c r="DH117" s="1236">
        <f t="shared" si="58"/>
        <v>49613</v>
      </c>
      <c r="DI117" s="1236">
        <f t="shared" si="58"/>
        <v>49643</v>
      </c>
      <c r="DJ117" s="1236">
        <f t="shared" si="58"/>
        <v>49674</v>
      </c>
      <c r="DK117" s="1236">
        <f t="shared" si="58"/>
        <v>49705</v>
      </c>
      <c r="DL117" s="1236">
        <f t="shared" si="58"/>
        <v>49734</v>
      </c>
      <c r="DM117" s="1236">
        <f t="shared" si="58"/>
        <v>49765</v>
      </c>
      <c r="DN117" s="1236">
        <f t="shared" si="58"/>
        <v>49795</v>
      </c>
      <c r="DO117" s="1236">
        <f t="shared" si="58"/>
        <v>49826</v>
      </c>
      <c r="DP117" s="1236">
        <f t="shared" si="58"/>
        <v>49856</v>
      </c>
      <c r="DQ117" s="1236">
        <f t="shared" si="58"/>
        <v>49887</v>
      </c>
      <c r="DR117" s="1236">
        <f t="shared" si="58"/>
        <v>49918</v>
      </c>
      <c r="DS117" s="1236">
        <f t="shared" si="58"/>
        <v>49948</v>
      </c>
      <c r="DT117" s="1236">
        <f t="shared" si="58"/>
        <v>49979</v>
      </c>
      <c r="DU117" s="1236">
        <f t="shared" si="58"/>
        <v>50009</v>
      </c>
      <c r="DV117" s="1236">
        <f t="shared" si="58"/>
        <v>50040</v>
      </c>
      <c r="DW117" s="6"/>
      <c r="DX117" s="6"/>
      <c r="DY117" s="6"/>
      <c r="DZ117" s="6"/>
    </row>
    <row r="118" spans="1:130" ht="12.75" customHeight="1" x14ac:dyDescent="0.25">
      <c r="A118" s="6"/>
      <c r="B118" s="77" t="s">
        <v>409</v>
      </c>
      <c r="C118" s="78"/>
      <c r="D118" s="1207"/>
      <c r="E118" s="1208"/>
      <c r="F118" s="1237">
        <v>0</v>
      </c>
      <c r="G118" s="1237">
        <f t="shared" ref="G118:DV118" si="59">IF(G160="","",F118+1)</f>
        <v>1</v>
      </c>
      <c r="H118" s="1237">
        <f t="shared" si="59"/>
        <v>2</v>
      </c>
      <c r="I118" s="1237">
        <f t="shared" si="59"/>
        <v>3</v>
      </c>
      <c r="J118" s="1237">
        <f t="shared" si="59"/>
        <v>4</v>
      </c>
      <c r="K118" s="1237">
        <f t="shared" si="59"/>
        <v>5</v>
      </c>
      <c r="L118" s="1237">
        <f t="shared" si="59"/>
        <v>6</v>
      </c>
      <c r="M118" s="1237">
        <f t="shared" si="59"/>
        <v>7</v>
      </c>
      <c r="N118" s="1237">
        <f t="shared" si="59"/>
        <v>8</v>
      </c>
      <c r="O118" s="1237">
        <f t="shared" si="59"/>
        <v>9</v>
      </c>
      <c r="P118" s="1237">
        <f t="shared" si="59"/>
        <v>10</v>
      </c>
      <c r="Q118" s="1237">
        <f t="shared" si="59"/>
        <v>11</v>
      </c>
      <c r="R118" s="1237">
        <f t="shared" si="59"/>
        <v>12</v>
      </c>
      <c r="S118" s="1237">
        <f t="shared" si="59"/>
        <v>13</v>
      </c>
      <c r="T118" s="1237">
        <f t="shared" si="59"/>
        <v>14</v>
      </c>
      <c r="U118" s="1237">
        <f t="shared" si="59"/>
        <v>15</v>
      </c>
      <c r="V118" s="1237">
        <f t="shared" si="59"/>
        <v>16</v>
      </c>
      <c r="W118" s="1237">
        <f t="shared" si="59"/>
        <v>17</v>
      </c>
      <c r="X118" s="1237">
        <f t="shared" si="59"/>
        <v>18</v>
      </c>
      <c r="Y118" s="1237">
        <f t="shared" si="59"/>
        <v>19</v>
      </c>
      <c r="Z118" s="1237">
        <f t="shared" si="59"/>
        <v>20</v>
      </c>
      <c r="AA118" s="1237">
        <f t="shared" si="59"/>
        <v>21</v>
      </c>
      <c r="AB118" s="1237">
        <f t="shared" si="59"/>
        <v>22</v>
      </c>
      <c r="AC118" s="1237">
        <f t="shared" si="59"/>
        <v>23</v>
      </c>
      <c r="AD118" s="1237">
        <f t="shared" si="59"/>
        <v>24</v>
      </c>
      <c r="AE118" s="1237">
        <f t="shared" si="59"/>
        <v>25</v>
      </c>
      <c r="AF118" s="1237">
        <f t="shared" si="59"/>
        <v>26</v>
      </c>
      <c r="AG118" s="1237">
        <f t="shared" si="59"/>
        <v>27</v>
      </c>
      <c r="AH118" s="1237">
        <f t="shared" si="59"/>
        <v>28</v>
      </c>
      <c r="AI118" s="1237">
        <f t="shared" si="59"/>
        <v>29</v>
      </c>
      <c r="AJ118" s="1237">
        <f t="shared" si="59"/>
        <v>30</v>
      </c>
      <c r="AK118" s="1237">
        <f t="shared" si="59"/>
        <v>31</v>
      </c>
      <c r="AL118" s="1237">
        <f t="shared" si="59"/>
        <v>32</v>
      </c>
      <c r="AM118" s="1237">
        <f t="shared" si="59"/>
        <v>33</v>
      </c>
      <c r="AN118" s="1237">
        <f t="shared" si="59"/>
        <v>34</v>
      </c>
      <c r="AO118" s="1237">
        <f t="shared" si="59"/>
        <v>35</v>
      </c>
      <c r="AP118" s="1237">
        <f t="shared" si="59"/>
        <v>36</v>
      </c>
      <c r="AQ118" s="1237">
        <f t="shared" si="59"/>
        <v>37</v>
      </c>
      <c r="AR118" s="1237">
        <f t="shared" si="59"/>
        <v>38</v>
      </c>
      <c r="AS118" s="1237">
        <f t="shared" si="59"/>
        <v>39</v>
      </c>
      <c r="AT118" s="1237">
        <f t="shared" si="59"/>
        <v>40</v>
      </c>
      <c r="AU118" s="1237">
        <f t="shared" si="59"/>
        <v>41</v>
      </c>
      <c r="AV118" s="1237">
        <f t="shared" si="59"/>
        <v>42</v>
      </c>
      <c r="AW118" s="1237">
        <f t="shared" si="59"/>
        <v>43</v>
      </c>
      <c r="AX118" s="1237">
        <f t="shared" si="59"/>
        <v>44</v>
      </c>
      <c r="AY118" s="1237">
        <f t="shared" si="59"/>
        <v>45</v>
      </c>
      <c r="AZ118" s="1237">
        <f t="shared" si="59"/>
        <v>46</v>
      </c>
      <c r="BA118" s="1237">
        <f t="shared" si="59"/>
        <v>47</v>
      </c>
      <c r="BB118" s="1237">
        <f t="shared" si="59"/>
        <v>48</v>
      </c>
      <c r="BC118" s="1237">
        <f t="shared" si="59"/>
        <v>49</v>
      </c>
      <c r="BD118" s="1237">
        <f t="shared" si="59"/>
        <v>50</v>
      </c>
      <c r="BE118" s="1237">
        <f t="shared" si="59"/>
        <v>51</v>
      </c>
      <c r="BF118" s="1237">
        <f t="shared" si="59"/>
        <v>52</v>
      </c>
      <c r="BG118" s="1237">
        <f t="shared" si="59"/>
        <v>53</v>
      </c>
      <c r="BH118" s="1237">
        <f t="shared" si="59"/>
        <v>54</v>
      </c>
      <c r="BI118" s="1237">
        <f t="shared" si="59"/>
        <v>55</v>
      </c>
      <c r="BJ118" s="1237">
        <f t="shared" si="59"/>
        <v>56</v>
      </c>
      <c r="BK118" s="1237">
        <f t="shared" si="59"/>
        <v>57</v>
      </c>
      <c r="BL118" s="1237">
        <f t="shared" si="59"/>
        <v>58</v>
      </c>
      <c r="BM118" s="1237">
        <f t="shared" si="59"/>
        <v>59</v>
      </c>
      <c r="BN118" s="1237">
        <f t="shared" si="59"/>
        <v>60</v>
      </c>
      <c r="BO118" s="1237">
        <f t="shared" si="59"/>
        <v>61</v>
      </c>
      <c r="BP118" s="1237">
        <f t="shared" si="59"/>
        <v>62</v>
      </c>
      <c r="BQ118" s="1237">
        <f t="shared" si="59"/>
        <v>63</v>
      </c>
      <c r="BR118" s="1237">
        <f t="shared" si="59"/>
        <v>64</v>
      </c>
      <c r="BS118" s="1237">
        <f t="shared" si="59"/>
        <v>65</v>
      </c>
      <c r="BT118" s="1237">
        <f t="shared" si="59"/>
        <v>66</v>
      </c>
      <c r="BU118" s="1237">
        <f t="shared" si="59"/>
        <v>67</v>
      </c>
      <c r="BV118" s="1237">
        <f t="shared" si="59"/>
        <v>68</v>
      </c>
      <c r="BW118" s="1237">
        <f t="shared" si="59"/>
        <v>69</v>
      </c>
      <c r="BX118" s="1237">
        <f t="shared" si="59"/>
        <v>70</v>
      </c>
      <c r="BY118" s="1237">
        <f t="shared" si="59"/>
        <v>71</v>
      </c>
      <c r="BZ118" s="1237">
        <f t="shared" si="59"/>
        <v>72</v>
      </c>
      <c r="CA118" s="1237">
        <f t="shared" si="59"/>
        <v>73</v>
      </c>
      <c r="CB118" s="1237">
        <f t="shared" si="59"/>
        <v>74</v>
      </c>
      <c r="CC118" s="1237">
        <f t="shared" si="59"/>
        <v>75</v>
      </c>
      <c r="CD118" s="1237">
        <f t="shared" si="59"/>
        <v>76</v>
      </c>
      <c r="CE118" s="1237">
        <f t="shared" si="59"/>
        <v>77</v>
      </c>
      <c r="CF118" s="1237">
        <f t="shared" si="59"/>
        <v>78</v>
      </c>
      <c r="CG118" s="1237">
        <f t="shared" si="59"/>
        <v>79</v>
      </c>
      <c r="CH118" s="1237">
        <f t="shared" si="59"/>
        <v>80</v>
      </c>
      <c r="CI118" s="1237">
        <f t="shared" si="59"/>
        <v>81</v>
      </c>
      <c r="CJ118" s="1237">
        <f t="shared" si="59"/>
        <v>82</v>
      </c>
      <c r="CK118" s="1237">
        <f t="shared" si="59"/>
        <v>83</v>
      </c>
      <c r="CL118" s="1237">
        <f t="shared" si="59"/>
        <v>84</v>
      </c>
      <c r="CM118" s="1237">
        <f t="shared" si="59"/>
        <v>85</v>
      </c>
      <c r="CN118" s="1237">
        <f t="shared" si="59"/>
        <v>86</v>
      </c>
      <c r="CO118" s="1237">
        <f t="shared" si="59"/>
        <v>87</v>
      </c>
      <c r="CP118" s="1237">
        <f t="shared" si="59"/>
        <v>88</v>
      </c>
      <c r="CQ118" s="1237">
        <f t="shared" si="59"/>
        <v>89</v>
      </c>
      <c r="CR118" s="1237">
        <f t="shared" si="59"/>
        <v>90</v>
      </c>
      <c r="CS118" s="1237">
        <f t="shared" si="59"/>
        <v>91</v>
      </c>
      <c r="CT118" s="1237">
        <f t="shared" si="59"/>
        <v>92</v>
      </c>
      <c r="CU118" s="1237">
        <f t="shared" si="59"/>
        <v>93</v>
      </c>
      <c r="CV118" s="1237">
        <f t="shared" si="59"/>
        <v>94</v>
      </c>
      <c r="CW118" s="1237">
        <f t="shared" si="59"/>
        <v>95</v>
      </c>
      <c r="CX118" s="1237">
        <f t="shared" si="59"/>
        <v>96</v>
      </c>
      <c r="CY118" s="1237">
        <f t="shared" si="59"/>
        <v>97</v>
      </c>
      <c r="CZ118" s="1237">
        <f t="shared" si="59"/>
        <v>98</v>
      </c>
      <c r="DA118" s="1237">
        <f t="shared" si="59"/>
        <v>99</v>
      </c>
      <c r="DB118" s="1237">
        <f t="shared" si="59"/>
        <v>100</v>
      </c>
      <c r="DC118" s="1237">
        <f t="shared" si="59"/>
        <v>101</v>
      </c>
      <c r="DD118" s="1237">
        <f t="shared" si="59"/>
        <v>102</v>
      </c>
      <c r="DE118" s="1237">
        <f t="shared" si="59"/>
        <v>103</v>
      </c>
      <c r="DF118" s="1237">
        <f t="shared" si="59"/>
        <v>104</v>
      </c>
      <c r="DG118" s="1237">
        <f t="shared" si="59"/>
        <v>105</v>
      </c>
      <c r="DH118" s="1237">
        <f t="shared" si="59"/>
        <v>106</v>
      </c>
      <c r="DI118" s="1237">
        <f t="shared" si="59"/>
        <v>107</v>
      </c>
      <c r="DJ118" s="1237">
        <f t="shared" si="59"/>
        <v>108</v>
      </c>
      <c r="DK118" s="1237">
        <f t="shared" si="59"/>
        <v>109</v>
      </c>
      <c r="DL118" s="1237">
        <f t="shared" si="59"/>
        <v>110</v>
      </c>
      <c r="DM118" s="1237">
        <f t="shared" si="59"/>
        <v>111</v>
      </c>
      <c r="DN118" s="1237">
        <f t="shared" si="59"/>
        <v>112</v>
      </c>
      <c r="DO118" s="1237">
        <f t="shared" si="59"/>
        <v>113</v>
      </c>
      <c r="DP118" s="1237">
        <f t="shared" si="59"/>
        <v>114</v>
      </c>
      <c r="DQ118" s="1237">
        <f t="shared" si="59"/>
        <v>115</v>
      </c>
      <c r="DR118" s="1237">
        <f t="shared" si="59"/>
        <v>116</v>
      </c>
      <c r="DS118" s="1237">
        <f t="shared" si="59"/>
        <v>117</v>
      </c>
      <c r="DT118" s="1237">
        <f t="shared" si="59"/>
        <v>118</v>
      </c>
      <c r="DU118" s="1237">
        <f t="shared" si="59"/>
        <v>119</v>
      </c>
      <c r="DV118" s="1237">
        <f t="shared" si="59"/>
        <v>120</v>
      </c>
      <c r="DW118" s="6"/>
      <c r="DX118" s="6"/>
      <c r="DY118" s="6"/>
      <c r="DZ118" s="6"/>
    </row>
    <row r="119" spans="1:130" ht="12.75" customHeight="1" x14ac:dyDescent="0.25">
      <c r="A119" s="6"/>
      <c r="B119" s="1210" t="s">
        <v>411</v>
      </c>
      <c r="C119" s="6"/>
      <c r="D119" s="1238"/>
      <c r="E119" s="1200"/>
      <c r="F119" s="1179"/>
      <c r="G119" s="136"/>
      <c r="H119" s="458"/>
      <c r="I119" s="458"/>
      <c r="J119" s="10"/>
      <c r="K119" s="10"/>
      <c r="L119" s="10"/>
      <c r="M119" s="10"/>
      <c r="N119" s="10"/>
      <c r="O119" s="10"/>
      <c r="P119" s="10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</row>
    <row r="120" spans="1:130" ht="12.75" customHeight="1" x14ac:dyDescent="0.25">
      <c r="A120" s="6"/>
      <c r="B120" s="7" t="s">
        <v>412</v>
      </c>
      <c r="C120" s="6"/>
      <c r="D120" s="523">
        <f>SUM(F166:DV166)</f>
        <v>5142142.0723193251</v>
      </c>
      <c r="E120" s="1200"/>
      <c r="F120" s="1179"/>
      <c r="G120" s="136"/>
      <c r="H120" s="458"/>
      <c r="I120" s="458"/>
      <c r="J120" s="10"/>
      <c r="K120" s="10"/>
      <c r="L120" s="10"/>
      <c r="M120" s="10"/>
      <c r="N120" s="10"/>
      <c r="O120" s="10"/>
      <c r="P120" s="10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</row>
    <row r="121" spans="1:130" ht="12.75" customHeight="1" x14ac:dyDescent="0.25">
      <c r="A121" s="6"/>
      <c r="B121" s="7" t="s">
        <v>373</v>
      </c>
      <c r="C121" s="6"/>
      <c r="D121" s="523">
        <f>D124</f>
        <v>5500000.3668247918</v>
      </c>
      <c r="E121" s="1200"/>
      <c r="F121" s="1179"/>
      <c r="G121" s="136"/>
      <c r="H121" s="458"/>
      <c r="I121" s="458"/>
      <c r="J121" s="10"/>
      <c r="K121" s="10"/>
      <c r="L121" s="10"/>
      <c r="M121" s="10"/>
      <c r="N121" s="10"/>
      <c r="O121" s="10"/>
      <c r="P121" s="10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</row>
    <row r="122" spans="1:130" ht="12.75" customHeight="1" x14ac:dyDescent="0.25">
      <c r="A122" s="6"/>
      <c r="B122" s="7" t="s">
        <v>413</v>
      </c>
      <c r="C122" s="6"/>
      <c r="D122" s="1212">
        <f>SUM(F123:DV123)-D121-D120</f>
        <v>162257.71925634239</v>
      </c>
      <c r="E122" s="1200"/>
      <c r="F122" s="1179"/>
      <c r="G122" s="136"/>
      <c r="H122" s="458"/>
      <c r="I122" s="458"/>
      <c r="J122" s="10"/>
      <c r="K122" s="10"/>
      <c r="L122" s="10"/>
      <c r="M122" s="10"/>
      <c r="N122" s="10"/>
      <c r="O122" s="10"/>
      <c r="P122" s="10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</row>
    <row r="123" spans="1:130" ht="12.75" customHeight="1" x14ac:dyDescent="0.25">
      <c r="A123" s="6"/>
      <c r="B123" s="7" t="s">
        <v>414</v>
      </c>
      <c r="C123" s="6"/>
      <c r="D123" s="523">
        <f>SUM(D120:D122)</f>
        <v>10804400.158400457</v>
      </c>
      <c r="E123" s="196"/>
      <c r="F123" s="350">
        <f t="shared" ref="F123:DV123" si="60">IF(F118="","",F172+F187+F202+F209)</f>
        <v>0</v>
      </c>
      <c r="G123" s="350">
        <f t="shared" si="60"/>
        <v>0</v>
      </c>
      <c r="H123" s="350">
        <f t="shared" si="60"/>
        <v>0</v>
      </c>
      <c r="I123" s="350">
        <f t="shared" si="60"/>
        <v>0</v>
      </c>
      <c r="J123" s="350">
        <f t="shared" si="60"/>
        <v>0</v>
      </c>
      <c r="K123" s="350">
        <f t="shared" si="60"/>
        <v>0</v>
      </c>
      <c r="L123" s="350">
        <f t="shared" si="60"/>
        <v>0</v>
      </c>
      <c r="M123" s="350">
        <f t="shared" si="60"/>
        <v>0</v>
      </c>
      <c r="N123" s="350">
        <f t="shared" si="60"/>
        <v>0</v>
      </c>
      <c r="O123" s="350">
        <f t="shared" si="60"/>
        <v>0</v>
      </c>
      <c r="P123" s="350">
        <f t="shared" si="60"/>
        <v>0</v>
      </c>
      <c r="Q123" s="350">
        <f t="shared" si="60"/>
        <v>0</v>
      </c>
      <c r="R123" s="350">
        <f t="shared" si="60"/>
        <v>0</v>
      </c>
      <c r="S123" s="350">
        <f t="shared" si="60"/>
        <v>0</v>
      </c>
      <c r="T123" s="350">
        <f t="shared" si="60"/>
        <v>0</v>
      </c>
      <c r="U123" s="350">
        <f t="shared" si="60"/>
        <v>0</v>
      </c>
      <c r="V123" s="350">
        <f t="shared" si="60"/>
        <v>0</v>
      </c>
      <c r="W123" s="350">
        <f t="shared" si="60"/>
        <v>0</v>
      </c>
      <c r="X123" s="350">
        <f t="shared" si="60"/>
        <v>0</v>
      </c>
      <c r="Y123" s="350">
        <f t="shared" si="60"/>
        <v>0</v>
      </c>
      <c r="Z123" s="350">
        <f t="shared" si="60"/>
        <v>0</v>
      </c>
      <c r="AA123" s="350">
        <f t="shared" si="60"/>
        <v>0</v>
      </c>
      <c r="AB123" s="350">
        <f t="shared" si="60"/>
        <v>0</v>
      </c>
      <c r="AC123" s="350">
        <f t="shared" si="60"/>
        <v>0</v>
      </c>
      <c r="AD123" s="350">
        <f t="shared" si="60"/>
        <v>0</v>
      </c>
      <c r="AE123" s="350">
        <f t="shared" si="60"/>
        <v>0</v>
      </c>
      <c r="AF123" s="350">
        <f t="shared" si="60"/>
        <v>0</v>
      </c>
      <c r="AG123" s="350">
        <f t="shared" si="60"/>
        <v>0</v>
      </c>
      <c r="AH123" s="350">
        <f t="shared" si="60"/>
        <v>0</v>
      </c>
      <c r="AI123" s="350">
        <f t="shared" si="60"/>
        <v>0</v>
      </c>
      <c r="AJ123" s="350">
        <f t="shared" si="60"/>
        <v>0</v>
      </c>
      <c r="AK123" s="350">
        <f t="shared" si="60"/>
        <v>4904.6946844035401</v>
      </c>
      <c r="AL123" s="350">
        <f t="shared" si="60"/>
        <v>12783.26924578376</v>
      </c>
      <c r="AM123" s="350">
        <f t="shared" si="60"/>
        <v>20501.6237808068</v>
      </c>
      <c r="AN123" s="350">
        <f t="shared" si="60"/>
        <v>28380.198342187021</v>
      </c>
      <c r="AO123" s="350">
        <f t="shared" si="60"/>
        <v>23962.15836369152</v>
      </c>
      <c r="AP123" s="350">
        <f t="shared" si="60"/>
        <v>23962.15836369152</v>
      </c>
      <c r="AQ123" s="350">
        <f t="shared" si="60"/>
        <v>26363.278894745075</v>
      </c>
      <c r="AR123" s="350">
        <f t="shared" si="60"/>
        <v>26363.278894745075</v>
      </c>
      <c r="AS123" s="350">
        <f t="shared" si="60"/>
        <v>26363.278894745075</v>
      </c>
      <c r="AT123" s="350">
        <f t="shared" si="60"/>
        <v>26363.278894745075</v>
      </c>
      <c r="AU123" s="350">
        <f t="shared" si="60"/>
        <v>26363.278894745075</v>
      </c>
      <c r="AV123" s="350">
        <f t="shared" si="60"/>
        <v>26363.278894745075</v>
      </c>
      <c r="AW123" s="350">
        <f t="shared" si="60"/>
        <v>26363.278894745075</v>
      </c>
      <c r="AX123" s="350">
        <f t="shared" si="60"/>
        <v>26363.278894745075</v>
      </c>
      <c r="AY123" s="350">
        <f t="shared" si="60"/>
        <v>26363.278894745075</v>
      </c>
      <c r="AZ123" s="350">
        <f t="shared" si="60"/>
        <v>26363.278894745075</v>
      </c>
      <c r="BA123" s="350">
        <f t="shared" si="60"/>
        <v>26363.278894745075</v>
      </c>
      <c r="BB123" s="350">
        <f t="shared" si="60"/>
        <v>26363.278894745075</v>
      </c>
      <c r="BC123" s="350">
        <f t="shared" si="60"/>
        <v>28835.789981760503</v>
      </c>
      <c r="BD123" s="350">
        <f t="shared" si="60"/>
        <v>28835.789981760503</v>
      </c>
      <c r="BE123" s="350">
        <f t="shared" si="60"/>
        <v>28835.789981760503</v>
      </c>
      <c r="BF123" s="350">
        <f t="shared" si="60"/>
        <v>28835.789981760503</v>
      </c>
      <c r="BG123" s="350">
        <f t="shared" si="60"/>
        <v>28835.789981760503</v>
      </c>
      <c r="BH123" s="350">
        <f t="shared" si="60"/>
        <v>28835.789981760503</v>
      </c>
      <c r="BI123" s="350">
        <f t="shared" si="60"/>
        <v>28835.789981760503</v>
      </c>
      <c r="BJ123" s="350">
        <f t="shared" si="60"/>
        <v>28835.789981760503</v>
      </c>
      <c r="BK123" s="350">
        <f t="shared" si="60"/>
        <v>28835.789981760503</v>
      </c>
      <c r="BL123" s="350">
        <f t="shared" si="60"/>
        <v>28835.789981760503</v>
      </c>
      <c r="BM123" s="350">
        <f t="shared" si="60"/>
        <v>28835.789981760503</v>
      </c>
      <c r="BN123" s="350">
        <f t="shared" si="60"/>
        <v>10056353.019083589</v>
      </c>
      <c r="BO123" s="350">
        <f t="shared" si="60"/>
        <v>0</v>
      </c>
      <c r="BP123" s="350">
        <f t="shared" si="60"/>
        <v>0</v>
      </c>
      <c r="BQ123" s="350">
        <f t="shared" si="60"/>
        <v>0</v>
      </c>
      <c r="BR123" s="350">
        <f t="shared" si="60"/>
        <v>0</v>
      </c>
      <c r="BS123" s="350">
        <f t="shared" si="60"/>
        <v>0</v>
      </c>
      <c r="BT123" s="350">
        <f t="shared" si="60"/>
        <v>0</v>
      </c>
      <c r="BU123" s="350">
        <f t="shared" si="60"/>
        <v>0</v>
      </c>
      <c r="BV123" s="350">
        <f t="shared" si="60"/>
        <v>0</v>
      </c>
      <c r="BW123" s="350">
        <f t="shared" si="60"/>
        <v>0</v>
      </c>
      <c r="BX123" s="350">
        <f t="shared" si="60"/>
        <v>0</v>
      </c>
      <c r="BY123" s="350">
        <f t="shared" si="60"/>
        <v>0</v>
      </c>
      <c r="BZ123" s="350">
        <f t="shared" si="60"/>
        <v>0</v>
      </c>
      <c r="CA123" s="350">
        <f t="shared" si="60"/>
        <v>0</v>
      </c>
      <c r="CB123" s="350">
        <f t="shared" si="60"/>
        <v>0</v>
      </c>
      <c r="CC123" s="350">
        <f t="shared" si="60"/>
        <v>0</v>
      </c>
      <c r="CD123" s="350">
        <f t="shared" si="60"/>
        <v>0</v>
      </c>
      <c r="CE123" s="350">
        <f t="shared" si="60"/>
        <v>0</v>
      </c>
      <c r="CF123" s="350">
        <f t="shared" si="60"/>
        <v>0</v>
      </c>
      <c r="CG123" s="350">
        <f t="shared" si="60"/>
        <v>0</v>
      </c>
      <c r="CH123" s="350">
        <f t="shared" si="60"/>
        <v>0</v>
      </c>
      <c r="CI123" s="350">
        <f t="shared" si="60"/>
        <v>0</v>
      </c>
      <c r="CJ123" s="350">
        <f t="shared" si="60"/>
        <v>0</v>
      </c>
      <c r="CK123" s="350">
        <f t="shared" si="60"/>
        <v>0</v>
      </c>
      <c r="CL123" s="350">
        <f t="shared" si="60"/>
        <v>0</v>
      </c>
      <c r="CM123" s="350">
        <f t="shared" si="60"/>
        <v>0</v>
      </c>
      <c r="CN123" s="350">
        <f t="shared" si="60"/>
        <v>0</v>
      </c>
      <c r="CO123" s="350">
        <f t="shared" si="60"/>
        <v>0</v>
      </c>
      <c r="CP123" s="350">
        <f t="shared" si="60"/>
        <v>0</v>
      </c>
      <c r="CQ123" s="350">
        <f t="shared" si="60"/>
        <v>0</v>
      </c>
      <c r="CR123" s="350">
        <f t="shared" si="60"/>
        <v>0</v>
      </c>
      <c r="CS123" s="350">
        <f t="shared" si="60"/>
        <v>0</v>
      </c>
      <c r="CT123" s="350">
        <f t="shared" si="60"/>
        <v>0</v>
      </c>
      <c r="CU123" s="350">
        <f t="shared" si="60"/>
        <v>0</v>
      </c>
      <c r="CV123" s="350">
        <f t="shared" si="60"/>
        <v>0</v>
      </c>
      <c r="CW123" s="350">
        <f t="shared" si="60"/>
        <v>0</v>
      </c>
      <c r="CX123" s="350">
        <f t="shared" si="60"/>
        <v>0</v>
      </c>
      <c r="CY123" s="350">
        <f t="shared" si="60"/>
        <v>0</v>
      </c>
      <c r="CZ123" s="350">
        <f t="shared" si="60"/>
        <v>0</v>
      </c>
      <c r="DA123" s="350">
        <f t="shared" si="60"/>
        <v>0</v>
      </c>
      <c r="DB123" s="350">
        <f t="shared" si="60"/>
        <v>0</v>
      </c>
      <c r="DC123" s="350">
        <f t="shared" si="60"/>
        <v>0</v>
      </c>
      <c r="DD123" s="350">
        <f t="shared" si="60"/>
        <v>0</v>
      </c>
      <c r="DE123" s="350">
        <f t="shared" si="60"/>
        <v>0</v>
      </c>
      <c r="DF123" s="350">
        <f t="shared" si="60"/>
        <v>0</v>
      </c>
      <c r="DG123" s="350">
        <f t="shared" si="60"/>
        <v>0</v>
      </c>
      <c r="DH123" s="350">
        <f t="shared" si="60"/>
        <v>0</v>
      </c>
      <c r="DI123" s="350">
        <f t="shared" si="60"/>
        <v>0</v>
      </c>
      <c r="DJ123" s="350">
        <f t="shared" si="60"/>
        <v>0</v>
      </c>
      <c r="DK123" s="350">
        <f t="shared" si="60"/>
        <v>0</v>
      </c>
      <c r="DL123" s="350">
        <f t="shared" si="60"/>
        <v>0</v>
      </c>
      <c r="DM123" s="350">
        <f t="shared" si="60"/>
        <v>0</v>
      </c>
      <c r="DN123" s="350">
        <f t="shared" si="60"/>
        <v>0</v>
      </c>
      <c r="DO123" s="350">
        <f t="shared" si="60"/>
        <v>0</v>
      </c>
      <c r="DP123" s="350">
        <f t="shared" si="60"/>
        <v>0</v>
      </c>
      <c r="DQ123" s="350">
        <f t="shared" si="60"/>
        <v>0</v>
      </c>
      <c r="DR123" s="350">
        <f t="shared" si="60"/>
        <v>0</v>
      </c>
      <c r="DS123" s="350">
        <f t="shared" si="60"/>
        <v>0</v>
      </c>
      <c r="DT123" s="350">
        <f t="shared" si="60"/>
        <v>0</v>
      </c>
      <c r="DU123" s="350">
        <f t="shared" si="60"/>
        <v>0</v>
      </c>
      <c r="DV123" s="350">
        <f t="shared" si="60"/>
        <v>0</v>
      </c>
      <c r="DW123" s="6"/>
      <c r="DX123" s="6"/>
      <c r="DY123" s="6"/>
      <c r="DZ123" s="6"/>
    </row>
    <row r="124" spans="1:130" ht="12.75" customHeight="1" x14ac:dyDescent="0.25">
      <c r="A124" s="6"/>
      <c r="B124" s="7" t="s">
        <v>415</v>
      </c>
      <c r="C124" s="6"/>
      <c r="D124" s="523">
        <f>SUM(F124:DV124)</f>
        <v>5500000.3668247918</v>
      </c>
      <c r="E124" s="1200"/>
      <c r="F124" s="350">
        <f t="shared" ref="F124:DV124" si="61">F167</f>
        <v>2045560.6845345572</v>
      </c>
      <c r="G124" s="350">
        <f t="shared" si="61"/>
        <v>532219.86449222511</v>
      </c>
      <c r="H124" s="350">
        <f t="shared" si="61"/>
        <v>538957.28009036742</v>
      </c>
      <c r="I124" s="350">
        <f t="shared" si="61"/>
        <v>545194.41683070059</v>
      </c>
      <c r="J124" s="350">
        <f t="shared" si="61"/>
        <v>550901.30157904211</v>
      </c>
      <c r="K124" s="350">
        <f t="shared" si="61"/>
        <v>556049.59609943768</v>
      </c>
      <c r="L124" s="350">
        <f t="shared" si="61"/>
        <v>560613.14202023717</v>
      </c>
      <c r="M124" s="350">
        <f t="shared" si="61"/>
        <v>170504.08117822444</v>
      </c>
      <c r="N124" s="350">
        <f t="shared" si="61"/>
        <v>0</v>
      </c>
      <c r="O124" s="350">
        <f t="shared" si="61"/>
        <v>0</v>
      </c>
      <c r="P124" s="350">
        <f t="shared" si="61"/>
        <v>0</v>
      </c>
      <c r="Q124" s="350">
        <f t="shared" si="61"/>
        <v>0</v>
      </c>
      <c r="R124" s="350">
        <f t="shared" si="61"/>
        <v>0</v>
      </c>
      <c r="S124" s="350">
        <f t="shared" si="61"/>
        <v>0</v>
      </c>
      <c r="T124" s="350">
        <f t="shared" si="61"/>
        <v>0</v>
      </c>
      <c r="U124" s="350">
        <f t="shared" si="61"/>
        <v>0</v>
      </c>
      <c r="V124" s="350">
        <f t="shared" si="61"/>
        <v>0</v>
      </c>
      <c r="W124" s="350">
        <f t="shared" si="61"/>
        <v>0</v>
      </c>
      <c r="X124" s="350">
        <f t="shared" si="61"/>
        <v>0</v>
      </c>
      <c r="Y124" s="350">
        <f t="shared" si="61"/>
        <v>0</v>
      </c>
      <c r="Z124" s="350">
        <f t="shared" si="61"/>
        <v>0</v>
      </c>
      <c r="AA124" s="350">
        <f t="shared" si="61"/>
        <v>0</v>
      </c>
      <c r="AB124" s="350">
        <f t="shared" si="61"/>
        <v>0</v>
      </c>
      <c r="AC124" s="350">
        <f t="shared" si="61"/>
        <v>0</v>
      </c>
      <c r="AD124" s="350">
        <f t="shared" si="61"/>
        <v>0</v>
      </c>
      <c r="AE124" s="350">
        <f t="shared" si="61"/>
        <v>0</v>
      </c>
      <c r="AF124" s="350">
        <f t="shared" si="61"/>
        <v>0</v>
      </c>
      <c r="AG124" s="350">
        <f t="shared" si="61"/>
        <v>0</v>
      </c>
      <c r="AH124" s="350">
        <f t="shared" si="61"/>
        <v>0</v>
      </c>
      <c r="AI124" s="350">
        <f t="shared" si="61"/>
        <v>0</v>
      </c>
      <c r="AJ124" s="350">
        <f t="shared" si="61"/>
        <v>0</v>
      </c>
      <c r="AK124" s="350">
        <f t="shared" si="61"/>
        <v>0</v>
      </c>
      <c r="AL124" s="350">
        <f t="shared" si="61"/>
        <v>0</v>
      </c>
      <c r="AM124" s="350">
        <f t="shared" si="61"/>
        <v>0</v>
      </c>
      <c r="AN124" s="350">
        <f t="shared" si="61"/>
        <v>0</v>
      </c>
      <c r="AO124" s="350">
        <f t="shared" si="61"/>
        <v>0</v>
      </c>
      <c r="AP124" s="350">
        <f t="shared" si="61"/>
        <v>0</v>
      </c>
      <c r="AQ124" s="350">
        <f t="shared" si="61"/>
        <v>0</v>
      </c>
      <c r="AR124" s="350">
        <f t="shared" si="61"/>
        <v>0</v>
      </c>
      <c r="AS124" s="350">
        <f t="shared" si="61"/>
        <v>0</v>
      </c>
      <c r="AT124" s="350">
        <f t="shared" si="61"/>
        <v>0</v>
      </c>
      <c r="AU124" s="350">
        <f t="shared" si="61"/>
        <v>0</v>
      </c>
      <c r="AV124" s="350">
        <f t="shared" si="61"/>
        <v>0</v>
      </c>
      <c r="AW124" s="350">
        <f t="shared" si="61"/>
        <v>0</v>
      </c>
      <c r="AX124" s="350">
        <f t="shared" si="61"/>
        <v>0</v>
      </c>
      <c r="AY124" s="350">
        <f t="shared" si="61"/>
        <v>0</v>
      </c>
      <c r="AZ124" s="350">
        <f t="shared" si="61"/>
        <v>0</v>
      </c>
      <c r="BA124" s="350">
        <f t="shared" si="61"/>
        <v>0</v>
      </c>
      <c r="BB124" s="350">
        <f t="shared" si="61"/>
        <v>0</v>
      </c>
      <c r="BC124" s="350">
        <f t="shared" si="61"/>
        <v>0</v>
      </c>
      <c r="BD124" s="350">
        <f t="shared" si="61"/>
        <v>0</v>
      </c>
      <c r="BE124" s="350">
        <f t="shared" si="61"/>
        <v>0</v>
      </c>
      <c r="BF124" s="350">
        <f t="shared" si="61"/>
        <v>0</v>
      </c>
      <c r="BG124" s="350">
        <f t="shared" si="61"/>
        <v>0</v>
      </c>
      <c r="BH124" s="350">
        <f t="shared" si="61"/>
        <v>0</v>
      </c>
      <c r="BI124" s="350">
        <f t="shared" si="61"/>
        <v>0</v>
      </c>
      <c r="BJ124" s="350">
        <f t="shared" si="61"/>
        <v>0</v>
      </c>
      <c r="BK124" s="350">
        <f t="shared" si="61"/>
        <v>0</v>
      </c>
      <c r="BL124" s="350">
        <f t="shared" si="61"/>
        <v>0</v>
      </c>
      <c r="BM124" s="350">
        <f t="shared" si="61"/>
        <v>0</v>
      </c>
      <c r="BN124" s="350">
        <f t="shared" si="61"/>
        <v>0</v>
      </c>
      <c r="BO124" s="350">
        <f t="shared" si="61"/>
        <v>0</v>
      </c>
      <c r="BP124" s="350">
        <f t="shared" si="61"/>
        <v>0</v>
      </c>
      <c r="BQ124" s="350">
        <f t="shared" si="61"/>
        <v>0</v>
      </c>
      <c r="BR124" s="350">
        <f t="shared" si="61"/>
        <v>0</v>
      </c>
      <c r="BS124" s="350">
        <f t="shared" si="61"/>
        <v>0</v>
      </c>
      <c r="BT124" s="350">
        <f t="shared" si="61"/>
        <v>0</v>
      </c>
      <c r="BU124" s="350">
        <f t="shared" si="61"/>
        <v>0</v>
      </c>
      <c r="BV124" s="350">
        <f t="shared" si="61"/>
        <v>0</v>
      </c>
      <c r="BW124" s="350">
        <f t="shared" si="61"/>
        <v>0</v>
      </c>
      <c r="BX124" s="350">
        <f t="shared" si="61"/>
        <v>0</v>
      </c>
      <c r="BY124" s="350">
        <f t="shared" si="61"/>
        <v>0</v>
      </c>
      <c r="BZ124" s="350">
        <f t="shared" si="61"/>
        <v>0</v>
      </c>
      <c r="CA124" s="350">
        <f t="shared" si="61"/>
        <v>0</v>
      </c>
      <c r="CB124" s="350">
        <f t="shared" si="61"/>
        <v>0</v>
      </c>
      <c r="CC124" s="350">
        <f t="shared" si="61"/>
        <v>0</v>
      </c>
      <c r="CD124" s="350">
        <f t="shared" si="61"/>
        <v>0</v>
      </c>
      <c r="CE124" s="350">
        <f t="shared" si="61"/>
        <v>0</v>
      </c>
      <c r="CF124" s="350">
        <f t="shared" si="61"/>
        <v>0</v>
      </c>
      <c r="CG124" s="350">
        <f t="shared" si="61"/>
        <v>0</v>
      </c>
      <c r="CH124" s="350">
        <f t="shared" si="61"/>
        <v>0</v>
      </c>
      <c r="CI124" s="350">
        <f t="shared" si="61"/>
        <v>0</v>
      </c>
      <c r="CJ124" s="350">
        <f t="shared" si="61"/>
        <v>0</v>
      </c>
      <c r="CK124" s="350">
        <f t="shared" si="61"/>
        <v>0</v>
      </c>
      <c r="CL124" s="350">
        <f t="shared" si="61"/>
        <v>0</v>
      </c>
      <c r="CM124" s="350">
        <f t="shared" si="61"/>
        <v>0</v>
      </c>
      <c r="CN124" s="350">
        <f t="shared" si="61"/>
        <v>0</v>
      </c>
      <c r="CO124" s="350">
        <f t="shared" si="61"/>
        <v>0</v>
      </c>
      <c r="CP124" s="350">
        <f t="shared" si="61"/>
        <v>0</v>
      </c>
      <c r="CQ124" s="350">
        <f t="shared" si="61"/>
        <v>0</v>
      </c>
      <c r="CR124" s="350">
        <f t="shared" si="61"/>
        <v>0</v>
      </c>
      <c r="CS124" s="350">
        <f t="shared" si="61"/>
        <v>0</v>
      </c>
      <c r="CT124" s="350">
        <f t="shared" si="61"/>
        <v>0</v>
      </c>
      <c r="CU124" s="350">
        <f t="shared" si="61"/>
        <v>0</v>
      </c>
      <c r="CV124" s="350">
        <f t="shared" si="61"/>
        <v>0</v>
      </c>
      <c r="CW124" s="350">
        <f t="shared" si="61"/>
        <v>0</v>
      </c>
      <c r="CX124" s="350">
        <f t="shared" si="61"/>
        <v>0</v>
      </c>
      <c r="CY124" s="350">
        <f t="shared" si="61"/>
        <v>0</v>
      </c>
      <c r="CZ124" s="350">
        <f t="shared" si="61"/>
        <v>0</v>
      </c>
      <c r="DA124" s="350">
        <f t="shared" si="61"/>
        <v>0</v>
      </c>
      <c r="DB124" s="350">
        <f t="shared" si="61"/>
        <v>0</v>
      </c>
      <c r="DC124" s="350">
        <f t="shared" si="61"/>
        <v>0</v>
      </c>
      <c r="DD124" s="350">
        <f t="shared" si="61"/>
        <v>0</v>
      </c>
      <c r="DE124" s="350">
        <f t="shared" si="61"/>
        <v>0</v>
      </c>
      <c r="DF124" s="350">
        <f t="shared" si="61"/>
        <v>0</v>
      </c>
      <c r="DG124" s="350">
        <f t="shared" si="61"/>
        <v>0</v>
      </c>
      <c r="DH124" s="350">
        <f t="shared" si="61"/>
        <v>0</v>
      </c>
      <c r="DI124" s="350">
        <f t="shared" si="61"/>
        <v>0</v>
      </c>
      <c r="DJ124" s="350">
        <f t="shared" si="61"/>
        <v>0</v>
      </c>
      <c r="DK124" s="350">
        <f t="shared" si="61"/>
        <v>0</v>
      </c>
      <c r="DL124" s="350">
        <f t="shared" si="61"/>
        <v>0</v>
      </c>
      <c r="DM124" s="350">
        <f t="shared" si="61"/>
        <v>0</v>
      </c>
      <c r="DN124" s="350">
        <f t="shared" si="61"/>
        <v>0</v>
      </c>
      <c r="DO124" s="350">
        <f t="shared" si="61"/>
        <v>0</v>
      </c>
      <c r="DP124" s="350">
        <f t="shared" si="61"/>
        <v>0</v>
      </c>
      <c r="DQ124" s="350">
        <f t="shared" si="61"/>
        <v>0</v>
      </c>
      <c r="DR124" s="350">
        <f t="shared" si="61"/>
        <v>0</v>
      </c>
      <c r="DS124" s="350">
        <f t="shared" si="61"/>
        <v>0</v>
      </c>
      <c r="DT124" s="350">
        <f t="shared" si="61"/>
        <v>0</v>
      </c>
      <c r="DU124" s="350">
        <f t="shared" si="61"/>
        <v>0</v>
      </c>
      <c r="DV124" s="350">
        <f t="shared" si="61"/>
        <v>0</v>
      </c>
      <c r="DW124" s="6"/>
      <c r="DX124" s="6"/>
      <c r="DY124" s="6"/>
      <c r="DZ124" s="6"/>
    </row>
    <row r="125" spans="1:130" ht="12.75" customHeight="1" x14ac:dyDescent="0.25">
      <c r="A125" s="6"/>
      <c r="B125" s="7" t="s">
        <v>416</v>
      </c>
      <c r="C125" s="6"/>
      <c r="D125" s="523">
        <f>D123-D124</f>
        <v>5304399.7915756656</v>
      </c>
      <c r="E125" s="1200"/>
      <c r="F125" s="1179"/>
      <c r="G125" s="136"/>
      <c r="H125" s="458"/>
      <c r="I125" s="458"/>
      <c r="J125" s="10"/>
      <c r="K125" s="10"/>
      <c r="L125" s="10"/>
      <c r="M125" s="10"/>
      <c r="N125" s="10"/>
      <c r="O125" s="10"/>
      <c r="P125" s="10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</row>
    <row r="126" spans="1:130" ht="12.75" customHeight="1" x14ac:dyDescent="0.25">
      <c r="A126" s="6"/>
      <c r="B126" s="7" t="s">
        <v>417</v>
      </c>
      <c r="C126" s="6"/>
      <c r="D126" s="306">
        <f>XIRR(F126:DV126,F117:DV117)</f>
        <v>0.15364879965782166</v>
      </c>
      <c r="E126" s="1200"/>
      <c r="F126" s="350">
        <f t="shared" ref="F126:DV126" si="62">IF(F118="","",(-F124)+F123)</f>
        <v>-2045560.6845345572</v>
      </c>
      <c r="G126" s="350">
        <f t="shared" si="62"/>
        <v>-532219.86449222511</v>
      </c>
      <c r="H126" s="350">
        <f t="shared" si="62"/>
        <v>-538957.28009036742</v>
      </c>
      <c r="I126" s="350">
        <f t="shared" si="62"/>
        <v>-545194.41683070059</v>
      </c>
      <c r="J126" s="350">
        <f t="shared" si="62"/>
        <v>-550901.30157904211</v>
      </c>
      <c r="K126" s="350">
        <f t="shared" si="62"/>
        <v>-556049.59609943768</v>
      </c>
      <c r="L126" s="350">
        <f t="shared" si="62"/>
        <v>-560613.14202023717</v>
      </c>
      <c r="M126" s="350">
        <f t="shared" si="62"/>
        <v>-170504.08117822444</v>
      </c>
      <c r="N126" s="350">
        <f t="shared" si="62"/>
        <v>0</v>
      </c>
      <c r="O126" s="350">
        <f t="shared" si="62"/>
        <v>0</v>
      </c>
      <c r="P126" s="350">
        <f t="shared" si="62"/>
        <v>0</v>
      </c>
      <c r="Q126" s="350">
        <f t="shared" si="62"/>
        <v>0</v>
      </c>
      <c r="R126" s="350">
        <f t="shared" si="62"/>
        <v>0</v>
      </c>
      <c r="S126" s="350">
        <f t="shared" si="62"/>
        <v>0</v>
      </c>
      <c r="T126" s="350">
        <f t="shared" si="62"/>
        <v>0</v>
      </c>
      <c r="U126" s="350">
        <f t="shared" si="62"/>
        <v>0</v>
      </c>
      <c r="V126" s="350">
        <f t="shared" si="62"/>
        <v>0</v>
      </c>
      <c r="W126" s="350">
        <f t="shared" si="62"/>
        <v>0</v>
      </c>
      <c r="X126" s="350">
        <f t="shared" si="62"/>
        <v>0</v>
      </c>
      <c r="Y126" s="350">
        <f t="shared" si="62"/>
        <v>0</v>
      </c>
      <c r="Z126" s="350">
        <f t="shared" si="62"/>
        <v>0</v>
      </c>
      <c r="AA126" s="350">
        <f t="shared" si="62"/>
        <v>0</v>
      </c>
      <c r="AB126" s="350">
        <f t="shared" si="62"/>
        <v>0</v>
      </c>
      <c r="AC126" s="350">
        <f t="shared" si="62"/>
        <v>0</v>
      </c>
      <c r="AD126" s="350">
        <f t="shared" si="62"/>
        <v>0</v>
      </c>
      <c r="AE126" s="350">
        <f t="shared" si="62"/>
        <v>0</v>
      </c>
      <c r="AF126" s="350">
        <f t="shared" si="62"/>
        <v>0</v>
      </c>
      <c r="AG126" s="350">
        <f t="shared" si="62"/>
        <v>0</v>
      </c>
      <c r="AH126" s="350">
        <f t="shared" si="62"/>
        <v>0</v>
      </c>
      <c r="AI126" s="350">
        <f t="shared" si="62"/>
        <v>0</v>
      </c>
      <c r="AJ126" s="350">
        <f t="shared" si="62"/>
        <v>0</v>
      </c>
      <c r="AK126" s="350">
        <f t="shared" si="62"/>
        <v>4904.6946844035401</v>
      </c>
      <c r="AL126" s="350">
        <f t="shared" si="62"/>
        <v>12783.26924578376</v>
      </c>
      <c r="AM126" s="350">
        <f t="shared" si="62"/>
        <v>20501.6237808068</v>
      </c>
      <c r="AN126" s="350">
        <f t="shared" si="62"/>
        <v>28380.198342187021</v>
      </c>
      <c r="AO126" s="350">
        <f t="shared" si="62"/>
        <v>23962.15836369152</v>
      </c>
      <c r="AP126" s="350">
        <f t="shared" si="62"/>
        <v>23962.15836369152</v>
      </c>
      <c r="AQ126" s="350">
        <f t="shared" si="62"/>
        <v>26363.278894745075</v>
      </c>
      <c r="AR126" s="350">
        <f t="shared" si="62"/>
        <v>26363.278894745075</v>
      </c>
      <c r="AS126" s="350">
        <f t="shared" si="62"/>
        <v>26363.278894745075</v>
      </c>
      <c r="AT126" s="350">
        <f t="shared" si="62"/>
        <v>26363.278894745075</v>
      </c>
      <c r="AU126" s="350">
        <f t="shared" si="62"/>
        <v>26363.278894745075</v>
      </c>
      <c r="AV126" s="350">
        <f t="shared" si="62"/>
        <v>26363.278894745075</v>
      </c>
      <c r="AW126" s="350">
        <f t="shared" si="62"/>
        <v>26363.278894745075</v>
      </c>
      <c r="AX126" s="350">
        <f t="shared" si="62"/>
        <v>26363.278894745075</v>
      </c>
      <c r="AY126" s="350">
        <f t="shared" si="62"/>
        <v>26363.278894745075</v>
      </c>
      <c r="AZ126" s="350">
        <f t="shared" si="62"/>
        <v>26363.278894745075</v>
      </c>
      <c r="BA126" s="350">
        <f t="shared" si="62"/>
        <v>26363.278894745075</v>
      </c>
      <c r="BB126" s="350">
        <f t="shared" si="62"/>
        <v>26363.278894745075</v>
      </c>
      <c r="BC126" s="350">
        <f t="shared" si="62"/>
        <v>28835.789981760503</v>
      </c>
      <c r="BD126" s="350">
        <f t="shared" si="62"/>
        <v>28835.789981760503</v>
      </c>
      <c r="BE126" s="350">
        <f t="shared" si="62"/>
        <v>28835.789981760503</v>
      </c>
      <c r="BF126" s="350">
        <f t="shared" si="62"/>
        <v>28835.789981760503</v>
      </c>
      <c r="BG126" s="350">
        <f t="shared" si="62"/>
        <v>28835.789981760503</v>
      </c>
      <c r="BH126" s="350">
        <f t="shared" si="62"/>
        <v>28835.789981760503</v>
      </c>
      <c r="BI126" s="350">
        <f t="shared" si="62"/>
        <v>28835.789981760503</v>
      </c>
      <c r="BJ126" s="350">
        <f t="shared" si="62"/>
        <v>28835.789981760503</v>
      </c>
      <c r="BK126" s="350">
        <f t="shared" si="62"/>
        <v>28835.789981760503</v>
      </c>
      <c r="BL126" s="350">
        <f t="shared" si="62"/>
        <v>28835.789981760503</v>
      </c>
      <c r="BM126" s="350">
        <f t="shared" si="62"/>
        <v>28835.789981760503</v>
      </c>
      <c r="BN126" s="350">
        <f t="shared" si="62"/>
        <v>10056353.019083589</v>
      </c>
      <c r="BO126" s="350">
        <f t="shared" si="62"/>
        <v>0</v>
      </c>
      <c r="BP126" s="350">
        <f t="shared" si="62"/>
        <v>0</v>
      </c>
      <c r="BQ126" s="350">
        <f t="shared" si="62"/>
        <v>0</v>
      </c>
      <c r="BR126" s="350">
        <f t="shared" si="62"/>
        <v>0</v>
      </c>
      <c r="BS126" s="350">
        <f t="shared" si="62"/>
        <v>0</v>
      </c>
      <c r="BT126" s="350">
        <f t="shared" si="62"/>
        <v>0</v>
      </c>
      <c r="BU126" s="350">
        <f t="shared" si="62"/>
        <v>0</v>
      </c>
      <c r="BV126" s="350">
        <f t="shared" si="62"/>
        <v>0</v>
      </c>
      <c r="BW126" s="350">
        <f t="shared" si="62"/>
        <v>0</v>
      </c>
      <c r="BX126" s="350">
        <f t="shared" si="62"/>
        <v>0</v>
      </c>
      <c r="BY126" s="350">
        <f t="shared" si="62"/>
        <v>0</v>
      </c>
      <c r="BZ126" s="350">
        <f t="shared" si="62"/>
        <v>0</v>
      </c>
      <c r="CA126" s="350">
        <f t="shared" si="62"/>
        <v>0</v>
      </c>
      <c r="CB126" s="350">
        <f t="shared" si="62"/>
        <v>0</v>
      </c>
      <c r="CC126" s="350">
        <f t="shared" si="62"/>
        <v>0</v>
      </c>
      <c r="CD126" s="350">
        <f t="shared" si="62"/>
        <v>0</v>
      </c>
      <c r="CE126" s="350">
        <f t="shared" si="62"/>
        <v>0</v>
      </c>
      <c r="CF126" s="350">
        <f t="shared" si="62"/>
        <v>0</v>
      </c>
      <c r="CG126" s="350">
        <f t="shared" si="62"/>
        <v>0</v>
      </c>
      <c r="CH126" s="350">
        <f t="shared" si="62"/>
        <v>0</v>
      </c>
      <c r="CI126" s="350">
        <f t="shared" si="62"/>
        <v>0</v>
      </c>
      <c r="CJ126" s="350">
        <f t="shared" si="62"/>
        <v>0</v>
      </c>
      <c r="CK126" s="350">
        <f t="shared" si="62"/>
        <v>0</v>
      </c>
      <c r="CL126" s="350">
        <f t="shared" si="62"/>
        <v>0</v>
      </c>
      <c r="CM126" s="350">
        <f t="shared" si="62"/>
        <v>0</v>
      </c>
      <c r="CN126" s="350">
        <f t="shared" si="62"/>
        <v>0</v>
      </c>
      <c r="CO126" s="350">
        <f t="shared" si="62"/>
        <v>0</v>
      </c>
      <c r="CP126" s="350">
        <f t="shared" si="62"/>
        <v>0</v>
      </c>
      <c r="CQ126" s="350">
        <f t="shared" si="62"/>
        <v>0</v>
      </c>
      <c r="CR126" s="350">
        <f t="shared" si="62"/>
        <v>0</v>
      </c>
      <c r="CS126" s="350">
        <f t="shared" si="62"/>
        <v>0</v>
      </c>
      <c r="CT126" s="350">
        <f t="shared" si="62"/>
        <v>0</v>
      </c>
      <c r="CU126" s="350">
        <f t="shared" si="62"/>
        <v>0</v>
      </c>
      <c r="CV126" s="350">
        <f t="shared" si="62"/>
        <v>0</v>
      </c>
      <c r="CW126" s="350">
        <f t="shared" si="62"/>
        <v>0</v>
      </c>
      <c r="CX126" s="350">
        <f t="shared" si="62"/>
        <v>0</v>
      </c>
      <c r="CY126" s="350">
        <f t="shared" si="62"/>
        <v>0</v>
      </c>
      <c r="CZ126" s="350">
        <f t="shared" si="62"/>
        <v>0</v>
      </c>
      <c r="DA126" s="350">
        <f t="shared" si="62"/>
        <v>0</v>
      </c>
      <c r="DB126" s="350">
        <f t="shared" si="62"/>
        <v>0</v>
      </c>
      <c r="DC126" s="350">
        <f t="shared" si="62"/>
        <v>0</v>
      </c>
      <c r="DD126" s="350">
        <f t="shared" si="62"/>
        <v>0</v>
      </c>
      <c r="DE126" s="350">
        <f t="shared" si="62"/>
        <v>0</v>
      </c>
      <c r="DF126" s="350">
        <f t="shared" si="62"/>
        <v>0</v>
      </c>
      <c r="DG126" s="350">
        <f t="shared" si="62"/>
        <v>0</v>
      </c>
      <c r="DH126" s="350">
        <f t="shared" si="62"/>
        <v>0</v>
      </c>
      <c r="DI126" s="350">
        <f t="shared" si="62"/>
        <v>0</v>
      </c>
      <c r="DJ126" s="350">
        <f t="shared" si="62"/>
        <v>0</v>
      </c>
      <c r="DK126" s="350">
        <f t="shared" si="62"/>
        <v>0</v>
      </c>
      <c r="DL126" s="350">
        <f t="shared" si="62"/>
        <v>0</v>
      </c>
      <c r="DM126" s="350">
        <f t="shared" si="62"/>
        <v>0</v>
      </c>
      <c r="DN126" s="350">
        <f t="shared" si="62"/>
        <v>0</v>
      </c>
      <c r="DO126" s="350">
        <f t="shared" si="62"/>
        <v>0</v>
      </c>
      <c r="DP126" s="350">
        <f t="shared" si="62"/>
        <v>0</v>
      </c>
      <c r="DQ126" s="350">
        <f t="shared" si="62"/>
        <v>0</v>
      </c>
      <c r="DR126" s="350">
        <f t="shared" si="62"/>
        <v>0</v>
      </c>
      <c r="DS126" s="350">
        <f t="shared" si="62"/>
        <v>0</v>
      </c>
      <c r="DT126" s="350">
        <f t="shared" si="62"/>
        <v>0</v>
      </c>
      <c r="DU126" s="350">
        <f t="shared" si="62"/>
        <v>0</v>
      </c>
      <c r="DV126" s="350">
        <f t="shared" si="62"/>
        <v>0</v>
      </c>
      <c r="DW126" s="6"/>
      <c r="DX126" s="6"/>
      <c r="DY126" s="6"/>
      <c r="DZ126" s="6"/>
    </row>
    <row r="127" spans="1:130" ht="12.75" customHeight="1" x14ac:dyDescent="0.25">
      <c r="A127" s="6"/>
      <c r="B127" s="7" t="s">
        <v>418</v>
      </c>
      <c r="C127" s="6"/>
      <c r="D127" s="1239">
        <f>D123/D124</f>
        <v>1.9644362614175517</v>
      </c>
      <c r="E127" s="1200"/>
      <c r="F127" s="196"/>
      <c r="G127" s="136"/>
      <c r="H127" s="458"/>
      <c r="I127" s="458"/>
      <c r="J127" s="10"/>
      <c r="K127" s="10"/>
      <c r="L127" s="10"/>
      <c r="M127" s="10"/>
      <c r="N127" s="10"/>
      <c r="O127" s="10"/>
      <c r="P127" s="10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</row>
    <row r="128" spans="1:130" ht="12.75" customHeight="1" x14ac:dyDescent="0.25">
      <c r="A128" s="6"/>
      <c r="B128" s="7"/>
      <c r="C128" s="6"/>
      <c r="D128" s="1202"/>
      <c r="E128" s="1200"/>
      <c r="F128" s="1179"/>
      <c r="G128" s="136"/>
      <c r="H128" s="458"/>
      <c r="I128" s="458"/>
      <c r="J128" s="10"/>
      <c r="K128" s="10"/>
      <c r="L128" s="10"/>
      <c r="M128" s="10"/>
      <c r="N128" s="10"/>
      <c r="O128" s="10"/>
      <c r="P128" s="10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</row>
    <row r="129" spans="1:130" ht="12.75" customHeight="1" x14ac:dyDescent="0.25">
      <c r="A129" s="6"/>
      <c r="B129" s="1210" t="s">
        <v>419</v>
      </c>
      <c r="C129" s="6"/>
      <c r="D129" s="1202"/>
      <c r="E129" s="1200"/>
      <c r="F129" s="1240"/>
      <c r="G129" s="136"/>
      <c r="H129" s="458"/>
      <c r="I129" s="458"/>
      <c r="J129" s="10"/>
      <c r="K129" s="10"/>
      <c r="L129" s="10"/>
      <c r="M129" s="10"/>
      <c r="N129" s="10"/>
      <c r="O129" s="10"/>
      <c r="P129" s="10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</row>
    <row r="130" spans="1:130" ht="12.75" customHeight="1" x14ac:dyDescent="0.25">
      <c r="A130" s="6"/>
      <c r="B130" s="7" t="s">
        <v>412</v>
      </c>
      <c r="C130" s="6"/>
      <c r="D130" s="523">
        <f>D120/I15*H15</f>
        <v>4293568.3293979531</v>
      </c>
      <c r="E130" s="1200"/>
      <c r="F130" s="1179"/>
      <c r="G130" s="136"/>
      <c r="H130" s="458"/>
      <c r="I130" s="458"/>
      <c r="J130" s="10"/>
      <c r="K130" s="10"/>
      <c r="L130" s="10"/>
      <c r="M130" s="10"/>
      <c r="N130" s="10"/>
      <c r="O130" s="10"/>
      <c r="P130" s="10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</row>
    <row r="131" spans="1:130" ht="12.75" customHeight="1" x14ac:dyDescent="0.25">
      <c r="A131" s="6"/>
      <c r="B131" s="7" t="s">
        <v>373</v>
      </c>
      <c r="C131" s="6"/>
      <c r="D131" s="523">
        <f>D135</f>
        <v>4592371.6331752082</v>
      </c>
      <c r="E131" s="1200"/>
      <c r="F131" s="1241"/>
      <c r="G131" s="136"/>
      <c r="H131" s="458"/>
      <c r="I131" s="458"/>
      <c r="J131" s="10"/>
      <c r="K131" s="10"/>
      <c r="L131" s="10"/>
      <c r="M131" s="10"/>
      <c r="N131" s="10"/>
      <c r="O131" s="10"/>
      <c r="P131" s="10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</row>
    <row r="132" spans="1:130" ht="12.75" customHeight="1" x14ac:dyDescent="0.25">
      <c r="A132" s="6"/>
      <c r="B132" s="7" t="s">
        <v>413</v>
      </c>
      <c r="C132" s="6"/>
      <c r="D132" s="523">
        <f>D122/Equity_Share_LP*Equity_Share_Sponsor</f>
        <v>135481.39954156315</v>
      </c>
      <c r="E132" s="1200"/>
      <c r="F132" s="1179"/>
      <c r="G132" s="136"/>
      <c r="H132" s="458"/>
      <c r="I132" s="458"/>
      <c r="J132" s="10"/>
      <c r="K132" s="10"/>
      <c r="L132" s="10"/>
      <c r="M132" s="10"/>
      <c r="N132" s="10"/>
      <c r="O132" s="10"/>
      <c r="P132" s="10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</row>
    <row r="133" spans="1:130" ht="12.75" customHeight="1" x14ac:dyDescent="0.25">
      <c r="A133" s="6"/>
      <c r="B133" s="7" t="s">
        <v>420</v>
      </c>
      <c r="C133" s="6"/>
      <c r="D133" s="1212">
        <f>SUM(F134:DV134)-SUM(D130:D132)</f>
        <v>127602.47948481701</v>
      </c>
      <c r="E133" s="1200"/>
      <c r="F133" s="1179"/>
      <c r="G133" s="136"/>
      <c r="H133" s="458"/>
      <c r="I133" s="458"/>
      <c r="J133" s="10"/>
      <c r="K133" s="10"/>
      <c r="L133" s="10"/>
      <c r="M133" s="10"/>
      <c r="N133" s="10"/>
      <c r="O133" s="10"/>
      <c r="P133" s="10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</row>
    <row r="134" spans="1:130" ht="12.75" customHeight="1" x14ac:dyDescent="0.25">
      <c r="A134" s="6"/>
      <c r="B134" s="7" t="s">
        <v>421</v>
      </c>
      <c r="C134" s="6"/>
      <c r="D134" s="523">
        <f>SUM(D130:D133)</f>
        <v>9149023.8415995408</v>
      </c>
      <c r="E134" s="1200"/>
      <c r="F134" s="350">
        <f t="shared" ref="F134:DV134" si="63">IF(F118="","",F173+F188+F203+F210+F156)</f>
        <v>0</v>
      </c>
      <c r="G134" s="350">
        <f t="shared" si="63"/>
        <v>0</v>
      </c>
      <c r="H134" s="350">
        <f t="shared" si="63"/>
        <v>0</v>
      </c>
      <c r="I134" s="350">
        <f t="shared" si="63"/>
        <v>0</v>
      </c>
      <c r="J134" s="350">
        <f t="shared" si="63"/>
        <v>0</v>
      </c>
      <c r="K134" s="350">
        <f t="shared" si="63"/>
        <v>0</v>
      </c>
      <c r="L134" s="350">
        <f t="shared" si="63"/>
        <v>0</v>
      </c>
      <c r="M134" s="350">
        <f t="shared" si="63"/>
        <v>0</v>
      </c>
      <c r="N134" s="350">
        <f t="shared" si="63"/>
        <v>0</v>
      </c>
      <c r="O134" s="350">
        <f t="shared" si="63"/>
        <v>0</v>
      </c>
      <c r="P134" s="350">
        <f t="shared" si="63"/>
        <v>0</v>
      </c>
      <c r="Q134" s="350">
        <f t="shared" si="63"/>
        <v>0</v>
      </c>
      <c r="R134" s="350">
        <f t="shared" si="63"/>
        <v>0</v>
      </c>
      <c r="S134" s="350">
        <f t="shared" si="63"/>
        <v>0</v>
      </c>
      <c r="T134" s="350">
        <f t="shared" si="63"/>
        <v>0</v>
      </c>
      <c r="U134" s="350">
        <f t="shared" si="63"/>
        <v>0</v>
      </c>
      <c r="V134" s="350">
        <f t="shared" si="63"/>
        <v>0</v>
      </c>
      <c r="W134" s="350">
        <f t="shared" si="63"/>
        <v>0</v>
      </c>
      <c r="X134" s="350">
        <f t="shared" si="63"/>
        <v>0</v>
      </c>
      <c r="Y134" s="350">
        <f t="shared" si="63"/>
        <v>0</v>
      </c>
      <c r="Z134" s="350">
        <f t="shared" si="63"/>
        <v>0</v>
      </c>
      <c r="AA134" s="350">
        <f t="shared" si="63"/>
        <v>0</v>
      </c>
      <c r="AB134" s="350">
        <f t="shared" si="63"/>
        <v>0</v>
      </c>
      <c r="AC134" s="350">
        <f t="shared" si="63"/>
        <v>0</v>
      </c>
      <c r="AD134" s="350">
        <f t="shared" si="63"/>
        <v>0</v>
      </c>
      <c r="AE134" s="350">
        <f t="shared" si="63"/>
        <v>0</v>
      </c>
      <c r="AF134" s="350">
        <f t="shared" si="63"/>
        <v>0</v>
      </c>
      <c r="AG134" s="350">
        <f t="shared" si="63"/>
        <v>0</v>
      </c>
      <c r="AH134" s="350">
        <f t="shared" si="63"/>
        <v>0</v>
      </c>
      <c r="AI134" s="350">
        <f t="shared" si="63"/>
        <v>0</v>
      </c>
      <c r="AJ134" s="350">
        <f t="shared" si="63"/>
        <v>0</v>
      </c>
      <c r="AK134" s="350">
        <f t="shared" si="63"/>
        <v>4095.3053155964603</v>
      </c>
      <c r="AL134" s="350">
        <f t="shared" si="63"/>
        <v>10673.73075421624</v>
      </c>
      <c r="AM134" s="350">
        <f t="shared" si="63"/>
        <v>17118.376219193204</v>
      </c>
      <c r="AN134" s="350">
        <f t="shared" si="63"/>
        <v>23696.801657812983</v>
      </c>
      <c r="AO134" s="350">
        <f t="shared" si="63"/>
        <v>20007.841636308483</v>
      </c>
      <c r="AP134" s="350">
        <f t="shared" si="63"/>
        <v>20007.841636308483</v>
      </c>
      <c r="AQ134" s="350">
        <f t="shared" si="63"/>
        <v>22012.721105254928</v>
      </c>
      <c r="AR134" s="350">
        <f t="shared" si="63"/>
        <v>22012.721105254928</v>
      </c>
      <c r="AS134" s="350">
        <f t="shared" si="63"/>
        <v>22012.721105254928</v>
      </c>
      <c r="AT134" s="350">
        <f t="shared" si="63"/>
        <v>22012.721105254928</v>
      </c>
      <c r="AU134" s="350">
        <f t="shared" si="63"/>
        <v>22012.721105254928</v>
      </c>
      <c r="AV134" s="350">
        <f t="shared" si="63"/>
        <v>22012.721105254928</v>
      </c>
      <c r="AW134" s="350">
        <f t="shared" si="63"/>
        <v>22012.721105254928</v>
      </c>
      <c r="AX134" s="350">
        <f t="shared" si="63"/>
        <v>22012.721105254928</v>
      </c>
      <c r="AY134" s="350">
        <f t="shared" si="63"/>
        <v>22012.721105254928</v>
      </c>
      <c r="AZ134" s="350">
        <f t="shared" si="63"/>
        <v>22012.721105254928</v>
      </c>
      <c r="BA134" s="350">
        <f t="shared" si="63"/>
        <v>22012.721105254928</v>
      </c>
      <c r="BB134" s="350">
        <f t="shared" si="63"/>
        <v>22012.721105254928</v>
      </c>
      <c r="BC134" s="350">
        <f t="shared" si="63"/>
        <v>24077.210018239501</v>
      </c>
      <c r="BD134" s="350">
        <f t="shared" si="63"/>
        <v>24077.210018239501</v>
      </c>
      <c r="BE134" s="350">
        <f t="shared" si="63"/>
        <v>24077.210018239501</v>
      </c>
      <c r="BF134" s="350">
        <f t="shared" si="63"/>
        <v>24077.210018239501</v>
      </c>
      <c r="BG134" s="350">
        <f t="shared" si="63"/>
        <v>24077.210018239501</v>
      </c>
      <c r="BH134" s="350">
        <f t="shared" si="63"/>
        <v>24077.210018239501</v>
      </c>
      <c r="BI134" s="350">
        <f t="shared" si="63"/>
        <v>24077.210018239501</v>
      </c>
      <c r="BJ134" s="350">
        <f t="shared" si="63"/>
        <v>24077.210018239501</v>
      </c>
      <c r="BK134" s="350">
        <f t="shared" si="63"/>
        <v>24077.210018239501</v>
      </c>
      <c r="BL134" s="350">
        <f t="shared" si="63"/>
        <v>24077.210018239501</v>
      </c>
      <c r="BM134" s="350">
        <f t="shared" si="63"/>
        <v>24077.210018239501</v>
      </c>
      <c r="BN134" s="350">
        <f t="shared" si="63"/>
        <v>8524421.9809164107</v>
      </c>
      <c r="BO134" s="350">
        <f t="shared" si="63"/>
        <v>0</v>
      </c>
      <c r="BP134" s="350">
        <f t="shared" si="63"/>
        <v>0</v>
      </c>
      <c r="BQ134" s="350">
        <f t="shared" si="63"/>
        <v>0</v>
      </c>
      <c r="BR134" s="350">
        <f t="shared" si="63"/>
        <v>0</v>
      </c>
      <c r="BS134" s="350">
        <f t="shared" si="63"/>
        <v>0</v>
      </c>
      <c r="BT134" s="350">
        <f t="shared" si="63"/>
        <v>0</v>
      </c>
      <c r="BU134" s="350">
        <f t="shared" si="63"/>
        <v>0</v>
      </c>
      <c r="BV134" s="350">
        <f t="shared" si="63"/>
        <v>0</v>
      </c>
      <c r="BW134" s="350">
        <f t="shared" si="63"/>
        <v>0</v>
      </c>
      <c r="BX134" s="350">
        <f t="shared" si="63"/>
        <v>0</v>
      </c>
      <c r="BY134" s="350">
        <f t="shared" si="63"/>
        <v>0</v>
      </c>
      <c r="BZ134" s="350">
        <f t="shared" si="63"/>
        <v>0</v>
      </c>
      <c r="CA134" s="350">
        <f t="shared" si="63"/>
        <v>0</v>
      </c>
      <c r="CB134" s="350">
        <f t="shared" si="63"/>
        <v>0</v>
      </c>
      <c r="CC134" s="350">
        <f t="shared" si="63"/>
        <v>0</v>
      </c>
      <c r="CD134" s="350">
        <f t="shared" si="63"/>
        <v>0</v>
      </c>
      <c r="CE134" s="350">
        <f t="shared" si="63"/>
        <v>0</v>
      </c>
      <c r="CF134" s="350">
        <f t="shared" si="63"/>
        <v>0</v>
      </c>
      <c r="CG134" s="350">
        <f t="shared" si="63"/>
        <v>0</v>
      </c>
      <c r="CH134" s="350">
        <f t="shared" si="63"/>
        <v>0</v>
      </c>
      <c r="CI134" s="350">
        <f t="shared" si="63"/>
        <v>0</v>
      </c>
      <c r="CJ134" s="350">
        <f t="shared" si="63"/>
        <v>0</v>
      </c>
      <c r="CK134" s="350">
        <f t="shared" si="63"/>
        <v>0</v>
      </c>
      <c r="CL134" s="350">
        <f t="shared" si="63"/>
        <v>0</v>
      </c>
      <c r="CM134" s="350">
        <f t="shared" si="63"/>
        <v>0</v>
      </c>
      <c r="CN134" s="350">
        <f t="shared" si="63"/>
        <v>0</v>
      </c>
      <c r="CO134" s="350">
        <f t="shared" si="63"/>
        <v>0</v>
      </c>
      <c r="CP134" s="350">
        <f t="shared" si="63"/>
        <v>0</v>
      </c>
      <c r="CQ134" s="350">
        <f t="shared" si="63"/>
        <v>0</v>
      </c>
      <c r="CR134" s="350">
        <f t="shared" si="63"/>
        <v>0</v>
      </c>
      <c r="CS134" s="350">
        <f t="shared" si="63"/>
        <v>0</v>
      </c>
      <c r="CT134" s="350">
        <f t="shared" si="63"/>
        <v>0</v>
      </c>
      <c r="CU134" s="350">
        <f t="shared" si="63"/>
        <v>0</v>
      </c>
      <c r="CV134" s="350">
        <f t="shared" si="63"/>
        <v>0</v>
      </c>
      <c r="CW134" s="350">
        <f t="shared" si="63"/>
        <v>0</v>
      </c>
      <c r="CX134" s="350">
        <f t="shared" si="63"/>
        <v>0</v>
      </c>
      <c r="CY134" s="350">
        <f t="shared" si="63"/>
        <v>0</v>
      </c>
      <c r="CZ134" s="350">
        <f t="shared" si="63"/>
        <v>0</v>
      </c>
      <c r="DA134" s="350">
        <f t="shared" si="63"/>
        <v>0</v>
      </c>
      <c r="DB134" s="350">
        <f t="shared" si="63"/>
        <v>0</v>
      </c>
      <c r="DC134" s="350">
        <f t="shared" si="63"/>
        <v>0</v>
      </c>
      <c r="DD134" s="350">
        <f t="shared" si="63"/>
        <v>0</v>
      </c>
      <c r="DE134" s="350">
        <f t="shared" si="63"/>
        <v>0</v>
      </c>
      <c r="DF134" s="350">
        <f t="shared" si="63"/>
        <v>0</v>
      </c>
      <c r="DG134" s="350">
        <f t="shared" si="63"/>
        <v>0</v>
      </c>
      <c r="DH134" s="350">
        <f t="shared" si="63"/>
        <v>0</v>
      </c>
      <c r="DI134" s="350">
        <f t="shared" si="63"/>
        <v>0</v>
      </c>
      <c r="DJ134" s="350">
        <f t="shared" si="63"/>
        <v>0</v>
      </c>
      <c r="DK134" s="350">
        <f t="shared" si="63"/>
        <v>0</v>
      </c>
      <c r="DL134" s="350">
        <f t="shared" si="63"/>
        <v>0</v>
      </c>
      <c r="DM134" s="350">
        <f t="shared" si="63"/>
        <v>0</v>
      </c>
      <c r="DN134" s="350">
        <f t="shared" si="63"/>
        <v>0</v>
      </c>
      <c r="DO134" s="350">
        <f t="shared" si="63"/>
        <v>0</v>
      </c>
      <c r="DP134" s="350">
        <f t="shared" si="63"/>
        <v>0</v>
      </c>
      <c r="DQ134" s="350">
        <f t="shared" si="63"/>
        <v>0</v>
      </c>
      <c r="DR134" s="350">
        <f t="shared" si="63"/>
        <v>0</v>
      </c>
      <c r="DS134" s="350">
        <f t="shared" si="63"/>
        <v>0</v>
      </c>
      <c r="DT134" s="350">
        <f t="shared" si="63"/>
        <v>0</v>
      </c>
      <c r="DU134" s="350">
        <f t="shared" si="63"/>
        <v>0</v>
      </c>
      <c r="DV134" s="350">
        <f t="shared" si="63"/>
        <v>0</v>
      </c>
      <c r="DW134" s="6"/>
      <c r="DX134" s="6"/>
      <c r="DY134" s="6"/>
      <c r="DZ134" s="6"/>
    </row>
    <row r="135" spans="1:130" ht="12.75" customHeight="1" x14ac:dyDescent="0.25">
      <c r="A135" s="6"/>
      <c r="B135" s="7" t="s">
        <v>422</v>
      </c>
      <c r="C135" s="6"/>
      <c r="D135" s="523">
        <f>SUM(F135:DV135)</f>
        <v>4592371.6331752082</v>
      </c>
      <c r="E135" s="1200"/>
      <c r="F135" s="350">
        <f t="shared" ref="F135:DV135" si="64">IF(F118="","",-(MIN(F160,0)+F167))</f>
        <v>1707995.3154654428</v>
      </c>
      <c r="G135" s="350">
        <f t="shared" si="64"/>
        <v>444391.13550777489</v>
      </c>
      <c r="H135" s="350">
        <f t="shared" si="64"/>
        <v>450016.71990963258</v>
      </c>
      <c r="I135" s="350">
        <f t="shared" si="64"/>
        <v>455224.58316929941</v>
      </c>
      <c r="J135" s="350">
        <f t="shared" si="64"/>
        <v>459989.69842095789</v>
      </c>
      <c r="K135" s="350">
        <f t="shared" si="64"/>
        <v>464288.40390056232</v>
      </c>
      <c r="L135" s="350">
        <f t="shared" si="64"/>
        <v>468098.85797976283</v>
      </c>
      <c r="M135" s="350">
        <f t="shared" si="64"/>
        <v>142366.91882177556</v>
      </c>
      <c r="N135" s="350">
        <f t="shared" si="64"/>
        <v>0</v>
      </c>
      <c r="O135" s="350">
        <f t="shared" si="64"/>
        <v>0</v>
      </c>
      <c r="P135" s="350">
        <f t="shared" si="64"/>
        <v>0</v>
      </c>
      <c r="Q135" s="350">
        <f t="shared" si="64"/>
        <v>0</v>
      </c>
      <c r="R135" s="350">
        <f t="shared" si="64"/>
        <v>0</v>
      </c>
      <c r="S135" s="350">
        <f t="shared" si="64"/>
        <v>0</v>
      </c>
      <c r="T135" s="350">
        <f t="shared" si="64"/>
        <v>0</v>
      </c>
      <c r="U135" s="350">
        <f t="shared" si="64"/>
        <v>0</v>
      </c>
      <c r="V135" s="350">
        <f t="shared" si="64"/>
        <v>0</v>
      </c>
      <c r="W135" s="350">
        <f t="shared" si="64"/>
        <v>0</v>
      </c>
      <c r="X135" s="350">
        <f t="shared" si="64"/>
        <v>0</v>
      </c>
      <c r="Y135" s="350">
        <f t="shared" si="64"/>
        <v>0</v>
      </c>
      <c r="Z135" s="350">
        <f t="shared" si="64"/>
        <v>0</v>
      </c>
      <c r="AA135" s="350">
        <f t="shared" si="64"/>
        <v>0</v>
      </c>
      <c r="AB135" s="350">
        <f t="shared" si="64"/>
        <v>0</v>
      </c>
      <c r="AC135" s="350">
        <f t="shared" si="64"/>
        <v>0</v>
      </c>
      <c r="AD135" s="350">
        <f t="shared" si="64"/>
        <v>0</v>
      </c>
      <c r="AE135" s="350">
        <f t="shared" si="64"/>
        <v>0</v>
      </c>
      <c r="AF135" s="350">
        <f t="shared" si="64"/>
        <v>0</v>
      </c>
      <c r="AG135" s="350">
        <f t="shared" si="64"/>
        <v>0</v>
      </c>
      <c r="AH135" s="350">
        <f t="shared" si="64"/>
        <v>0</v>
      </c>
      <c r="AI135" s="350">
        <f t="shared" si="64"/>
        <v>0</v>
      </c>
      <c r="AJ135" s="350">
        <f t="shared" si="64"/>
        <v>0</v>
      </c>
      <c r="AK135" s="350">
        <f t="shared" si="64"/>
        <v>0</v>
      </c>
      <c r="AL135" s="350">
        <f t="shared" si="64"/>
        <v>0</v>
      </c>
      <c r="AM135" s="350">
        <f t="shared" si="64"/>
        <v>0</v>
      </c>
      <c r="AN135" s="350">
        <f t="shared" si="64"/>
        <v>0</v>
      </c>
      <c r="AO135" s="350">
        <f t="shared" si="64"/>
        <v>0</v>
      </c>
      <c r="AP135" s="350">
        <f t="shared" si="64"/>
        <v>0</v>
      </c>
      <c r="AQ135" s="350">
        <f t="shared" si="64"/>
        <v>0</v>
      </c>
      <c r="AR135" s="350">
        <f t="shared" si="64"/>
        <v>0</v>
      </c>
      <c r="AS135" s="350">
        <f t="shared" si="64"/>
        <v>0</v>
      </c>
      <c r="AT135" s="350">
        <f t="shared" si="64"/>
        <v>0</v>
      </c>
      <c r="AU135" s="350">
        <f t="shared" si="64"/>
        <v>0</v>
      </c>
      <c r="AV135" s="350">
        <f t="shared" si="64"/>
        <v>0</v>
      </c>
      <c r="AW135" s="350">
        <f t="shared" si="64"/>
        <v>0</v>
      </c>
      <c r="AX135" s="350">
        <f t="shared" si="64"/>
        <v>0</v>
      </c>
      <c r="AY135" s="350">
        <f t="shared" si="64"/>
        <v>0</v>
      </c>
      <c r="AZ135" s="350">
        <f t="shared" si="64"/>
        <v>0</v>
      </c>
      <c r="BA135" s="350">
        <f t="shared" si="64"/>
        <v>0</v>
      </c>
      <c r="BB135" s="350">
        <f t="shared" si="64"/>
        <v>0</v>
      </c>
      <c r="BC135" s="350">
        <f t="shared" si="64"/>
        <v>0</v>
      </c>
      <c r="BD135" s="350">
        <f t="shared" si="64"/>
        <v>0</v>
      </c>
      <c r="BE135" s="350">
        <f t="shared" si="64"/>
        <v>0</v>
      </c>
      <c r="BF135" s="350">
        <f t="shared" si="64"/>
        <v>0</v>
      </c>
      <c r="BG135" s="350">
        <f t="shared" si="64"/>
        <v>0</v>
      </c>
      <c r="BH135" s="350">
        <f t="shared" si="64"/>
        <v>0</v>
      </c>
      <c r="BI135" s="350">
        <f t="shared" si="64"/>
        <v>0</v>
      </c>
      <c r="BJ135" s="350">
        <f t="shared" si="64"/>
        <v>0</v>
      </c>
      <c r="BK135" s="350">
        <f t="shared" si="64"/>
        <v>0</v>
      </c>
      <c r="BL135" s="350">
        <f t="shared" si="64"/>
        <v>0</v>
      </c>
      <c r="BM135" s="350">
        <f t="shared" si="64"/>
        <v>0</v>
      </c>
      <c r="BN135" s="350">
        <f t="shared" si="64"/>
        <v>0</v>
      </c>
      <c r="BO135" s="350">
        <f t="shared" si="64"/>
        <v>0</v>
      </c>
      <c r="BP135" s="350">
        <f t="shared" si="64"/>
        <v>0</v>
      </c>
      <c r="BQ135" s="350">
        <f t="shared" si="64"/>
        <v>0</v>
      </c>
      <c r="BR135" s="350">
        <f t="shared" si="64"/>
        <v>0</v>
      </c>
      <c r="BS135" s="350">
        <f t="shared" si="64"/>
        <v>0</v>
      </c>
      <c r="BT135" s="350">
        <f t="shared" si="64"/>
        <v>0</v>
      </c>
      <c r="BU135" s="350">
        <f t="shared" si="64"/>
        <v>0</v>
      </c>
      <c r="BV135" s="350">
        <f t="shared" si="64"/>
        <v>0</v>
      </c>
      <c r="BW135" s="350">
        <f t="shared" si="64"/>
        <v>0</v>
      </c>
      <c r="BX135" s="350">
        <f t="shared" si="64"/>
        <v>0</v>
      </c>
      <c r="BY135" s="350">
        <f t="shared" si="64"/>
        <v>0</v>
      </c>
      <c r="BZ135" s="350">
        <f t="shared" si="64"/>
        <v>0</v>
      </c>
      <c r="CA135" s="350">
        <f t="shared" si="64"/>
        <v>0</v>
      </c>
      <c r="CB135" s="350">
        <f t="shared" si="64"/>
        <v>0</v>
      </c>
      <c r="CC135" s="350">
        <f t="shared" si="64"/>
        <v>0</v>
      </c>
      <c r="CD135" s="350">
        <f t="shared" si="64"/>
        <v>0</v>
      </c>
      <c r="CE135" s="350">
        <f t="shared" si="64"/>
        <v>0</v>
      </c>
      <c r="CF135" s="350">
        <f t="shared" si="64"/>
        <v>0</v>
      </c>
      <c r="CG135" s="350">
        <f t="shared" si="64"/>
        <v>0</v>
      </c>
      <c r="CH135" s="350">
        <f t="shared" si="64"/>
        <v>0</v>
      </c>
      <c r="CI135" s="350">
        <f t="shared" si="64"/>
        <v>0</v>
      </c>
      <c r="CJ135" s="350">
        <f t="shared" si="64"/>
        <v>0</v>
      </c>
      <c r="CK135" s="350">
        <f t="shared" si="64"/>
        <v>0</v>
      </c>
      <c r="CL135" s="350">
        <f t="shared" si="64"/>
        <v>0</v>
      </c>
      <c r="CM135" s="350">
        <f t="shared" si="64"/>
        <v>0</v>
      </c>
      <c r="CN135" s="350">
        <f t="shared" si="64"/>
        <v>0</v>
      </c>
      <c r="CO135" s="350">
        <f t="shared" si="64"/>
        <v>0</v>
      </c>
      <c r="CP135" s="350">
        <f t="shared" si="64"/>
        <v>0</v>
      </c>
      <c r="CQ135" s="350">
        <f t="shared" si="64"/>
        <v>0</v>
      </c>
      <c r="CR135" s="350">
        <f t="shared" si="64"/>
        <v>0</v>
      </c>
      <c r="CS135" s="350">
        <f t="shared" si="64"/>
        <v>0</v>
      </c>
      <c r="CT135" s="350">
        <f t="shared" si="64"/>
        <v>0</v>
      </c>
      <c r="CU135" s="350">
        <f t="shared" si="64"/>
        <v>0</v>
      </c>
      <c r="CV135" s="350">
        <f t="shared" si="64"/>
        <v>0</v>
      </c>
      <c r="CW135" s="350">
        <f t="shared" si="64"/>
        <v>0</v>
      </c>
      <c r="CX135" s="350">
        <f t="shared" si="64"/>
        <v>0</v>
      </c>
      <c r="CY135" s="350">
        <f t="shared" si="64"/>
        <v>0</v>
      </c>
      <c r="CZ135" s="350">
        <f t="shared" si="64"/>
        <v>0</v>
      </c>
      <c r="DA135" s="350">
        <f t="shared" si="64"/>
        <v>0</v>
      </c>
      <c r="DB135" s="350">
        <f t="shared" si="64"/>
        <v>0</v>
      </c>
      <c r="DC135" s="350">
        <f t="shared" si="64"/>
        <v>0</v>
      </c>
      <c r="DD135" s="350">
        <f t="shared" si="64"/>
        <v>0</v>
      </c>
      <c r="DE135" s="350">
        <f t="shared" si="64"/>
        <v>0</v>
      </c>
      <c r="DF135" s="350">
        <f t="shared" si="64"/>
        <v>0</v>
      </c>
      <c r="DG135" s="350">
        <f t="shared" si="64"/>
        <v>0</v>
      </c>
      <c r="DH135" s="350">
        <f t="shared" si="64"/>
        <v>0</v>
      </c>
      <c r="DI135" s="350">
        <f t="shared" si="64"/>
        <v>0</v>
      </c>
      <c r="DJ135" s="350">
        <f t="shared" si="64"/>
        <v>0</v>
      </c>
      <c r="DK135" s="350">
        <f t="shared" si="64"/>
        <v>0</v>
      </c>
      <c r="DL135" s="350">
        <f t="shared" si="64"/>
        <v>0</v>
      </c>
      <c r="DM135" s="350">
        <f t="shared" si="64"/>
        <v>0</v>
      </c>
      <c r="DN135" s="350">
        <f t="shared" si="64"/>
        <v>0</v>
      </c>
      <c r="DO135" s="350">
        <f t="shared" si="64"/>
        <v>0</v>
      </c>
      <c r="DP135" s="350">
        <f t="shared" si="64"/>
        <v>0</v>
      </c>
      <c r="DQ135" s="350">
        <f t="shared" si="64"/>
        <v>0</v>
      </c>
      <c r="DR135" s="350">
        <f t="shared" si="64"/>
        <v>0</v>
      </c>
      <c r="DS135" s="350">
        <f t="shared" si="64"/>
        <v>0</v>
      </c>
      <c r="DT135" s="350">
        <f t="shared" si="64"/>
        <v>0</v>
      </c>
      <c r="DU135" s="350">
        <f t="shared" si="64"/>
        <v>0</v>
      </c>
      <c r="DV135" s="350">
        <f t="shared" si="64"/>
        <v>0</v>
      </c>
      <c r="DW135" s="6"/>
      <c r="DX135" s="6"/>
      <c r="DY135" s="6"/>
      <c r="DZ135" s="6"/>
    </row>
    <row r="136" spans="1:130" ht="12.75" customHeight="1" x14ac:dyDescent="0.25">
      <c r="A136" s="6"/>
      <c r="B136" s="7" t="s">
        <v>423</v>
      </c>
      <c r="C136" s="6"/>
      <c r="D136" s="523">
        <f>D134-D135</f>
        <v>4556652.2084243326</v>
      </c>
      <c r="E136" s="1200"/>
      <c r="F136" s="1179"/>
      <c r="G136" s="136"/>
      <c r="H136" s="458"/>
      <c r="I136" s="458"/>
      <c r="J136" s="10"/>
      <c r="K136" s="10"/>
      <c r="L136" s="10"/>
      <c r="M136" s="10"/>
      <c r="N136" s="10"/>
      <c r="O136" s="10"/>
      <c r="P136" s="10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</row>
    <row r="137" spans="1:130" ht="12.75" customHeight="1" x14ac:dyDescent="0.25">
      <c r="A137" s="6"/>
      <c r="B137" s="7" t="s">
        <v>424</v>
      </c>
      <c r="C137" s="6"/>
      <c r="D137" s="306">
        <f>XIRR(F137:DV137,F117:DV117)</f>
        <v>0.15704479813575747</v>
      </c>
      <c r="E137" s="1200"/>
      <c r="F137" s="350">
        <f t="shared" ref="F137:DV137" si="65">IF(F118="","",(-F135)+F134)</f>
        <v>-1707995.3154654428</v>
      </c>
      <c r="G137" s="350">
        <f t="shared" si="65"/>
        <v>-444391.13550777489</v>
      </c>
      <c r="H137" s="350">
        <f t="shared" si="65"/>
        <v>-450016.71990963258</v>
      </c>
      <c r="I137" s="350">
        <f t="shared" si="65"/>
        <v>-455224.58316929941</v>
      </c>
      <c r="J137" s="350">
        <f t="shared" si="65"/>
        <v>-459989.69842095789</v>
      </c>
      <c r="K137" s="350">
        <f t="shared" si="65"/>
        <v>-464288.40390056232</v>
      </c>
      <c r="L137" s="350">
        <f t="shared" si="65"/>
        <v>-468098.85797976283</v>
      </c>
      <c r="M137" s="350">
        <f t="shared" si="65"/>
        <v>-142366.91882177556</v>
      </c>
      <c r="N137" s="350">
        <f t="shared" si="65"/>
        <v>0</v>
      </c>
      <c r="O137" s="350">
        <f t="shared" si="65"/>
        <v>0</v>
      </c>
      <c r="P137" s="350">
        <f t="shared" si="65"/>
        <v>0</v>
      </c>
      <c r="Q137" s="350">
        <f t="shared" si="65"/>
        <v>0</v>
      </c>
      <c r="R137" s="350">
        <f t="shared" si="65"/>
        <v>0</v>
      </c>
      <c r="S137" s="350">
        <f t="shared" si="65"/>
        <v>0</v>
      </c>
      <c r="T137" s="350">
        <f t="shared" si="65"/>
        <v>0</v>
      </c>
      <c r="U137" s="350">
        <f t="shared" si="65"/>
        <v>0</v>
      </c>
      <c r="V137" s="350">
        <f t="shared" si="65"/>
        <v>0</v>
      </c>
      <c r="W137" s="350">
        <f t="shared" si="65"/>
        <v>0</v>
      </c>
      <c r="X137" s="350">
        <f t="shared" si="65"/>
        <v>0</v>
      </c>
      <c r="Y137" s="350">
        <f t="shared" si="65"/>
        <v>0</v>
      </c>
      <c r="Z137" s="350">
        <f t="shared" si="65"/>
        <v>0</v>
      </c>
      <c r="AA137" s="350">
        <f t="shared" si="65"/>
        <v>0</v>
      </c>
      <c r="AB137" s="350">
        <f t="shared" si="65"/>
        <v>0</v>
      </c>
      <c r="AC137" s="350">
        <f t="shared" si="65"/>
        <v>0</v>
      </c>
      <c r="AD137" s="350">
        <f t="shared" si="65"/>
        <v>0</v>
      </c>
      <c r="AE137" s="350">
        <f t="shared" si="65"/>
        <v>0</v>
      </c>
      <c r="AF137" s="350">
        <f t="shared" si="65"/>
        <v>0</v>
      </c>
      <c r="AG137" s="350">
        <f t="shared" si="65"/>
        <v>0</v>
      </c>
      <c r="AH137" s="350">
        <f t="shared" si="65"/>
        <v>0</v>
      </c>
      <c r="AI137" s="350">
        <f t="shared" si="65"/>
        <v>0</v>
      </c>
      <c r="AJ137" s="350">
        <f t="shared" si="65"/>
        <v>0</v>
      </c>
      <c r="AK137" s="350">
        <f t="shared" si="65"/>
        <v>4095.3053155964603</v>
      </c>
      <c r="AL137" s="350">
        <f t="shared" si="65"/>
        <v>10673.73075421624</v>
      </c>
      <c r="AM137" s="350">
        <f t="shared" si="65"/>
        <v>17118.376219193204</v>
      </c>
      <c r="AN137" s="350">
        <f t="shared" si="65"/>
        <v>23696.801657812983</v>
      </c>
      <c r="AO137" s="350">
        <f t="shared" si="65"/>
        <v>20007.841636308483</v>
      </c>
      <c r="AP137" s="350">
        <f t="shared" si="65"/>
        <v>20007.841636308483</v>
      </c>
      <c r="AQ137" s="350">
        <f t="shared" si="65"/>
        <v>22012.721105254928</v>
      </c>
      <c r="AR137" s="350">
        <f t="shared" si="65"/>
        <v>22012.721105254928</v>
      </c>
      <c r="AS137" s="350">
        <f t="shared" si="65"/>
        <v>22012.721105254928</v>
      </c>
      <c r="AT137" s="350">
        <f t="shared" si="65"/>
        <v>22012.721105254928</v>
      </c>
      <c r="AU137" s="350">
        <f t="shared" si="65"/>
        <v>22012.721105254928</v>
      </c>
      <c r="AV137" s="350">
        <f t="shared" si="65"/>
        <v>22012.721105254928</v>
      </c>
      <c r="AW137" s="350">
        <f t="shared" si="65"/>
        <v>22012.721105254928</v>
      </c>
      <c r="AX137" s="350">
        <f t="shared" si="65"/>
        <v>22012.721105254928</v>
      </c>
      <c r="AY137" s="350">
        <f t="shared" si="65"/>
        <v>22012.721105254928</v>
      </c>
      <c r="AZ137" s="350">
        <f t="shared" si="65"/>
        <v>22012.721105254928</v>
      </c>
      <c r="BA137" s="350">
        <f t="shared" si="65"/>
        <v>22012.721105254928</v>
      </c>
      <c r="BB137" s="350">
        <f t="shared" si="65"/>
        <v>22012.721105254928</v>
      </c>
      <c r="BC137" s="350">
        <f t="shared" si="65"/>
        <v>24077.210018239501</v>
      </c>
      <c r="BD137" s="350">
        <f t="shared" si="65"/>
        <v>24077.210018239501</v>
      </c>
      <c r="BE137" s="350">
        <f t="shared" si="65"/>
        <v>24077.210018239501</v>
      </c>
      <c r="BF137" s="350">
        <f t="shared" si="65"/>
        <v>24077.210018239501</v>
      </c>
      <c r="BG137" s="350">
        <f t="shared" si="65"/>
        <v>24077.210018239501</v>
      </c>
      <c r="BH137" s="350">
        <f t="shared" si="65"/>
        <v>24077.210018239501</v>
      </c>
      <c r="BI137" s="350">
        <f t="shared" si="65"/>
        <v>24077.210018239501</v>
      </c>
      <c r="BJ137" s="350">
        <f t="shared" si="65"/>
        <v>24077.210018239501</v>
      </c>
      <c r="BK137" s="350">
        <f t="shared" si="65"/>
        <v>24077.210018239501</v>
      </c>
      <c r="BL137" s="350">
        <f t="shared" si="65"/>
        <v>24077.210018239501</v>
      </c>
      <c r="BM137" s="350">
        <f t="shared" si="65"/>
        <v>24077.210018239501</v>
      </c>
      <c r="BN137" s="350">
        <f t="shared" si="65"/>
        <v>8524421.9809164107</v>
      </c>
      <c r="BO137" s="350">
        <f t="shared" si="65"/>
        <v>0</v>
      </c>
      <c r="BP137" s="350">
        <f t="shared" si="65"/>
        <v>0</v>
      </c>
      <c r="BQ137" s="350">
        <f t="shared" si="65"/>
        <v>0</v>
      </c>
      <c r="BR137" s="350">
        <f t="shared" si="65"/>
        <v>0</v>
      </c>
      <c r="BS137" s="350">
        <f t="shared" si="65"/>
        <v>0</v>
      </c>
      <c r="BT137" s="350">
        <f t="shared" si="65"/>
        <v>0</v>
      </c>
      <c r="BU137" s="350">
        <f t="shared" si="65"/>
        <v>0</v>
      </c>
      <c r="BV137" s="350">
        <f t="shared" si="65"/>
        <v>0</v>
      </c>
      <c r="BW137" s="350">
        <f t="shared" si="65"/>
        <v>0</v>
      </c>
      <c r="BX137" s="350">
        <f t="shared" si="65"/>
        <v>0</v>
      </c>
      <c r="BY137" s="350">
        <f t="shared" si="65"/>
        <v>0</v>
      </c>
      <c r="BZ137" s="350">
        <f t="shared" si="65"/>
        <v>0</v>
      </c>
      <c r="CA137" s="350">
        <f t="shared" si="65"/>
        <v>0</v>
      </c>
      <c r="CB137" s="350">
        <f t="shared" si="65"/>
        <v>0</v>
      </c>
      <c r="CC137" s="350">
        <f t="shared" si="65"/>
        <v>0</v>
      </c>
      <c r="CD137" s="350">
        <f t="shared" si="65"/>
        <v>0</v>
      </c>
      <c r="CE137" s="350">
        <f t="shared" si="65"/>
        <v>0</v>
      </c>
      <c r="CF137" s="350">
        <f t="shared" si="65"/>
        <v>0</v>
      </c>
      <c r="CG137" s="350">
        <f t="shared" si="65"/>
        <v>0</v>
      </c>
      <c r="CH137" s="350">
        <f t="shared" si="65"/>
        <v>0</v>
      </c>
      <c r="CI137" s="350">
        <f t="shared" si="65"/>
        <v>0</v>
      </c>
      <c r="CJ137" s="350">
        <f t="shared" si="65"/>
        <v>0</v>
      </c>
      <c r="CK137" s="350">
        <f t="shared" si="65"/>
        <v>0</v>
      </c>
      <c r="CL137" s="350">
        <f t="shared" si="65"/>
        <v>0</v>
      </c>
      <c r="CM137" s="350">
        <f t="shared" si="65"/>
        <v>0</v>
      </c>
      <c r="CN137" s="350">
        <f t="shared" si="65"/>
        <v>0</v>
      </c>
      <c r="CO137" s="350">
        <f t="shared" si="65"/>
        <v>0</v>
      </c>
      <c r="CP137" s="350">
        <f t="shared" si="65"/>
        <v>0</v>
      </c>
      <c r="CQ137" s="350">
        <f t="shared" si="65"/>
        <v>0</v>
      </c>
      <c r="CR137" s="350">
        <f t="shared" si="65"/>
        <v>0</v>
      </c>
      <c r="CS137" s="350">
        <f t="shared" si="65"/>
        <v>0</v>
      </c>
      <c r="CT137" s="350">
        <f t="shared" si="65"/>
        <v>0</v>
      </c>
      <c r="CU137" s="350">
        <f t="shared" si="65"/>
        <v>0</v>
      </c>
      <c r="CV137" s="350">
        <f t="shared" si="65"/>
        <v>0</v>
      </c>
      <c r="CW137" s="350">
        <f t="shared" si="65"/>
        <v>0</v>
      </c>
      <c r="CX137" s="350">
        <f t="shared" si="65"/>
        <v>0</v>
      </c>
      <c r="CY137" s="350">
        <f t="shared" si="65"/>
        <v>0</v>
      </c>
      <c r="CZ137" s="350">
        <f t="shared" si="65"/>
        <v>0</v>
      </c>
      <c r="DA137" s="350">
        <f t="shared" si="65"/>
        <v>0</v>
      </c>
      <c r="DB137" s="350">
        <f t="shared" si="65"/>
        <v>0</v>
      </c>
      <c r="DC137" s="350">
        <f t="shared" si="65"/>
        <v>0</v>
      </c>
      <c r="DD137" s="350">
        <f t="shared" si="65"/>
        <v>0</v>
      </c>
      <c r="DE137" s="350">
        <f t="shared" si="65"/>
        <v>0</v>
      </c>
      <c r="DF137" s="350">
        <f t="shared" si="65"/>
        <v>0</v>
      </c>
      <c r="DG137" s="350">
        <f t="shared" si="65"/>
        <v>0</v>
      </c>
      <c r="DH137" s="350">
        <f t="shared" si="65"/>
        <v>0</v>
      </c>
      <c r="DI137" s="350">
        <f t="shared" si="65"/>
        <v>0</v>
      </c>
      <c r="DJ137" s="350">
        <f t="shared" si="65"/>
        <v>0</v>
      </c>
      <c r="DK137" s="350">
        <f t="shared" si="65"/>
        <v>0</v>
      </c>
      <c r="DL137" s="350">
        <f t="shared" si="65"/>
        <v>0</v>
      </c>
      <c r="DM137" s="350">
        <f t="shared" si="65"/>
        <v>0</v>
      </c>
      <c r="DN137" s="350">
        <f t="shared" si="65"/>
        <v>0</v>
      </c>
      <c r="DO137" s="350">
        <f t="shared" si="65"/>
        <v>0</v>
      </c>
      <c r="DP137" s="350">
        <f t="shared" si="65"/>
        <v>0</v>
      </c>
      <c r="DQ137" s="350">
        <f t="shared" si="65"/>
        <v>0</v>
      </c>
      <c r="DR137" s="350">
        <f t="shared" si="65"/>
        <v>0</v>
      </c>
      <c r="DS137" s="350">
        <f t="shared" si="65"/>
        <v>0</v>
      </c>
      <c r="DT137" s="350">
        <f t="shared" si="65"/>
        <v>0</v>
      </c>
      <c r="DU137" s="350">
        <f t="shared" si="65"/>
        <v>0</v>
      </c>
      <c r="DV137" s="350">
        <f t="shared" si="65"/>
        <v>0</v>
      </c>
      <c r="DW137" s="6"/>
      <c r="DX137" s="6"/>
      <c r="DY137" s="6"/>
      <c r="DZ137" s="6"/>
    </row>
    <row r="138" spans="1:130" ht="12.75" customHeight="1" x14ac:dyDescent="0.25">
      <c r="A138" s="6"/>
      <c r="B138" s="7" t="s">
        <v>425</v>
      </c>
      <c r="C138" s="6"/>
      <c r="D138" s="1242">
        <f>IFERROR(SUMIF(F137:DV137,"&gt;0")/-SUMIF(F137:DV137,"&lt;0"),"NA")</f>
        <v>1.9922220091046554</v>
      </c>
      <c r="E138" s="1200"/>
      <c r="F138" s="1179"/>
      <c r="G138" s="136"/>
      <c r="H138" s="458"/>
      <c r="I138" s="458"/>
      <c r="J138" s="10"/>
      <c r="K138" s="10"/>
      <c r="L138" s="10"/>
      <c r="M138" s="10"/>
      <c r="N138" s="10"/>
      <c r="O138" s="10"/>
      <c r="P138" s="10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</row>
    <row r="139" spans="1:130" ht="12.75" customHeight="1" x14ac:dyDescent="0.25">
      <c r="A139" s="6"/>
      <c r="B139" s="1218"/>
      <c r="C139" s="314"/>
      <c r="D139" s="6"/>
      <c r="E139" s="5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</row>
    <row r="140" spans="1:130" ht="12.75" customHeight="1" outlineLevel="1" x14ac:dyDescent="0.25">
      <c r="A140" s="6"/>
      <c r="B140" s="6"/>
      <c r="C140" s="6"/>
      <c r="D140" s="6"/>
      <c r="E140" s="6"/>
      <c r="F140" s="10"/>
      <c r="G140" s="10"/>
      <c r="H140" s="10"/>
      <c r="I140" s="10"/>
      <c r="J140" s="10"/>
      <c r="K140" s="1180" t="s">
        <v>379</v>
      </c>
      <c r="L140" s="1181" t="str">
        <f>IF(L141=L142,"OK","Error")</f>
        <v>OK</v>
      </c>
      <c r="M140" s="6"/>
      <c r="N140" s="10"/>
      <c r="O140" s="10"/>
      <c r="P140" s="10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</row>
    <row r="141" spans="1:130" ht="12.75" customHeight="1" outlineLevel="1" x14ac:dyDescent="0.25">
      <c r="A141" s="6"/>
      <c r="B141" s="77" t="s">
        <v>376</v>
      </c>
      <c r="C141" s="1192" t="s">
        <v>377</v>
      </c>
      <c r="D141" s="1192" t="s">
        <v>211</v>
      </c>
      <c r="E141" s="6"/>
      <c r="F141" s="212"/>
      <c r="G141" s="10"/>
      <c r="H141" s="10"/>
      <c r="I141" s="10"/>
      <c r="J141" s="10"/>
      <c r="K141" s="1183" t="s">
        <v>381</v>
      </c>
      <c r="L141" s="1243">
        <f>ROUND(D125+D136,0)/1000000</f>
        <v>9.8610520000000008</v>
      </c>
      <c r="M141" s="6"/>
      <c r="N141" s="10"/>
      <c r="O141" s="10"/>
      <c r="P141" s="10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</row>
    <row r="142" spans="1:130" ht="12.75" customHeight="1" outlineLevel="1" x14ac:dyDescent="0.25">
      <c r="A142" s="6"/>
      <c r="B142" s="6" t="s">
        <v>378</v>
      </c>
      <c r="C142" s="1188">
        <f>Equity_Share_Sponsor</f>
        <v>0.45503392395516223</v>
      </c>
      <c r="D142" s="350">
        <f>Equity_Share_Sponsor_Monthly*Total_Equity_Monthly</f>
        <v>4592371.6331752082</v>
      </c>
      <c r="E142" s="6"/>
      <c r="F142" s="7"/>
      <c r="G142" s="1179"/>
      <c r="H142" s="10"/>
      <c r="I142" s="10"/>
      <c r="J142" s="10"/>
      <c r="K142" s="1186" t="s">
        <v>382</v>
      </c>
      <c r="L142" s="1244">
        <f>ROUND(SUM(F159:DV159),0)/1000000</f>
        <v>9.8610520000000008</v>
      </c>
      <c r="M142" s="6"/>
      <c r="N142" s="10"/>
      <c r="O142" s="10"/>
      <c r="P142" s="10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</row>
    <row r="143" spans="1:130" ht="12.75" customHeight="1" outlineLevel="1" x14ac:dyDescent="0.25">
      <c r="A143" s="6"/>
      <c r="B143" s="6" t="s">
        <v>380</v>
      </c>
      <c r="C143" s="1188">
        <f>1-C142</f>
        <v>0.54496607604483782</v>
      </c>
      <c r="D143" s="350">
        <f>Total_Equity_Monthly*Equity_Share_LP_Monthly</f>
        <v>5500000.3668247918</v>
      </c>
      <c r="E143" s="6"/>
      <c r="F143" s="7"/>
      <c r="G143" s="1179"/>
      <c r="H143" s="10"/>
      <c r="I143" s="10"/>
      <c r="J143" s="10"/>
      <c r="K143" s="10"/>
      <c r="L143" s="10"/>
      <c r="M143" s="10"/>
      <c r="N143" s="10"/>
      <c r="O143" s="10"/>
      <c r="P143" s="10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</row>
    <row r="144" spans="1:130" ht="12.75" customHeight="1" outlineLevel="1" x14ac:dyDescent="0.25">
      <c r="A144" s="6"/>
      <c r="B144" s="6" t="s">
        <v>314</v>
      </c>
      <c r="C144" s="1188"/>
      <c r="D144" s="350">
        <f>-SUMIF(F160:DV160,"&lt;0")</f>
        <v>10092372</v>
      </c>
      <c r="E144" s="6"/>
      <c r="F144" s="7"/>
      <c r="G144" s="1179"/>
      <c r="H144" s="10"/>
      <c r="I144" s="10"/>
      <c r="J144" s="10"/>
      <c r="K144" s="10"/>
      <c r="L144" s="10"/>
      <c r="M144" s="10"/>
      <c r="N144" s="10"/>
      <c r="O144" s="10"/>
      <c r="P144" s="10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</row>
    <row r="145" spans="1:130" ht="12.75" customHeight="1" outlineLevel="1" x14ac:dyDescent="0.25">
      <c r="A145" s="6"/>
      <c r="B145" s="6"/>
      <c r="C145" s="1188"/>
      <c r="D145" s="561"/>
      <c r="E145" s="6"/>
      <c r="F145" s="7"/>
      <c r="G145" s="1179"/>
      <c r="H145" s="10"/>
      <c r="I145" s="10"/>
      <c r="J145" s="10"/>
      <c r="K145" s="10"/>
      <c r="L145" s="10"/>
      <c r="M145" s="10"/>
      <c r="N145" s="10"/>
      <c r="O145" s="10"/>
      <c r="P145" s="10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</row>
    <row r="146" spans="1:130" ht="12.75" customHeight="1" outlineLevel="1" x14ac:dyDescent="0.25">
      <c r="A146" s="6"/>
      <c r="B146" s="6"/>
      <c r="C146" s="6"/>
      <c r="D146" s="6"/>
      <c r="E146" s="6"/>
      <c r="F146" s="1992" t="s">
        <v>451</v>
      </c>
      <c r="G146" s="1985"/>
      <c r="H146" s="1984" t="s">
        <v>384</v>
      </c>
      <c r="I146" s="1985"/>
      <c r="J146" s="10"/>
      <c r="K146" s="10"/>
      <c r="L146" s="10"/>
      <c r="M146" s="10"/>
      <c r="N146" s="10"/>
      <c r="O146" s="10"/>
      <c r="P146" s="10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</row>
    <row r="147" spans="1:130" ht="12.75" customHeight="1" outlineLevel="1" x14ac:dyDescent="0.25">
      <c r="A147" s="6"/>
      <c r="B147" s="77" t="s">
        <v>451</v>
      </c>
      <c r="C147" s="78"/>
      <c r="D147" s="78"/>
      <c r="E147" s="78"/>
      <c r="F147" s="1978" t="s">
        <v>452</v>
      </c>
      <c r="G147" s="1969"/>
      <c r="H147" s="1192" t="s">
        <v>385</v>
      </c>
      <c r="I147" s="1192" t="s">
        <v>386</v>
      </c>
      <c r="J147" s="10"/>
      <c r="K147" s="10"/>
      <c r="L147" s="10"/>
      <c r="M147" s="10"/>
      <c r="N147" s="10"/>
      <c r="O147" s="10"/>
      <c r="P147" s="10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</row>
    <row r="148" spans="1:130" ht="12.75" customHeight="1" outlineLevel="1" x14ac:dyDescent="0.25">
      <c r="A148" s="6"/>
      <c r="B148" s="6" t="s">
        <v>388</v>
      </c>
      <c r="C148" s="6"/>
      <c r="D148" s="6"/>
      <c r="E148" s="1245">
        <f t="shared" ref="E148:E150" si="66">D149</f>
        <v>0.15</v>
      </c>
      <c r="F148" s="1246" t="s">
        <v>378</v>
      </c>
      <c r="G148" s="1247" t="s">
        <v>453</v>
      </c>
      <c r="H148" s="1188">
        <f>H15</f>
        <v>0.45503392395516223</v>
      </c>
      <c r="I148" s="1188">
        <f t="shared" ref="I148:I151" si="67">1-H148</f>
        <v>0.54496607604483782</v>
      </c>
      <c r="J148" s="7"/>
      <c r="K148" s="10"/>
      <c r="L148" s="10"/>
      <c r="M148" s="10"/>
      <c r="N148" s="10"/>
      <c r="O148" s="10"/>
      <c r="P148" s="10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</row>
    <row r="149" spans="1:130" ht="12.75" customHeight="1" outlineLevel="1" x14ac:dyDescent="0.25">
      <c r="A149" s="6"/>
      <c r="B149" s="6" t="s">
        <v>392</v>
      </c>
      <c r="C149" s="1248" t="str">
        <f t="shared" ref="C149:C151" si="68">IF($D$5="IRR","",C16)</f>
        <v/>
      </c>
      <c r="D149" s="1249">
        <f t="shared" ref="D149:D151" si="69">IF($D$5&lt;&gt;"IRR","",D16)</f>
        <v>0.15</v>
      </c>
      <c r="E149" s="1250">
        <f t="shared" si="66"/>
        <v>0.25</v>
      </c>
      <c r="F149" s="1188">
        <f t="shared" ref="F149:F151" si="70">F16</f>
        <v>0.3</v>
      </c>
      <c r="G149" s="1251">
        <f t="shared" ref="G149:G151" si="71">1-F149</f>
        <v>0.7</v>
      </c>
      <c r="H149" s="1188">
        <f>1-(Equity_Share_LP_Monthly*G149)</f>
        <v>0.61852374676861355</v>
      </c>
      <c r="I149" s="1188">
        <f t="shared" si="67"/>
        <v>0.38147625323138645</v>
      </c>
      <c r="J149" s="7"/>
      <c r="K149" s="10"/>
      <c r="L149" s="10"/>
      <c r="M149" s="10"/>
      <c r="N149" s="10"/>
      <c r="O149" s="10"/>
      <c r="P149" s="10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</row>
    <row r="150" spans="1:130" ht="12.75" customHeight="1" outlineLevel="1" x14ac:dyDescent="0.25">
      <c r="A150" s="6"/>
      <c r="B150" s="6" t="s">
        <v>393</v>
      </c>
      <c r="C150" s="1248" t="str">
        <f t="shared" si="68"/>
        <v/>
      </c>
      <c r="D150" s="1249">
        <f t="shared" si="69"/>
        <v>0.25</v>
      </c>
      <c r="E150" s="1250">
        <f t="shared" si="66"/>
        <v>0.4</v>
      </c>
      <c r="F150" s="1188">
        <f t="shared" si="70"/>
        <v>0.5</v>
      </c>
      <c r="G150" s="1251">
        <f t="shared" si="71"/>
        <v>0.5</v>
      </c>
      <c r="H150" s="1188">
        <f>1-(Equity_Share_LP_Monthly*G150)</f>
        <v>0.72751696197758109</v>
      </c>
      <c r="I150" s="1188">
        <f t="shared" si="67"/>
        <v>0.27248303802241891</v>
      </c>
      <c r="J150" s="7"/>
      <c r="K150" s="10"/>
      <c r="L150" s="10"/>
      <c r="M150" s="10"/>
      <c r="N150" s="10"/>
      <c r="O150" s="10"/>
      <c r="P150" s="10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</row>
    <row r="151" spans="1:130" ht="12.75" customHeight="1" outlineLevel="1" x14ac:dyDescent="0.25">
      <c r="A151" s="6"/>
      <c r="B151" s="6" t="s">
        <v>394</v>
      </c>
      <c r="C151" s="1248" t="str">
        <f t="shared" si="68"/>
        <v/>
      </c>
      <c r="D151" s="1249">
        <f t="shared" si="69"/>
        <v>0.4</v>
      </c>
      <c r="E151" s="1200"/>
      <c r="F151" s="1188">
        <f t="shared" si="70"/>
        <v>0.9</v>
      </c>
      <c r="G151" s="1251">
        <f t="shared" si="71"/>
        <v>9.9999999999999978E-2</v>
      </c>
      <c r="H151" s="1188">
        <f>1-(Equity_Share_LP_Monthly*G151)</f>
        <v>0.94550339239551628</v>
      </c>
      <c r="I151" s="1188">
        <f t="shared" si="67"/>
        <v>5.4496607604483716E-2</v>
      </c>
      <c r="J151" s="7"/>
      <c r="K151" s="10"/>
      <c r="L151" s="10"/>
      <c r="M151" s="10"/>
      <c r="N151" s="10"/>
      <c r="O151" s="10"/>
      <c r="P151" s="10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</row>
    <row r="152" spans="1:130" ht="12.75" customHeight="1" outlineLevel="1" x14ac:dyDescent="0.25">
      <c r="A152" s="6"/>
      <c r="B152" s="1218"/>
      <c r="C152" s="314"/>
      <c r="D152" s="1219"/>
      <c r="E152" s="6"/>
      <c r="F152" s="1252"/>
      <c r="G152" s="1252"/>
      <c r="H152" s="1252"/>
      <c r="I152" s="1252"/>
      <c r="J152" s="1252"/>
      <c r="K152" s="1252"/>
      <c r="L152" s="1252"/>
      <c r="M152" s="1252"/>
      <c r="N152" s="1252"/>
      <c r="O152" s="1252"/>
      <c r="P152" s="1252"/>
      <c r="Q152" s="1252"/>
      <c r="R152" s="1252"/>
      <c r="S152" s="1252"/>
      <c r="T152" s="1252"/>
      <c r="U152" s="1252"/>
      <c r="V152" s="1252"/>
      <c r="W152" s="1252"/>
      <c r="X152" s="1252"/>
      <c r="Y152" s="1252"/>
      <c r="Z152" s="1252"/>
      <c r="AA152" s="1252"/>
      <c r="AB152" s="1252"/>
      <c r="AC152" s="1252"/>
      <c r="AD152" s="1252"/>
      <c r="AE152" s="1252"/>
      <c r="AF152" s="1252"/>
      <c r="AG152" s="1252"/>
      <c r="AH152" s="1252"/>
      <c r="AI152" s="1252"/>
      <c r="AJ152" s="1252"/>
      <c r="AK152" s="1252"/>
      <c r="AL152" s="1252"/>
      <c r="AM152" s="1252"/>
      <c r="AN152" s="1252"/>
      <c r="AO152" s="1252"/>
      <c r="AP152" s="1252"/>
      <c r="AQ152" s="1252"/>
      <c r="AR152" s="1252"/>
      <c r="AS152" s="1252"/>
      <c r="AT152" s="1252"/>
      <c r="AU152" s="1252"/>
      <c r="AV152" s="1252"/>
      <c r="AW152" s="1252"/>
      <c r="AX152" s="1252"/>
      <c r="AY152" s="1252"/>
      <c r="AZ152" s="1252"/>
      <c r="BA152" s="1252"/>
      <c r="BB152" s="1252"/>
      <c r="BC152" s="1252"/>
      <c r="BD152" s="1252"/>
      <c r="BE152" s="1252"/>
      <c r="BF152" s="1252"/>
      <c r="BG152" s="1252"/>
      <c r="BH152" s="1252"/>
      <c r="BI152" s="1252"/>
      <c r="BJ152" s="1252"/>
      <c r="BK152" s="1252"/>
      <c r="BL152" s="1252"/>
      <c r="BM152" s="1252"/>
      <c r="BN152" s="1252"/>
      <c r="BO152" s="1252"/>
      <c r="BP152" s="1252"/>
      <c r="BQ152" s="1252"/>
      <c r="BR152" s="1252"/>
      <c r="BS152" s="1252"/>
      <c r="BT152" s="1252"/>
      <c r="BU152" s="1252"/>
      <c r="BV152" s="1252"/>
      <c r="BW152" s="1252"/>
      <c r="BX152" s="1252"/>
      <c r="BY152" s="1252"/>
      <c r="BZ152" s="1252"/>
      <c r="CA152" s="1252"/>
      <c r="CB152" s="1252"/>
      <c r="CC152" s="1252"/>
      <c r="CD152" s="1252"/>
      <c r="CE152" s="1252"/>
      <c r="CF152" s="1252"/>
      <c r="CG152" s="1252"/>
      <c r="CH152" s="1252"/>
      <c r="CI152" s="1252"/>
      <c r="CJ152" s="1252"/>
      <c r="CK152" s="1252"/>
      <c r="CL152" s="1252"/>
      <c r="CM152" s="1252"/>
      <c r="CN152" s="1252"/>
      <c r="CO152" s="1252"/>
      <c r="CP152" s="1252"/>
      <c r="CQ152" s="1252"/>
      <c r="CR152" s="1252"/>
      <c r="CS152" s="1252"/>
      <c r="CT152" s="1252"/>
      <c r="CU152" s="1252"/>
      <c r="CV152" s="1252"/>
      <c r="CW152" s="1252"/>
      <c r="CX152" s="1252"/>
      <c r="CY152" s="1252"/>
      <c r="CZ152" s="1252"/>
      <c r="DA152" s="1252"/>
      <c r="DB152" s="1252"/>
      <c r="DC152" s="1252"/>
      <c r="DD152" s="1252"/>
      <c r="DE152" s="1252"/>
      <c r="DF152" s="1252"/>
      <c r="DG152" s="1252"/>
      <c r="DH152" s="1252"/>
      <c r="DI152" s="1252"/>
      <c r="DJ152" s="1252"/>
      <c r="DK152" s="1252"/>
      <c r="DL152" s="1252"/>
      <c r="DM152" s="1252"/>
      <c r="DN152" s="1252"/>
      <c r="DO152" s="1252"/>
      <c r="DP152" s="1252"/>
      <c r="DQ152" s="1252"/>
      <c r="DR152" s="1252"/>
      <c r="DS152" s="1252"/>
      <c r="DT152" s="1252"/>
      <c r="DU152" s="1252"/>
      <c r="DV152" s="1252"/>
      <c r="DW152" s="6"/>
      <c r="DX152" s="6"/>
      <c r="DY152" s="6"/>
      <c r="DZ152" s="6"/>
    </row>
    <row r="153" spans="1:130" ht="12.75" customHeight="1" outlineLevel="1" x14ac:dyDescent="0.25">
      <c r="A153" s="6"/>
      <c r="B153" s="1218"/>
      <c r="C153" s="314"/>
      <c r="D153" s="1219"/>
      <c r="E153" s="6"/>
      <c r="F153" s="1252"/>
      <c r="G153" s="1252"/>
      <c r="H153" s="1252"/>
      <c r="I153" s="1252"/>
      <c r="J153" s="1252"/>
      <c r="K153" s="1252"/>
      <c r="L153" s="1252"/>
      <c r="M153" s="1252"/>
      <c r="N153" s="1252"/>
      <c r="O153" s="1252"/>
      <c r="P153" s="1252"/>
      <c r="Q153" s="1252"/>
      <c r="R153" s="1252"/>
      <c r="S153" s="1252"/>
      <c r="T153" s="1252"/>
      <c r="U153" s="1252"/>
      <c r="V153" s="1252"/>
      <c r="W153" s="1252"/>
      <c r="X153" s="1252"/>
      <c r="Y153" s="1252"/>
      <c r="Z153" s="1252"/>
      <c r="AA153" s="1252"/>
      <c r="AB153" s="1252"/>
      <c r="AC153" s="1252"/>
      <c r="AD153" s="1252"/>
      <c r="AE153" s="1252"/>
      <c r="AF153" s="1252"/>
      <c r="AG153" s="1252"/>
      <c r="AH153" s="1252"/>
      <c r="AI153" s="1252"/>
      <c r="AJ153" s="1252"/>
      <c r="AK153" s="1252"/>
      <c r="AL153" s="1252"/>
      <c r="AM153" s="1252"/>
      <c r="AN153" s="1252"/>
      <c r="AO153" s="1252"/>
      <c r="AP153" s="1252"/>
      <c r="AQ153" s="1252"/>
      <c r="AR153" s="1252"/>
      <c r="AS153" s="1252"/>
      <c r="AT153" s="1252"/>
      <c r="AU153" s="1252"/>
      <c r="AV153" s="1252"/>
      <c r="AW153" s="1252"/>
      <c r="AX153" s="1252"/>
      <c r="AY153" s="1252"/>
      <c r="AZ153" s="1252"/>
      <c r="BA153" s="1252"/>
      <c r="BB153" s="1252"/>
      <c r="BC153" s="1252"/>
      <c r="BD153" s="1252"/>
      <c r="BE153" s="1252"/>
      <c r="BF153" s="1252"/>
      <c r="BG153" s="1252"/>
      <c r="BH153" s="1252"/>
      <c r="BI153" s="1252"/>
      <c r="BJ153" s="1252"/>
      <c r="BK153" s="1252"/>
      <c r="BL153" s="1252"/>
      <c r="BM153" s="1252"/>
      <c r="BN153" s="1252"/>
      <c r="BO153" s="1252"/>
      <c r="BP153" s="1252"/>
      <c r="BQ153" s="1252"/>
      <c r="BR153" s="1252"/>
      <c r="BS153" s="1252"/>
      <c r="BT153" s="1252"/>
      <c r="BU153" s="1252"/>
      <c r="BV153" s="1252"/>
      <c r="BW153" s="1252"/>
      <c r="BX153" s="1252"/>
      <c r="BY153" s="1252"/>
      <c r="BZ153" s="1252"/>
      <c r="CA153" s="1252"/>
      <c r="CB153" s="1252"/>
      <c r="CC153" s="1252"/>
      <c r="CD153" s="1252"/>
      <c r="CE153" s="1252"/>
      <c r="CF153" s="1252"/>
      <c r="CG153" s="1252"/>
      <c r="CH153" s="1252"/>
      <c r="CI153" s="1252"/>
      <c r="CJ153" s="1252"/>
      <c r="CK153" s="1252"/>
      <c r="CL153" s="1252"/>
      <c r="CM153" s="1252"/>
      <c r="CN153" s="1252"/>
      <c r="CO153" s="1252"/>
      <c r="CP153" s="1252"/>
      <c r="CQ153" s="1252"/>
      <c r="CR153" s="1252"/>
      <c r="CS153" s="1252"/>
      <c r="CT153" s="1252"/>
      <c r="CU153" s="1252"/>
      <c r="CV153" s="1252"/>
      <c r="CW153" s="1252"/>
      <c r="CX153" s="1252"/>
      <c r="CY153" s="1252"/>
      <c r="CZ153" s="1252"/>
      <c r="DA153" s="1252"/>
      <c r="DB153" s="1252"/>
      <c r="DC153" s="1252"/>
      <c r="DD153" s="1252"/>
      <c r="DE153" s="1252"/>
      <c r="DF153" s="1252"/>
      <c r="DG153" s="1252"/>
      <c r="DH153" s="1252"/>
      <c r="DI153" s="1252"/>
      <c r="DJ153" s="1252"/>
      <c r="DK153" s="1252"/>
      <c r="DL153" s="1252"/>
      <c r="DM153" s="1252"/>
      <c r="DN153" s="1252"/>
      <c r="DO153" s="1252"/>
      <c r="DP153" s="1252"/>
      <c r="DQ153" s="1252"/>
      <c r="DR153" s="1252"/>
      <c r="DS153" s="1252"/>
      <c r="DT153" s="1252"/>
      <c r="DU153" s="1252"/>
      <c r="DV153" s="1252"/>
      <c r="DW153" s="6"/>
      <c r="DX153" s="6"/>
      <c r="DY153" s="6"/>
      <c r="DZ153" s="6"/>
    </row>
    <row r="154" spans="1:130" ht="12.75" customHeight="1" outlineLevel="1" x14ac:dyDescent="0.25">
      <c r="A154" s="6"/>
      <c r="B154" s="77" t="s">
        <v>454</v>
      </c>
      <c r="C154" s="78"/>
      <c r="D154" s="78"/>
      <c r="E154" s="1194"/>
      <c r="F154" s="1237">
        <f t="shared" ref="F154:DV154" si="72">F118</f>
        <v>0</v>
      </c>
      <c r="G154" s="1237">
        <f t="shared" si="72"/>
        <v>1</v>
      </c>
      <c r="H154" s="1237">
        <f t="shared" si="72"/>
        <v>2</v>
      </c>
      <c r="I154" s="1237">
        <f t="shared" si="72"/>
        <v>3</v>
      </c>
      <c r="J154" s="1237">
        <f t="shared" si="72"/>
        <v>4</v>
      </c>
      <c r="K154" s="1237">
        <f t="shared" si="72"/>
        <v>5</v>
      </c>
      <c r="L154" s="1237">
        <f t="shared" si="72"/>
        <v>6</v>
      </c>
      <c r="M154" s="1237">
        <f t="shared" si="72"/>
        <v>7</v>
      </c>
      <c r="N154" s="1237">
        <f t="shared" si="72"/>
        <v>8</v>
      </c>
      <c r="O154" s="1237">
        <f t="shared" si="72"/>
        <v>9</v>
      </c>
      <c r="P154" s="1237">
        <f t="shared" si="72"/>
        <v>10</v>
      </c>
      <c r="Q154" s="1237">
        <f t="shared" si="72"/>
        <v>11</v>
      </c>
      <c r="R154" s="1237">
        <f t="shared" si="72"/>
        <v>12</v>
      </c>
      <c r="S154" s="1237">
        <f t="shared" si="72"/>
        <v>13</v>
      </c>
      <c r="T154" s="1237">
        <f t="shared" si="72"/>
        <v>14</v>
      </c>
      <c r="U154" s="1237">
        <f t="shared" si="72"/>
        <v>15</v>
      </c>
      <c r="V154" s="1237">
        <f t="shared" si="72"/>
        <v>16</v>
      </c>
      <c r="W154" s="1237">
        <f t="shared" si="72"/>
        <v>17</v>
      </c>
      <c r="X154" s="1237">
        <f t="shared" si="72"/>
        <v>18</v>
      </c>
      <c r="Y154" s="1237">
        <f t="shared" si="72"/>
        <v>19</v>
      </c>
      <c r="Z154" s="1237">
        <f t="shared" si="72"/>
        <v>20</v>
      </c>
      <c r="AA154" s="1237">
        <f t="shared" si="72"/>
        <v>21</v>
      </c>
      <c r="AB154" s="1237">
        <f t="shared" si="72"/>
        <v>22</v>
      </c>
      <c r="AC154" s="1237">
        <f t="shared" si="72"/>
        <v>23</v>
      </c>
      <c r="AD154" s="1237">
        <f t="shared" si="72"/>
        <v>24</v>
      </c>
      <c r="AE154" s="1237">
        <f t="shared" si="72"/>
        <v>25</v>
      </c>
      <c r="AF154" s="1237">
        <f t="shared" si="72"/>
        <v>26</v>
      </c>
      <c r="AG154" s="1237">
        <f t="shared" si="72"/>
        <v>27</v>
      </c>
      <c r="AH154" s="1237">
        <f t="shared" si="72"/>
        <v>28</v>
      </c>
      <c r="AI154" s="1237">
        <f t="shared" si="72"/>
        <v>29</v>
      </c>
      <c r="AJ154" s="1237">
        <f t="shared" si="72"/>
        <v>30</v>
      </c>
      <c r="AK154" s="1237">
        <f t="shared" si="72"/>
        <v>31</v>
      </c>
      <c r="AL154" s="1237">
        <f t="shared" si="72"/>
        <v>32</v>
      </c>
      <c r="AM154" s="1237">
        <f t="shared" si="72"/>
        <v>33</v>
      </c>
      <c r="AN154" s="1237">
        <f t="shared" si="72"/>
        <v>34</v>
      </c>
      <c r="AO154" s="1237">
        <f t="shared" si="72"/>
        <v>35</v>
      </c>
      <c r="AP154" s="1237">
        <f t="shared" si="72"/>
        <v>36</v>
      </c>
      <c r="AQ154" s="1237">
        <f t="shared" si="72"/>
        <v>37</v>
      </c>
      <c r="AR154" s="1237">
        <f t="shared" si="72"/>
        <v>38</v>
      </c>
      <c r="AS154" s="1237">
        <f t="shared" si="72"/>
        <v>39</v>
      </c>
      <c r="AT154" s="1237">
        <f t="shared" si="72"/>
        <v>40</v>
      </c>
      <c r="AU154" s="1237">
        <f t="shared" si="72"/>
        <v>41</v>
      </c>
      <c r="AV154" s="1237">
        <f t="shared" si="72"/>
        <v>42</v>
      </c>
      <c r="AW154" s="1237">
        <f t="shared" si="72"/>
        <v>43</v>
      </c>
      <c r="AX154" s="1237">
        <f t="shared" si="72"/>
        <v>44</v>
      </c>
      <c r="AY154" s="1237">
        <f t="shared" si="72"/>
        <v>45</v>
      </c>
      <c r="AZ154" s="1237">
        <f t="shared" si="72"/>
        <v>46</v>
      </c>
      <c r="BA154" s="1237">
        <f t="shared" si="72"/>
        <v>47</v>
      </c>
      <c r="BB154" s="1237">
        <f t="shared" si="72"/>
        <v>48</v>
      </c>
      <c r="BC154" s="1237">
        <f t="shared" si="72"/>
        <v>49</v>
      </c>
      <c r="BD154" s="1237">
        <f t="shared" si="72"/>
        <v>50</v>
      </c>
      <c r="BE154" s="1237">
        <f t="shared" si="72"/>
        <v>51</v>
      </c>
      <c r="BF154" s="1237">
        <f t="shared" si="72"/>
        <v>52</v>
      </c>
      <c r="BG154" s="1237">
        <f t="shared" si="72"/>
        <v>53</v>
      </c>
      <c r="BH154" s="1237">
        <f t="shared" si="72"/>
        <v>54</v>
      </c>
      <c r="BI154" s="1237">
        <f t="shared" si="72"/>
        <v>55</v>
      </c>
      <c r="BJ154" s="1237">
        <f t="shared" si="72"/>
        <v>56</v>
      </c>
      <c r="BK154" s="1237">
        <f t="shared" si="72"/>
        <v>57</v>
      </c>
      <c r="BL154" s="1237">
        <f t="shared" si="72"/>
        <v>58</v>
      </c>
      <c r="BM154" s="1237">
        <f t="shared" si="72"/>
        <v>59</v>
      </c>
      <c r="BN154" s="1237">
        <f t="shared" si="72"/>
        <v>60</v>
      </c>
      <c r="BO154" s="1237">
        <f t="shared" si="72"/>
        <v>61</v>
      </c>
      <c r="BP154" s="1237">
        <f t="shared" si="72"/>
        <v>62</v>
      </c>
      <c r="BQ154" s="1237">
        <f t="shared" si="72"/>
        <v>63</v>
      </c>
      <c r="BR154" s="1237">
        <f t="shared" si="72"/>
        <v>64</v>
      </c>
      <c r="BS154" s="1237">
        <f t="shared" si="72"/>
        <v>65</v>
      </c>
      <c r="BT154" s="1237">
        <f t="shared" si="72"/>
        <v>66</v>
      </c>
      <c r="BU154" s="1237">
        <f t="shared" si="72"/>
        <v>67</v>
      </c>
      <c r="BV154" s="1237">
        <f t="shared" si="72"/>
        <v>68</v>
      </c>
      <c r="BW154" s="1237">
        <f t="shared" si="72"/>
        <v>69</v>
      </c>
      <c r="BX154" s="1237">
        <f t="shared" si="72"/>
        <v>70</v>
      </c>
      <c r="BY154" s="1237">
        <f t="shared" si="72"/>
        <v>71</v>
      </c>
      <c r="BZ154" s="1237">
        <f t="shared" si="72"/>
        <v>72</v>
      </c>
      <c r="CA154" s="1237">
        <f t="shared" si="72"/>
        <v>73</v>
      </c>
      <c r="CB154" s="1237">
        <f t="shared" si="72"/>
        <v>74</v>
      </c>
      <c r="CC154" s="1237">
        <f t="shared" si="72"/>
        <v>75</v>
      </c>
      <c r="CD154" s="1237">
        <f t="shared" si="72"/>
        <v>76</v>
      </c>
      <c r="CE154" s="1237">
        <f t="shared" si="72"/>
        <v>77</v>
      </c>
      <c r="CF154" s="1237">
        <f t="shared" si="72"/>
        <v>78</v>
      </c>
      <c r="CG154" s="1237">
        <f t="shared" si="72"/>
        <v>79</v>
      </c>
      <c r="CH154" s="1237">
        <f t="shared" si="72"/>
        <v>80</v>
      </c>
      <c r="CI154" s="1237">
        <f t="shared" si="72"/>
        <v>81</v>
      </c>
      <c r="CJ154" s="1237">
        <f t="shared" si="72"/>
        <v>82</v>
      </c>
      <c r="CK154" s="1237">
        <f t="shared" si="72"/>
        <v>83</v>
      </c>
      <c r="CL154" s="1237">
        <f t="shared" si="72"/>
        <v>84</v>
      </c>
      <c r="CM154" s="1237">
        <f t="shared" si="72"/>
        <v>85</v>
      </c>
      <c r="CN154" s="1237">
        <f t="shared" si="72"/>
        <v>86</v>
      </c>
      <c r="CO154" s="1237">
        <f t="shared" si="72"/>
        <v>87</v>
      </c>
      <c r="CP154" s="1237">
        <f t="shared" si="72"/>
        <v>88</v>
      </c>
      <c r="CQ154" s="1237">
        <f t="shared" si="72"/>
        <v>89</v>
      </c>
      <c r="CR154" s="1237">
        <f t="shared" si="72"/>
        <v>90</v>
      </c>
      <c r="CS154" s="1237">
        <f t="shared" si="72"/>
        <v>91</v>
      </c>
      <c r="CT154" s="1237">
        <f t="shared" si="72"/>
        <v>92</v>
      </c>
      <c r="CU154" s="1237">
        <f t="shared" si="72"/>
        <v>93</v>
      </c>
      <c r="CV154" s="1237">
        <f t="shared" si="72"/>
        <v>94</v>
      </c>
      <c r="CW154" s="1237">
        <f t="shared" si="72"/>
        <v>95</v>
      </c>
      <c r="CX154" s="1237">
        <f t="shared" si="72"/>
        <v>96</v>
      </c>
      <c r="CY154" s="1237">
        <f t="shared" si="72"/>
        <v>97</v>
      </c>
      <c r="CZ154" s="1237">
        <f t="shared" si="72"/>
        <v>98</v>
      </c>
      <c r="DA154" s="1237">
        <f t="shared" si="72"/>
        <v>99</v>
      </c>
      <c r="DB154" s="1237">
        <f t="shared" si="72"/>
        <v>100</v>
      </c>
      <c r="DC154" s="1237">
        <f t="shared" si="72"/>
        <v>101</v>
      </c>
      <c r="DD154" s="1237">
        <f t="shared" si="72"/>
        <v>102</v>
      </c>
      <c r="DE154" s="1237">
        <f t="shared" si="72"/>
        <v>103</v>
      </c>
      <c r="DF154" s="1237">
        <f t="shared" si="72"/>
        <v>104</v>
      </c>
      <c r="DG154" s="1237">
        <f t="shared" si="72"/>
        <v>105</v>
      </c>
      <c r="DH154" s="1237">
        <f t="shared" si="72"/>
        <v>106</v>
      </c>
      <c r="DI154" s="1237">
        <f t="shared" si="72"/>
        <v>107</v>
      </c>
      <c r="DJ154" s="1237">
        <f t="shared" si="72"/>
        <v>108</v>
      </c>
      <c r="DK154" s="1237">
        <f t="shared" si="72"/>
        <v>109</v>
      </c>
      <c r="DL154" s="1237">
        <f t="shared" si="72"/>
        <v>110</v>
      </c>
      <c r="DM154" s="1237">
        <f t="shared" si="72"/>
        <v>111</v>
      </c>
      <c r="DN154" s="1237">
        <f t="shared" si="72"/>
        <v>112</v>
      </c>
      <c r="DO154" s="1237">
        <f t="shared" si="72"/>
        <v>113</v>
      </c>
      <c r="DP154" s="1237">
        <f t="shared" si="72"/>
        <v>114</v>
      </c>
      <c r="DQ154" s="1237">
        <f t="shared" si="72"/>
        <v>115</v>
      </c>
      <c r="DR154" s="1237">
        <f t="shared" si="72"/>
        <v>116</v>
      </c>
      <c r="DS154" s="1237">
        <f t="shared" si="72"/>
        <v>117</v>
      </c>
      <c r="DT154" s="1237">
        <f t="shared" si="72"/>
        <v>118</v>
      </c>
      <c r="DU154" s="1237">
        <f t="shared" si="72"/>
        <v>119</v>
      </c>
      <c r="DV154" s="1237">
        <f t="shared" si="72"/>
        <v>120</v>
      </c>
      <c r="DW154" s="6"/>
      <c r="DX154" s="6"/>
      <c r="DY154" s="6"/>
      <c r="DZ154" s="6"/>
    </row>
    <row r="155" spans="1:130" ht="12.75" customHeight="1" outlineLevel="1" x14ac:dyDescent="0.25">
      <c r="A155" s="6"/>
      <c r="B155" s="6" t="s">
        <v>398</v>
      </c>
      <c r="C155" s="6"/>
      <c r="D155" s="6"/>
      <c r="E155" s="12" t="s">
        <v>455</v>
      </c>
      <c r="F155" s="1253">
        <f t="shared" ref="F155:DV155" si="73">F117</f>
        <v>46387</v>
      </c>
      <c r="G155" s="1253">
        <f t="shared" si="73"/>
        <v>46418</v>
      </c>
      <c r="H155" s="1253">
        <f t="shared" si="73"/>
        <v>46446</v>
      </c>
      <c r="I155" s="1253">
        <f t="shared" si="73"/>
        <v>46477</v>
      </c>
      <c r="J155" s="1253">
        <f t="shared" si="73"/>
        <v>46507</v>
      </c>
      <c r="K155" s="1253">
        <f t="shared" si="73"/>
        <v>46538</v>
      </c>
      <c r="L155" s="1253">
        <f t="shared" si="73"/>
        <v>46568</v>
      </c>
      <c r="M155" s="1253">
        <f t="shared" si="73"/>
        <v>46599</v>
      </c>
      <c r="N155" s="1253">
        <f t="shared" si="73"/>
        <v>46630</v>
      </c>
      <c r="O155" s="1253">
        <f t="shared" si="73"/>
        <v>46660</v>
      </c>
      <c r="P155" s="1253">
        <f t="shared" si="73"/>
        <v>46691</v>
      </c>
      <c r="Q155" s="1253">
        <f t="shared" si="73"/>
        <v>46721</v>
      </c>
      <c r="R155" s="1253">
        <f t="shared" si="73"/>
        <v>46752</v>
      </c>
      <c r="S155" s="1253">
        <f t="shared" si="73"/>
        <v>46783</v>
      </c>
      <c r="T155" s="1253">
        <f t="shared" si="73"/>
        <v>46812</v>
      </c>
      <c r="U155" s="1253">
        <f t="shared" si="73"/>
        <v>46843</v>
      </c>
      <c r="V155" s="1253">
        <f t="shared" si="73"/>
        <v>46873</v>
      </c>
      <c r="W155" s="1253">
        <f t="shared" si="73"/>
        <v>46904</v>
      </c>
      <c r="X155" s="1253">
        <f t="shared" si="73"/>
        <v>46934</v>
      </c>
      <c r="Y155" s="1253">
        <f t="shared" si="73"/>
        <v>46965</v>
      </c>
      <c r="Z155" s="1253">
        <f t="shared" si="73"/>
        <v>46996</v>
      </c>
      <c r="AA155" s="1253">
        <f t="shared" si="73"/>
        <v>47026</v>
      </c>
      <c r="AB155" s="1253">
        <f t="shared" si="73"/>
        <v>47057</v>
      </c>
      <c r="AC155" s="1253">
        <f t="shared" si="73"/>
        <v>47087</v>
      </c>
      <c r="AD155" s="1253">
        <f t="shared" si="73"/>
        <v>47118</v>
      </c>
      <c r="AE155" s="1253">
        <f t="shared" si="73"/>
        <v>47149</v>
      </c>
      <c r="AF155" s="1253">
        <f t="shared" si="73"/>
        <v>47177</v>
      </c>
      <c r="AG155" s="1253">
        <f t="shared" si="73"/>
        <v>47208</v>
      </c>
      <c r="AH155" s="1253">
        <f t="shared" si="73"/>
        <v>47238</v>
      </c>
      <c r="AI155" s="1253">
        <f t="shared" si="73"/>
        <v>47269</v>
      </c>
      <c r="AJ155" s="1253">
        <f t="shared" si="73"/>
        <v>47299</v>
      </c>
      <c r="AK155" s="1253">
        <f t="shared" si="73"/>
        <v>47330</v>
      </c>
      <c r="AL155" s="1253">
        <f t="shared" si="73"/>
        <v>47361</v>
      </c>
      <c r="AM155" s="1253">
        <f t="shared" si="73"/>
        <v>47391</v>
      </c>
      <c r="AN155" s="1253">
        <f t="shared" si="73"/>
        <v>47422</v>
      </c>
      <c r="AO155" s="1253">
        <f t="shared" si="73"/>
        <v>47452</v>
      </c>
      <c r="AP155" s="1253">
        <f t="shared" si="73"/>
        <v>47483</v>
      </c>
      <c r="AQ155" s="1253">
        <f t="shared" si="73"/>
        <v>47514</v>
      </c>
      <c r="AR155" s="1253">
        <f t="shared" si="73"/>
        <v>47542</v>
      </c>
      <c r="AS155" s="1253">
        <f t="shared" si="73"/>
        <v>47573</v>
      </c>
      <c r="AT155" s="1253">
        <f t="shared" si="73"/>
        <v>47603</v>
      </c>
      <c r="AU155" s="1253">
        <f t="shared" si="73"/>
        <v>47634</v>
      </c>
      <c r="AV155" s="1253">
        <f t="shared" si="73"/>
        <v>47664</v>
      </c>
      <c r="AW155" s="1253">
        <f t="shared" si="73"/>
        <v>47695</v>
      </c>
      <c r="AX155" s="1253">
        <f t="shared" si="73"/>
        <v>47726</v>
      </c>
      <c r="AY155" s="1253">
        <f t="shared" si="73"/>
        <v>47756</v>
      </c>
      <c r="AZ155" s="1253">
        <f t="shared" si="73"/>
        <v>47787</v>
      </c>
      <c r="BA155" s="1253">
        <f t="shared" si="73"/>
        <v>47817</v>
      </c>
      <c r="BB155" s="1253">
        <f t="shared" si="73"/>
        <v>47848</v>
      </c>
      <c r="BC155" s="1253">
        <f t="shared" si="73"/>
        <v>47879</v>
      </c>
      <c r="BD155" s="1253">
        <f t="shared" si="73"/>
        <v>47907</v>
      </c>
      <c r="BE155" s="1253">
        <f t="shared" si="73"/>
        <v>47938</v>
      </c>
      <c r="BF155" s="1253">
        <f t="shared" si="73"/>
        <v>47968</v>
      </c>
      <c r="BG155" s="1253">
        <f t="shared" si="73"/>
        <v>47999</v>
      </c>
      <c r="BH155" s="1253">
        <f t="shared" si="73"/>
        <v>48029</v>
      </c>
      <c r="BI155" s="1253">
        <f t="shared" si="73"/>
        <v>48060</v>
      </c>
      <c r="BJ155" s="1253">
        <f t="shared" si="73"/>
        <v>48091</v>
      </c>
      <c r="BK155" s="1253">
        <f t="shared" si="73"/>
        <v>48121</v>
      </c>
      <c r="BL155" s="1253">
        <f t="shared" si="73"/>
        <v>48152</v>
      </c>
      <c r="BM155" s="1253">
        <f t="shared" si="73"/>
        <v>48182</v>
      </c>
      <c r="BN155" s="1253">
        <f t="shared" si="73"/>
        <v>48213</v>
      </c>
      <c r="BO155" s="1253">
        <f t="shared" si="73"/>
        <v>48244</v>
      </c>
      <c r="BP155" s="1253">
        <f t="shared" si="73"/>
        <v>48273</v>
      </c>
      <c r="BQ155" s="1253">
        <f t="shared" si="73"/>
        <v>48304</v>
      </c>
      <c r="BR155" s="1253">
        <f t="shared" si="73"/>
        <v>48334</v>
      </c>
      <c r="BS155" s="1253">
        <f t="shared" si="73"/>
        <v>48365</v>
      </c>
      <c r="BT155" s="1253">
        <f t="shared" si="73"/>
        <v>48395</v>
      </c>
      <c r="BU155" s="1253">
        <f t="shared" si="73"/>
        <v>48426</v>
      </c>
      <c r="BV155" s="1253">
        <f t="shared" si="73"/>
        <v>48457</v>
      </c>
      <c r="BW155" s="1253">
        <f t="shared" si="73"/>
        <v>48487</v>
      </c>
      <c r="BX155" s="1253">
        <f t="shared" si="73"/>
        <v>48518</v>
      </c>
      <c r="BY155" s="1253">
        <f t="shared" si="73"/>
        <v>48548</v>
      </c>
      <c r="BZ155" s="1253">
        <f t="shared" si="73"/>
        <v>48579</v>
      </c>
      <c r="CA155" s="1253">
        <f t="shared" si="73"/>
        <v>48610</v>
      </c>
      <c r="CB155" s="1253">
        <f t="shared" si="73"/>
        <v>48638</v>
      </c>
      <c r="CC155" s="1253">
        <f t="shared" si="73"/>
        <v>48669</v>
      </c>
      <c r="CD155" s="1253">
        <f t="shared" si="73"/>
        <v>48699</v>
      </c>
      <c r="CE155" s="1253">
        <f t="shared" si="73"/>
        <v>48730</v>
      </c>
      <c r="CF155" s="1253">
        <f t="shared" si="73"/>
        <v>48760</v>
      </c>
      <c r="CG155" s="1253">
        <f t="shared" si="73"/>
        <v>48791</v>
      </c>
      <c r="CH155" s="1253">
        <f t="shared" si="73"/>
        <v>48822</v>
      </c>
      <c r="CI155" s="1253">
        <f t="shared" si="73"/>
        <v>48852</v>
      </c>
      <c r="CJ155" s="1253">
        <f t="shared" si="73"/>
        <v>48883</v>
      </c>
      <c r="CK155" s="1253">
        <f t="shared" si="73"/>
        <v>48913</v>
      </c>
      <c r="CL155" s="1253">
        <f t="shared" si="73"/>
        <v>48944</v>
      </c>
      <c r="CM155" s="1253">
        <f t="shared" si="73"/>
        <v>48975</v>
      </c>
      <c r="CN155" s="1253">
        <f t="shared" si="73"/>
        <v>49003</v>
      </c>
      <c r="CO155" s="1253">
        <f t="shared" si="73"/>
        <v>49034</v>
      </c>
      <c r="CP155" s="1253">
        <f t="shared" si="73"/>
        <v>49064</v>
      </c>
      <c r="CQ155" s="1253">
        <f t="shared" si="73"/>
        <v>49095</v>
      </c>
      <c r="CR155" s="1253">
        <f t="shared" si="73"/>
        <v>49125</v>
      </c>
      <c r="CS155" s="1253">
        <f t="shared" si="73"/>
        <v>49156</v>
      </c>
      <c r="CT155" s="1253">
        <f t="shared" si="73"/>
        <v>49187</v>
      </c>
      <c r="CU155" s="1253">
        <f t="shared" si="73"/>
        <v>49217</v>
      </c>
      <c r="CV155" s="1253">
        <f t="shared" si="73"/>
        <v>49248</v>
      </c>
      <c r="CW155" s="1253">
        <f t="shared" si="73"/>
        <v>49278</v>
      </c>
      <c r="CX155" s="1253">
        <f t="shared" si="73"/>
        <v>49309</v>
      </c>
      <c r="CY155" s="1253">
        <f t="shared" si="73"/>
        <v>49340</v>
      </c>
      <c r="CZ155" s="1253">
        <f t="shared" si="73"/>
        <v>49368</v>
      </c>
      <c r="DA155" s="1253">
        <f t="shared" si="73"/>
        <v>49399</v>
      </c>
      <c r="DB155" s="1253">
        <f t="shared" si="73"/>
        <v>49429</v>
      </c>
      <c r="DC155" s="1253">
        <f t="shared" si="73"/>
        <v>49460</v>
      </c>
      <c r="DD155" s="1253">
        <f t="shared" si="73"/>
        <v>49490</v>
      </c>
      <c r="DE155" s="1253">
        <f t="shared" si="73"/>
        <v>49521</v>
      </c>
      <c r="DF155" s="1253">
        <f t="shared" si="73"/>
        <v>49552</v>
      </c>
      <c r="DG155" s="1253">
        <f t="shared" si="73"/>
        <v>49582</v>
      </c>
      <c r="DH155" s="1253">
        <f t="shared" si="73"/>
        <v>49613</v>
      </c>
      <c r="DI155" s="1253">
        <f t="shared" si="73"/>
        <v>49643</v>
      </c>
      <c r="DJ155" s="1253">
        <f t="shared" si="73"/>
        <v>49674</v>
      </c>
      <c r="DK155" s="1253">
        <f t="shared" si="73"/>
        <v>49705</v>
      </c>
      <c r="DL155" s="1253">
        <f t="shared" si="73"/>
        <v>49734</v>
      </c>
      <c r="DM155" s="1253">
        <f t="shared" si="73"/>
        <v>49765</v>
      </c>
      <c r="DN155" s="1253">
        <f t="shared" si="73"/>
        <v>49795</v>
      </c>
      <c r="DO155" s="1253">
        <f t="shared" si="73"/>
        <v>49826</v>
      </c>
      <c r="DP155" s="1253">
        <f t="shared" si="73"/>
        <v>49856</v>
      </c>
      <c r="DQ155" s="1253">
        <f t="shared" si="73"/>
        <v>49887</v>
      </c>
      <c r="DR155" s="1253">
        <f t="shared" si="73"/>
        <v>49918</v>
      </c>
      <c r="DS155" s="1253">
        <f t="shared" si="73"/>
        <v>49948</v>
      </c>
      <c r="DT155" s="1253">
        <f t="shared" si="73"/>
        <v>49979</v>
      </c>
      <c r="DU155" s="1253">
        <f t="shared" si="73"/>
        <v>50009</v>
      </c>
      <c r="DV155" s="1253">
        <f t="shared" si="73"/>
        <v>50040</v>
      </c>
      <c r="DW155" s="6"/>
      <c r="DX155" s="6"/>
      <c r="DY155" s="6"/>
      <c r="DZ155" s="6"/>
    </row>
    <row r="156" spans="1:130" ht="12.75" customHeight="1" outlineLevel="1" x14ac:dyDescent="0.25">
      <c r="A156" s="6"/>
      <c r="B156" s="7" t="str">
        <f t="shared" ref="B156:B158" si="74">B23</f>
        <v>Sponsor Asset Mgmt Fee (Monthly)</v>
      </c>
      <c r="C156" s="6"/>
      <c r="D156" s="51">
        <f t="shared" ref="D156:E156" si="75">C23</f>
        <v>0</v>
      </c>
      <c r="E156" s="1223">
        <f t="shared" si="75"/>
        <v>0</v>
      </c>
      <c r="F156" s="350">
        <f>IF(Construction_Module_On?,0,D24*C24)</f>
        <v>0</v>
      </c>
      <c r="G156" s="350">
        <f>IF(G159="","",$E$23+(H159="")*($C$25*$D$25)+IF(Construction_Module_On?,D24*C24))</f>
        <v>0</v>
      </c>
      <c r="H156" s="350">
        <f t="shared" ref="H156:DV156" si="76">IF(H159="","",$E$23+(I159="")*($C$25*$D$25))</f>
        <v>0</v>
      </c>
      <c r="I156" s="350">
        <f t="shared" si="76"/>
        <v>0</v>
      </c>
      <c r="J156" s="350">
        <f t="shared" si="76"/>
        <v>0</v>
      </c>
      <c r="K156" s="350">
        <f t="shared" si="76"/>
        <v>0</v>
      </c>
      <c r="L156" s="350">
        <f t="shared" si="76"/>
        <v>0</v>
      </c>
      <c r="M156" s="350">
        <f t="shared" si="76"/>
        <v>0</v>
      </c>
      <c r="N156" s="350">
        <f t="shared" si="76"/>
        <v>0</v>
      </c>
      <c r="O156" s="350">
        <f t="shared" si="76"/>
        <v>0</v>
      </c>
      <c r="P156" s="350">
        <f t="shared" si="76"/>
        <v>0</v>
      </c>
      <c r="Q156" s="350">
        <f t="shared" si="76"/>
        <v>0</v>
      </c>
      <c r="R156" s="350">
        <f t="shared" si="76"/>
        <v>0</v>
      </c>
      <c r="S156" s="350">
        <f t="shared" si="76"/>
        <v>0</v>
      </c>
      <c r="T156" s="350">
        <f t="shared" si="76"/>
        <v>0</v>
      </c>
      <c r="U156" s="350">
        <f t="shared" si="76"/>
        <v>0</v>
      </c>
      <c r="V156" s="350">
        <f t="shared" si="76"/>
        <v>0</v>
      </c>
      <c r="W156" s="350">
        <f t="shared" si="76"/>
        <v>0</v>
      </c>
      <c r="X156" s="350">
        <f t="shared" si="76"/>
        <v>0</v>
      </c>
      <c r="Y156" s="350">
        <f t="shared" si="76"/>
        <v>0</v>
      </c>
      <c r="Z156" s="350">
        <f t="shared" si="76"/>
        <v>0</v>
      </c>
      <c r="AA156" s="350">
        <f t="shared" si="76"/>
        <v>0</v>
      </c>
      <c r="AB156" s="350">
        <f t="shared" si="76"/>
        <v>0</v>
      </c>
      <c r="AC156" s="350">
        <f t="shared" si="76"/>
        <v>0</v>
      </c>
      <c r="AD156" s="350">
        <f t="shared" si="76"/>
        <v>0</v>
      </c>
      <c r="AE156" s="350">
        <f t="shared" si="76"/>
        <v>0</v>
      </c>
      <c r="AF156" s="350">
        <f t="shared" si="76"/>
        <v>0</v>
      </c>
      <c r="AG156" s="350">
        <f t="shared" si="76"/>
        <v>0</v>
      </c>
      <c r="AH156" s="350">
        <f t="shared" si="76"/>
        <v>0</v>
      </c>
      <c r="AI156" s="350">
        <f t="shared" si="76"/>
        <v>0</v>
      </c>
      <c r="AJ156" s="350">
        <f t="shared" si="76"/>
        <v>0</v>
      </c>
      <c r="AK156" s="350">
        <f t="shared" si="76"/>
        <v>0</v>
      </c>
      <c r="AL156" s="350">
        <f t="shared" si="76"/>
        <v>0</v>
      </c>
      <c r="AM156" s="350">
        <f t="shared" si="76"/>
        <v>0</v>
      </c>
      <c r="AN156" s="350">
        <f t="shared" si="76"/>
        <v>0</v>
      </c>
      <c r="AO156" s="350">
        <f t="shared" si="76"/>
        <v>0</v>
      </c>
      <c r="AP156" s="350">
        <f t="shared" si="76"/>
        <v>0</v>
      </c>
      <c r="AQ156" s="350">
        <f t="shared" si="76"/>
        <v>0</v>
      </c>
      <c r="AR156" s="350">
        <f t="shared" si="76"/>
        <v>0</v>
      </c>
      <c r="AS156" s="350">
        <f t="shared" si="76"/>
        <v>0</v>
      </c>
      <c r="AT156" s="350">
        <f t="shared" si="76"/>
        <v>0</v>
      </c>
      <c r="AU156" s="350">
        <f t="shared" si="76"/>
        <v>0</v>
      </c>
      <c r="AV156" s="350">
        <f t="shared" si="76"/>
        <v>0</v>
      </c>
      <c r="AW156" s="350">
        <f t="shared" si="76"/>
        <v>0</v>
      </c>
      <c r="AX156" s="350">
        <f t="shared" si="76"/>
        <v>0</v>
      </c>
      <c r="AY156" s="350">
        <f t="shared" si="76"/>
        <v>0</v>
      </c>
      <c r="AZ156" s="350">
        <f t="shared" si="76"/>
        <v>0</v>
      </c>
      <c r="BA156" s="350">
        <f t="shared" si="76"/>
        <v>0</v>
      </c>
      <c r="BB156" s="350">
        <f t="shared" si="76"/>
        <v>0</v>
      </c>
      <c r="BC156" s="350">
        <f t="shared" si="76"/>
        <v>0</v>
      </c>
      <c r="BD156" s="350">
        <f t="shared" si="76"/>
        <v>0</v>
      </c>
      <c r="BE156" s="350">
        <f t="shared" si="76"/>
        <v>0</v>
      </c>
      <c r="BF156" s="350">
        <f t="shared" si="76"/>
        <v>0</v>
      </c>
      <c r="BG156" s="350">
        <f t="shared" si="76"/>
        <v>0</v>
      </c>
      <c r="BH156" s="350">
        <f t="shared" si="76"/>
        <v>0</v>
      </c>
      <c r="BI156" s="350">
        <f t="shared" si="76"/>
        <v>0</v>
      </c>
      <c r="BJ156" s="350">
        <f t="shared" si="76"/>
        <v>0</v>
      </c>
      <c r="BK156" s="350">
        <f t="shared" si="76"/>
        <v>0</v>
      </c>
      <c r="BL156" s="350">
        <f t="shared" si="76"/>
        <v>0</v>
      </c>
      <c r="BM156" s="350">
        <f t="shared" si="76"/>
        <v>0</v>
      </c>
      <c r="BN156" s="350">
        <f t="shared" si="76"/>
        <v>0</v>
      </c>
      <c r="BO156" s="350">
        <f t="shared" si="76"/>
        <v>0</v>
      </c>
      <c r="BP156" s="350">
        <f t="shared" si="76"/>
        <v>0</v>
      </c>
      <c r="BQ156" s="350">
        <f t="shared" si="76"/>
        <v>0</v>
      </c>
      <c r="BR156" s="350">
        <f t="shared" si="76"/>
        <v>0</v>
      </c>
      <c r="BS156" s="350">
        <f t="shared" si="76"/>
        <v>0</v>
      </c>
      <c r="BT156" s="350">
        <f t="shared" si="76"/>
        <v>0</v>
      </c>
      <c r="BU156" s="350">
        <f t="shared" si="76"/>
        <v>0</v>
      </c>
      <c r="BV156" s="350">
        <f t="shared" si="76"/>
        <v>0</v>
      </c>
      <c r="BW156" s="350">
        <f t="shared" si="76"/>
        <v>0</v>
      </c>
      <c r="BX156" s="350">
        <f t="shared" si="76"/>
        <v>0</v>
      </c>
      <c r="BY156" s="350">
        <f t="shared" si="76"/>
        <v>0</v>
      </c>
      <c r="BZ156" s="350">
        <f t="shared" si="76"/>
        <v>0</v>
      </c>
      <c r="CA156" s="350">
        <f t="shared" si="76"/>
        <v>0</v>
      </c>
      <c r="CB156" s="350">
        <f t="shared" si="76"/>
        <v>0</v>
      </c>
      <c r="CC156" s="350">
        <f t="shared" si="76"/>
        <v>0</v>
      </c>
      <c r="CD156" s="350">
        <f t="shared" si="76"/>
        <v>0</v>
      </c>
      <c r="CE156" s="350">
        <f t="shared" si="76"/>
        <v>0</v>
      </c>
      <c r="CF156" s="350">
        <f t="shared" si="76"/>
        <v>0</v>
      </c>
      <c r="CG156" s="350">
        <f t="shared" si="76"/>
        <v>0</v>
      </c>
      <c r="CH156" s="350">
        <f t="shared" si="76"/>
        <v>0</v>
      </c>
      <c r="CI156" s="350">
        <f t="shared" si="76"/>
        <v>0</v>
      </c>
      <c r="CJ156" s="350">
        <f t="shared" si="76"/>
        <v>0</v>
      </c>
      <c r="CK156" s="350">
        <f t="shared" si="76"/>
        <v>0</v>
      </c>
      <c r="CL156" s="350">
        <f t="shared" si="76"/>
        <v>0</v>
      </c>
      <c r="CM156" s="350">
        <f t="shared" si="76"/>
        <v>0</v>
      </c>
      <c r="CN156" s="350">
        <f t="shared" si="76"/>
        <v>0</v>
      </c>
      <c r="CO156" s="350">
        <f t="shared" si="76"/>
        <v>0</v>
      </c>
      <c r="CP156" s="350">
        <f t="shared" si="76"/>
        <v>0</v>
      </c>
      <c r="CQ156" s="350">
        <f t="shared" si="76"/>
        <v>0</v>
      </c>
      <c r="CR156" s="350">
        <f t="shared" si="76"/>
        <v>0</v>
      </c>
      <c r="CS156" s="350">
        <f t="shared" si="76"/>
        <v>0</v>
      </c>
      <c r="CT156" s="350">
        <f t="shared" si="76"/>
        <v>0</v>
      </c>
      <c r="CU156" s="350">
        <f t="shared" si="76"/>
        <v>0</v>
      </c>
      <c r="CV156" s="350">
        <f t="shared" si="76"/>
        <v>0</v>
      </c>
      <c r="CW156" s="350">
        <f t="shared" si="76"/>
        <v>0</v>
      </c>
      <c r="CX156" s="350">
        <f t="shared" si="76"/>
        <v>0</v>
      </c>
      <c r="CY156" s="350">
        <f t="shared" si="76"/>
        <v>0</v>
      </c>
      <c r="CZ156" s="350">
        <f t="shared" si="76"/>
        <v>0</v>
      </c>
      <c r="DA156" s="350">
        <f t="shared" si="76"/>
        <v>0</v>
      </c>
      <c r="DB156" s="350">
        <f t="shared" si="76"/>
        <v>0</v>
      </c>
      <c r="DC156" s="350">
        <f t="shared" si="76"/>
        <v>0</v>
      </c>
      <c r="DD156" s="350">
        <f t="shared" si="76"/>
        <v>0</v>
      </c>
      <c r="DE156" s="350">
        <f t="shared" si="76"/>
        <v>0</v>
      </c>
      <c r="DF156" s="350">
        <f t="shared" si="76"/>
        <v>0</v>
      </c>
      <c r="DG156" s="350">
        <f t="shared" si="76"/>
        <v>0</v>
      </c>
      <c r="DH156" s="350">
        <f t="shared" si="76"/>
        <v>0</v>
      </c>
      <c r="DI156" s="350">
        <f t="shared" si="76"/>
        <v>0</v>
      </c>
      <c r="DJ156" s="350">
        <f t="shared" si="76"/>
        <v>0</v>
      </c>
      <c r="DK156" s="350">
        <f t="shared" si="76"/>
        <v>0</v>
      </c>
      <c r="DL156" s="350">
        <f t="shared" si="76"/>
        <v>0</v>
      </c>
      <c r="DM156" s="350">
        <f t="shared" si="76"/>
        <v>0</v>
      </c>
      <c r="DN156" s="350">
        <f t="shared" si="76"/>
        <v>0</v>
      </c>
      <c r="DO156" s="350">
        <f t="shared" si="76"/>
        <v>0</v>
      </c>
      <c r="DP156" s="350">
        <f t="shared" si="76"/>
        <v>0</v>
      </c>
      <c r="DQ156" s="350">
        <f t="shared" si="76"/>
        <v>0</v>
      </c>
      <c r="DR156" s="350">
        <f t="shared" si="76"/>
        <v>0</v>
      </c>
      <c r="DS156" s="350">
        <f t="shared" si="76"/>
        <v>0</v>
      </c>
      <c r="DT156" s="350">
        <f t="shared" si="76"/>
        <v>0</v>
      </c>
      <c r="DU156" s="350">
        <f t="shared" si="76"/>
        <v>0</v>
      </c>
      <c r="DV156" s="350">
        <f t="shared" si="76"/>
        <v>0</v>
      </c>
      <c r="DW156" s="6"/>
      <c r="DX156" s="6"/>
      <c r="DY156" s="6"/>
      <c r="DZ156" s="6"/>
    </row>
    <row r="157" spans="1:130" ht="12.75" customHeight="1" outlineLevel="1" x14ac:dyDescent="0.25">
      <c r="A157" s="6"/>
      <c r="B157" s="7" t="str">
        <f t="shared" si="74"/>
        <v>Sponsor Acquisition Fee</v>
      </c>
      <c r="C157" s="6"/>
      <c r="D157" s="51">
        <f t="shared" ref="D157:E157" si="77">C24</f>
        <v>0</v>
      </c>
      <c r="E157" s="1223">
        <f t="shared" si="77"/>
        <v>0</v>
      </c>
      <c r="F157" s="1254"/>
      <c r="G157" s="1254"/>
      <c r="H157" s="1254"/>
      <c r="I157" s="1254"/>
      <c r="J157" s="1254"/>
      <c r="K157" s="1254"/>
      <c r="L157" s="1254"/>
      <c r="M157" s="1254"/>
      <c r="N157" s="1254"/>
      <c r="O157" s="1254"/>
      <c r="P157" s="1254"/>
      <c r="Q157" s="1254"/>
      <c r="R157" s="1254"/>
      <c r="S157" s="1254"/>
      <c r="T157" s="1254"/>
      <c r="U157" s="1254"/>
      <c r="V157" s="1254"/>
      <c r="W157" s="1254"/>
      <c r="X157" s="1254"/>
      <c r="Y157" s="1254"/>
      <c r="Z157" s="1254"/>
      <c r="AA157" s="1254"/>
      <c r="AB157" s="1254"/>
      <c r="AC157" s="1254"/>
      <c r="AD157" s="1254"/>
      <c r="AE157" s="1254"/>
      <c r="AF157" s="1254"/>
      <c r="AG157" s="1254"/>
      <c r="AH157" s="1254"/>
      <c r="AI157" s="1254"/>
      <c r="AJ157" s="1254"/>
      <c r="AK157" s="1254"/>
      <c r="AL157" s="1254"/>
      <c r="AM157" s="1254"/>
      <c r="AN157" s="1254"/>
      <c r="AO157" s="1254"/>
      <c r="AP157" s="1254"/>
      <c r="AQ157" s="1254"/>
      <c r="AR157" s="1254"/>
      <c r="AS157" s="1254"/>
      <c r="AT157" s="1254"/>
      <c r="AU157" s="1254"/>
      <c r="AV157" s="1254"/>
      <c r="AW157" s="1254"/>
      <c r="AX157" s="1254"/>
      <c r="AY157" s="1254"/>
      <c r="AZ157" s="1254"/>
      <c r="BA157" s="1254"/>
      <c r="BB157" s="1254"/>
      <c r="BC157" s="1254"/>
      <c r="BD157" s="1254"/>
      <c r="BE157" s="1254"/>
      <c r="BF157" s="1254"/>
      <c r="BG157" s="1254"/>
      <c r="BH157" s="1254"/>
      <c r="BI157" s="1254"/>
      <c r="BJ157" s="1254"/>
      <c r="BK157" s="1254"/>
      <c r="BL157" s="1254"/>
      <c r="BM157" s="1254"/>
      <c r="BN157" s="1254"/>
      <c r="BO157" s="1254"/>
      <c r="BP157" s="1254"/>
      <c r="BQ157" s="1254"/>
      <c r="BR157" s="1254"/>
      <c r="BS157" s="1254"/>
      <c r="BT157" s="1254"/>
      <c r="BU157" s="1254"/>
      <c r="BV157" s="1254"/>
      <c r="BW157" s="1254"/>
      <c r="BX157" s="1254"/>
      <c r="BY157" s="1254"/>
      <c r="BZ157" s="1254"/>
      <c r="CA157" s="1254"/>
      <c r="CB157" s="1254"/>
      <c r="CC157" s="1254"/>
      <c r="CD157" s="1254"/>
      <c r="CE157" s="1254"/>
      <c r="CF157" s="1254"/>
      <c r="CG157" s="1254"/>
      <c r="CH157" s="1254"/>
      <c r="CI157" s="1254"/>
      <c r="CJ157" s="1254"/>
      <c r="CK157" s="1254"/>
      <c r="CL157" s="1254"/>
      <c r="CM157" s="1254"/>
      <c r="CN157" s="1254"/>
      <c r="CO157" s="1254"/>
      <c r="CP157" s="1254"/>
      <c r="CQ157" s="1254"/>
      <c r="CR157" s="1254"/>
      <c r="CS157" s="1254"/>
      <c r="CT157" s="1254"/>
      <c r="CU157" s="1254"/>
      <c r="CV157" s="1254"/>
      <c r="CW157" s="1254"/>
      <c r="CX157" s="1254"/>
      <c r="CY157" s="1254"/>
      <c r="CZ157" s="1254"/>
      <c r="DA157" s="1254"/>
      <c r="DB157" s="1254"/>
      <c r="DC157" s="1254"/>
      <c r="DD157" s="1254"/>
      <c r="DE157" s="1254"/>
      <c r="DF157" s="1254"/>
      <c r="DG157" s="1254"/>
      <c r="DH157" s="1254"/>
      <c r="DI157" s="1254"/>
      <c r="DJ157" s="1254"/>
      <c r="DK157" s="1254"/>
      <c r="DL157" s="1254"/>
      <c r="DM157" s="1254"/>
      <c r="DN157" s="1254"/>
      <c r="DO157" s="1254"/>
      <c r="DP157" s="1254"/>
      <c r="DQ157" s="1254"/>
      <c r="DR157" s="1254"/>
      <c r="DS157" s="1254"/>
      <c r="DT157" s="1254"/>
      <c r="DU157" s="1254"/>
      <c r="DV157" s="1254"/>
      <c r="DW157" s="6"/>
      <c r="DX157" s="6"/>
      <c r="DY157" s="6"/>
      <c r="DZ157" s="6"/>
    </row>
    <row r="158" spans="1:130" ht="12.75" customHeight="1" outlineLevel="1" x14ac:dyDescent="0.25">
      <c r="A158" s="6"/>
      <c r="B158" s="7" t="str">
        <f t="shared" si="74"/>
        <v>Sponsor Disposition Fee</v>
      </c>
      <c r="C158" s="6"/>
      <c r="D158" s="51">
        <f t="shared" ref="D158:E158" si="78">C25</f>
        <v>0</v>
      </c>
      <c r="E158" s="1223">
        <f t="shared" si="78"/>
        <v>0</v>
      </c>
      <c r="F158" s="1254"/>
      <c r="G158" s="1254"/>
      <c r="H158" s="1254"/>
      <c r="I158" s="1254"/>
      <c r="J158" s="1254"/>
      <c r="K158" s="1254"/>
      <c r="L158" s="1254"/>
      <c r="M158" s="1254"/>
      <c r="N158" s="1254"/>
      <c r="O158" s="1254"/>
      <c r="P158" s="1254"/>
      <c r="Q158" s="1254"/>
      <c r="R158" s="1254"/>
      <c r="S158" s="1254"/>
      <c r="T158" s="1254"/>
      <c r="U158" s="1254"/>
      <c r="V158" s="1254"/>
      <c r="W158" s="1254"/>
      <c r="X158" s="1254"/>
      <c r="Y158" s="1254"/>
      <c r="Z158" s="1254"/>
      <c r="AA158" s="1254"/>
      <c r="AB158" s="1254"/>
      <c r="AC158" s="1254"/>
      <c r="AD158" s="1254"/>
      <c r="AE158" s="1254"/>
      <c r="AF158" s="1254"/>
      <c r="AG158" s="1254"/>
      <c r="AH158" s="1254"/>
      <c r="AI158" s="1254"/>
      <c r="AJ158" s="1254"/>
      <c r="AK158" s="1254"/>
      <c r="AL158" s="1254"/>
      <c r="AM158" s="1254"/>
      <c r="AN158" s="1254"/>
      <c r="AO158" s="1254"/>
      <c r="AP158" s="1254"/>
      <c r="AQ158" s="1254"/>
      <c r="AR158" s="1254"/>
      <c r="AS158" s="1254"/>
      <c r="AT158" s="1254"/>
      <c r="AU158" s="1254"/>
      <c r="AV158" s="1254"/>
      <c r="AW158" s="1254"/>
      <c r="AX158" s="1254"/>
      <c r="AY158" s="1254"/>
      <c r="AZ158" s="1254"/>
      <c r="BA158" s="1254"/>
      <c r="BB158" s="1254"/>
      <c r="BC158" s="1254"/>
      <c r="BD158" s="1254"/>
      <c r="BE158" s="1254"/>
      <c r="BF158" s="1254"/>
      <c r="BG158" s="1254"/>
      <c r="BH158" s="1254"/>
      <c r="BI158" s="1254"/>
      <c r="BJ158" s="1254"/>
      <c r="BK158" s="1254"/>
      <c r="BL158" s="1254"/>
      <c r="BM158" s="1254"/>
      <c r="BN158" s="1254"/>
      <c r="BO158" s="1254"/>
      <c r="BP158" s="1254"/>
      <c r="BQ158" s="1254"/>
      <c r="BR158" s="1254"/>
      <c r="BS158" s="1254"/>
      <c r="BT158" s="1254"/>
      <c r="BU158" s="1254"/>
      <c r="BV158" s="1254"/>
      <c r="BW158" s="1254"/>
      <c r="BX158" s="1254"/>
      <c r="BY158" s="1254"/>
      <c r="BZ158" s="1254"/>
      <c r="CA158" s="1254"/>
      <c r="CB158" s="1254"/>
      <c r="CC158" s="1254"/>
      <c r="CD158" s="1254"/>
      <c r="CE158" s="1254"/>
      <c r="CF158" s="1254"/>
      <c r="CG158" s="1254"/>
      <c r="CH158" s="1254"/>
      <c r="CI158" s="1254"/>
      <c r="CJ158" s="1254"/>
      <c r="CK158" s="1254"/>
      <c r="CL158" s="1254"/>
      <c r="CM158" s="1254"/>
      <c r="CN158" s="1254"/>
      <c r="CO158" s="1254"/>
      <c r="CP158" s="1254"/>
      <c r="CQ158" s="1254"/>
      <c r="CR158" s="1254"/>
      <c r="CS158" s="1254"/>
      <c r="CT158" s="1254"/>
      <c r="CU158" s="1254"/>
      <c r="CV158" s="1254"/>
      <c r="CW158" s="1254"/>
      <c r="CX158" s="1254"/>
      <c r="CY158" s="1254"/>
      <c r="CZ158" s="1254"/>
      <c r="DA158" s="1254"/>
      <c r="DB158" s="1254"/>
      <c r="DC158" s="1254"/>
      <c r="DD158" s="1254"/>
      <c r="DE158" s="1254"/>
      <c r="DF158" s="1254"/>
      <c r="DG158" s="1254"/>
      <c r="DH158" s="1254"/>
      <c r="DI158" s="1254"/>
      <c r="DJ158" s="1254"/>
      <c r="DK158" s="1254"/>
      <c r="DL158" s="1254"/>
      <c r="DM158" s="1254"/>
      <c r="DN158" s="1254"/>
      <c r="DO158" s="1254"/>
      <c r="DP158" s="1254"/>
      <c r="DQ158" s="1254"/>
      <c r="DR158" s="1254"/>
      <c r="DS158" s="1254"/>
      <c r="DT158" s="1254"/>
      <c r="DU158" s="1254"/>
      <c r="DV158" s="1254"/>
      <c r="DW158" s="6"/>
      <c r="DX158" s="6"/>
      <c r="DY158" s="6"/>
      <c r="DZ158" s="6"/>
    </row>
    <row r="159" spans="1:130" ht="12.75" customHeight="1" outlineLevel="1" x14ac:dyDescent="0.25">
      <c r="A159" s="6"/>
      <c r="B159" s="7" t="s">
        <v>456</v>
      </c>
      <c r="C159" s="6"/>
      <c r="D159" s="6"/>
      <c r="E159" s="12"/>
      <c r="F159" s="352">
        <f>'Monthly DCF'!H130</f>
        <v>-3753556</v>
      </c>
      <c r="G159" s="352">
        <f>'Monthly DCF'!I130</f>
        <v>-976611</v>
      </c>
      <c r="H159" s="352">
        <f>'Monthly DCF'!J130</f>
        <v>-988974</v>
      </c>
      <c r="I159" s="352">
        <f>'Monthly DCF'!K130</f>
        <v>-1000419</v>
      </c>
      <c r="J159" s="352">
        <f>'Monthly DCF'!L130</f>
        <v>-1010891</v>
      </c>
      <c r="K159" s="352">
        <f>'Monthly DCF'!M130</f>
        <v>-1020338</v>
      </c>
      <c r="L159" s="352">
        <f>'Monthly DCF'!N130</f>
        <v>-1028712</v>
      </c>
      <c r="M159" s="352">
        <f>'Monthly DCF'!O130</f>
        <v>-312871</v>
      </c>
      <c r="N159" s="352">
        <f>'Monthly DCF'!P130</f>
        <v>0</v>
      </c>
      <c r="O159" s="352">
        <f>'Monthly DCF'!Q130</f>
        <v>0</v>
      </c>
      <c r="P159" s="352">
        <f>'Monthly DCF'!R130</f>
        <v>0</v>
      </c>
      <c r="Q159" s="352">
        <f>'Monthly DCF'!S130</f>
        <v>0</v>
      </c>
      <c r="R159" s="352">
        <f>'Monthly DCF'!T130</f>
        <v>0</v>
      </c>
      <c r="S159" s="352">
        <f>'Monthly DCF'!U130</f>
        <v>0</v>
      </c>
      <c r="T159" s="352">
        <f>'Monthly DCF'!V130</f>
        <v>0</v>
      </c>
      <c r="U159" s="352">
        <f>'Monthly DCF'!W130</f>
        <v>0</v>
      </c>
      <c r="V159" s="352">
        <f>'Monthly DCF'!X130</f>
        <v>0</v>
      </c>
      <c r="W159" s="352">
        <f>'Monthly DCF'!Y130</f>
        <v>0</v>
      </c>
      <c r="X159" s="352">
        <f>'Monthly DCF'!Z130</f>
        <v>0</v>
      </c>
      <c r="Y159" s="352">
        <f>'Monthly DCF'!AA130</f>
        <v>0</v>
      </c>
      <c r="Z159" s="352">
        <f>'Monthly DCF'!AB130</f>
        <v>0</v>
      </c>
      <c r="AA159" s="352">
        <f>'Monthly DCF'!AC130</f>
        <v>0</v>
      </c>
      <c r="AB159" s="352">
        <f>'Monthly DCF'!AD130</f>
        <v>0</v>
      </c>
      <c r="AC159" s="352">
        <f>'Monthly DCF'!AE130</f>
        <v>0</v>
      </c>
      <c r="AD159" s="352">
        <f>'Monthly DCF'!AF130</f>
        <v>0</v>
      </c>
      <c r="AE159" s="352">
        <f>'Monthly DCF'!AG130</f>
        <v>0</v>
      </c>
      <c r="AF159" s="352">
        <f>'Monthly DCF'!AH130</f>
        <v>0</v>
      </c>
      <c r="AG159" s="352">
        <f>'Monthly DCF'!AI130</f>
        <v>0</v>
      </c>
      <c r="AH159" s="352">
        <f>'Monthly DCF'!AJ130</f>
        <v>0</v>
      </c>
      <c r="AI159" s="352">
        <f>'Monthly DCF'!AK130</f>
        <v>0</v>
      </c>
      <c r="AJ159" s="352">
        <f>'Monthly DCF'!AL130</f>
        <v>0</v>
      </c>
      <c r="AK159" s="352">
        <f>'Monthly DCF'!AM130</f>
        <v>9000</v>
      </c>
      <c r="AL159" s="352">
        <f>'Monthly DCF'!AN130</f>
        <v>23457</v>
      </c>
      <c r="AM159" s="352">
        <f>'Monthly DCF'!AO130</f>
        <v>37620</v>
      </c>
      <c r="AN159" s="352">
        <f>'Monthly DCF'!AP130</f>
        <v>52077</v>
      </c>
      <c r="AO159" s="352">
        <f>'Monthly DCF'!AQ130</f>
        <v>43970</v>
      </c>
      <c r="AP159" s="352">
        <f>'Monthly DCF'!AR130</f>
        <v>43970</v>
      </c>
      <c r="AQ159" s="352">
        <f>'Monthly DCF'!AS130</f>
        <v>48376</v>
      </c>
      <c r="AR159" s="352">
        <f>'Monthly DCF'!AT130</f>
        <v>48376</v>
      </c>
      <c r="AS159" s="352">
        <f>'Monthly DCF'!AU130</f>
        <v>48376</v>
      </c>
      <c r="AT159" s="352">
        <f>'Monthly DCF'!AV130</f>
        <v>48376</v>
      </c>
      <c r="AU159" s="352">
        <f>'Monthly DCF'!AW130</f>
        <v>48376</v>
      </c>
      <c r="AV159" s="352">
        <f>'Monthly DCF'!AX130</f>
        <v>48376</v>
      </c>
      <c r="AW159" s="352">
        <f>'Monthly DCF'!AY130</f>
        <v>48376</v>
      </c>
      <c r="AX159" s="352">
        <f>'Monthly DCF'!AZ130</f>
        <v>48376</v>
      </c>
      <c r="AY159" s="352">
        <f>'Monthly DCF'!BA130</f>
        <v>48376</v>
      </c>
      <c r="AZ159" s="352">
        <f>'Monthly DCF'!BB130</f>
        <v>48376</v>
      </c>
      <c r="BA159" s="352">
        <f>'Monthly DCF'!BC130</f>
        <v>48376</v>
      </c>
      <c r="BB159" s="352">
        <f>'Monthly DCF'!BD130</f>
        <v>48376</v>
      </c>
      <c r="BC159" s="352">
        <f>'Monthly DCF'!BE130</f>
        <v>52913</v>
      </c>
      <c r="BD159" s="352">
        <f>'Monthly DCF'!BF130</f>
        <v>52913</v>
      </c>
      <c r="BE159" s="352">
        <f>'Monthly DCF'!BG130</f>
        <v>52913</v>
      </c>
      <c r="BF159" s="352">
        <f>'Monthly DCF'!BH130</f>
        <v>52913</v>
      </c>
      <c r="BG159" s="352">
        <f>'Monthly DCF'!BI130</f>
        <v>52913</v>
      </c>
      <c r="BH159" s="352">
        <f>'Monthly DCF'!BJ130</f>
        <v>52913</v>
      </c>
      <c r="BI159" s="352">
        <f>'Monthly DCF'!BK130</f>
        <v>52913</v>
      </c>
      <c r="BJ159" s="352">
        <f>'Monthly DCF'!BL130</f>
        <v>52913</v>
      </c>
      <c r="BK159" s="352">
        <f>'Monthly DCF'!BM130</f>
        <v>52913</v>
      </c>
      <c r="BL159" s="352">
        <f>'Monthly DCF'!BN130</f>
        <v>52913</v>
      </c>
      <c r="BM159" s="352">
        <f>'Monthly DCF'!BO130</f>
        <v>52913</v>
      </c>
      <c r="BN159" s="352">
        <f>'Monthly DCF'!BP130</f>
        <v>18580775</v>
      </c>
      <c r="BO159" s="352">
        <f>'Monthly DCF'!BQ130</f>
        <v>0</v>
      </c>
      <c r="BP159" s="352">
        <f>'Monthly DCF'!BR130</f>
        <v>0</v>
      </c>
      <c r="BQ159" s="352">
        <f>'Monthly DCF'!BS130</f>
        <v>0</v>
      </c>
      <c r="BR159" s="352">
        <f>'Monthly DCF'!BT130</f>
        <v>0</v>
      </c>
      <c r="BS159" s="352">
        <f>'Monthly DCF'!BU130</f>
        <v>0</v>
      </c>
      <c r="BT159" s="352">
        <f>'Monthly DCF'!BV130</f>
        <v>0</v>
      </c>
      <c r="BU159" s="352">
        <f>'Monthly DCF'!BW130</f>
        <v>0</v>
      </c>
      <c r="BV159" s="352">
        <f>'Monthly DCF'!BX130</f>
        <v>0</v>
      </c>
      <c r="BW159" s="352">
        <f>'Monthly DCF'!BY130</f>
        <v>0</v>
      </c>
      <c r="BX159" s="352">
        <f>'Monthly DCF'!BZ130</f>
        <v>0</v>
      </c>
      <c r="BY159" s="352">
        <f>'Monthly DCF'!CA130</f>
        <v>0</v>
      </c>
      <c r="BZ159" s="352">
        <f>'Monthly DCF'!CB130</f>
        <v>0</v>
      </c>
      <c r="CA159" s="352">
        <f>'Monthly DCF'!CC130</f>
        <v>0</v>
      </c>
      <c r="CB159" s="352">
        <f>'Monthly DCF'!CD130</f>
        <v>0</v>
      </c>
      <c r="CC159" s="352">
        <f>'Monthly DCF'!CE130</f>
        <v>0</v>
      </c>
      <c r="CD159" s="352">
        <f>'Monthly DCF'!CF130</f>
        <v>0</v>
      </c>
      <c r="CE159" s="352">
        <f>'Monthly DCF'!CG130</f>
        <v>0</v>
      </c>
      <c r="CF159" s="352">
        <f>'Monthly DCF'!CH130</f>
        <v>0</v>
      </c>
      <c r="CG159" s="352">
        <f>'Monthly DCF'!CI130</f>
        <v>0</v>
      </c>
      <c r="CH159" s="352">
        <f>'Monthly DCF'!CJ130</f>
        <v>0</v>
      </c>
      <c r="CI159" s="352">
        <f>'Monthly DCF'!CK130</f>
        <v>0</v>
      </c>
      <c r="CJ159" s="352">
        <f>'Monthly DCF'!CL130</f>
        <v>0</v>
      </c>
      <c r="CK159" s="352">
        <f>'Monthly DCF'!CM130</f>
        <v>0</v>
      </c>
      <c r="CL159" s="352">
        <f>'Monthly DCF'!CN130</f>
        <v>0</v>
      </c>
      <c r="CM159" s="352">
        <f>'Monthly DCF'!CO130</f>
        <v>0</v>
      </c>
      <c r="CN159" s="352">
        <f>'Monthly DCF'!CP130</f>
        <v>0</v>
      </c>
      <c r="CO159" s="352">
        <f>'Monthly DCF'!CQ130</f>
        <v>0</v>
      </c>
      <c r="CP159" s="352">
        <f>'Monthly DCF'!CR130</f>
        <v>0</v>
      </c>
      <c r="CQ159" s="352">
        <f>'Monthly DCF'!CS130</f>
        <v>0</v>
      </c>
      <c r="CR159" s="352">
        <f>'Monthly DCF'!CT130</f>
        <v>0</v>
      </c>
      <c r="CS159" s="352">
        <f>'Monthly DCF'!CU130</f>
        <v>0</v>
      </c>
      <c r="CT159" s="352">
        <f>'Monthly DCF'!CV130</f>
        <v>0</v>
      </c>
      <c r="CU159" s="352">
        <f>'Monthly DCF'!CW130</f>
        <v>0</v>
      </c>
      <c r="CV159" s="352">
        <f>'Monthly DCF'!CX130</f>
        <v>0</v>
      </c>
      <c r="CW159" s="352">
        <f>'Monthly DCF'!CY130</f>
        <v>0</v>
      </c>
      <c r="CX159" s="352">
        <f>'Monthly DCF'!CZ130</f>
        <v>0</v>
      </c>
      <c r="CY159" s="352">
        <f>'Monthly DCF'!DA130</f>
        <v>0</v>
      </c>
      <c r="CZ159" s="352">
        <f>'Monthly DCF'!DB130</f>
        <v>0</v>
      </c>
      <c r="DA159" s="352">
        <f>'Monthly DCF'!DC130</f>
        <v>0</v>
      </c>
      <c r="DB159" s="352">
        <f>'Monthly DCF'!DD130</f>
        <v>0</v>
      </c>
      <c r="DC159" s="352">
        <f>'Monthly DCF'!DE130</f>
        <v>0</v>
      </c>
      <c r="DD159" s="352">
        <f>'Monthly DCF'!DF130</f>
        <v>0</v>
      </c>
      <c r="DE159" s="352">
        <f>'Monthly DCF'!DG130</f>
        <v>0</v>
      </c>
      <c r="DF159" s="352">
        <f>'Monthly DCF'!DH130</f>
        <v>0</v>
      </c>
      <c r="DG159" s="352">
        <f>'Monthly DCF'!DI130</f>
        <v>0</v>
      </c>
      <c r="DH159" s="352">
        <f>'Monthly DCF'!DJ130</f>
        <v>0</v>
      </c>
      <c r="DI159" s="352">
        <f>'Monthly DCF'!DK130</f>
        <v>0</v>
      </c>
      <c r="DJ159" s="352">
        <f>'Monthly DCF'!DL130</f>
        <v>0</v>
      </c>
      <c r="DK159" s="352">
        <f>'Monthly DCF'!DM130</f>
        <v>0</v>
      </c>
      <c r="DL159" s="352">
        <f>'Monthly DCF'!DN130</f>
        <v>0</v>
      </c>
      <c r="DM159" s="352">
        <f>'Monthly DCF'!DO130</f>
        <v>0</v>
      </c>
      <c r="DN159" s="352">
        <f>'Monthly DCF'!DP130</f>
        <v>0</v>
      </c>
      <c r="DO159" s="352">
        <f>'Monthly DCF'!DQ130</f>
        <v>0</v>
      </c>
      <c r="DP159" s="352">
        <f>'Monthly DCF'!DR130</f>
        <v>0</v>
      </c>
      <c r="DQ159" s="352">
        <f>'Monthly DCF'!DS130</f>
        <v>0</v>
      </c>
      <c r="DR159" s="352">
        <f>'Monthly DCF'!DT130</f>
        <v>0</v>
      </c>
      <c r="DS159" s="352">
        <f>'Monthly DCF'!DU130</f>
        <v>0</v>
      </c>
      <c r="DT159" s="352">
        <f>'Monthly DCF'!DV130</f>
        <v>0</v>
      </c>
      <c r="DU159" s="352">
        <f>'Monthly DCF'!DW130</f>
        <v>0</v>
      </c>
      <c r="DV159" s="352">
        <f>'Monthly DCF'!DX130</f>
        <v>0</v>
      </c>
      <c r="DW159" s="6"/>
      <c r="DX159" s="6"/>
      <c r="DY159" s="6"/>
      <c r="DZ159" s="6"/>
    </row>
    <row r="160" spans="1:130" ht="12.75" customHeight="1" outlineLevel="1" x14ac:dyDescent="0.25">
      <c r="A160" s="6"/>
      <c r="B160" s="6" t="s">
        <v>430</v>
      </c>
      <c r="C160" s="6"/>
      <c r="D160" s="6"/>
      <c r="E160" s="523"/>
      <c r="F160" s="350">
        <f t="shared" ref="F160:DV160" si="79">IF(F159="","",F159-F156)</f>
        <v>-3753556</v>
      </c>
      <c r="G160" s="350">
        <f t="shared" si="79"/>
        <v>-976611</v>
      </c>
      <c r="H160" s="350">
        <f t="shared" si="79"/>
        <v>-988974</v>
      </c>
      <c r="I160" s="350">
        <f t="shared" si="79"/>
        <v>-1000419</v>
      </c>
      <c r="J160" s="350">
        <f t="shared" si="79"/>
        <v>-1010891</v>
      </c>
      <c r="K160" s="350">
        <f t="shared" si="79"/>
        <v>-1020338</v>
      </c>
      <c r="L160" s="350">
        <f t="shared" si="79"/>
        <v>-1028712</v>
      </c>
      <c r="M160" s="350">
        <f t="shared" si="79"/>
        <v>-312871</v>
      </c>
      <c r="N160" s="350">
        <f t="shared" si="79"/>
        <v>0</v>
      </c>
      <c r="O160" s="350">
        <f t="shared" si="79"/>
        <v>0</v>
      </c>
      <c r="P160" s="350">
        <f t="shared" si="79"/>
        <v>0</v>
      </c>
      <c r="Q160" s="350">
        <f t="shared" si="79"/>
        <v>0</v>
      </c>
      <c r="R160" s="350">
        <f t="shared" si="79"/>
        <v>0</v>
      </c>
      <c r="S160" s="350">
        <f t="shared" si="79"/>
        <v>0</v>
      </c>
      <c r="T160" s="350">
        <f t="shared" si="79"/>
        <v>0</v>
      </c>
      <c r="U160" s="350">
        <f t="shared" si="79"/>
        <v>0</v>
      </c>
      <c r="V160" s="350">
        <f t="shared" si="79"/>
        <v>0</v>
      </c>
      <c r="W160" s="350">
        <f t="shared" si="79"/>
        <v>0</v>
      </c>
      <c r="X160" s="350">
        <f t="shared" si="79"/>
        <v>0</v>
      </c>
      <c r="Y160" s="350">
        <f t="shared" si="79"/>
        <v>0</v>
      </c>
      <c r="Z160" s="350">
        <f t="shared" si="79"/>
        <v>0</v>
      </c>
      <c r="AA160" s="350">
        <f t="shared" si="79"/>
        <v>0</v>
      </c>
      <c r="AB160" s="350">
        <f t="shared" si="79"/>
        <v>0</v>
      </c>
      <c r="AC160" s="350">
        <f t="shared" si="79"/>
        <v>0</v>
      </c>
      <c r="AD160" s="350">
        <f t="shared" si="79"/>
        <v>0</v>
      </c>
      <c r="AE160" s="350">
        <f t="shared" si="79"/>
        <v>0</v>
      </c>
      <c r="AF160" s="350">
        <f t="shared" si="79"/>
        <v>0</v>
      </c>
      <c r="AG160" s="350">
        <f t="shared" si="79"/>
        <v>0</v>
      </c>
      <c r="AH160" s="350">
        <f t="shared" si="79"/>
        <v>0</v>
      </c>
      <c r="AI160" s="350">
        <f t="shared" si="79"/>
        <v>0</v>
      </c>
      <c r="AJ160" s="350">
        <f t="shared" si="79"/>
        <v>0</v>
      </c>
      <c r="AK160" s="350">
        <f t="shared" si="79"/>
        <v>9000</v>
      </c>
      <c r="AL160" s="350">
        <f t="shared" si="79"/>
        <v>23457</v>
      </c>
      <c r="AM160" s="350">
        <f t="shared" si="79"/>
        <v>37620</v>
      </c>
      <c r="AN160" s="350">
        <f t="shared" si="79"/>
        <v>52077</v>
      </c>
      <c r="AO160" s="350">
        <f t="shared" si="79"/>
        <v>43970</v>
      </c>
      <c r="AP160" s="350">
        <f t="shared" si="79"/>
        <v>43970</v>
      </c>
      <c r="AQ160" s="350">
        <f t="shared" si="79"/>
        <v>48376</v>
      </c>
      <c r="AR160" s="350">
        <f t="shared" si="79"/>
        <v>48376</v>
      </c>
      <c r="AS160" s="350">
        <f t="shared" si="79"/>
        <v>48376</v>
      </c>
      <c r="AT160" s="350">
        <f t="shared" si="79"/>
        <v>48376</v>
      </c>
      <c r="AU160" s="350">
        <f t="shared" si="79"/>
        <v>48376</v>
      </c>
      <c r="AV160" s="350">
        <f t="shared" si="79"/>
        <v>48376</v>
      </c>
      <c r="AW160" s="350">
        <f t="shared" si="79"/>
        <v>48376</v>
      </c>
      <c r="AX160" s="350">
        <f t="shared" si="79"/>
        <v>48376</v>
      </c>
      <c r="AY160" s="350">
        <f t="shared" si="79"/>
        <v>48376</v>
      </c>
      <c r="AZ160" s="350">
        <f t="shared" si="79"/>
        <v>48376</v>
      </c>
      <c r="BA160" s="350">
        <f t="shared" si="79"/>
        <v>48376</v>
      </c>
      <c r="BB160" s="350">
        <f t="shared" si="79"/>
        <v>48376</v>
      </c>
      <c r="BC160" s="350">
        <f t="shared" si="79"/>
        <v>52913</v>
      </c>
      <c r="BD160" s="350">
        <f t="shared" si="79"/>
        <v>52913</v>
      </c>
      <c r="BE160" s="350">
        <f t="shared" si="79"/>
        <v>52913</v>
      </c>
      <c r="BF160" s="350">
        <f t="shared" si="79"/>
        <v>52913</v>
      </c>
      <c r="BG160" s="350">
        <f t="shared" si="79"/>
        <v>52913</v>
      </c>
      <c r="BH160" s="350">
        <f t="shared" si="79"/>
        <v>52913</v>
      </c>
      <c r="BI160" s="350">
        <f t="shared" si="79"/>
        <v>52913</v>
      </c>
      <c r="BJ160" s="350">
        <f t="shared" si="79"/>
        <v>52913</v>
      </c>
      <c r="BK160" s="350">
        <f t="shared" si="79"/>
        <v>52913</v>
      </c>
      <c r="BL160" s="350">
        <f t="shared" si="79"/>
        <v>52913</v>
      </c>
      <c r="BM160" s="350">
        <f t="shared" si="79"/>
        <v>52913</v>
      </c>
      <c r="BN160" s="350">
        <f t="shared" si="79"/>
        <v>18580775</v>
      </c>
      <c r="BO160" s="350">
        <f t="shared" si="79"/>
        <v>0</v>
      </c>
      <c r="BP160" s="350">
        <f t="shared" si="79"/>
        <v>0</v>
      </c>
      <c r="BQ160" s="350">
        <f t="shared" si="79"/>
        <v>0</v>
      </c>
      <c r="BR160" s="350">
        <f t="shared" si="79"/>
        <v>0</v>
      </c>
      <c r="BS160" s="350">
        <f t="shared" si="79"/>
        <v>0</v>
      </c>
      <c r="BT160" s="350">
        <f t="shared" si="79"/>
        <v>0</v>
      </c>
      <c r="BU160" s="350">
        <f t="shared" si="79"/>
        <v>0</v>
      </c>
      <c r="BV160" s="350">
        <f t="shared" si="79"/>
        <v>0</v>
      </c>
      <c r="BW160" s="350">
        <f t="shared" si="79"/>
        <v>0</v>
      </c>
      <c r="BX160" s="350">
        <f t="shared" si="79"/>
        <v>0</v>
      </c>
      <c r="BY160" s="350">
        <f t="shared" si="79"/>
        <v>0</v>
      </c>
      <c r="BZ160" s="350">
        <f t="shared" si="79"/>
        <v>0</v>
      </c>
      <c r="CA160" s="350">
        <f t="shared" si="79"/>
        <v>0</v>
      </c>
      <c r="CB160" s="350">
        <f t="shared" si="79"/>
        <v>0</v>
      </c>
      <c r="CC160" s="350">
        <f t="shared" si="79"/>
        <v>0</v>
      </c>
      <c r="CD160" s="350">
        <f t="shared" si="79"/>
        <v>0</v>
      </c>
      <c r="CE160" s="350">
        <f t="shared" si="79"/>
        <v>0</v>
      </c>
      <c r="CF160" s="350">
        <f t="shared" si="79"/>
        <v>0</v>
      </c>
      <c r="CG160" s="350">
        <f t="shared" si="79"/>
        <v>0</v>
      </c>
      <c r="CH160" s="350">
        <f t="shared" si="79"/>
        <v>0</v>
      </c>
      <c r="CI160" s="350">
        <f t="shared" si="79"/>
        <v>0</v>
      </c>
      <c r="CJ160" s="350">
        <f t="shared" si="79"/>
        <v>0</v>
      </c>
      <c r="CK160" s="350">
        <f t="shared" si="79"/>
        <v>0</v>
      </c>
      <c r="CL160" s="350">
        <f t="shared" si="79"/>
        <v>0</v>
      </c>
      <c r="CM160" s="350">
        <f t="shared" si="79"/>
        <v>0</v>
      </c>
      <c r="CN160" s="350">
        <f t="shared" si="79"/>
        <v>0</v>
      </c>
      <c r="CO160" s="350">
        <f t="shared" si="79"/>
        <v>0</v>
      </c>
      <c r="CP160" s="350">
        <f t="shared" si="79"/>
        <v>0</v>
      </c>
      <c r="CQ160" s="350">
        <f t="shared" si="79"/>
        <v>0</v>
      </c>
      <c r="CR160" s="350">
        <f t="shared" si="79"/>
        <v>0</v>
      </c>
      <c r="CS160" s="350">
        <f t="shared" si="79"/>
        <v>0</v>
      </c>
      <c r="CT160" s="350">
        <f t="shared" si="79"/>
        <v>0</v>
      </c>
      <c r="CU160" s="350">
        <f t="shared" si="79"/>
        <v>0</v>
      </c>
      <c r="CV160" s="350">
        <f t="shared" si="79"/>
        <v>0</v>
      </c>
      <c r="CW160" s="350">
        <f t="shared" si="79"/>
        <v>0</v>
      </c>
      <c r="CX160" s="350">
        <f t="shared" si="79"/>
        <v>0</v>
      </c>
      <c r="CY160" s="350">
        <f t="shared" si="79"/>
        <v>0</v>
      </c>
      <c r="CZ160" s="350">
        <f t="shared" si="79"/>
        <v>0</v>
      </c>
      <c r="DA160" s="350">
        <f t="shared" si="79"/>
        <v>0</v>
      </c>
      <c r="DB160" s="350">
        <f t="shared" si="79"/>
        <v>0</v>
      </c>
      <c r="DC160" s="350">
        <f t="shared" si="79"/>
        <v>0</v>
      </c>
      <c r="DD160" s="350">
        <f t="shared" si="79"/>
        <v>0</v>
      </c>
      <c r="DE160" s="350">
        <f t="shared" si="79"/>
        <v>0</v>
      </c>
      <c r="DF160" s="350">
        <f t="shared" si="79"/>
        <v>0</v>
      </c>
      <c r="DG160" s="350">
        <f t="shared" si="79"/>
        <v>0</v>
      </c>
      <c r="DH160" s="350">
        <f t="shared" si="79"/>
        <v>0</v>
      </c>
      <c r="DI160" s="350">
        <f t="shared" si="79"/>
        <v>0</v>
      </c>
      <c r="DJ160" s="350">
        <f t="shared" si="79"/>
        <v>0</v>
      </c>
      <c r="DK160" s="350">
        <f t="shared" si="79"/>
        <v>0</v>
      </c>
      <c r="DL160" s="350">
        <f t="shared" si="79"/>
        <v>0</v>
      </c>
      <c r="DM160" s="350">
        <f t="shared" si="79"/>
        <v>0</v>
      </c>
      <c r="DN160" s="350">
        <f t="shared" si="79"/>
        <v>0</v>
      </c>
      <c r="DO160" s="350">
        <f t="shared" si="79"/>
        <v>0</v>
      </c>
      <c r="DP160" s="350">
        <f t="shared" si="79"/>
        <v>0</v>
      </c>
      <c r="DQ160" s="350">
        <f t="shared" si="79"/>
        <v>0</v>
      </c>
      <c r="DR160" s="350">
        <f t="shared" si="79"/>
        <v>0</v>
      </c>
      <c r="DS160" s="350">
        <f t="shared" si="79"/>
        <v>0</v>
      </c>
      <c r="DT160" s="350">
        <f t="shared" si="79"/>
        <v>0</v>
      </c>
      <c r="DU160" s="350">
        <f t="shared" si="79"/>
        <v>0</v>
      </c>
      <c r="DV160" s="350">
        <f t="shared" si="79"/>
        <v>0</v>
      </c>
      <c r="DW160" s="6"/>
      <c r="DX160" s="6"/>
      <c r="DY160" s="6"/>
      <c r="DZ160" s="6"/>
    </row>
    <row r="161" spans="1:130" ht="12.75" customHeight="1" outlineLevel="1" x14ac:dyDescent="0.25">
      <c r="A161" s="6"/>
      <c r="B161" s="7" t="s">
        <v>431</v>
      </c>
      <c r="C161" s="6"/>
      <c r="D161" s="6"/>
      <c r="E161" s="6"/>
      <c r="F161" s="139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</row>
    <row r="162" spans="1:130" ht="12.75" customHeight="1" outlineLevel="1" x14ac:dyDescent="0.25">
      <c r="A162" s="6"/>
      <c r="B162" s="7"/>
      <c r="C162" s="6"/>
      <c r="D162" s="6"/>
      <c r="E162" s="12"/>
      <c r="F162" s="1255"/>
      <c r="G162" s="10"/>
      <c r="H162" s="10"/>
      <c r="I162" s="10"/>
      <c r="J162" s="10"/>
      <c r="K162" s="10"/>
      <c r="L162" s="10"/>
      <c r="M162" s="10"/>
      <c r="N162" s="10"/>
      <c r="O162" s="10"/>
      <c r="P162" s="1255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</row>
    <row r="163" spans="1:130" ht="12.75" customHeight="1" outlineLevel="1" x14ac:dyDescent="0.25">
      <c r="A163" s="6"/>
      <c r="B163" s="23" t="s">
        <v>457</v>
      </c>
      <c r="C163" s="6"/>
      <c r="D163" s="6"/>
      <c r="E163" s="6"/>
      <c r="F163" s="10"/>
      <c r="G163" s="1188"/>
      <c r="H163" s="143"/>
      <c r="I163" s="458"/>
      <c r="J163" s="10"/>
      <c r="K163" s="10"/>
      <c r="L163" s="10"/>
      <c r="M163" s="10"/>
      <c r="N163" s="10"/>
      <c r="O163" s="10"/>
      <c r="P163" s="10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</row>
    <row r="164" spans="1:130" ht="12.75" customHeight="1" outlineLevel="1" x14ac:dyDescent="0.25">
      <c r="A164" s="6"/>
      <c r="B164" s="287" t="s">
        <v>458</v>
      </c>
      <c r="C164" s="296">
        <f>IF($D$5="IRR",D149,C149)</f>
        <v>0.15</v>
      </c>
      <c r="D164" s="78"/>
      <c r="E164" s="78"/>
      <c r="F164" s="1194"/>
      <c r="G164" s="1194"/>
      <c r="H164" s="1194"/>
      <c r="I164" s="1194"/>
      <c r="J164" s="1194"/>
      <c r="K164" s="1194"/>
      <c r="L164" s="1194"/>
      <c r="M164" s="1194"/>
      <c r="N164" s="1194"/>
      <c r="O164" s="1194"/>
      <c r="P164" s="1194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78"/>
      <c r="CB164" s="78"/>
      <c r="CC164" s="78"/>
      <c r="CD164" s="78"/>
      <c r="CE164" s="78"/>
      <c r="CF164" s="78"/>
      <c r="CG164" s="78"/>
      <c r="CH164" s="78"/>
      <c r="CI164" s="78"/>
      <c r="CJ164" s="78"/>
      <c r="CK164" s="78"/>
      <c r="CL164" s="78"/>
      <c r="CM164" s="78"/>
      <c r="CN164" s="78"/>
      <c r="CO164" s="78"/>
      <c r="CP164" s="78"/>
      <c r="CQ164" s="78"/>
      <c r="CR164" s="78"/>
      <c r="CS164" s="78"/>
      <c r="CT164" s="78"/>
      <c r="CU164" s="78"/>
      <c r="CV164" s="78"/>
      <c r="CW164" s="78"/>
      <c r="CX164" s="78"/>
      <c r="CY164" s="78"/>
      <c r="CZ164" s="78"/>
      <c r="DA164" s="78"/>
      <c r="DB164" s="78"/>
      <c r="DC164" s="78"/>
      <c r="DD164" s="78"/>
      <c r="DE164" s="78"/>
      <c r="DF164" s="78"/>
      <c r="DG164" s="78"/>
      <c r="DH164" s="78"/>
      <c r="DI164" s="78"/>
      <c r="DJ164" s="78"/>
      <c r="DK164" s="78"/>
      <c r="DL164" s="78"/>
      <c r="DM164" s="78"/>
      <c r="DN164" s="78"/>
      <c r="DO164" s="78"/>
      <c r="DP164" s="78"/>
      <c r="DQ164" s="78"/>
      <c r="DR164" s="78"/>
      <c r="DS164" s="78"/>
      <c r="DT164" s="78"/>
      <c r="DU164" s="78"/>
      <c r="DV164" s="78"/>
      <c r="DW164" s="6"/>
      <c r="DX164" s="6"/>
      <c r="DY164" s="6"/>
      <c r="DZ164" s="6"/>
    </row>
    <row r="165" spans="1:130" ht="12.75" customHeight="1" outlineLevel="1" x14ac:dyDescent="0.25">
      <c r="A165" s="6"/>
      <c r="B165" s="6" t="s">
        <v>435</v>
      </c>
      <c r="C165" s="6"/>
      <c r="D165" s="6"/>
      <c r="E165" s="6"/>
      <c r="F165" s="350">
        <f t="shared" ref="F165:DV165" si="80">IF(F154="","",E169)</f>
        <v>0</v>
      </c>
      <c r="G165" s="350">
        <f t="shared" si="80"/>
        <v>2045560.6845345572</v>
      </c>
      <c r="H165" s="350">
        <f t="shared" si="80"/>
        <v>2602206.4310047771</v>
      </c>
      <c r="I165" s="350">
        <f t="shared" si="80"/>
        <v>3169213.2713404899</v>
      </c>
      <c r="J165" s="350">
        <f t="shared" si="80"/>
        <v>3752251.0188111076</v>
      </c>
      <c r="K165" s="350">
        <f t="shared" si="80"/>
        <v>4346504.0093298424</v>
      </c>
      <c r="L165" s="350">
        <f t="shared" si="80"/>
        <v>4954454.8737472761</v>
      </c>
      <c r="M165" s="350">
        <f t="shared" si="80"/>
        <v>5572309.3851417005</v>
      </c>
      <c r="N165" s="350">
        <f t="shared" si="80"/>
        <v>5809351.9818552453</v>
      </c>
      <c r="O165" s="350">
        <f t="shared" si="80"/>
        <v>5878721.0047105672</v>
      </c>
      <c r="P165" s="350">
        <f t="shared" si="80"/>
        <v>5946640.8968184777</v>
      </c>
      <c r="Q165" s="350">
        <f t="shared" si="80"/>
        <v>6017649.2759926477</v>
      </c>
      <c r="R165" s="350">
        <f t="shared" si="80"/>
        <v>6087174.2779856259</v>
      </c>
      <c r="S165" s="350">
        <f t="shared" si="80"/>
        <v>6159860.7553987335</v>
      </c>
      <c r="T165" s="350">
        <f t="shared" si="80"/>
        <v>6233415.1764187515</v>
      </c>
      <c r="U165" s="350">
        <f t="shared" si="80"/>
        <v>6303019.0854233485</v>
      </c>
      <c r="V165" s="350">
        <f t="shared" si="80"/>
        <v>6378282.9489936577</v>
      </c>
      <c r="W165" s="350">
        <f t="shared" si="80"/>
        <v>6451974.5375861842</v>
      </c>
      <c r="X165" s="350">
        <f t="shared" si="80"/>
        <v>6529017.066694024</v>
      </c>
      <c r="Y165" s="350">
        <f t="shared" si="80"/>
        <v>6604450.1641969047</v>
      </c>
      <c r="Z165" s="350">
        <f t="shared" si="80"/>
        <v>6683313.3929731883</v>
      </c>
      <c r="AA165" s="350">
        <f t="shared" si="80"/>
        <v>6763118.3214668436</v>
      </c>
      <c r="AB165" s="350">
        <f t="shared" si="80"/>
        <v>6841256.1113600852</v>
      </c>
      <c r="AC165" s="350">
        <f t="shared" si="80"/>
        <v>6922947.0216423869</v>
      </c>
      <c r="AD165" s="350">
        <f t="shared" si="80"/>
        <v>7002931.3948422652</v>
      </c>
      <c r="AE165" s="350">
        <f t="shared" si="80"/>
        <v>7086552.8571844259</v>
      </c>
      <c r="AF165" s="350">
        <f t="shared" si="80"/>
        <v>7171172.8369430769</v>
      </c>
      <c r="AG165" s="350">
        <f t="shared" si="80"/>
        <v>7248471.9482368538</v>
      </c>
      <c r="AH165" s="350">
        <f t="shared" si="80"/>
        <v>7335025.3913427098</v>
      </c>
      <c r="AI165" s="350">
        <f t="shared" si="80"/>
        <v>7419770.7182241147</v>
      </c>
      <c r="AJ165" s="350">
        <f t="shared" si="80"/>
        <v>7508369.6266981307</v>
      </c>
      <c r="AK165" s="350">
        <f t="shared" si="80"/>
        <v>7595117.6888264436</v>
      </c>
      <c r="AL165" s="350">
        <f t="shared" si="80"/>
        <v>7680905.7072347663</v>
      </c>
      <c r="AM165" s="350">
        <f t="shared" si="80"/>
        <v>7759839.5391766746</v>
      </c>
      <c r="AN165" s="350">
        <f t="shared" si="80"/>
        <v>7828991.338964236</v>
      </c>
      <c r="AO165" s="350">
        <f t="shared" si="80"/>
        <v>7894096.5208887281</v>
      </c>
      <c r="AP165" s="350">
        <f t="shared" si="80"/>
        <v>7961338.9261637209</v>
      </c>
      <c r="AQ165" s="350">
        <f t="shared" si="80"/>
        <v>8032442.5003727768</v>
      </c>
      <c r="AR165" s="350">
        <f t="shared" si="80"/>
        <v>8101993.9963329155</v>
      </c>
      <c r="AS165" s="350">
        <f t="shared" si="80"/>
        <v>8162963.2849085452</v>
      </c>
      <c r="AT165" s="350">
        <f t="shared" si="80"/>
        <v>8234073.3194653867</v>
      </c>
      <c r="AU165" s="350">
        <f t="shared" si="80"/>
        <v>8302842.5312975505</v>
      </c>
      <c r="AV165" s="350">
        <f t="shared" si="80"/>
        <v>8375622.8531205188</v>
      </c>
      <c r="AW165" s="350">
        <f t="shared" si="80"/>
        <v>8446027.4596322533</v>
      </c>
      <c r="AX165" s="350">
        <f t="shared" si="80"/>
        <v>8520517.5416138787</v>
      </c>
      <c r="AY165" s="350">
        <f t="shared" si="80"/>
        <v>8595897.103905119</v>
      </c>
      <c r="AZ165" s="350">
        <f t="shared" si="80"/>
        <v>8668846.6523073521</v>
      </c>
      <c r="BA165" s="350">
        <f t="shared" si="80"/>
        <v>8745997.4010410625</v>
      </c>
      <c r="BB165" s="350">
        <f t="shared" si="80"/>
        <v>8820681.1354981661</v>
      </c>
      <c r="BC165" s="350">
        <f t="shared" si="80"/>
        <v>8899644.9280563146</v>
      </c>
      <c r="BD165" s="350">
        <f t="shared" si="80"/>
        <v>8977079.1100691631</v>
      </c>
      <c r="BE165" s="350">
        <f t="shared" si="80"/>
        <v>9045008.556820713</v>
      </c>
      <c r="BF165" s="350">
        <f t="shared" si="80"/>
        <v>9124178.5146855991</v>
      </c>
      <c r="BG165" s="350">
        <f t="shared" si="80"/>
        <v>9200759.059276307</v>
      </c>
      <c r="BH165" s="350">
        <f t="shared" si="80"/>
        <v>9281788.8218488991</v>
      </c>
      <c r="BI165" s="350">
        <f t="shared" si="80"/>
        <v>9360190.3195089977</v>
      </c>
      <c r="BJ165" s="350">
        <f t="shared" si="80"/>
        <v>9443123.8384333272</v>
      </c>
      <c r="BK165" s="350">
        <f t="shared" si="80"/>
        <v>9527047.6600949839</v>
      </c>
      <c r="BL165" s="350">
        <f t="shared" si="80"/>
        <v>9608282.7594549824</v>
      </c>
      <c r="BM165" s="350">
        <f t="shared" si="80"/>
        <v>9694178.7310230136</v>
      </c>
      <c r="BN165" s="350">
        <f t="shared" si="80"/>
        <v>9777344.7817406654</v>
      </c>
      <c r="BO165" s="350">
        <f t="shared" si="80"/>
        <v>0</v>
      </c>
      <c r="BP165" s="350">
        <f t="shared" si="80"/>
        <v>0</v>
      </c>
      <c r="BQ165" s="350">
        <f t="shared" si="80"/>
        <v>0</v>
      </c>
      <c r="BR165" s="350">
        <f t="shared" si="80"/>
        <v>0</v>
      </c>
      <c r="BS165" s="350">
        <f t="shared" si="80"/>
        <v>0</v>
      </c>
      <c r="BT165" s="350">
        <f t="shared" si="80"/>
        <v>0</v>
      </c>
      <c r="BU165" s="350">
        <f t="shared" si="80"/>
        <v>0</v>
      </c>
      <c r="BV165" s="350">
        <f t="shared" si="80"/>
        <v>0</v>
      </c>
      <c r="BW165" s="350">
        <f t="shared" si="80"/>
        <v>0</v>
      </c>
      <c r="BX165" s="350">
        <f t="shared" si="80"/>
        <v>0</v>
      </c>
      <c r="BY165" s="350">
        <f t="shared" si="80"/>
        <v>0</v>
      </c>
      <c r="BZ165" s="350">
        <f t="shared" si="80"/>
        <v>0</v>
      </c>
      <c r="CA165" s="350">
        <f t="shared" si="80"/>
        <v>0</v>
      </c>
      <c r="CB165" s="350">
        <f t="shared" si="80"/>
        <v>0</v>
      </c>
      <c r="CC165" s="350">
        <f t="shared" si="80"/>
        <v>0</v>
      </c>
      <c r="CD165" s="350">
        <f t="shared" si="80"/>
        <v>0</v>
      </c>
      <c r="CE165" s="350">
        <f t="shared" si="80"/>
        <v>0</v>
      </c>
      <c r="CF165" s="350">
        <f t="shared" si="80"/>
        <v>0</v>
      </c>
      <c r="CG165" s="350">
        <f t="shared" si="80"/>
        <v>0</v>
      </c>
      <c r="CH165" s="350">
        <f t="shared" si="80"/>
        <v>0</v>
      </c>
      <c r="CI165" s="350">
        <f t="shared" si="80"/>
        <v>0</v>
      </c>
      <c r="CJ165" s="350">
        <f t="shared" si="80"/>
        <v>0</v>
      </c>
      <c r="CK165" s="350">
        <f t="shared" si="80"/>
        <v>0</v>
      </c>
      <c r="CL165" s="350">
        <f t="shared" si="80"/>
        <v>0</v>
      </c>
      <c r="CM165" s="350">
        <f t="shared" si="80"/>
        <v>0</v>
      </c>
      <c r="CN165" s="350">
        <f t="shared" si="80"/>
        <v>0</v>
      </c>
      <c r="CO165" s="350">
        <f t="shared" si="80"/>
        <v>0</v>
      </c>
      <c r="CP165" s="350">
        <f t="shared" si="80"/>
        <v>0</v>
      </c>
      <c r="CQ165" s="350">
        <f t="shared" si="80"/>
        <v>0</v>
      </c>
      <c r="CR165" s="350">
        <f t="shared" si="80"/>
        <v>0</v>
      </c>
      <c r="CS165" s="350">
        <f t="shared" si="80"/>
        <v>0</v>
      </c>
      <c r="CT165" s="350">
        <f t="shared" si="80"/>
        <v>0</v>
      </c>
      <c r="CU165" s="350">
        <f t="shared" si="80"/>
        <v>0</v>
      </c>
      <c r="CV165" s="350">
        <f t="shared" si="80"/>
        <v>0</v>
      </c>
      <c r="CW165" s="350">
        <f t="shared" si="80"/>
        <v>0</v>
      </c>
      <c r="CX165" s="350">
        <f t="shared" si="80"/>
        <v>0</v>
      </c>
      <c r="CY165" s="350">
        <f t="shared" si="80"/>
        <v>0</v>
      </c>
      <c r="CZ165" s="350">
        <f t="shared" si="80"/>
        <v>0</v>
      </c>
      <c r="DA165" s="350">
        <f t="shared" si="80"/>
        <v>0</v>
      </c>
      <c r="DB165" s="350">
        <f t="shared" si="80"/>
        <v>0</v>
      </c>
      <c r="DC165" s="350">
        <f t="shared" si="80"/>
        <v>0</v>
      </c>
      <c r="DD165" s="350">
        <f t="shared" si="80"/>
        <v>0</v>
      </c>
      <c r="DE165" s="350">
        <f t="shared" si="80"/>
        <v>0</v>
      </c>
      <c r="DF165" s="350">
        <f t="shared" si="80"/>
        <v>0</v>
      </c>
      <c r="DG165" s="350">
        <f t="shared" si="80"/>
        <v>0</v>
      </c>
      <c r="DH165" s="350">
        <f t="shared" si="80"/>
        <v>0</v>
      </c>
      <c r="DI165" s="350">
        <f t="shared" si="80"/>
        <v>0</v>
      </c>
      <c r="DJ165" s="350">
        <f t="shared" si="80"/>
        <v>0</v>
      </c>
      <c r="DK165" s="350">
        <f t="shared" si="80"/>
        <v>0</v>
      </c>
      <c r="DL165" s="350">
        <f t="shared" si="80"/>
        <v>0</v>
      </c>
      <c r="DM165" s="350">
        <f t="shared" si="80"/>
        <v>0</v>
      </c>
      <c r="DN165" s="350">
        <f t="shared" si="80"/>
        <v>0</v>
      </c>
      <c r="DO165" s="350">
        <f t="shared" si="80"/>
        <v>0</v>
      </c>
      <c r="DP165" s="350">
        <f t="shared" si="80"/>
        <v>0</v>
      </c>
      <c r="DQ165" s="350">
        <f t="shared" si="80"/>
        <v>0</v>
      </c>
      <c r="DR165" s="350">
        <f t="shared" si="80"/>
        <v>0</v>
      </c>
      <c r="DS165" s="350">
        <f t="shared" si="80"/>
        <v>0</v>
      </c>
      <c r="DT165" s="350">
        <f t="shared" si="80"/>
        <v>0</v>
      </c>
      <c r="DU165" s="350">
        <f t="shared" si="80"/>
        <v>0</v>
      </c>
      <c r="DV165" s="350">
        <f t="shared" si="80"/>
        <v>0</v>
      </c>
      <c r="DW165" s="6"/>
      <c r="DX165" s="6"/>
      <c r="DY165" s="6"/>
      <c r="DZ165" s="6"/>
    </row>
    <row r="166" spans="1:130" ht="12.75" customHeight="1" outlineLevel="1" x14ac:dyDescent="0.25">
      <c r="A166" s="6"/>
      <c r="B166" s="6" t="s">
        <v>459</v>
      </c>
      <c r="C166" s="6"/>
      <c r="D166" s="6"/>
      <c r="E166" s="6"/>
      <c r="F166" s="350">
        <f>IF(F165="","",IF(IRR_Type="XIRR()",F165*((1+$C164)^(1/12)-1),F165*$C164/12))</f>
        <v>0</v>
      </c>
      <c r="G166" s="350">
        <f t="shared" ref="G166:AL166" si="81">IF(G165="","",IF($D$5="Equity Multiple",F167*$C$164-F167,IF(IRR_Type="XIRR()",G165*((1+$C164)^((G117-F117)/365)-1),G165*$C164/12)))</f>
        <v>24425.881977994581</v>
      </c>
      <c r="H166" s="350">
        <f t="shared" si="81"/>
        <v>28049.560245345478</v>
      </c>
      <c r="I166" s="350">
        <f t="shared" si="81"/>
        <v>37843.330639917353</v>
      </c>
      <c r="J166" s="350">
        <f t="shared" si="81"/>
        <v>43351.688939692271</v>
      </c>
      <c r="K166" s="350">
        <f t="shared" si="81"/>
        <v>51901.268317995695</v>
      </c>
      <c r="L166" s="350">
        <f t="shared" si="81"/>
        <v>57241.369374186514</v>
      </c>
      <c r="M166" s="350">
        <f t="shared" si="81"/>
        <v>66538.515535320141</v>
      </c>
      <c r="N166" s="350">
        <f t="shared" si="81"/>
        <v>69369.022855321673</v>
      </c>
      <c r="O166" s="350">
        <f t="shared" si="81"/>
        <v>67919.89210791052</v>
      </c>
      <c r="P166" s="350">
        <f t="shared" si="81"/>
        <v>71008.379174169706</v>
      </c>
      <c r="Q166" s="350">
        <f t="shared" si="81"/>
        <v>69525.001992978447</v>
      </c>
      <c r="R166" s="350">
        <f t="shared" si="81"/>
        <v>72686.477413107248</v>
      </c>
      <c r="S166" s="350">
        <f t="shared" si="81"/>
        <v>73554.4210200175</v>
      </c>
      <c r="T166" s="350">
        <f t="shared" si="81"/>
        <v>69603.909004596659</v>
      </c>
      <c r="U166" s="350">
        <f t="shared" si="81"/>
        <v>75263.863570309622</v>
      </c>
      <c r="V166" s="350">
        <f t="shared" si="81"/>
        <v>73691.588592526401</v>
      </c>
      <c r="W166" s="350">
        <f t="shared" si="81"/>
        <v>77042.529107839786</v>
      </c>
      <c r="X166" s="350">
        <f t="shared" si="81"/>
        <v>75433.097502880613</v>
      </c>
      <c r="Y166" s="350">
        <f t="shared" si="81"/>
        <v>78863.228776283824</v>
      </c>
      <c r="Z166" s="350">
        <f t="shared" si="81"/>
        <v>79804.928493655636</v>
      </c>
      <c r="AA166" s="350">
        <f t="shared" si="81"/>
        <v>78137.789893241672</v>
      </c>
      <c r="AB166" s="350">
        <f t="shared" si="81"/>
        <v>81690.910282301425</v>
      </c>
      <c r="AC166" s="350">
        <f t="shared" si="81"/>
        <v>79984.37319987794</v>
      </c>
      <c r="AD166" s="350">
        <f t="shared" si="81"/>
        <v>83621.462342160317</v>
      </c>
      <c r="AE166" s="350">
        <f t="shared" si="81"/>
        <v>84619.979758651272</v>
      </c>
      <c r="AF166" s="350">
        <f t="shared" si="81"/>
        <v>77299.111293776761</v>
      </c>
      <c r="AG166" s="350">
        <f t="shared" si="81"/>
        <v>86553.443105856102</v>
      </c>
      <c r="AH166" s="350">
        <f t="shared" si="81"/>
        <v>84745.326881405403</v>
      </c>
      <c r="AI166" s="350">
        <f t="shared" si="81"/>
        <v>88598.908474015785</v>
      </c>
      <c r="AJ166" s="350">
        <f t="shared" si="81"/>
        <v>86748.06212831274</v>
      </c>
      <c r="AK166" s="350">
        <f t="shared" si="81"/>
        <v>90692.713092726437</v>
      </c>
      <c r="AL166" s="350">
        <f t="shared" si="81"/>
        <v>91717.101187692446</v>
      </c>
      <c r="AM166" s="350">
        <f t="shared" ref="AM166:BR166" si="82">IF(AM165="","",IF($D$5="Equity Multiple",AL167*$C$164-AL167,IF(IRR_Type="XIRR()",AM165*((1+$C164)^((AM117-AL117)/365)-1),AM165*$C164/12)))</f>
        <v>89653.4235683679</v>
      </c>
      <c r="AN166" s="350">
        <f t="shared" si="82"/>
        <v>93485.380266679451</v>
      </c>
      <c r="AO166" s="350">
        <f t="shared" si="82"/>
        <v>91204.563638684165</v>
      </c>
      <c r="AP166" s="350">
        <f t="shared" si="82"/>
        <v>95065.732572747816</v>
      </c>
      <c r="AQ166" s="350">
        <f t="shared" si="82"/>
        <v>95914.774854883362</v>
      </c>
      <c r="AR166" s="350">
        <f t="shared" si="82"/>
        <v>87332.567470374648</v>
      </c>
      <c r="AS166" s="350">
        <f t="shared" si="82"/>
        <v>97473.31345158667</v>
      </c>
      <c r="AT166" s="350">
        <f t="shared" si="82"/>
        <v>95132.490726909076</v>
      </c>
      <c r="AU166" s="350">
        <f t="shared" si="82"/>
        <v>99143.60071771394</v>
      </c>
      <c r="AV166" s="350">
        <f t="shared" si="82"/>
        <v>96767.885406479341</v>
      </c>
      <c r="AW166" s="350">
        <f t="shared" si="82"/>
        <v>100853.36087637032</v>
      </c>
      <c r="AX166" s="350">
        <f t="shared" si="82"/>
        <v>101742.84118598448</v>
      </c>
      <c r="AY166" s="350">
        <f t="shared" si="82"/>
        <v>99312.827296977761</v>
      </c>
      <c r="AZ166" s="350">
        <f t="shared" si="82"/>
        <v>103514.02762845566</v>
      </c>
      <c r="BA166" s="350">
        <f t="shared" si="82"/>
        <v>101047.01335184746</v>
      </c>
      <c r="BB166" s="350">
        <f t="shared" si="82"/>
        <v>105327.0714528937</v>
      </c>
      <c r="BC166" s="350">
        <f t="shared" si="82"/>
        <v>106269.9719946095</v>
      </c>
      <c r="BD166" s="350">
        <f t="shared" si="82"/>
        <v>96765.236733309386</v>
      </c>
      <c r="BE166" s="350">
        <f t="shared" si="82"/>
        <v>108005.74784664692</v>
      </c>
      <c r="BF166" s="350">
        <f t="shared" si="82"/>
        <v>105416.33457246744</v>
      </c>
      <c r="BG166" s="350">
        <f t="shared" si="82"/>
        <v>109865.55255435195</v>
      </c>
      <c r="BH166" s="350">
        <f t="shared" si="82"/>
        <v>107237.28764185928</v>
      </c>
      <c r="BI166" s="350">
        <f t="shared" si="82"/>
        <v>111769.30890608918</v>
      </c>
      <c r="BJ166" s="350">
        <f t="shared" si="82"/>
        <v>112759.61164341736</v>
      </c>
      <c r="BK166" s="350">
        <f t="shared" si="82"/>
        <v>110070.88934175926</v>
      </c>
      <c r="BL166" s="350">
        <f t="shared" si="82"/>
        <v>114731.7615497917</v>
      </c>
      <c r="BM166" s="350">
        <f t="shared" si="82"/>
        <v>112001.84069941264</v>
      </c>
      <c r="BN166" s="350">
        <f t="shared" si="82"/>
        <v>116750.51808658484</v>
      </c>
      <c r="BO166" s="350">
        <f t="shared" si="82"/>
        <v>0</v>
      </c>
      <c r="BP166" s="350">
        <f t="shared" si="82"/>
        <v>0</v>
      </c>
      <c r="BQ166" s="350">
        <f t="shared" si="82"/>
        <v>0</v>
      </c>
      <c r="BR166" s="350">
        <f t="shared" si="82"/>
        <v>0</v>
      </c>
      <c r="BS166" s="350">
        <f t="shared" ref="BS166:CX166" si="83">IF(BS165="","",IF($D$5="Equity Multiple",BR167*$C$164-BR167,IF(IRR_Type="XIRR()",BS165*((1+$C164)^((BS117-BR117)/365)-1),BS165*$C164/12)))</f>
        <v>0</v>
      </c>
      <c r="BT166" s="350">
        <f t="shared" si="83"/>
        <v>0</v>
      </c>
      <c r="BU166" s="350">
        <f t="shared" si="83"/>
        <v>0</v>
      </c>
      <c r="BV166" s="350">
        <f t="shared" si="83"/>
        <v>0</v>
      </c>
      <c r="BW166" s="350">
        <f t="shared" si="83"/>
        <v>0</v>
      </c>
      <c r="BX166" s="350">
        <f t="shared" si="83"/>
        <v>0</v>
      </c>
      <c r="BY166" s="350">
        <f t="shared" si="83"/>
        <v>0</v>
      </c>
      <c r="BZ166" s="350">
        <f t="shared" si="83"/>
        <v>0</v>
      </c>
      <c r="CA166" s="350">
        <f t="shared" si="83"/>
        <v>0</v>
      </c>
      <c r="CB166" s="350">
        <f t="shared" si="83"/>
        <v>0</v>
      </c>
      <c r="CC166" s="350">
        <f t="shared" si="83"/>
        <v>0</v>
      </c>
      <c r="CD166" s="350">
        <f t="shared" si="83"/>
        <v>0</v>
      </c>
      <c r="CE166" s="350">
        <f t="shared" si="83"/>
        <v>0</v>
      </c>
      <c r="CF166" s="350">
        <f t="shared" si="83"/>
        <v>0</v>
      </c>
      <c r="CG166" s="350">
        <f t="shared" si="83"/>
        <v>0</v>
      </c>
      <c r="CH166" s="350">
        <f t="shared" si="83"/>
        <v>0</v>
      </c>
      <c r="CI166" s="350">
        <f t="shared" si="83"/>
        <v>0</v>
      </c>
      <c r="CJ166" s="350">
        <f t="shared" si="83"/>
        <v>0</v>
      </c>
      <c r="CK166" s="350">
        <f t="shared" si="83"/>
        <v>0</v>
      </c>
      <c r="CL166" s="350">
        <f t="shared" si="83"/>
        <v>0</v>
      </c>
      <c r="CM166" s="350">
        <f t="shared" si="83"/>
        <v>0</v>
      </c>
      <c r="CN166" s="350">
        <f t="shared" si="83"/>
        <v>0</v>
      </c>
      <c r="CO166" s="350">
        <f t="shared" si="83"/>
        <v>0</v>
      </c>
      <c r="CP166" s="350">
        <f t="shared" si="83"/>
        <v>0</v>
      </c>
      <c r="CQ166" s="350">
        <f t="shared" si="83"/>
        <v>0</v>
      </c>
      <c r="CR166" s="350">
        <f t="shared" si="83"/>
        <v>0</v>
      </c>
      <c r="CS166" s="350">
        <f t="shared" si="83"/>
        <v>0</v>
      </c>
      <c r="CT166" s="350">
        <f t="shared" si="83"/>
        <v>0</v>
      </c>
      <c r="CU166" s="350">
        <f t="shared" si="83"/>
        <v>0</v>
      </c>
      <c r="CV166" s="350">
        <f t="shared" si="83"/>
        <v>0</v>
      </c>
      <c r="CW166" s="350">
        <f t="shared" si="83"/>
        <v>0</v>
      </c>
      <c r="CX166" s="350">
        <f t="shared" si="83"/>
        <v>0</v>
      </c>
      <c r="CY166" s="350">
        <f t="shared" ref="CY166:DV166" si="84">IF(CY165="","",IF($D$5="Equity Multiple",CX167*$C$164-CX167,IF(IRR_Type="XIRR()",CY165*((1+$C164)^((CY117-CX117)/365)-1),CY165*$C164/12)))</f>
        <v>0</v>
      </c>
      <c r="CZ166" s="350">
        <f t="shared" si="84"/>
        <v>0</v>
      </c>
      <c r="DA166" s="350">
        <f t="shared" si="84"/>
        <v>0</v>
      </c>
      <c r="DB166" s="350">
        <f t="shared" si="84"/>
        <v>0</v>
      </c>
      <c r="DC166" s="350">
        <f t="shared" si="84"/>
        <v>0</v>
      </c>
      <c r="DD166" s="350">
        <f t="shared" si="84"/>
        <v>0</v>
      </c>
      <c r="DE166" s="350">
        <f t="shared" si="84"/>
        <v>0</v>
      </c>
      <c r="DF166" s="350">
        <f t="shared" si="84"/>
        <v>0</v>
      </c>
      <c r="DG166" s="350">
        <f t="shared" si="84"/>
        <v>0</v>
      </c>
      <c r="DH166" s="350">
        <f t="shared" si="84"/>
        <v>0</v>
      </c>
      <c r="DI166" s="350">
        <f t="shared" si="84"/>
        <v>0</v>
      </c>
      <c r="DJ166" s="350">
        <f t="shared" si="84"/>
        <v>0</v>
      </c>
      <c r="DK166" s="350">
        <f t="shared" si="84"/>
        <v>0</v>
      </c>
      <c r="DL166" s="350">
        <f t="shared" si="84"/>
        <v>0</v>
      </c>
      <c r="DM166" s="350">
        <f t="shared" si="84"/>
        <v>0</v>
      </c>
      <c r="DN166" s="350">
        <f t="shared" si="84"/>
        <v>0</v>
      </c>
      <c r="DO166" s="350">
        <f t="shared" si="84"/>
        <v>0</v>
      </c>
      <c r="DP166" s="350">
        <f t="shared" si="84"/>
        <v>0</v>
      </c>
      <c r="DQ166" s="350">
        <f t="shared" si="84"/>
        <v>0</v>
      </c>
      <c r="DR166" s="350">
        <f t="shared" si="84"/>
        <v>0</v>
      </c>
      <c r="DS166" s="350">
        <f t="shared" si="84"/>
        <v>0</v>
      </c>
      <c r="DT166" s="350">
        <f t="shared" si="84"/>
        <v>0</v>
      </c>
      <c r="DU166" s="350">
        <f t="shared" si="84"/>
        <v>0</v>
      </c>
      <c r="DV166" s="350">
        <f t="shared" si="84"/>
        <v>0</v>
      </c>
      <c r="DW166" s="6"/>
      <c r="DX166" s="6"/>
      <c r="DY166" s="6"/>
      <c r="DZ166" s="6"/>
    </row>
    <row r="167" spans="1:130" ht="12.75" customHeight="1" outlineLevel="1" x14ac:dyDescent="0.25">
      <c r="A167" s="6"/>
      <c r="B167" s="6" t="s">
        <v>438</v>
      </c>
      <c r="C167" s="6"/>
      <c r="D167" s="6"/>
      <c r="E167" s="6"/>
      <c r="F167" s="350">
        <f t="shared" ref="F167:AK167" si="85">IF(F165="","",-MIN(0,F160*Equity_Share_LP_Monthly))</f>
        <v>2045560.6845345572</v>
      </c>
      <c r="G167" s="350">
        <f t="shared" si="85"/>
        <v>532219.86449222511</v>
      </c>
      <c r="H167" s="350">
        <f t="shared" si="85"/>
        <v>538957.28009036742</v>
      </c>
      <c r="I167" s="350">
        <f t="shared" si="85"/>
        <v>545194.41683070059</v>
      </c>
      <c r="J167" s="350">
        <f t="shared" si="85"/>
        <v>550901.30157904211</v>
      </c>
      <c r="K167" s="350">
        <f t="shared" si="85"/>
        <v>556049.59609943768</v>
      </c>
      <c r="L167" s="350">
        <f t="shared" si="85"/>
        <v>560613.14202023717</v>
      </c>
      <c r="M167" s="350">
        <f t="shared" si="85"/>
        <v>170504.08117822444</v>
      </c>
      <c r="N167" s="350">
        <f t="shared" si="85"/>
        <v>0</v>
      </c>
      <c r="O167" s="350">
        <f t="shared" si="85"/>
        <v>0</v>
      </c>
      <c r="P167" s="350">
        <f t="shared" si="85"/>
        <v>0</v>
      </c>
      <c r="Q167" s="350">
        <f t="shared" si="85"/>
        <v>0</v>
      </c>
      <c r="R167" s="350">
        <f t="shared" si="85"/>
        <v>0</v>
      </c>
      <c r="S167" s="350">
        <f t="shared" si="85"/>
        <v>0</v>
      </c>
      <c r="T167" s="350">
        <f t="shared" si="85"/>
        <v>0</v>
      </c>
      <c r="U167" s="350">
        <f t="shared" si="85"/>
        <v>0</v>
      </c>
      <c r="V167" s="350">
        <f t="shared" si="85"/>
        <v>0</v>
      </c>
      <c r="W167" s="350">
        <f t="shared" si="85"/>
        <v>0</v>
      </c>
      <c r="X167" s="350">
        <f t="shared" si="85"/>
        <v>0</v>
      </c>
      <c r="Y167" s="350">
        <f t="shared" si="85"/>
        <v>0</v>
      </c>
      <c r="Z167" s="350">
        <f t="shared" si="85"/>
        <v>0</v>
      </c>
      <c r="AA167" s="350">
        <f t="shared" si="85"/>
        <v>0</v>
      </c>
      <c r="AB167" s="350">
        <f t="shared" si="85"/>
        <v>0</v>
      </c>
      <c r="AC167" s="350">
        <f t="shared" si="85"/>
        <v>0</v>
      </c>
      <c r="AD167" s="350">
        <f t="shared" si="85"/>
        <v>0</v>
      </c>
      <c r="AE167" s="350">
        <f t="shared" si="85"/>
        <v>0</v>
      </c>
      <c r="AF167" s="350">
        <f t="shared" si="85"/>
        <v>0</v>
      </c>
      <c r="AG167" s="350">
        <f t="shared" si="85"/>
        <v>0</v>
      </c>
      <c r="AH167" s="350">
        <f t="shared" si="85"/>
        <v>0</v>
      </c>
      <c r="AI167" s="350">
        <f t="shared" si="85"/>
        <v>0</v>
      </c>
      <c r="AJ167" s="350">
        <f t="shared" si="85"/>
        <v>0</v>
      </c>
      <c r="AK167" s="350">
        <f t="shared" si="85"/>
        <v>0</v>
      </c>
      <c r="AL167" s="350">
        <f t="shared" ref="AL167:BQ167" si="86">IF(AL165="","",-MIN(0,AL160*Equity_Share_LP_Monthly))</f>
        <v>0</v>
      </c>
      <c r="AM167" s="350">
        <f t="shared" si="86"/>
        <v>0</v>
      </c>
      <c r="AN167" s="350">
        <f t="shared" si="86"/>
        <v>0</v>
      </c>
      <c r="AO167" s="350">
        <f t="shared" si="86"/>
        <v>0</v>
      </c>
      <c r="AP167" s="350">
        <f t="shared" si="86"/>
        <v>0</v>
      </c>
      <c r="AQ167" s="350">
        <f t="shared" si="86"/>
        <v>0</v>
      </c>
      <c r="AR167" s="350">
        <f t="shared" si="86"/>
        <v>0</v>
      </c>
      <c r="AS167" s="350">
        <f t="shared" si="86"/>
        <v>0</v>
      </c>
      <c r="AT167" s="350">
        <f t="shared" si="86"/>
        <v>0</v>
      </c>
      <c r="AU167" s="350">
        <f t="shared" si="86"/>
        <v>0</v>
      </c>
      <c r="AV167" s="350">
        <f t="shared" si="86"/>
        <v>0</v>
      </c>
      <c r="AW167" s="350">
        <f t="shared" si="86"/>
        <v>0</v>
      </c>
      <c r="AX167" s="350">
        <f t="shared" si="86"/>
        <v>0</v>
      </c>
      <c r="AY167" s="350">
        <f t="shared" si="86"/>
        <v>0</v>
      </c>
      <c r="AZ167" s="350">
        <f t="shared" si="86"/>
        <v>0</v>
      </c>
      <c r="BA167" s="350">
        <f t="shared" si="86"/>
        <v>0</v>
      </c>
      <c r="BB167" s="350">
        <f t="shared" si="86"/>
        <v>0</v>
      </c>
      <c r="BC167" s="350">
        <f t="shared" si="86"/>
        <v>0</v>
      </c>
      <c r="BD167" s="350">
        <f t="shared" si="86"/>
        <v>0</v>
      </c>
      <c r="BE167" s="350">
        <f t="shared" si="86"/>
        <v>0</v>
      </c>
      <c r="BF167" s="350">
        <f t="shared" si="86"/>
        <v>0</v>
      </c>
      <c r="BG167" s="350">
        <f t="shared" si="86"/>
        <v>0</v>
      </c>
      <c r="BH167" s="350">
        <f t="shared" si="86"/>
        <v>0</v>
      </c>
      <c r="BI167" s="350">
        <f t="shared" si="86"/>
        <v>0</v>
      </c>
      <c r="BJ167" s="350">
        <f t="shared" si="86"/>
        <v>0</v>
      </c>
      <c r="BK167" s="350">
        <f t="shared" si="86"/>
        <v>0</v>
      </c>
      <c r="BL167" s="350">
        <f t="shared" si="86"/>
        <v>0</v>
      </c>
      <c r="BM167" s="350">
        <f t="shared" si="86"/>
        <v>0</v>
      </c>
      <c r="BN167" s="350">
        <f t="shared" si="86"/>
        <v>0</v>
      </c>
      <c r="BO167" s="350">
        <f t="shared" si="86"/>
        <v>0</v>
      </c>
      <c r="BP167" s="350">
        <f t="shared" si="86"/>
        <v>0</v>
      </c>
      <c r="BQ167" s="350">
        <f t="shared" si="86"/>
        <v>0</v>
      </c>
      <c r="BR167" s="350">
        <f t="shared" ref="BR167:CW167" si="87">IF(BR165="","",-MIN(0,BR160*Equity_Share_LP_Monthly))</f>
        <v>0</v>
      </c>
      <c r="BS167" s="350">
        <f t="shared" si="87"/>
        <v>0</v>
      </c>
      <c r="BT167" s="350">
        <f t="shared" si="87"/>
        <v>0</v>
      </c>
      <c r="BU167" s="350">
        <f t="shared" si="87"/>
        <v>0</v>
      </c>
      <c r="BV167" s="350">
        <f t="shared" si="87"/>
        <v>0</v>
      </c>
      <c r="BW167" s="350">
        <f t="shared" si="87"/>
        <v>0</v>
      </c>
      <c r="BX167" s="350">
        <f t="shared" si="87"/>
        <v>0</v>
      </c>
      <c r="BY167" s="350">
        <f t="shared" si="87"/>
        <v>0</v>
      </c>
      <c r="BZ167" s="350">
        <f t="shared" si="87"/>
        <v>0</v>
      </c>
      <c r="CA167" s="350">
        <f t="shared" si="87"/>
        <v>0</v>
      </c>
      <c r="CB167" s="350">
        <f t="shared" si="87"/>
        <v>0</v>
      </c>
      <c r="CC167" s="350">
        <f t="shared" si="87"/>
        <v>0</v>
      </c>
      <c r="CD167" s="350">
        <f t="shared" si="87"/>
        <v>0</v>
      </c>
      <c r="CE167" s="350">
        <f t="shared" si="87"/>
        <v>0</v>
      </c>
      <c r="CF167" s="350">
        <f t="shared" si="87"/>
        <v>0</v>
      </c>
      <c r="CG167" s="350">
        <f t="shared" si="87"/>
        <v>0</v>
      </c>
      <c r="CH167" s="350">
        <f t="shared" si="87"/>
        <v>0</v>
      </c>
      <c r="CI167" s="350">
        <f t="shared" si="87"/>
        <v>0</v>
      </c>
      <c r="CJ167" s="350">
        <f t="shared" si="87"/>
        <v>0</v>
      </c>
      <c r="CK167" s="350">
        <f t="shared" si="87"/>
        <v>0</v>
      </c>
      <c r="CL167" s="350">
        <f t="shared" si="87"/>
        <v>0</v>
      </c>
      <c r="CM167" s="350">
        <f t="shared" si="87"/>
        <v>0</v>
      </c>
      <c r="CN167" s="350">
        <f t="shared" si="87"/>
        <v>0</v>
      </c>
      <c r="CO167" s="350">
        <f t="shared" si="87"/>
        <v>0</v>
      </c>
      <c r="CP167" s="350">
        <f t="shared" si="87"/>
        <v>0</v>
      </c>
      <c r="CQ167" s="350">
        <f t="shared" si="87"/>
        <v>0</v>
      </c>
      <c r="CR167" s="350">
        <f t="shared" si="87"/>
        <v>0</v>
      </c>
      <c r="CS167" s="350">
        <f t="shared" si="87"/>
        <v>0</v>
      </c>
      <c r="CT167" s="350">
        <f t="shared" si="87"/>
        <v>0</v>
      </c>
      <c r="CU167" s="350">
        <f t="shared" si="87"/>
        <v>0</v>
      </c>
      <c r="CV167" s="350">
        <f t="shared" si="87"/>
        <v>0</v>
      </c>
      <c r="CW167" s="350">
        <f t="shared" si="87"/>
        <v>0</v>
      </c>
      <c r="CX167" s="350">
        <f t="shared" ref="CX167:DV167" si="88">IF(CX165="","",-MIN(0,CX160*Equity_Share_LP_Monthly))</f>
        <v>0</v>
      </c>
      <c r="CY167" s="350">
        <f t="shared" si="88"/>
        <v>0</v>
      </c>
      <c r="CZ167" s="350">
        <f t="shared" si="88"/>
        <v>0</v>
      </c>
      <c r="DA167" s="350">
        <f t="shared" si="88"/>
        <v>0</v>
      </c>
      <c r="DB167" s="350">
        <f t="shared" si="88"/>
        <v>0</v>
      </c>
      <c r="DC167" s="350">
        <f t="shared" si="88"/>
        <v>0</v>
      </c>
      <c r="DD167" s="350">
        <f t="shared" si="88"/>
        <v>0</v>
      </c>
      <c r="DE167" s="350">
        <f t="shared" si="88"/>
        <v>0</v>
      </c>
      <c r="DF167" s="350">
        <f t="shared" si="88"/>
        <v>0</v>
      </c>
      <c r="DG167" s="350">
        <f t="shared" si="88"/>
        <v>0</v>
      </c>
      <c r="DH167" s="350">
        <f t="shared" si="88"/>
        <v>0</v>
      </c>
      <c r="DI167" s="350">
        <f t="shared" si="88"/>
        <v>0</v>
      </c>
      <c r="DJ167" s="350">
        <f t="shared" si="88"/>
        <v>0</v>
      </c>
      <c r="DK167" s="350">
        <f t="shared" si="88"/>
        <v>0</v>
      </c>
      <c r="DL167" s="350">
        <f t="shared" si="88"/>
        <v>0</v>
      </c>
      <c r="DM167" s="350">
        <f t="shared" si="88"/>
        <v>0</v>
      </c>
      <c r="DN167" s="350">
        <f t="shared" si="88"/>
        <v>0</v>
      </c>
      <c r="DO167" s="350">
        <f t="shared" si="88"/>
        <v>0</v>
      </c>
      <c r="DP167" s="350">
        <f t="shared" si="88"/>
        <v>0</v>
      </c>
      <c r="DQ167" s="350">
        <f t="shared" si="88"/>
        <v>0</v>
      </c>
      <c r="DR167" s="350">
        <f t="shared" si="88"/>
        <v>0</v>
      </c>
      <c r="DS167" s="350">
        <f t="shared" si="88"/>
        <v>0</v>
      </c>
      <c r="DT167" s="350">
        <f t="shared" si="88"/>
        <v>0</v>
      </c>
      <c r="DU167" s="350">
        <f t="shared" si="88"/>
        <v>0</v>
      </c>
      <c r="DV167" s="350">
        <f t="shared" si="88"/>
        <v>0</v>
      </c>
      <c r="DW167" s="6"/>
      <c r="DX167" s="6"/>
      <c r="DY167" s="6"/>
      <c r="DZ167" s="6"/>
    </row>
    <row r="168" spans="1:130" ht="12.75" customHeight="1" outlineLevel="1" x14ac:dyDescent="0.25">
      <c r="A168" s="6"/>
      <c r="B168" s="6" t="s">
        <v>439</v>
      </c>
      <c r="C168" s="6"/>
      <c r="D168" s="6"/>
      <c r="E168" s="6"/>
      <c r="F168" s="350">
        <f>MAX(F160,F166)</f>
        <v>0</v>
      </c>
      <c r="G168" s="350">
        <f t="shared" ref="G168:AL168" si="89">IF(G165="","",MIN(G165+G166,MAX(G160,0)*Equity_Share_LP_Monthly))</f>
        <v>0</v>
      </c>
      <c r="H168" s="350">
        <f t="shared" si="89"/>
        <v>0</v>
      </c>
      <c r="I168" s="350">
        <f t="shared" si="89"/>
        <v>0</v>
      </c>
      <c r="J168" s="350">
        <f t="shared" si="89"/>
        <v>0</v>
      </c>
      <c r="K168" s="350">
        <f t="shared" si="89"/>
        <v>0</v>
      </c>
      <c r="L168" s="350">
        <f t="shared" si="89"/>
        <v>0</v>
      </c>
      <c r="M168" s="350">
        <f t="shared" si="89"/>
        <v>0</v>
      </c>
      <c r="N168" s="350">
        <f t="shared" si="89"/>
        <v>0</v>
      </c>
      <c r="O168" s="350">
        <f t="shared" si="89"/>
        <v>0</v>
      </c>
      <c r="P168" s="350">
        <f t="shared" si="89"/>
        <v>0</v>
      </c>
      <c r="Q168" s="350">
        <f t="shared" si="89"/>
        <v>0</v>
      </c>
      <c r="R168" s="350">
        <f t="shared" si="89"/>
        <v>0</v>
      </c>
      <c r="S168" s="350">
        <f t="shared" si="89"/>
        <v>0</v>
      </c>
      <c r="T168" s="350">
        <f t="shared" si="89"/>
        <v>0</v>
      </c>
      <c r="U168" s="350">
        <f t="shared" si="89"/>
        <v>0</v>
      </c>
      <c r="V168" s="350">
        <f t="shared" si="89"/>
        <v>0</v>
      </c>
      <c r="W168" s="350">
        <f t="shared" si="89"/>
        <v>0</v>
      </c>
      <c r="X168" s="350">
        <f t="shared" si="89"/>
        <v>0</v>
      </c>
      <c r="Y168" s="350">
        <f t="shared" si="89"/>
        <v>0</v>
      </c>
      <c r="Z168" s="350">
        <f t="shared" si="89"/>
        <v>0</v>
      </c>
      <c r="AA168" s="350">
        <f t="shared" si="89"/>
        <v>0</v>
      </c>
      <c r="AB168" s="350">
        <f t="shared" si="89"/>
        <v>0</v>
      </c>
      <c r="AC168" s="350">
        <f t="shared" si="89"/>
        <v>0</v>
      </c>
      <c r="AD168" s="350">
        <f t="shared" si="89"/>
        <v>0</v>
      </c>
      <c r="AE168" s="350">
        <f t="shared" si="89"/>
        <v>0</v>
      </c>
      <c r="AF168" s="350">
        <f t="shared" si="89"/>
        <v>0</v>
      </c>
      <c r="AG168" s="350">
        <f t="shared" si="89"/>
        <v>0</v>
      </c>
      <c r="AH168" s="350">
        <f t="shared" si="89"/>
        <v>0</v>
      </c>
      <c r="AI168" s="350">
        <f t="shared" si="89"/>
        <v>0</v>
      </c>
      <c r="AJ168" s="350">
        <f t="shared" si="89"/>
        <v>0</v>
      </c>
      <c r="AK168" s="350">
        <f t="shared" si="89"/>
        <v>4904.6946844035401</v>
      </c>
      <c r="AL168" s="350">
        <f t="shared" si="89"/>
        <v>12783.26924578376</v>
      </c>
      <c r="AM168" s="350">
        <f t="shared" ref="AM168:BR168" si="90">IF(AM165="","",MIN(AM165+AM166,MAX(AM160,0)*Equity_Share_LP_Monthly))</f>
        <v>20501.6237808068</v>
      </c>
      <c r="AN168" s="350">
        <f t="shared" si="90"/>
        <v>28380.198342187021</v>
      </c>
      <c r="AO168" s="350">
        <f t="shared" si="90"/>
        <v>23962.15836369152</v>
      </c>
      <c r="AP168" s="350">
        <f t="shared" si="90"/>
        <v>23962.15836369152</v>
      </c>
      <c r="AQ168" s="350">
        <f t="shared" si="90"/>
        <v>26363.278894745075</v>
      </c>
      <c r="AR168" s="350">
        <f t="shared" si="90"/>
        <v>26363.278894745075</v>
      </c>
      <c r="AS168" s="350">
        <f t="shared" si="90"/>
        <v>26363.278894745075</v>
      </c>
      <c r="AT168" s="350">
        <f t="shared" si="90"/>
        <v>26363.278894745075</v>
      </c>
      <c r="AU168" s="350">
        <f t="shared" si="90"/>
        <v>26363.278894745075</v>
      </c>
      <c r="AV168" s="350">
        <f t="shared" si="90"/>
        <v>26363.278894745075</v>
      </c>
      <c r="AW168" s="350">
        <f t="shared" si="90"/>
        <v>26363.278894745075</v>
      </c>
      <c r="AX168" s="350">
        <f t="shared" si="90"/>
        <v>26363.278894745075</v>
      </c>
      <c r="AY168" s="350">
        <f t="shared" si="90"/>
        <v>26363.278894745075</v>
      </c>
      <c r="AZ168" s="350">
        <f t="shared" si="90"/>
        <v>26363.278894745075</v>
      </c>
      <c r="BA168" s="350">
        <f t="shared" si="90"/>
        <v>26363.278894745075</v>
      </c>
      <c r="BB168" s="350">
        <f t="shared" si="90"/>
        <v>26363.278894745075</v>
      </c>
      <c r="BC168" s="350">
        <f t="shared" si="90"/>
        <v>28835.789981760503</v>
      </c>
      <c r="BD168" s="350">
        <f t="shared" si="90"/>
        <v>28835.789981760503</v>
      </c>
      <c r="BE168" s="350">
        <f t="shared" si="90"/>
        <v>28835.789981760503</v>
      </c>
      <c r="BF168" s="350">
        <f t="shared" si="90"/>
        <v>28835.789981760503</v>
      </c>
      <c r="BG168" s="350">
        <f t="shared" si="90"/>
        <v>28835.789981760503</v>
      </c>
      <c r="BH168" s="350">
        <f t="shared" si="90"/>
        <v>28835.789981760503</v>
      </c>
      <c r="BI168" s="350">
        <f t="shared" si="90"/>
        <v>28835.789981760503</v>
      </c>
      <c r="BJ168" s="350">
        <f t="shared" si="90"/>
        <v>28835.789981760503</v>
      </c>
      <c r="BK168" s="350">
        <f t="shared" si="90"/>
        <v>28835.789981760503</v>
      </c>
      <c r="BL168" s="350">
        <f t="shared" si="90"/>
        <v>28835.789981760503</v>
      </c>
      <c r="BM168" s="350">
        <f t="shared" si="90"/>
        <v>28835.789981760503</v>
      </c>
      <c r="BN168" s="350">
        <f t="shared" si="90"/>
        <v>9894095.2998272497</v>
      </c>
      <c r="BO168" s="350">
        <f t="shared" si="90"/>
        <v>0</v>
      </c>
      <c r="BP168" s="350">
        <f t="shared" si="90"/>
        <v>0</v>
      </c>
      <c r="BQ168" s="350">
        <f t="shared" si="90"/>
        <v>0</v>
      </c>
      <c r="BR168" s="350">
        <f t="shared" si="90"/>
        <v>0</v>
      </c>
      <c r="BS168" s="350">
        <f t="shared" ref="BS168:CX168" si="91">IF(BS165="","",MIN(BS165+BS166,MAX(BS160,0)*Equity_Share_LP_Monthly))</f>
        <v>0</v>
      </c>
      <c r="BT168" s="350">
        <f t="shared" si="91"/>
        <v>0</v>
      </c>
      <c r="BU168" s="350">
        <f t="shared" si="91"/>
        <v>0</v>
      </c>
      <c r="BV168" s="350">
        <f t="shared" si="91"/>
        <v>0</v>
      </c>
      <c r="BW168" s="350">
        <f t="shared" si="91"/>
        <v>0</v>
      </c>
      <c r="BX168" s="350">
        <f t="shared" si="91"/>
        <v>0</v>
      </c>
      <c r="BY168" s="350">
        <f t="shared" si="91"/>
        <v>0</v>
      </c>
      <c r="BZ168" s="350">
        <f t="shared" si="91"/>
        <v>0</v>
      </c>
      <c r="CA168" s="350">
        <f t="shared" si="91"/>
        <v>0</v>
      </c>
      <c r="CB168" s="350">
        <f t="shared" si="91"/>
        <v>0</v>
      </c>
      <c r="CC168" s="350">
        <f t="shared" si="91"/>
        <v>0</v>
      </c>
      <c r="CD168" s="350">
        <f t="shared" si="91"/>
        <v>0</v>
      </c>
      <c r="CE168" s="350">
        <f t="shared" si="91"/>
        <v>0</v>
      </c>
      <c r="CF168" s="350">
        <f t="shared" si="91"/>
        <v>0</v>
      </c>
      <c r="CG168" s="350">
        <f t="shared" si="91"/>
        <v>0</v>
      </c>
      <c r="CH168" s="350">
        <f t="shared" si="91"/>
        <v>0</v>
      </c>
      <c r="CI168" s="350">
        <f t="shared" si="91"/>
        <v>0</v>
      </c>
      <c r="CJ168" s="350">
        <f t="shared" si="91"/>
        <v>0</v>
      </c>
      <c r="CK168" s="350">
        <f t="shared" si="91"/>
        <v>0</v>
      </c>
      <c r="CL168" s="350">
        <f t="shared" si="91"/>
        <v>0</v>
      </c>
      <c r="CM168" s="350">
        <f t="shared" si="91"/>
        <v>0</v>
      </c>
      <c r="CN168" s="350">
        <f t="shared" si="91"/>
        <v>0</v>
      </c>
      <c r="CO168" s="350">
        <f t="shared" si="91"/>
        <v>0</v>
      </c>
      <c r="CP168" s="350">
        <f t="shared" si="91"/>
        <v>0</v>
      </c>
      <c r="CQ168" s="350">
        <f t="shared" si="91"/>
        <v>0</v>
      </c>
      <c r="CR168" s="350">
        <f t="shared" si="91"/>
        <v>0</v>
      </c>
      <c r="CS168" s="350">
        <f t="shared" si="91"/>
        <v>0</v>
      </c>
      <c r="CT168" s="350">
        <f t="shared" si="91"/>
        <v>0</v>
      </c>
      <c r="CU168" s="350">
        <f t="shared" si="91"/>
        <v>0</v>
      </c>
      <c r="CV168" s="350">
        <f t="shared" si="91"/>
        <v>0</v>
      </c>
      <c r="CW168" s="350">
        <f t="shared" si="91"/>
        <v>0</v>
      </c>
      <c r="CX168" s="350">
        <f t="shared" si="91"/>
        <v>0</v>
      </c>
      <c r="CY168" s="350">
        <f t="shared" ref="CY168:DV168" si="92">IF(CY165="","",MIN(CY165+CY166,MAX(CY160,0)*Equity_Share_LP_Monthly))</f>
        <v>0</v>
      </c>
      <c r="CZ168" s="350">
        <f t="shared" si="92"/>
        <v>0</v>
      </c>
      <c r="DA168" s="350">
        <f t="shared" si="92"/>
        <v>0</v>
      </c>
      <c r="DB168" s="350">
        <f t="shared" si="92"/>
        <v>0</v>
      </c>
      <c r="DC168" s="350">
        <f t="shared" si="92"/>
        <v>0</v>
      </c>
      <c r="DD168" s="350">
        <f t="shared" si="92"/>
        <v>0</v>
      </c>
      <c r="DE168" s="350">
        <f t="shared" si="92"/>
        <v>0</v>
      </c>
      <c r="DF168" s="350">
        <f t="shared" si="92"/>
        <v>0</v>
      </c>
      <c r="DG168" s="350">
        <f t="shared" si="92"/>
        <v>0</v>
      </c>
      <c r="DH168" s="350">
        <f t="shared" si="92"/>
        <v>0</v>
      </c>
      <c r="DI168" s="350">
        <f t="shared" si="92"/>
        <v>0</v>
      </c>
      <c r="DJ168" s="350">
        <f t="shared" si="92"/>
        <v>0</v>
      </c>
      <c r="DK168" s="350">
        <f t="shared" si="92"/>
        <v>0</v>
      </c>
      <c r="DL168" s="350">
        <f t="shared" si="92"/>
        <v>0</v>
      </c>
      <c r="DM168" s="350">
        <f t="shared" si="92"/>
        <v>0</v>
      </c>
      <c r="DN168" s="350">
        <f t="shared" si="92"/>
        <v>0</v>
      </c>
      <c r="DO168" s="350">
        <f t="shared" si="92"/>
        <v>0</v>
      </c>
      <c r="DP168" s="350">
        <f t="shared" si="92"/>
        <v>0</v>
      </c>
      <c r="DQ168" s="350">
        <f t="shared" si="92"/>
        <v>0</v>
      </c>
      <c r="DR168" s="350">
        <f t="shared" si="92"/>
        <v>0</v>
      </c>
      <c r="DS168" s="350">
        <f t="shared" si="92"/>
        <v>0</v>
      </c>
      <c r="DT168" s="350">
        <f t="shared" si="92"/>
        <v>0</v>
      </c>
      <c r="DU168" s="350">
        <f t="shared" si="92"/>
        <v>0</v>
      </c>
      <c r="DV168" s="350">
        <f t="shared" si="92"/>
        <v>0</v>
      </c>
      <c r="DW168" s="6"/>
      <c r="DX168" s="6"/>
      <c r="DY168" s="6"/>
      <c r="DZ168" s="6"/>
    </row>
    <row r="169" spans="1:130" ht="12.75" customHeight="1" outlineLevel="1" x14ac:dyDescent="0.25">
      <c r="A169" s="6"/>
      <c r="B169" s="6" t="s">
        <v>440</v>
      </c>
      <c r="C169" s="6"/>
      <c r="D169" s="6"/>
      <c r="E169" s="6"/>
      <c r="F169" s="350">
        <f>F165+F167-F168</f>
        <v>2045560.6845345572</v>
      </c>
      <c r="G169" s="350">
        <f t="shared" ref="G169:DV169" si="93">IF(G165="","",G165+G166+G167-G168)</f>
        <v>2602206.4310047771</v>
      </c>
      <c r="H169" s="350">
        <f t="shared" si="93"/>
        <v>3169213.2713404899</v>
      </c>
      <c r="I169" s="350">
        <f t="shared" si="93"/>
        <v>3752251.0188111076</v>
      </c>
      <c r="J169" s="350">
        <f t="shared" si="93"/>
        <v>4346504.0093298424</v>
      </c>
      <c r="K169" s="350">
        <f t="shared" si="93"/>
        <v>4954454.8737472761</v>
      </c>
      <c r="L169" s="350">
        <f t="shared" si="93"/>
        <v>5572309.3851417005</v>
      </c>
      <c r="M169" s="350">
        <f t="shared" si="93"/>
        <v>5809351.9818552453</v>
      </c>
      <c r="N169" s="350">
        <f t="shared" si="93"/>
        <v>5878721.0047105672</v>
      </c>
      <c r="O169" s="350">
        <f t="shared" si="93"/>
        <v>5946640.8968184777</v>
      </c>
      <c r="P169" s="350">
        <f t="shared" si="93"/>
        <v>6017649.2759926477</v>
      </c>
      <c r="Q169" s="350">
        <f t="shared" si="93"/>
        <v>6087174.2779856259</v>
      </c>
      <c r="R169" s="350">
        <f t="shared" si="93"/>
        <v>6159860.7553987335</v>
      </c>
      <c r="S169" s="350">
        <f t="shared" si="93"/>
        <v>6233415.1764187515</v>
      </c>
      <c r="T169" s="350">
        <f t="shared" si="93"/>
        <v>6303019.0854233485</v>
      </c>
      <c r="U169" s="350">
        <f t="shared" si="93"/>
        <v>6378282.9489936577</v>
      </c>
      <c r="V169" s="350">
        <f t="shared" si="93"/>
        <v>6451974.5375861842</v>
      </c>
      <c r="W169" s="350">
        <f t="shared" si="93"/>
        <v>6529017.066694024</v>
      </c>
      <c r="X169" s="350">
        <f t="shared" si="93"/>
        <v>6604450.1641969047</v>
      </c>
      <c r="Y169" s="350">
        <f t="shared" si="93"/>
        <v>6683313.3929731883</v>
      </c>
      <c r="Z169" s="350">
        <f t="shared" si="93"/>
        <v>6763118.3214668436</v>
      </c>
      <c r="AA169" s="350">
        <f t="shared" si="93"/>
        <v>6841256.1113600852</v>
      </c>
      <c r="AB169" s="350">
        <f t="shared" si="93"/>
        <v>6922947.0216423869</v>
      </c>
      <c r="AC169" s="350">
        <f t="shared" si="93"/>
        <v>7002931.3948422652</v>
      </c>
      <c r="AD169" s="350">
        <f t="shared" si="93"/>
        <v>7086552.8571844259</v>
      </c>
      <c r="AE169" s="350">
        <f t="shared" si="93"/>
        <v>7171172.8369430769</v>
      </c>
      <c r="AF169" s="350">
        <f t="shared" si="93"/>
        <v>7248471.9482368538</v>
      </c>
      <c r="AG169" s="350">
        <f t="shared" si="93"/>
        <v>7335025.3913427098</v>
      </c>
      <c r="AH169" s="350">
        <f t="shared" si="93"/>
        <v>7419770.7182241147</v>
      </c>
      <c r="AI169" s="350">
        <f t="shared" si="93"/>
        <v>7508369.6266981307</v>
      </c>
      <c r="AJ169" s="350">
        <f t="shared" si="93"/>
        <v>7595117.6888264436</v>
      </c>
      <c r="AK169" s="350">
        <f t="shared" si="93"/>
        <v>7680905.7072347663</v>
      </c>
      <c r="AL169" s="350">
        <f t="shared" si="93"/>
        <v>7759839.5391766746</v>
      </c>
      <c r="AM169" s="350">
        <f t="shared" si="93"/>
        <v>7828991.338964236</v>
      </c>
      <c r="AN169" s="350">
        <f t="shared" si="93"/>
        <v>7894096.5208887281</v>
      </c>
      <c r="AO169" s="350">
        <f t="shared" si="93"/>
        <v>7961338.9261637209</v>
      </c>
      <c r="AP169" s="350">
        <f t="shared" si="93"/>
        <v>8032442.5003727768</v>
      </c>
      <c r="AQ169" s="350">
        <f t="shared" si="93"/>
        <v>8101993.9963329155</v>
      </c>
      <c r="AR169" s="350">
        <f t="shared" si="93"/>
        <v>8162963.2849085452</v>
      </c>
      <c r="AS169" s="350">
        <f t="shared" si="93"/>
        <v>8234073.3194653867</v>
      </c>
      <c r="AT169" s="350">
        <f t="shared" si="93"/>
        <v>8302842.5312975505</v>
      </c>
      <c r="AU169" s="350">
        <f t="shared" si="93"/>
        <v>8375622.8531205188</v>
      </c>
      <c r="AV169" s="350">
        <f t="shared" si="93"/>
        <v>8446027.4596322533</v>
      </c>
      <c r="AW169" s="350">
        <f t="shared" si="93"/>
        <v>8520517.5416138787</v>
      </c>
      <c r="AX169" s="350">
        <f t="shared" si="93"/>
        <v>8595897.103905119</v>
      </c>
      <c r="AY169" s="350">
        <f t="shared" si="93"/>
        <v>8668846.6523073521</v>
      </c>
      <c r="AZ169" s="350">
        <f t="shared" si="93"/>
        <v>8745997.4010410625</v>
      </c>
      <c r="BA169" s="350">
        <f t="shared" si="93"/>
        <v>8820681.1354981661</v>
      </c>
      <c r="BB169" s="350">
        <f t="shared" si="93"/>
        <v>8899644.9280563146</v>
      </c>
      <c r="BC169" s="350">
        <f t="shared" si="93"/>
        <v>8977079.1100691631</v>
      </c>
      <c r="BD169" s="350">
        <f t="shared" si="93"/>
        <v>9045008.556820713</v>
      </c>
      <c r="BE169" s="350">
        <f t="shared" si="93"/>
        <v>9124178.5146855991</v>
      </c>
      <c r="BF169" s="350">
        <f t="shared" si="93"/>
        <v>9200759.059276307</v>
      </c>
      <c r="BG169" s="350">
        <f t="shared" si="93"/>
        <v>9281788.8218488991</v>
      </c>
      <c r="BH169" s="350">
        <f t="shared" si="93"/>
        <v>9360190.3195089977</v>
      </c>
      <c r="BI169" s="350">
        <f t="shared" si="93"/>
        <v>9443123.8384333272</v>
      </c>
      <c r="BJ169" s="350">
        <f t="shared" si="93"/>
        <v>9527047.6600949839</v>
      </c>
      <c r="BK169" s="350">
        <f t="shared" si="93"/>
        <v>9608282.7594549824</v>
      </c>
      <c r="BL169" s="350">
        <f t="shared" si="93"/>
        <v>9694178.7310230136</v>
      </c>
      <c r="BM169" s="350">
        <f t="shared" si="93"/>
        <v>9777344.7817406654</v>
      </c>
      <c r="BN169" s="350">
        <f t="shared" si="93"/>
        <v>0</v>
      </c>
      <c r="BO169" s="350">
        <f t="shared" si="93"/>
        <v>0</v>
      </c>
      <c r="BP169" s="350">
        <f t="shared" si="93"/>
        <v>0</v>
      </c>
      <c r="BQ169" s="350">
        <f t="shared" si="93"/>
        <v>0</v>
      </c>
      <c r="BR169" s="350">
        <f t="shared" si="93"/>
        <v>0</v>
      </c>
      <c r="BS169" s="350">
        <f t="shared" si="93"/>
        <v>0</v>
      </c>
      <c r="BT169" s="350">
        <f t="shared" si="93"/>
        <v>0</v>
      </c>
      <c r="BU169" s="350">
        <f t="shared" si="93"/>
        <v>0</v>
      </c>
      <c r="BV169" s="350">
        <f t="shared" si="93"/>
        <v>0</v>
      </c>
      <c r="BW169" s="350">
        <f t="shared" si="93"/>
        <v>0</v>
      </c>
      <c r="BX169" s="350">
        <f t="shared" si="93"/>
        <v>0</v>
      </c>
      <c r="BY169" s="350">
        <f t="shared" si="93"/>
        <v>0</v>
      </c>
      <c r="BZ169" s="350">
        <f t="shared" si="93"/>
        <v>0</v>
      </c>
      <c r="CA169" s="350">
        <f t="shared" si="93"/>
        <v>0</v>
      </c>
      <c r="CB169" s="350">
        <f t="shared" si="93"/>
        <v>0</v>
      </c>
      <c r="CC169" s="350">
        <f t="shared" si="93"/>
        <v>0</v>
      </c>
      <c r="CD169" s="350">
        <f t="shared" si="93"/>
        <v>0</v>
      </c>
      <c r="CE169" s="350">
        <f t="shared" si="93"/>
        <v>0</v>
      </c>
      <c r="CF169" s="350">
        <f t="shared" si="93"/>
        <v>0</v>
      </c>
      <c r="CG169" s="350">
        <f t="shared" si="93"/>
        <v>0</v>
      </c>
      <c r="CH169" s="350">
        <f t="shared" si="93"/>
        <v>0</v>
      </c>
      <c r="CI169" s="350">
        <f t="shared" si="93"/>
        <v>0</v>
      </c>
      <c r="CJ169" s="350">
        <f t="shared" si="93"/>
        <v>0</v>
      </c>
      <c r="CK169" s="350">
        <f t="shared" si="93"/>
        <v>0</v>
      </c>
      <c r="CL169" s="350">
        <f t="shared" si="93"/>
        <v>0</v>
      </c>
      <c r="CM169" s="350">
        <f t="shared" si="93"/>
        <v>0</v>
      </c>
      <c r="CN169" s="350">
        <f t="shared" si="93"/>
        <v>0</v>
      </c>
      <c r="CO169" s="350">
        <f t="shared" si="93"/>
        <v>0</v>
      </c>
      <c r="CP169" s="350">
        <f t="shared" si="93"/>
        <v>0</v>
      </c>
      <c r="CQ169" s="350">
        <f t="shared" si="93"/>
        <v>0</v>
      </c>
      <c r="CR169" s="350">
        <f t="shared" si="93"/>
        <v>0</v>
      </c>
      <c r="CS169" s="350">
        <f t="shared" si="93"/>
        <v>0</v>
      </c>
      <c r="CT169" s="350">
        <f t="shared" si="93"/>
        <v>0</v>
      </c>
      <c r="CU169" s="350">
        <f t="shared" si="93"/>
        <v>0</v>
      </c>
      <c r="CV169" s="350">
        <f t="shared" si="93"/>
        <v>0</v>
      </c>
      <c r="CW169" s="350">
        <f t="shared" si="93"/>
        <v>0</v>
      </c>
      <c r="CX169" s="350">
        <f t="shared" si="93"/>
        <v>0</v>
      </c>
      <c r="CY169" s="350">
        <f t="shared" si="93"/>
        <v>0</v>
      </c>
      <c r="CZ169" s="350">
        <f t="shared" si="93"/>
        <v>0</v>
      </c>
      <c r="DA169" s="350">
        <f t="shared" si="93"/>
        <v>0</v>
      </c>
      <c r="DB169" s="350">
        <f t="shared" si="93"/>
        <v>0</v>
      </c>
      <c r="DC169" s="350">
        <f t="shared" si="93"/>
        <v>0</v>
      </c>
      <c r="DD169" s="350">
        <f t="shared" si="93"/>
        <v>0</v>
      </c>
      <c r="DE169" s="350">
        <f t="shared" si="93"/>
        <v>0</v>
      </c>
      <c r="DF169" s="350">
        <f t="shared" si="93"/>
        <v>0</v>
      </c>
      <c r="DG169" s="350">
        <f t="shared" si="93"/>
        <v>0</v>
      </c>
      <c r="DH169" s="350">
        <f t="shared" si="93"/>
        <v>0</v>
      </c>
      <c r="DI169" s="350">
        <f t="shared" si="93"/>
        <v>0</v>
      </c>
      <c r="DJ169" s="350">
        <f t="shared" si="93"/>
        <v>0</v>
      </c>
      <c r="DK169" s="350">
        <f t="shared" si="93"/>
        <v>0</v>
      </c>
      <c r="DL169" s="350">
        <f t="shared" si="93"/>
        <v>0</v>
      </c>
      <c r="DM169" s="350">
        <f t="shared" si="93"/>
        <v>0</v>
      </c>
      <c r="DN169" s="350">
        <f t="shared" si="93"/>
        <v>0</v>
      </c>
      <c r="DO169" s="350">
        <f t="shared" si="93"/>
        <v>0</v>
      </c>
      <c r="DP169" s="350">
        <f t="shared" si="93"/>
        <v>0</v>
      </c>
      <c r="DQ169" s="350">
        <f t="shared" si="93"/>
        <v>0</v>
      </c>
      <c r="DR169" s="350">
        <f t="shared" si="93"/>
        <v>0</v>
      </c>
      <c r="DS169" s="350">
        <f t="shared" si="93"/>
        <v>0</v>
      </c>
      <c r="DT169" s="350">
        <f t="shared" si="93"/>
        <v>0</v>
      </c>
      <c r="DU169" s="350">
        <f t="shared" si="93"/>
        <v>0</v>
      </c>
      <c r="DV169" s="350">
        <f t="shared" si="93"/>
        <v>0</v>
      </c>
      <c r="DW169" s="6"/>
      <c r="DX169" s="6"/>
      <c r="DY169" s="6"/>
      <c r="DZ169" s="6"/>
    </row>
    <row r="170" spans="1:130" ht="12.75" customHeight="1" outlineLevel="1" x14ac:dyDescent="0.25">
      <c r="A170" s="6"/>
      <c r="B170" s="1256">
        <f>C164</f>
        <v>0.15</v>
      </c>
      <c r="C170" s="6"/>
      <c r="D170" s="6"/>
      <c r="E170" s="139">
        <f>XIRR(F170:DV170,F155:DV155)</f>
        <v>0.15000000596046451</v>
      </c>
      <c r="F170" s="350">
        <f t="shared" ref="F170:DV170" si="94">IF(F165="","",-F167+F168)</f>
        <v>-2045560.6845345572</v>
      </c>
      <c r="G170" s="350">
        <f t="shared" si="94"/>
        <v>-532219.86449222511</v>
      </c>
      <c r="H170" s="350">
        <f t="shared" si="94"/>
        <v>-538957.28009036742</v>
      </c>
      <c r="I170" s="350">
        <f t="shared" si="94"/>
        <v>-545194.41683070059</v>
      </c>
      <c r="J170" s="350">
        <f t="shared" si="94"/>
        <v>-550901.30157904211</v>
      </c>
      <c r="K170" s="350">
        <f t="shared" si="94"/>
        <v>-556049.59609943768</v>
      </c>
      <c r="L170" s="350">
        <f t="shared" si="94"/>
        <v>-560613.14202023717</v>
      </c>
      <c r="M170" s="350">
        <f t="shared" si="94"/>
        <v>-170504.08117822444</v>
      </c>
      <c r="N170" s="350">
        <f t="shared" si="94"/>
        <v>0</v>
      </c>
      <c r="O170" s="350">
        <f t="shared" si="94"/>
        <v>0</v>
      </c>
      <c r="P170" s="350">
        <f t="shared" si="94"/>
        <v>0</v>
      </c>
      <c r="Q170" s="350">
        <f t="shared" si="94"/>
        <v>0</v>
      </c>
      <c r="R170" s="350">
        <f t="shared" si="94"/>
        <v>0</v>
      </c>
      <c r="S170" s="350">
        <f t="shared" si="94"/>
        <v>0</v>
      </c>
      <c r="T170" s="350">
        <f t="shared" si="94"/>
        <v>0</v>
      </c>
      <c r="U170" s="350">
        <f t="shared" si="94"/>
        <v>0</v>
      </c>
      <c r="V170" s="350">
        <f t="shared" si="94"/>
        <v>0</v>
      </c>
      <c r="W170" s="350">
        <f t="shared" si="94"/>
        <v>0</v>
      </c>
      <c r="X170" s="350">
        <f t="shared" si="94"/>
        <v>0</v>
      </c>
      <c r="Y170" s="350">
        <f t="shared" si="94"/>
        <v>0</v>
      </c>
      <c r="Z170" s="350">
        <f t="shared" si="94"/>
        <v>0</v>
      </c>
      <c r="AA170" s="350">
        <f t="shared" si="94"/>
        <v>0</v>
      </c>
      <c r="AB170" s="350">
        <f t="shared" si="94"/>
        <v>0</v>
      </c>
      <c r="AC170" s="350">
        <f t="shared" si="94"/>
        <v>0</v>
      </c>
      <c r="AD170" s="350">
        <f t="shared" si="94"/>
        <v>0</v>
      </c>
      <c r="AE170" s="350">
        <f t="shared" si="94"/>
        <v>0</v>
      </c>
      <c r="AF170" s="350">
        <f t="shared" si="94"/>
        <v>0</v>
      </c>
      <c r="AG170" s="350">
        <f t="shared" si="94"/>
        <v>0</v>
      </c>
      <c r="AH170" s="350">
        <f t="shared" si="94"/>
        <v>0</v>
      </c>
      <c r="AI170" s="350">
        <f t="shared" si="94"/>
        <v>0</v>
      </c>
      <c r="AJ170" s="350">
        <f t="shared" si="94"/>
        <v>0</v>
      </c>
      <c r="AK170" s="350">
        <f t="shared" si="94"/>
        <v>4904.6946844035401</v>
      </c>
      <c r="AL170" s="350">
        <f t="shared" si="94"/>
        <v>12783.26924578376</v>
      </c>
      <c r="AM170" s="350">
        <f t="shared" si="94"/>
        <v>20501.6237808068</v>
      </c>
      <c r="AN170" s="350">
        <f t="shared" si="94"/>
        <v>28380.198342187021</v>
      </c>
      <c r="AO170" s="350">
        <f t="shared" si="94"/>
        <v>23962.15836369152</v>
      </c>
      <c r="AP170" s="350">
        <f t="shared" si="94"/>
        <v>23962.15836369152</v>
      </c>
      <c r="AQ170" s="350">
        <f t="shared" si="94"/>
        <v>26363.278894745075</v>
      </c>
      <c r="AR170" s="350">
        <f t="shared" si="94"/>
        <v>26363.278894745075</v>
      </c>
      <c r="AS170" s="350">
        <f t="shared" si="94"/>
        <v>26363.278894745075</v>
      </c>
      <c r="AT170" s="350">
        <f t="shared" si="94"/>
        <v>26363.278894745075</v>
      </c>
      <c r="AU170" s="350">
        <f t="shared" si="94"/>
        <v>26363.278894745075</v>
      </c>
      <c r="AV170" s="350">
        <f t="shared" si="94"/>
        <v>26363.278894745075</v>
      </c>
      <c r="AW170" s="350">
        <f t="shared" si="94"/>
        <v>26363.278894745075</v>
      </c>
      <c r="AX170" s="350">
        <f t="shared" si="94"/>
        <v>26363.278894745075</v>
      </c>
      <c r="AY170" s="350">
        <f t="shared" si="94"/>
        <v>26363.278894745075</v>
      </c>
      <c r="AZ170" s="350">
        <f t="shared" si="94"/>
        <v>26363.278894745075</v>
      </c>
      <c r="BA170" s="350">
        <f t="shared" si="94"/>
        <v>26363.278894745075</v>
      </c>
      <c r="BB170" s="350">
        <f t="shared" si="94"/>
        <v>26363.278894745075</v>
      </c>
      <c r="BC170" s="350">
        <f t="shared" si="94"/>
        <v>28835.789981760503</v>
      </c>
      <c r="BD170" s="350">
        <f t="shared" si="94"/>
        <v>28835.789981760503</v>
      </c>
      <c r="BE170" s="350">
        <f t="shared" si="94"/>
        <v>28835.789981760503</v>
      </c>
      <c r="BF170" s="350">
        <f t="shared" si="94"/>
        <v>28835.789981760503</v>
      </c>
      <c r="BG170" s="350">
        <f t="shared" si="94"/>
        <v>28835.789981760503</v>
      </c>
      <c r="BH170" s="350">
        <f t="shared" si="94"/>
        <v>28835.789981760503</v>
      </c>
      <c r="BI170" s="350">
        <f t="shared" si="94"/>
        <v>28835.789981760503</v>
      </c>
      <c r="BJ170" s="350">
        <f t="shared" si="94"/>
        <v>28835.789981760503</v>
      </c>
      <c r="BK170" s="350">
        <f t="shared" si="94"/>
        <v>28835.789981760503</v>
      </c>
      <c r="BL170" s="350">
        <f t="shared" si="94"/>
        <v>28835.789981760503</v>
      </c>
      <c r="BM170" s="350">
        <f t="shared" si="94"/>
        <v>28835.789981760503</v>
      </c>
      <c r="BN170" s="350">
        <f t="shared" si="94"/>
        <v>9894095.2998272497</v>
      </c>
      <c r="BO170" s="350">
        <f t="shared" si="94"/>
        <v>0</v>
      </c>
      <c r="BP170" s="350">
        <f t="shared" si="94"/>
        <v>0</v>
      </c>
      <c r="BQ170" s="350">
        <f t="shared" si="94"/>
        <v>0</v>
      </c>
      <c r="BR170" s="350">
        <f t="shared" si="94"/>
        <v>0</v>
      </c>
      <c r="BS170" s="350">
        <f t="shared" si="94"/>
        <v>0</v>
      </c>
      <c r="BT170" s="350">
        <f t="shared" si="94"/>
        <v>0</v>
      </c>
      <c r="BU170" s="350">
        <f t="shared" si="94"/>
        <v>0</v>
      </c>
      <c r="BV170" s="350">
        <f t="shared" si="94"/>
        <v>0</v>
      </c>
      <c r="BW170" s="350">
        <f t="shared" si="94"/>
        <v>0</v>
      </c>
      <c r="BX170" s="350">
        <f t="shared" si="94"/>
        <v>0</v>
      </c>
      <c r="BY170" s="350">
        <f t="shared" si="94"/>
        <v>0</v>
      </c>
      <c r="BZ170" s="350">
        <f t="shared" si="94"/>
        <v>0</v>
      </c>
      <c r="CA170" s="350">
        <f t="shared" si="94"/>
        <v>0</v>
      </c>
      <c r="CB170" s="350">
        <f t="shared" si="94"/>
        <v>0</v>
      </c>
      <c r="CC170" s="350">
        <f t="shared" si="94"/>
        <v>0</v>
      </c>
      <c r="CD170" s="350">
        <f t="shared" si="94"/>
        <v>0</v>
      </c>
      <c r="CE170" s="350">
        <f t="shared" si="94"/>
        <v>0</v>
      </c>
      <c r="CF170" s="350">
        <f t="shared" si="94"/>
        <v>0</v>
      </c>
      <c r="CG170" s="350">
        <f t="shared" si="94"/>
        <v>0</v>
      </c>
      <c r="CH170" s="350">
        <f t="shared" si="94"/>
        <v>0</v>
      </c>
      <c r="CI170" s="350">
        <f t="shared" si="94"/>
        <v>0</v>
      </c>
      <c r="CJ170" s="350">
        <f t="shared" si="94"/>
        <v>0</v>
      </c>
      <c r="CK170" s="350">
        <f t="shared" si="94"/>
        <v>0</v>
      </c>
      <c r="CL170" s="350">
        <f t="shared" si="94"/>
        <v>0</v>
      </c>
      <c r="CM170" s="350">
        <f t="shared" si="94"/>
        <v>0</v>
      </c>
      <c r="CN170" s="350">
        <f t="shared" si="94"/>
        <v>0</v>
      </c>
      <c r="CO170" s="350">
        <f t="shared" si="94"/>
        <v>0</v>
      </c>
      <c r="CP170" s="350">
        <f t="shared" si="94"/>
        <v>0</v>
      </c>
      <c r="CQ170" s="350">
        <f t="shared" si="94"/>
        <v>0</v>
      </c>
      <c r="CR170" s="350">
        <f t="shared" si="94"/>
        <v>0</v>
      </c>
      <c r="CS170" s="350">
        <f t="shared" si="94"/>
        <v>0</v>
      </c>
      <c r="CT170" s="350">
        <f t="shared" si="94"/>
        <v>0</v>
      </c>
      <c r="CU170" s="350">
        <f t="shared" si="94"/>
        <v>0</v>
      </c>
      <c r="CV170" s="350">
        <f t="shared" si="94"/>
        <v>0</v>
      </c>
      <c r="CW170" s="350">
        <f t="shared" si="94"/>
        <v>0</v>
      </c>
      <c r="CX170" s="350">
        <f t="shared" si="94"/>
        <v>0</v>
      </c>
      <c r="CY170" s="350">
        <f t="shared" si="94"/>
        <v>0</v>
      </c>
      <c r="CZ170" s="350">
        <f t="shared" si="94"/>
        <v>0</v>
      </c>
      <c r="DA170" s="350">
        <f t="shared" si="94"/>
        <v>0</v>
      </c>
      <c r="DB170" s="350">
        <f t="shared" si="94"/>
        <v>0</v>
      </c>
      <c r="DC170" s="350">
        <f t="shared" si="94"/>
        <v>0</v>
      </c>
      <c r="DD170" s="350">
        <f t="shared" si="94"/>
        <v>0</v>
      </c>
      <c r="DE170" s="350">
        <f t="shared" si="94"/>
        <v>0</v>
      </c>
      <c r="DF170" s="350">
        <f t="shared" si="94"/>
        <v>0</v>
      </c>
      <c r="DG170" s="350">
        <f t="shared" si="94"/>
        <v>0</v>
      </c>
      <c r="DH170" s="350">
        <f t="shared" si="94"/>
        <v>0</v>
      </c>
      <c r="DI170" s="350">
        <f t="shared" si="94"/>
        <v>0</v>
      </c>
      <c r="DJ170" s="350">
        <f t="shared" si="94"/>
        <v>0</v>
      </c>
      <c r="DK170" s="350">
        <f t="shared" si="94"/>
        <v>0</v>
      </c>
      <c r="DL170" s="350">
        <f t="shared" si="94"/>
        <v>0</v>
      </c>
      <c r="DM170" s="350">
        <f t="shared" si="94"/>
        <v>0</v>
      </c>
      <c r="DN170" s="350">
        <f t="shared" si="94"/>
        <v>0</v>
      </c>
      <c r="DO170" s="350">
        <f t="shared" si="94"/>
        <v>0</v>
      </c>
      <c r="DP170" s="350">
        <f t="shared" si="94"/>
        <v>0</v>
      </c>
      <c r="DQ170" s="350">
        <f t="shared" si="94"/>
        <v>0</v>
      </c>
      <c r="DR170" s="350">
        <f t="shared" si="94"/>
        <v>0</v>
      </c>
      <c r="DS170" s="350">
        <f t="shared" si="94"/>
        <v>0</v>
      </c>
      <c r="DT170" s="350">
        <f t="shared" si="94"/>
        <v>0</v>
      </c>
      <c r="DU170" s="350">
        <f t="shared" si="94"/>
        <v>0</v>
      </c>
      <c r="DV170" s="350">
        <f t="shared" si="94"/>
        <v>0</v>
      </c>
      <c r="DW170" s="6"/>
      <c r="DX170" s="6"/>
      <c r="DY170" s="6"/>
      <c r="DZ170" s="6"/>
    </row>
    <row r="171" spans="1:130" ht="12.75" customHeight="1" outlineLevel="1" x14ac:dyDescent="0.25">
      <c r="A171" s="6"/>
      <c r="B171" s="271" t="s">
        <v>447</v>
      </c>
      <c r="C171" s="271" t="s">
        <v>447</v>
      </c>
      <c r="D171" s="271" t="s">
        <v>447</v>
      </c>
      <c r="E171" s="271" t="s">
        <v>447</v>
      </c>
      <c r="F171" s="1172" t="str">
        <f t="shared" ref="F171:DV171" si="95">IF(F165="","",".")</f>
        <v>.</v>
      </c>
      <c r="G171" s="1172" t="str">
        <f t="shared" si="95"/>
        <v>.</v>
      </c>
      <c r="H171" s="1172" t="str">
        <f t="shared" si="95"/>
        <v>.</v>
      </c>
      <c r="I171" s="1172" t="str">
        <f t="shared" si="95"/>
        <v>.</v>
      </c>
      <c r="J171" s="1172" t="str">
        <f t="shared" si="95"/>
        <v>.</v>
      </c>
      <c r="K171" s="1172" t="str">
        <f t="shared" si="95"/>
        <v>.</v>
      </c>
      <c r="L171" s="1172" t="str">
        <f t="shared" si="95"/>
        <v>.</v>
      </c>
      <c r="M171" s="1172" t="str">
        <f t="shared" si="95"/>
        <v>.</v>
      </c>
      <c r="N171" s="1172" t="str">
        <f t="shared" si="95"/>
        <v>.</v>
      </c>
      <c r="O171" s="1172" t="str">
        <f t="shared" si="95"/>
        <v>.</v>
      </c>
      <c r="P171" s="1172" t="str">
        <f t="shared" si="95"/>
        <v>.</v>
      </c>
      <c r="Q171" s="1172" t="str">
        <f t="shared" si="95"/>
        <v>.</v>
      </c>
      <c r="R171" s="1172" t="str">
        <f t="shared" si="95"/>
        <v>.</v>
      </c>
      <c r="S171" s="1172" t="str">
        <f t="shared" si="95"/>
        <v>.</v>
      </c>
      <c r="T171" s="1172" t="str">
        <f t="shared" si="95"/>
        <v>.</v>
      </c>
      <c r="U171" s="1172" t="str">
        <f t="shared" si="95"/>
        <v>.</v>
      </c>
      <c r="V171" s="1172" t="str">
        <f t="shared" si="95"/>
        <v>.</v>
      </c>
      <c r="W171" s="1172" t="str">
        <f t="shared" si="95"/>
        <v>.</v>
      </c>
      <c r="X171" s="1172" t="str">
        <f t="shared" si="95"/>
        <v>.</v>
      </c>
      <c r="Y171" s="1172" t="str">
        <f t="shared" si="95"/>
        <v>.</v>
      </c>
      <c r="Z171" s="1172" t="str">
        <f t="shared" si="95"/>
        <v>.</v>
      </c>
      <c r="AA171" s="1172" t="str">
        <f t="shared" si="95"/>
        <v>.</v>
      </c>
      <c r="AB171" s="1172" t="str">
        <f t="shared" si="95"/>
        <v>.</v>
      </c>
      <c r="AC171" s="1172" t="str">
        <f t="shared" si="95"/>
        <v>.</v>
      </c>
      <c r="AD171" s="1172" t="str">
        <f t="shared" si="95"/>
        <v>.</v>
      </c>
      <c r="AE171" s="1172" t="str">
        <f t="shared" si="95"/>
        <v>.</v>
      </c>
      <c r="AF171" s="1172" t="str">
        <f t="shared" si="95"/>
        <v>.</v>
      </c>
      <c r="AG171" s="1172" t="str">
        <f t="shared" si="95"/>
        <v>.</v>
      </c>
      <c r="AH171" s="1172" t="str">
        <f t="shared" si="95"/>
        <v>.</v>
      </c>
      <c r="AI171" s="1172" t="str">
        <f t="shared" si="95"/>
        <v>.</v>
      </c>
      <c r="AJ171" s="1172" t="str">
        <f t="shared" si="95"/>
        <v>.</v>
      </c>
      <c r="AK171" s="1172" t="str">
        <f t="shared" si="95"/>
        <v>.</v>
      </c>
      <c r="AL171" s="1172" t="str">
        <f t="shared" si="95"/>
        <v>.</v>
      </c>
      <c r="AM171" s="1172" t="str">
        <f t="shared" si="95"/>
        <v>.</v>
      </c>
      <c r="AN171" s="1172" t="str">
        <f t="shared" si="95"/>
        <v>.</v>
      </c>
      <c r="AO171" s="1172" t="str">
        <f t="shared" si="95"/>
        <v>.</v>
      </c>
      <c r="AP171" s="1172" t="str">
        <f t="shared" si="95"/>
        <v>.</v>
      </c>
      <c r="AQ171" s="1172" t="str">
        <f t="shared" si="95"/>
        <v>.</v>
      </c>
      <c r="AR171" s="1172" t="str">
        <f t="shared" si="95"/>
        <v>.</v>
      </c>
      <c r="AS171" s="1172" t="str">
        <f t="shared" si="95"/>
        <v>.</v>
      </c>
      <c r="AT171" s="1172" t="str">
        <f t="shared" si="95"/>
        <v>.</v>
      </c>
      <c r="AU171" s="1172" t="str">
        <f t="shared" si="95"/>
        <v>.</v>
      </c>
      <c r="AV171" s="1172" t="str">
        <f t="shared" si="95"/>
        <v>.</v>
      </c>
      <c r="AW171" s="1172" t="str">
        <f t="shared" si="95"/>
        <v>.</v>
      </c>
      <c r="AX171" s="1172" t="str">
        <f t="shared" si="95"/>
        <v>.</v>
      </c>
      <c r="AY171" s="1172" t="str">
        <f t="shared" si="95"/>
        <v>.</v>
      </c>
      <c r="AZ171" s="1172" t="str">
        <f t="shared" si="95"/>
        <v>.</v>
      </c>
      <c r="BA171" s="1172" t="str">
        <f t="shared" si="95"/>
        <v>.</v>
      </c>
      <c r="BB171" s="1172" t="str">
        <f t="shared" si="95"/>
        <v>.</v>
      </c>
      <c r="BC171" s="1172" t="str">
        <f t="shared" si="95"/>
        <v>.</v>
      </c>
      <c r="BD171" s="1172" t="str">
        <f t="shared" si="95"/>
        <v>.</v>
      </c>
      <c r="BE171" s="1172" t="str">
        <f t="shared" si="95"/>
        <v>.</v>
      </c>
      <c r="BF171" s="1172" t="str">
        <f t="shared" si="95"/>
        <v>.</v>
      </c>
      <c r="BG171" s="1172" t="str">
        <f t="shared" si="95"/>
        <v>.</v>
      </c>
      <c r="BH171" s="1172" t="str">
        <f t="shared" si="95"/>
        <v>.</v>
      </c>
      <c r="BI171" s="1172" t="str">
        <f t="shared" si="95"/>
        <v>.</v>
      </c>
      <c r="BJ171" s="1172" t="str">
        <f t="shared" si="95"/>
        <v>.</v>
      </c>
      <c r="BK171" s="1172" t="str">
        <f t="shared" si="95"/>
        <v>.</v>
      </c>
      <c r="BL171" s="1172" t="str">
        <f t="shared" si="95"/>
        <v>.</v>
      </c>
      <c r="BM171" s="1172" t="str">
        <f t="shared" si="95"/>
        <v>.</v>
      </c>
      <c r="BN171" s="1172" t="str">
        <f t="shared" si="95"/>
        <v>.</v>
      </c>
      <c r="BO171" s="1172" t="str">
        <f t="shared" si="95"/>
        <v>.</v>
      </c>
      <c r="BP171" s="1172" t="str">
        <f t="shared" si="95"/>
        <v>.</v>
      </c>
      <c r="BQ171" s="1172" t="str">
        <f t="shared" si="95"/>
        <v>.</v>
      </c>
      <c r="BR171" s="1172" t="str">
        <f t="shared" si="95"/>
        <v>.</v>
      </c>
      <c r="BS171" s="1172" t="str">
        <f t="shared" si="95"/>
        <v>.</v>
      </c>
      <c r="BT171" s="1172" t="str">
        <f t="shared" si="95"/>
        <v>.</v>
      </c>
      <c r="BU171" s="1172" t="str">
        <f t="shared" si="95"/>
        <v>.</v>
      </c>
      <c r="BV171" s="1172" t="str">
        <f t="shared" si="95"/>
        <v>.</v>
      </c>
      <c r="BW171" s="1172" t="str">
        <f t="shared" si="95"/>
        <v>.</v>
      </c>
      <c r="BX171" s="1172" t="str">
        <f t="shared" si="95"/>
        <v>.</v>
      </c>
      <c r="BY171" s="1172" t="str">
        <f t="shared" si="95"/>
        <v>.</v>
      </c>
      <c r="BZ171" s="1172" t="str">
        <f t="shared" si="95"/>
        <v>.</v>
      </c>
      <c r="CA171" s="1172" t="str">
        <f t="shared" si="95"/>
        <v>.</v>
      </c>
      <c r="CB171" s="1172" t="str">
        <f t="shared" si="95"/>
        <v>.</v>
      </c>
      <c r="CC171" s="1172" t="str">
        <f t="shared" si="95"/>
        <v>.</v>
      </c>
      <c r="CD171" s="1172" t="str">
        <f t="shared" si="95"/>
        <v>.</v>
      </c>
      <c r="CE171" s="1172" t="str">
        <f t="shared" si="95"/>
        <v>.</v>
      </c>
      <c r="CF171" s="1172" t="str">
        <f t="shared" si="95"/>
        <v>.</v>
      </c>
      <c r="CG171" s="1172" t="str">
        <f t="shared" si="95"/>
        <v>.</v>
      </c>
      <c r="CH171" s="1172" t="str">
        <f t="shared" si="95"/>
        <v>.</v>
      </c>
      <c r="CI171" s="1172" t="str">
        <f t="shared" si="95"/>
        <v>.</v>
      </c>
      <c r="CJ171" s="1172" t="str">
        <f t="shared" si="95"/>
        <v>.</v>
      </c>
      <c r="CK171" s="1172" t="str">
        <f t="shared" si="95"/>
        <v>.</v>
      </c>
      <c r="CL171" s="1172" t="str">
        <f t="shared" si="95"/>
        <v>.</v>
      </c>
      <c r="CM171" s="1172" t="str">
        <f t="shared" si="95"/>
        <v>.</v>
      </c>
      <c r="CN171" s="1172" t="str">
        <f t="shared" si="95"/>
        <v>.</v>
      </c>
      <c r="CO171" s="1172" t="str">
        <f t="shared" si="95"/>
        <v>.</v>
      </c>
      <c r="CP171" s="1172" t="str">
        <f t="shared" si="95"/>
        <v>.</v>
      </c>
      <c r="CQ171" s="1172" t="str">
        <f t="shared" si="95"/>
        <v>.</v>
      </c>
      <c r="CR171" s="1172" t="str">
        <f t="shared" si="95"/>
        <v>.</v>
      </c>
      <c r="CS171" s="1172" t="str">
        <f t="shared" si="95"/>
        <v>.</v>
      </c>
      <c r="CT171" s="1172" t="str">
        <f t="shared" si="95"/>
        <v>.</v>
      </c>
      <c r="CU171" s="1172" t="str">
        <f t="shared" si="95"/>
        <v>.</v>
      </c>
      <c r="CV171" s="1172" t="str">
        <f t="shared" si="95"/>
        <v>.</v>
      </c>
      <c r="CW171" s="1172" t="str">
        <f t="shared" si="95"/>
        <v>.</v>
      </c>
      <c r="CX171" s="1172" t="str">
        <f t="shared" si="95"/>
        <v>.</v>
      </c>
      <c r="CY171" s="1172" t="str">
        <f t="shared" si="95"/>
        <v>.</v>
      </c>
      <c r="CZ171" s="1172" t="str">
        <f t="shared" si="95"/>
        <v>.</v>
      </c>
      <c r="DA171" s="1172" t="str">
        <f t="shared" si="95"/>
        <v>.</v>
      </c>
      <c r="DB171" s="1172" t="str">
        <f t="shared" si="95"/>
        <v>.</v>
      </c>
      <c r="DC171" s="1172" t="str">
        <f t="shared" si="95"/>
        <v>.</v>
      </c>
      <c r="DD171" s="1172" t="str">
        <f t="shared" si="95"/>
        <v>.</v>
      </c>
      <c r="DE171" s="1172" t="str">
        <f t="shared" si="95"/>
        <v>.</v>
      </c>
      <c r="DF171" s="1172" t="str">
        <f t="shared" si="95"/>
        <v>.</v>
      </c>
      <c r="DG171" s="1172" t="str">
        <f t="shared" si="95"/>
        <v>.</v>
      </c>
      <c r="DH171" s="1172" t="str">
        <f t="shared" si="95"/>
        <v>.</v>
      </c>
      <c r="DI171" s="1172" t="str">
        <f t="shared" si="95"/>
        <v>.</v>
      </c>
      <c r="DJ171" s="1172" t="str">
        <f t="shared" si="95"/>
        <v>.</v>
      </c>
      <c r="DK171" s="1172" t="str">
        <f t="shared" si="95"/>
        <v>.</v>
      </c>
      <c r="DL171" s="1172" t="str">
        <f t="shared" si="95"/>
        <v>.</v>
      </c>
      <c r="DM171" s="1172" t="str">
        <f t="shared" si="95"/>
        <v>.</v>
      </c>
      <c r="DN171" s="1172" t="str">
        <f t="shared" si="95"/>
        <v>.</v>
      </c>
      <c r="DO171" s="1172" t="str">
        <f t="shared" si="95"/>
        <v>.</v>
      </c>
      <c r="DP171" s="1172" t="str">
        <f t="shared" si="95"/>
        <v>.</v>
      </c>
      <c r="DQ171" s="1172" t="str">
        <f t="shared" si="95"/>
        <v>.</v>
      </c>
      <c r="DR171" s="1172" t="str">
        <f t="shared" si="95"/>
        <v>.</v>
      </c>
      <c r="DS171" s="1172" t="str">
        <f t="shared" si="95"/>
        <v>.</v>
      </c>
      <c r="DT171" s="1172" t="str">
        <f t="shared" si="95"/>
        <v>.</v>
      </c>
      <c r="DU171" s="1172" t="str">
        <f t="shared" si="95"/>
        <v>.</v>
      </c>
      <c r="DV171" s="1172" t="str">
        <f t="shared" si="95"/>
        <v>.</v>
      </c>
      <c r="DW171" s="6"/>
      <c r="DX171" s="6"/>
      <c r="DY171" s="6"/>
      <c r="DZ171" s="6"/>
    </row>
    <row r="172" spans="1:130" ht="12.75" customHeight="1" outlineLevel="1" x14ac:dyDescent="0.25">
      <c r="A172" s="6"/>
      <c r="B172" s="6" t="s">
        <v>441</v>
      </c>
      <c r="C172" s="6"/>
      <c r="D172" s="6"/>
      <c r="E172" s="6"/>
      <c r="F172" s="350">
        <f t="shared" ref="F172:DV172" si="96">F168</f>
        <v>0</v>
      </c>
      <c r="G172" s="350">
        <f t="shared" si="96"/>
        <v>0</v>
      </c>
      <c r="H172" s="350">
        <f t="shared" si="96"/>
        <v>0</v>
      </c>
      <c r="I172" s="350">
        <f t="shared" si="96"/>
        <v>0</v>
      </c>
      <c r="J172" s="350">
        <f t="shared" si="96"/>
        <v>0</v>
      </c>
      <c r="K172" s="350">
        <f t="shared" si="96"/>
        <v>0</v>
      </c>
      <c r="L172" s="350">
        <f t="shared" si="96"/>
        <v>0</v>
      </c>
      <c r="M172" s="350">
        <f t="shared" si="96"/>
        <v>0</v>
      </c>
      <c r="N172" s="350">
        <f t="shared" si="96"/>
        <v>0</v>
      </c>
      <c r="O172" s="350">
        <f t="shared" si="96"/>
        <v>0</v>
      </c>
      <c r="P172" s="350">
        <f t="shared" si="96"/>
        <v>0</v>
      </c>
      <c r="Q172" s="350">
        <f t="shared" si="96"/>
        <v>0</v>
      </c>
      <c r="R172" s="350">
        <f t="shared" si="96"/>
        <v>0</v>
      </c>
      <c r="S172" s="350">
        <f t="shared" si="96"/>
        <v>0</v>
      </c>
      <c r="T172" s="350">
        <f t="shared" si="96"/>
        <v>0</v>
      </c>
      <c r="U172" s="350">
        <f t="shared" si="96"/>
        <v>0</v>
      </c>
      <c r="V172" s="350">
        <f t="shared" si="96"/>
        <v>0</v>
      </c>
      <c r="W172" s="350">
        <f t="shared" si="96"/>
        <v>0</v>
      </c>
      <c r="X172" s="350">
        <f t="shared" si="96"/>
        <v>0</v>
      </c>
      <c r="Y172" s="350">
        <f t="shared" si="96"/>
        <v>0</v>
      </c>
      <c r="Z172" s="350">
        <f t="shared" si="96"/>
        <v>0</v>
      </c>
      <c r="AA172" s="350">
        <f t="shared" si="96"/>
        <v>0</v>
      </c>
      <c r="AB172" s="350">
        <f t="shared" si="96"/>
        <v>0</v>
      </c>
      <c r="AC172" s="350">
        <f t="shared" si="96"/>
        <v>0</v>
      </c>
      <c r="AD172" s="350">
        <f t="shared" si="96"/>
        <v>0</v>
      </c>
      <c r="AE172" s="350">
        <f t="shared" si="96"/>
        <v>0</v>
      </c>
      <c r="AF172" s="350">
        <f t="shared" si="96"/>
        <v>0</v>
      </c>
      <c r="AG172" s="350">
        <f t="shared" si="96"/>
        <v>0</v>
      </c>
      <c r="AH172" s="350">
        <f t="shared" si="96"/>
        <v>0</v>
      </c>
      <c r="AI172" s="350">
        <f t="shared" si="96"/>
        <v>0</v>
      </c>
      <c r="AJ172" s="350">
        <f t="shared" si="96"/>
        <v>0</v>
      </c>
      <c r="AK172" s="350">
        <f t="shared" si="96"/>
        <v>4904.6946844035401</v>
      </c>
      <c r="AL172" s="350">
        <f t="shared" si="96"/>
        <v>12783.26924578376</v>
      </c>
      <c r="AM172" s="350">
        <f t="shared" si="96"/>
        <v>20501.6237808068</v>
      </c>
      <c r="AN172" s="350">
        <f t="shared" si="96"/>
        <v>28380.198342187021</v>
      </c>
      <c r="AO172" s="350">
        <f t="shared" si="96"/>
        <v>23962.15836369152</v>
      </c>
      <c r="AP172" s="350">
        <f t="shared" si="96"/>
        <v>23962.15836369152</v>
      </c>
      <c r="AQ172" s="350">
        <f t="shared" si="96"/>
        <v>26363.278894745075</v>
      </c>
      <c r="AR172" s="350">
        <f t="shared" si="96"/>
        <v>26363.278894745075</v>
      </c>
      <c r="AS172" s="350">
        <f t="shared" si="96"/>
        <v>26363.278894745075</v>
      </c>
      <c r="AT172" s="350">
        <f t="shared" si="96"/>
        <v>26363.278894745075</v>
      </c>
      <c r="AU172" s="350">
        <f t="shared" si="96"/>
        <v>26363.278894745075</v>
      </c>
      <c r="AV172" s="350">
        <f t="shared" si="96"/>
        <v>26363.278894745075</v>
      </c>
      <c r="AW172" s="350">
        <f t="shared" si="96"/>
        <v>26363.278894745075</v>
      </c>
      <c r="AX172" s="350">
        <f t="shared" si="96"/>
        <v>26363.278894745075</v>
      </c>
      <c r="AY172" s="350">
        <f t="shared" si="96"/>
        <v>26363.278894745075</v>
      </c>
      <c r="AZ172" s="350">
        <f t="shared" si="96"/>
        <v>26363.278894745075</v>
      </c>
      <c r="BA172" s="350">
        <f t="shared" si="96"/>
        <v>26363.278894745075</v>
      </c>
      <c r="BB172" s="350">
        <f t="shared" si="96"/>
        <v>26363.278894745075</v>
      </c>
      <c r="BC172" s="350">
        <f t="shared" si="96"/>
        <v>28835.789981760503</v>
      </c>
      <c r="BD172" s="350">
        <f t="shared" si="96"/>
        <v>28835.789981760503</v>
      </c>
      <c r="BE172" s="350">
        <f t="shared" si="96"/>
        <v>28835.789981760503</v>
      </c>
      <c r="BF172" s="350">
        <f t="shared" si="96"/>
        <v>28835.789981760503</v>
      </c>
      <c r="BG172" s="350">
        <f t="shared" si="96"/>
        <v>28835.789981760503</v>
      </c>
      <c r="BH172" s="350">
        <f t="shared" si="96"/>
        <v>28835.789981760503</v>
      </c>
      <c r="BI172" s="350">
        <f t="shared" si="96"/>
        <v>28835.789981760503</v>
      </c>
      <c r="BJ172" s="350">
        <f t="shared" si="96"/>
        <v>28835.789981760503</v>
      </c>
      <c r="BK172" s="350">
        <f t="shared" si="96"/>
        <v>28835.789981760503</v>
      </c>
      <c r="BL172" s="350">
        <f t="shared" si="96"/>
        <v>28835.789981760503</v>
      </c>
      <c r="BM172" s="350">
        <f t="shared" si="96"/>
        <v>28835.789981760503</v>
      </c>
      <c r="BN172" s="350">
        <f t="shared" si="96"/>
        <v>9894095.2998272497</v>
      </c>
      <c r="BO172" s="350">
        <f t="shared" si="96"/>
        <v>0</v>
      </c>
      <c r="BP172" s="350">
        <f t="shared" si="96"/>
        <v>0</v>
      </c>
      <c r="BQ172" s="350">
        <f t="shared" si="96"/>
        <v>0</v>
      </c>
      <c r="BR172" s="350">
        <f t="shared" si="96"/>
        <v>0</v>
      </c>
      <c r="BS172" s="350">
        <f t="shared" si="96"/>
        <v>0</v>
      </c>
      <c r="BT172" s="350">
        <f t="shared" si="96"/>
        <v>0</v>
      </c>
      <c r="BU172" s="350">
        <f t="shared" si="96"/>
        <v>0</v>
      </c>
      <c r="BV172" s="350">
        <f t="shared" si="96"/>
        <v>0</v>
      </c>
      <c r="BW172" s="350">
        <f t="shared" si="96"/>
        <v>0</v>
      </c>
      <c r="BX172" s="350">
        <f t="shared" si="96"/>
        <v>0</v>
      </c>
      <c r="BY172" s="350">
        <f t="shared" si="96"/>
        <v>0</v>
      </c>
      <c r="BZ172" s="350">
        <f t="shared" si="96"/>
        <v>0</v>
      </c>
      <c r="CA172" s="350">
        <f t="shared" si="96"/>
        <v>0</v>
      </c>
      <c r="CB172" s="350">
        <f t="shared" si="96"/>
        <v>0</v>
      </c>
      <c r="CC172" s="350">
        <f t="shared" si="96"/>
        <v>0</v>
      </c>
      <c r="CD172" s="350">
        <f t="shared" si="96"/>
        <v>0</v>
      </c>
      <c r="CE172" s="350">
        <f t="shared" si="96"/>
        <v>0</v>
      </c>
      <c r="CF172" s="350">
        <f t="shared" si="96"/>
        <v>0</v>
      </c>
      <c r="CG172" s="350">
        <f t="shared" si="96"/>
        <v>0</v>
      </c>
      <c r="CH172" s="350">
        <f t="shared" si="96"/>
        <v>0</v>
      </c>
      <c r="CI172" s="350">
        <f t="shared" si="96"/>
        <v>0</v>
      </c>
      <c r="CJ172" s="350">
        <f t="shared" si="96"/>
        <v>0</v>
      </c>
      <c r="CK172" s="350">
        <f t="shared" si="96"/>
        <v>0</v>
      </c>
      <c r="CL172" s="350">
        <f t="shared" si="96"/>
        <v>0</v>
      </c>
      <c r="CM172" s="350">
        <f t="shared" si="96"/>
        <v>0</v>
      </c>
      <c r="CN172" s="350">
        <f t="shared" si="96"/>
        <v>0</v>
      </c>
      <c r="CO172" s="350">
        <f t="shared" si="96"/>
        <v>0</v>
      </c>
      <c r="CP172" s="350">
        <f t="shared" si="96"/>
        <v>0</v>
      </c>
      <c r="CQ172" s="350">
        <f t="shared" si="96"/>
        <v>0</v>
      </c>
      <c r="CR172" s="350">
        <f t="shared" si="96"/>
        <v>0</v>
      </c>
      <c r="CS172" s="350">
        <f t="shared" si="96"/>
        <v>0</v>
      </c>
      <c r="CT172" s="350">
        <f t="shared" si="96"/>
        <v>0</v>
      </c>
      <c r="CU172" s="350">
        <f t="shared" si="96"/>
        <v>0</v>
      </c>
      <c r="CV172" s="350">
        <f t="shared" si="96"/>
        <v>0</v>
      </c>
      <c r="CW172" s="350">
        <f t="shared" si="96"/>
        <v>0</v>
      </c>
      <c r="CX172" s="350">
        <f t="shared" si="96"/>
        <v>0</v>
      </c>
      <c r="CY172" s="350">
        <f t="shared" si="96"/>
        <v>0</v>
      </c>
      <c r="CZ172" s="350">
        <f t="shared" si="96"/>
        <v>0</v>
      </c>
      <c r="DA172" s="350">
        <f t="shared" si="96"/>
        <v>0</v>
      </c>
      <c r="DB172" s="350">
        <f t="shared" si="96"/>
        <v>0</v>
      </c>
      <c r="DC172" s="350">
        <f t="shared" si="96"/>
        <v>0</v>
      </c>
      <c r="DD172" s="350">
        <f t="shared" si="96"/>
        <v>0</v>
      </c>
      <c r="DE172" s="350">
        <f t="shared" si="96"/>
        <v>0</v>
      </c>
      <c r="DF172" s="350">
        <f t="shared" si="96"/>
        <v>0</v>
      </c>
      <c r="DG172" s="350">
        <f t="shared" si="96"/>
        <v>0</v>
      </c>
      <c r="DH172" s="350">
        <f t="shared" si="96"/>
        <v>0</v>
      </c>
      <c r="DI172" s="350">
        <f t="shared" si="96"/>
        <v>0</v>
      </c>
      <c r="DJ172" s="350">
        <f t="shared" si="96"/>
        <v>0</v>
      </c>
      <c r="DK172" s="350">
        <f t="shared" si="96"/>
        <v>0</v>
      </c>
      <c r="DL172" s="350">
        <f t="shared" si="96"/>
        <v>0</v>
      </c>
      <c r="DM172" s="350">
        <f t="shared" si="96"/>
        <v>0</v>
      </c>
      <c r="DN172" s="350">
        <f t="shared" si="96"/>
        <v>0</v>
      </c>
      <c r="DO172" s="350">
        <f t="shared" si="96"/>
        <v>0</v>
      </c>
      <c r="DP172" s="350">
        <f t="shared" si="96"/>
        <v>0</v>
      </c>
      <c r="DQ172" s="350">
        <f t="shared" si="96"/>
        <v>0</v>
      </c>
      <c r="DR172" s="350">
        <f t="shared" si="96"/>
        <v>0</v>
      </c>
      <c r="DS172" s="350">
        <f t="shared" si="96"/>
        <v>0</v>
      </c>
      <c r="DT172" s="350">
        <f t="shared" si="96"/>
        <v>0</v>
      </c>
      <c r="DU172" s="350">
        <f t="shared" si="96"/>
        <v>0</v>
      </c>
      <c r="DV172" s="350">
        <f t="shared" si="96"/>
        <v>0</v>
      </c>
      <c r="DW172" s="6"/>
      <c r="DX172" s="6"/>
      <c r="DY172" s="6"/>
      <c r="DZ172" s="6"/>
    </row>
    <row r="173" spans="1:130" ht="12.75" customHeight="1" outlineLevel="1" x14ac:dyDescent="0.25">
      <c r="A173" s="6"/>
      <c r="B173" s="6" t="s">
        <v>443</v>
      </c>
      <c r="C173" s="6"/>
      <c r="D173" s="6"/>
      <c r="E173" s="6"/>
      <c r="F173" s="350">
        <f t="shared" ref="F173:AK173" si="97">IF(F165="","",F172/Equity_Share_LP_Monthly*Equity_Share_Sponsor_Monthly)</f>
        <v>0</v>
      </c>
      <c r="G173" s="350">
        <f t="shared" si="97"/>
        <v>0</v>
      </c>
      <c r="H173" s="350">
        <f t="shared" si="97"/>
        <v>0</v>
      </c>
      <c r="I173" s="350">
        <f t="shared" si="97"/>
        <v>0</v>
      </c>
      <c r="J173" s="350">
        <f t="shared" si="97"/>
        <v>0</v>
      </c>
      <c r="K173" s="350">
        <f t="shared" si="97"/>
        <v>0</v>
      </c>
      <c r="L173" s="350">
        <f t="shared" si="97"/>
        <v>0</v>
      </c>
      <c r="M173" s="350">
        <f t="shared" si="97"/>
        <v>0</v>
      </c>
      <c r="N173" s="350">
        <f t="shared" si="97"/>
        <v>0</v>
      </c>
      <c r="O173" s="350">
        <f t="shared" si="97"/>
        <v>0</v>
      </c>
      <c r="P173" s="350">
        <f t="shared" si="97"/>
        <v>0</v>
      </c>
      <c r="Q173" s="350">
        <f t="shared" si="97"/>
        <v>0</v>
      </c>
      <c r="R173" s="350">
        <f t="shared" si="97"/>
        <v>0</v>
      </c>
      <c r="S173" s="350">
        <f t="shared" si="97"/>
        <v>0</v>
      </c>
      <c r="T173" s="350">
        <f t="shared" si="97"/>
        <v>0</v>
      </c>
      <c r="U173" s="350">
        <f t="shared" si="97"/>
        <v>0</v>
      </c>
      <c r="V173" s="350">
        <f t="shared" si="97"/>
        <v>0</v>
      </c>
      <c r="W173" s="350">
        <f t="shared" si="97"/>
        <v>0</v>
      </c>
      <c r="X173" s="350">
        <f t="shared" si="97"/>
        <v>0</v>
      </c>
      <c r="Y173" s="350">
        <f t="shared" si="97"/>
        <v>0</v>
      </c>
      <c r="Z173" s="350">
        <f t="shared" si="97"/>
        <v>0</v>
      </c>
      <c r="AA173" s="350">
        <f t="shared" si="97"/>
        <v>0</v>
      </c>
      <c r="AB173" s="350">
        <f t="shared" si="97"/>
        <v>0</v>
      </c>
      <c r="AC173" s="350">
        <f t="shared" si="97"/>
        <v>0</v>
      </c>
      <c r="AD173" s="350">
        <f t="shared" si="97"/>
        <v>0</v>
      </c>
      <c r="AE173" s="350">
        <f t="shared" si="97"/>
        <v>0</v>
      </c>
      <c r="AF173" s="350">
        <f t="shared" si="97"/>
        <v>0</v>
      </c>
      <c r="AG173" s="350">
        <f t="shared" si="97"/>
        <v>0</v>
      </c>
      <c r="AH173" s="350">
        <f t="shared" si="97"/>
        <v>0</v>
      </c>
      <c r="AI173" s="350">
        <f t="shared" si="97"/>
        <v>0</v>
      </c>
      <c r="AJ173" s="350">
        <f t="shared" si="97"/>
        <v>0</v>
      </c>
      <c r="AK173" s="350">
        <f t="shared" si="97"/>
        <v>4095.3053155964603</v>
      </c>
      <c r="AL173" s="350">
        <f t="shared" ref="AL173:BQ173" si="98">IF(AL165="","",AL172/Equity_Share_LP_Monthly*Equity_Share_Sponsor_Monthly)</f>
        <v>10673.73075421624</v>
      </c>
      <c r="AM173" s="350">
        <f t="shared" si="98"/>
        <v>17118.376219193204</v>
      </c>
      <c r="AN173" s="350">
        <f t="shared" si="98"/>
        <v>23696.801657812983</v>
      </c>
      <c r="AO173" s="350">
        <f t="shared" si="98"/>
        <v>20007.841636308483</v>
      </c>
      <c r="AP173" s="350">
        <f t="shared" si="98"/>
        <v>20007.841636308483</v>
      </c>
      <c r="AQ173" s="350">
        <f t="shared" si="98"/>
        <v>22012.721105254928</v>
      </c>
      <c r="AR173" s="350">
        <f t="shared" si="98"/>
        <v>22012.721105254928</v>
      </c>
      <c r="AS173" s="350">
        <f t="shared" si="98"/>
        <v>22012.721105254928</v>
      </c>
      <c r="AT173" s="350">
        <f t="shared" si="98"/>
        <v>22012.721105254928</v>
      </c>
      <c r="AU173" s="350">
        <f t="shared" si="98"/>
        <v>22012.721105254928</v>
      </c>
      <c r="AV173" s="350">
        <f t="shared" si="98"/>
        <v>22012.721105254928</v>
      </c>
      <c r="AW173" s="350">
        <f t="shared" si="98"/>
        <v>22012.721105254928</v>
      </c>
      <c r="AX173" s="350">
        <f t="shared" si="98"/>
        <v>22012.721105254928</v>
      </c>
      <c r="AY173" s="350">
        <f t="shared" si="98"/>
        <v>22012.721105254928</v>
      </c>
      <c r="AZ173" s="350">
        <f t="shared" si="98"/>
        <v>22012.721105254928</v>
      </c>
      <c r="BA173" s="350">
        <f t="shared" si="98"/>
        <v>22012.721105254928</v>
      </c>
      <c r="BB173" s="350">
        <f t="shared" si="98"/>
        <v>22012.721105254928</v>
      </c>
      <c r="BC173" s="350">
        <f t="shared" si="98"/>
        <v>24077.210018239501</v>
      </c>
      <c r="BD173" s="350">
        <f t="shared" si="98"/>
        <v>24077.210018239501</v>
      </c>
      <c r="BE173" s="350">
        <f t="shared" si="98"/>
        <v>24077.210018239501</v>
      </c>
      <c r="BF173" s="350">
        <f t="shared" si="98"/>
        <v>24077.210018239501</v>
      </c>
      <c r="BG173" s="350">
        <f t="shared" si="98"/>
        <v>24077.210018239501</v>
      </c>
      <c r="BH173" s="350">
        <f t="shared" si="98"/>
        <v>24077.210018239501</v>
      </c>
      <c r="BI173" s="350">
        <f t="shared" si="98"/>
        <v>24077.210018239501</v>
      </c>
      <c r="BJ173" s="350">
        <f t="shared" si="98"/>
        <v>24077.210018239501</v>
      </c>
      <c r="BK173" s="350">
        <f t="shared" si="98"/>
        <v>24077.210018239501</v>
      </c>
      <c r="BL173" s="350">
        <f t="shared" si="98"/>
        <v>24077.210018239501</v>
      </c>
      <c r="BM173" s="350">
        <f t="shared" si="98"/>
        <v>24077.210018239501</v>
      </c>
      <c r="BN173" s="350">
        <f t="shared" si="98"/>
        <v>8261338.101890034</v>
      </c>
      <c r="BO173" s="350">
        <f t="shared" si="98"/>
        <v>0</v>
      </c>
      <c r="BP173" s="350">
        <f t="shared" si="98"/>
        <v>0</v>
      </c>
      <c r="BQ173" s="350">
        <f t="shared" si="98"/>
        <v>0</v>
      </c>
      <c r="BR173" s="350">
        <f t="shared" ref="BR173:CW173" si="99">IF(BR165="","",BR172/Equity_Share_LP_Monthly*Equity_Share_Sponsor_Monthly)</f>
        <v>0</v>
      </c>
      <c r="BS173" s="350">
        <f t="shared" si="99"/>
        <v>0</v>
      </c>
      <c r="BT173" s="350">
        <f t="shared" si="99"/>
        <v>0</v>
      </c>
      <c r="BU173" s="350">
        <f t="shared" si="99"/>
        <v>0</v>
      </c>
      <c r="BV173" s="350">
        <f t="shared" si="99"/>
        <v>0</v>
      </c>
      <c r="BW173" s="350">
        <f t="shared" si="99"/>
        <v>0</v>
      </c>
      <c r="BX173" s="350">
        <f t="shared" si="99"/>
        <v>0</v>
      </c>
      <c r="BY173" s="350">
        <f t="shared" si="99"/>
        <v>0</v>
      </c>
      <c r="BZ173" s="350">
        <f t="shared" si="99"/>
        <v>0</v>
      </c>
      <c r="CA173" s="350">
        <f t="shared" si="99"/>
        <v>0</v>
      </c>
      <c r="CB173" s="350">
        <f t="shared" si="99"/>
        <v>0</v>
      </c>
      <c r="CC173" s="350">
        <f t="shared" si="99"/>
        <v>0</v>
      </c>
      <c r="CD173" s="350">
        <f t="shared" si="99"/>
        <v>0</v>
      </c>
      <c r="CE173" s="350">
        <f t="shared" si="99"/>
        <v>0</v>
      </c>
      <c r="CF173" s="350">
        <f t="shared" si="99"/>
        <v>0</v>
      </c>
      <c r="CG173" s="350">
        <f t="shared" si="99"/>
        <v>0</v>
      </c>
      <c r="CH173" s="350">
        <f t="shared" si="99"/>
        <v>0</v>
      </c>
      <c r="CI173" s="350">
        <f t="shared" si="99"/>
        <v>0</v>
      </c>
      <c r="CJ173" s="350">
        <f t="shared" si="99"/>
        <v>0</v>
      </c>
      <c r="CK173" s="350">
        <f t="shared" si="99"/>
        <v>0</v>
      </c>
      <c r="CL173" s="350">
        <f t="shared" si="99"/>
        <v>0</v>
      </c>
      <c r="CM173" s="350">
        <f t="shared" si="99"/>
        <v>0</v>
      </c>
      <c r="CN173" s="350">
        <f t="shared" si="99"/>
        <v>0</v>
      </c>
      <c r="CO173" s="350">
        <f t="shared" si="99"/>
        <v>0</v>
      </c>
      <c r="CP173" s="350">
        <f t="shared" si="99"/>
        <v>0</v>
      </c>
      <c r="CQ173" s="350">
        <f t="shared" si="99"/>
        <v>0</v>
      </c>
      <c r="CR173" s="350">
        <f t="shared" si="99"/>
        <v>0</v>
      </c>
      <c r="CS173" s="350">
        <f t="shared" si="99"/>
        <v>0</v>
      </c>
      <c r="CT173" s="350">
        <f t="shared" si="99"/>
        <v>0</v>
      </c>
      <c r="CU173" s="350">
        <f t="shared" si="99"/>
        <v>0</v>
      </c>
      <c r="CV173" s="350">
        <f t="shared" si="99"/>
        <v>0</v>
      </c>
      <c r="CW173" s="350">
        <f t="shared" si="99"/>
        <v>0</v>
      </c>
      <c r="CX173" s="350">
        <f t="shared" ref="CX173:DV173" si="100">IF(CX165="","",CX172/Equity_Share_LP_Monthly*Equity_Share_Sponsor_Monthly)</f>
        <v>0</v>
      </c>
      <c r="CY173" s="350">
        <f t="shared" si="100"/>
        <v>0</v>
      </c>
      <c r="CZ173" s="350">
        <f t="shared" si="100"/>
        <v>0</v>
      </c>
      <c r="DA173" s="350">
        <f t="shared" si="100"/>
        <v>0</v>
      </c>
      <c r="DB173" s="350">
        <f t="shared" si="100"/>
        <v>0</v>
      </c>
      <c r="DC173" s="350">
        <f t="shared" si="100"/>
        <v>0</v>
      </c>
      <c r="DD173" s="350">
        <f t="shared" si="100"/>
        <v>0</v>
      </c>
      <c r="DE173" s="350">
        <f t="shared" si="100"/>
        <v>0</v>
      </c>
      <c r="DF173" s="350">
        <f t="shared" si="100"/>
        <v>0</v>
      </c>
      <c r="DG173" s="350">
        <f t="shared" si="100"/>
        <v>0</v>
      </c>
      <c r="DH173" s="350">
        <f t="shared" si="100"/>
        <v>0</v>
      </c>
      <c r="DI173" s="350">
        <f t="shared" si="100"/>
        <v>0</v>
      </c>
      <c r="DJ173" s="350">
        <f t="shared" si="100"/>
        <v>0</v>
      </c>
      <c r="DK173" s="350">
        <f t="shared" si="100"/>
        <v>0</v>
      </c>
      <c r="DL173" s="350">
        <f t="shared" si="100"/>
        <v>0</v>
      </c>
      <c r="DM173" s="350">
        <f t="shared" si="100"/>
        <v>0</v>
      </c>
      <c r="DN173" s="350">
        <f t="shared" si="100"/>
        <v>0</v>
      </c>
      <c r="DO173" s="350">
        <f t="shared" si="100"/>
        <v>0</v>
      </c>
      <c r="DP173" s="350">
        <f t="shared" si="100"/>
        <v>0</v>
      </c>
      <c r="DQ173" s="350">
        <f t="shared" si="100"/>
        <v>0</v>
      </c>
      <c r="DR173" s="350">
        <f t="shared" si="100"/>
        <v>0</v>
      </c>
      <c r="DS173" s="350">
        <f t="shared" si="100"/>
        <v>0</v>
      </c>
      <c r="DT173" s="350">
        <f t="shared" si="100"/>
        <v>0</v>
      </c>
      <c r="DU173" s="350">
        <f t="shared" si="100"/>
        <v>0</v>
      </c>
      <c r="DV173" s="350">
        <f t="shared" si="100"/>
        <v>0</v>
      </c>
      <c r="DW173" s="6"/>
      <c r="DX173" s="6"/>
      <c r="DY173" s="6"/>
      <c r="DZ173" s="6"/>
    </row>
    <row r="174" spans="1:130" ht="12.75" customHeight="1" outlineLevel="1" x14ac:dyDescent="0.25">
      <c r="A174" s="6"/>
      <c r="B174" s="6" t="str">
        <f>"Total Distributions ("&amp;B163&amp;")"</f>
        <v>Total Distributions (Hurdle 1)</v>
      </c>
      <c r="C174" s="6"/>
      <c r="D174" s="6"/>
      <c r="E174" s="6"/>
      <c r="F174" s="350">
        <f t="shared" ref="F174:DV174" si="101">IF(F165="","",SUM(F172:F173))</f>
        <v>0</v>
      </c>
      <c r="G174" s="350">
        <f t="shared" si="101"/>
        <v>0</v>
      </c>
      <c r="H174" s="350">
        <f t="shared" si="101"/>
        <v>0</v>
      </c>
      <c r="I174" s="350">
        <f t="shared" si="101"/>
        <v>0</v>
      </c>
      <c r="J174" s="350">
        <f t="shared" si="101"/>
        <v>0</v>
      </c>
      <c r="K174" s="350">
        <f t="shared" si="101"/>
        <v>0</v>
      </c>
      <c r="L174" s="350">
        <f t="shared" si="101"/>
        <v>0</v>
      </c>
      <c r="M174" s="350">
        <f t="shared" si="101"/>
        <v>0</v>
      </c>
      <c r="N174" s="350">
        <f t="shared" si="101"/>
        <v>0</v>
      </c>
      <c r="O174" s="350">
        <f t="shared" si="101"/>
        <v>0</v>
      </c>
      <c r="P174" s="350">
        <f t="shared" si="101"/>
        <v>0</v>
      </c>
      <c r="Q174" s="350">
        <f t="shared" si="101"/>
        <v>0</v>
      </c>
      <c r="R174" s="350">
        <f t="shared" si="101"/>
        <v>0</v>
      </c>
      <c r="S174" s="350">
        <f t="shared" si="101"/>
        <v>0</v>
      </c>
      <c r="T174" s="350">
        <f t="shared" si="101"/>
        <v>0</v>
      </c>
      <c r="U174" s="350">
        <f t="shared" si="101"/>
        <v>0</v>
      </c>
      <c r="V174" s="350">
        <f t="shared" si="101"/>
        <v>0</v>
      </c>
      <c r="W174" s="350">
        <f t="shared" si="101"/>
        <v>0</v>
      </c>
      <c r="X174" s="350">
        <f t="shared" si="101"/>
        <v>0</v>
      </c>
      <c r="Y174" s="350">
        <f t="shared" si="101"/>
        <v>0</v>
      </c>
      <c r="Z174" s="350">
        <f t="shared" si="101"/>
        <v>0</v>
      </c>
      <c r="AA174" s="350">
        <f t="shared" si="101"/>
        <v>0</v>
      </c>
      <c r="AB174" s="350">
        <f t="shared" si="101"/>
        <v>0</v>
      </c>
      <c r="AC174" s="350">
        <f t="shared" si="101"/>
        <v>0</v>
      </c>
      <c r="AD174" s="350">
        <f t="shared" si="101"/>
        <v>0</v>
      </c>
      <c r="AE174" s="350">
        <f t="shared" si="101"/>
        <v>0</v>
      </c>
      <c r="AF174" s="350">
        <f t="shared" si="101"/>
        <v>0</v>
      </c>
      <c r="AG174" s="350">
        <f t="shared" si="101"/>
        <v>0</v>
      </c>
      <c r="AH174" s="350">
        <f t="shared" si="101"/>
        <v>0</v>
      </c>
      <c r="AI174" s="350">
        <f t="shared" si="101"/>
        <v>0</v>
      </c>
      <c r="AJ174" s="350">
        <f t="shared" si="101"/>
        <v>0</v>
      </c>
      <c r="AK174" s="350">
        <f t="shared" si="101"/>
        <v>9000</v>
      </c>
      <c r="AL174" s="350">
        <f t="shared" si="101"/>
        <v>23457</v>
      </c>
      <c r="AM174" s="350">
        <f t="shared" si="101"/>
        <v>37620</v>
      </c>
      <c r="AN174" s="350">
        <f t="shared" si="101"/>
        <v>52077</v>
      </c>
      <c r="AO174" s="350">
        <f t="shared" si="101"/>
        <v>43970</v>
      </c>
      <c r="AP174" s="350">
        <f t="shared" si="101"/>
        <v>43970</v>
      </c>
      <c r="AQ174" s="350">
        <f t="shared" si="101"/>
        <v>48376</v>
      </c>
      <c r="AR174" s="350">
        <f t="shared" si="101"/>
        <v>48376</v>
      </c>
      <c r="AS174" s="350">
        <f t="shared" si="101"/>
        <v>48376</v>
      </c>
      <c r="AT174" s="350">
        <f t="shared" si="101"/>
        <v>48376</v>
      </c>
      <c r="AU174" s="350">
        <f t="shared" si="101"/>
        <v>48376</v>
      </c>
      <c r="AV174" s="350">
        <f t="shared" si="101"/>
        <v>48376</v>
      </c>
      <c r="AW174" s="350">
        <f t="shared" si="101"/>
        <v>48376</v>
      </c>
      <c r="AX174" s="350">
        <f t="shared" si="101"/>
        <v>48376</v>
      </c>
      <c r="AY174" s="350">
        <f t="shared" si="101"/>
        <v>48376</v>
      </c>
      <c r="AZ174" s="350">
        <f t="shared" si="101"/>
        <v>48376</v>
      </c>
      <c r="BA174" s="350">
        <f t="shared" si="101"/>
        <v>48376</v>
      </c>
      <c r="BB174" s="350">
        <f t="shared" si="101"/>
        <v>48376</v>
      </c>
      <c r="BC174" s="350">
        <f t="shared" si="101"/>
        <v>52913</v>
      </c>
      <c r="BD174" s="350">
        <f t="shared" si="101"/>
        <v>52913</v>
      </c>
      <c r="BE174" s="350">
        <f t="shared" si="101"/>
        <v>52913</v>
      </c>
      <c r="BF174" s="350">
        <f t="shared" si="101"/>
        <v>52913</v>
      </c>
      <c r="BG174" s="350">
        <f t="shared" si="101"/>
        <v>52913</v>
      </c>
      <c r="BH174" s="350">
        <f t="shared" si="101"/>
        <v>52913</v>
      </c>
      <c r="BI174" s="350">
        <f t="shared" si="101"/>
        <v>52913</v>
      </c>
      <c r="BJ174" s="350">
        <f t="shared" si="101"/>
        <v>52913</v>
      </c>
      <c r="BK174" s="350">
        <f t="shared" si="101"/>
        <v>52913</v>
      </c>
      <c r="BL174" s="350">
        <f t="shared" si="101"/>
        <v>52913</v>
      </c>
      <c r="BM174" s="350">
        <f t="shared" si="101"/>
        <v>52913</v>
      </c>
      <c r="BN174" s="350">
        <f t="shared" si="101"/>
        <v>18155433.401717283</v>
      </c>
      <c r="BO174" s="350">
        <f t="shared" si="101"/>
        <v>0</v>
      </c>
      <c r="BP174" s="350">
        <f t="shared" si="101"/>
        <v>0</v>
      </c>
      <c r="BQ174" s="350">
        <f t="shared" si="101"/>
        <v>0</v>
      </c>
      <c r="BR174" s="350">
        <f t="shared" si="101"/>
        <v>0</v>
      </c>
      <c r="BS174" s="350">
        <f t="shared" si="101"/>
        <v>0</v>
      </c>
      <c r="BT174" s="350">
        <f t="shared" si="101"/>
        <v>0</v>
      </c>
      <c r="BU174" s="350">
        <f t="shared" si="101"/>
        <v>0</v>
      </c>
      <c r="BV174" s="350">
        <f t="shared" si="101"/>
        <v>0</v>
      </c>
      <c r="BW174" s="350">
        <f t="shared" si="101"/>
        <v>0</v>
      </c>
      <c r="BX174" s="350">
        <f t="shared" si="101"/>
        <v>0</v>
      </c>
      <c r="BY174" s="350">
        <f t="shared" si="101"/>
        <v>0</v>
      </c>
      <c r="BZ174" s="350">
        <f t="shared" si="101"/>
        <v>0</v>
      </c>
      <c r="CA174" s="350">
        <f t="shared" si="101"/>
        <v>0</v>
      </c>
      <c r="CB174" s="350">
        <f t="shared" si="101"/>
        <v>0</v>
      </c>
      <c r="CC174" s="350">
        <f t="shared" si="101"/>
        <v>0</v>
      </c>
      <c r="CD174" s="350">
        <f t="shared" si="101"/>
        <v>0</v>
      </c>
      <c r="CE174" s="350">
        <f t="shared" si="101"/>
        <v>0</v>
      </c>
      <c r="CF174" s="350">
        <f t="shared" si="101"/>
        <v>0</v>
      </c>
      <c r="CG174" s="350">
        <f t="shared" si="101"/>
        <v>0</v>
      </c>
      <c r="CH174" s="350">
        <f t="shared" si="101"/>
        <v>0</v>
      </c>
      <c r="CI174" s="350">
        <f t="shared" si="101"/>
        <v>0</v>
      </c>
      <c r="CJ174" s="350">
        <f t="shared" si="101"/>
        <v>0</v>
      </c>
      <c r="CK174" s="350">
        <f t="shared" si="101"/>
        <v>0</v>
      </c>
      <c r="CL174" s="350">
        <f t="shared" si="101"/>
        <v>0</v>
      </c>
      <c r="CM174" s="350">
        <f t="shared" si="101"/>
        <v>0</v>
      </c>
      <c r="CN174" s="350">
        <f t="shared" si="101"/>
        <v>0</v>
      </c>
      <c r="CO174" s="350">
        <f t="shared" si="101"/>
        <v>0</v>
      </c>
      <c r="CP174" s="350">
        <f t="shared" si="101"/>
        <v>0</v>
      </c>
      <c r="CQ174" s="350">
        <f t="shared" si="101"/>
        <v>0</v>
      </c>
      <c r="CR174" s="350">
        <f t="shared" si="101"/>
        <v>0</v>
      </c>
      <c r="CS174" s="350">
        <f t="shared" si="101"/>
        <v>0</v>
      </c>
      <c r="CT174" s="350">
        <f t="shared" si="101"/>
        <v>0</v>
      </c>
      <c r="CU174" s="350">
        <f t="shared" si="101"/>
        <v>0</v>
      </c>
      <c r="CV174" s="350">
        <f t="shared" si="101"/>
        <v>0</v>
      </c>
      <c r="CW174" s="350">
        <f t="shared" si="101"/>
        <v>0</v>
      </c>
      <c r="CX174" s="350">
        <f t="shared" si="101"/>
        <v>0</v>
      </c>
      <c r="CY174" s="350">
        <f t="shared" si="101"/>
        <v>0</v>
      </c>
      <c r="CZ174" s="350">
        <f t="shared" si="101"/>
        <v>0</v>
      </c>
      <c r="DA174" s="350">
        <f t="shared" si="101"/>
        <v>0</v>
      </c>
      <c r="DB174" s="350">
        <f t="shared" si="101"/>
        <v>0</v>
      </c>
      <c r="DC174" s="350">
        <f t="shared" si="101"/>
        <v>0</v>
      </c>
      <c r="DD174" s="350">
        <f t="shared" si="101"/>
        <v>0</v>
      </c>
      <c r="DE174" s="350">
        <f t="shared" si="101"/>
        <v>0</v>
      </c>
      <c r="DF174" s="350">
        <f t="shared" si="101"/>
        <v>0</v>
      </c>
      <c r="DG174" s="350">
        <f t="shared" si="101"/>
        <v>0</v>
      </c>
      <c r="DH174" s="350">
        <f t="shared" si="101"/>
        <v>0</v>
      </c>
      <c r="DI174" s="350">
        <f t="shared" si="101"/>
        <v>0</v>
      </c>
      <c r="DJ174" s="350">
        <f t="shared" si="101"/>
        <v>0</v>
      </c>
      <c r="DK174" s="350">
        <f t="shared" si="101"/>
        <v>0</v>
      </c>
      <c r="DL174" s="350">
        <f t="shared" si="101"/>
        <v>0</v>
      </c>
      <c r="DM174" s="350">
        <f t="shared" si="101"/>
        <v>0</v>
      </c>
      <c r="DN174" s="350">
        <f t="shared" si="101"/>
        <v>0</v>
      </c>
      <c r="DO174" s="350">
        <f t="shared" si="101"/>
        <v>0</v>
      </c>
      <c r="DP174" s="350">
        <f t="shared" si="101"/>
        <v>0</v>
      </c>
      <c r="DQ174" s="350">
        <f t="shared" si="101"/>
        <v>0</v>
      </c>
      <c r="DR174" s="350">
        <f t="shared" si="101"/>
        <v>0</v>
      </c>
      <c r="DS174" s="350">
        <f t="shared" si="101"/>
        <v>0</v>
      </c>
      <c r="DT174" s="350">
        <f t="shared" si="101"/>
        <v>0</v>
      </c>
      <c r="DU174" s="350">
        <f t="shared" si="101"/>
        <v>0</v>
      </c>
      <c r="DV174" s="350">
        <f t="shared" si="101"/>
        <v>0</v>
      </c>
      <c r="DW174" s="6"/>
      <c r="DX174" s="6"/>
      <c r="DY174" s="6"/>
      <c r="DZ174" s="6"/>
    </row>
    <row r="175" spans="1:130" ht="12.75" customHeight="1" outlineLevel="1" x14ac:dyDescent="0.25">
      <c r="A175" s="6"/>
      <c r="B175" s="6" t="s">
        <v>444</v>
      </c>
      <c r="C175" s="6"/>
      <c r="D175" s="6"/>
      <c r="E175" s="6"/>
      <c r="F175" s="350">
        <f t="shared" ref="F175:DV175" si="102">IF(F165="","",MAX(F160-F174,0))</f>
        <v>0</v>
      </c>
      <c r="G175" s="350">
        <f t="shared" si="102"/>
        <v>0</v>
      </c>
      <c r="H175" s="350">
        <f t="shared" si="102"/>
        <v>0</v>
      </c>
      <c r="I175" s="350">
        <f t="shared" si="102"/>
        <v>0</v>
      </c>
      <c r="J175" s="350">
        <f t="shared" si="102"/>
        <v>0</v>
      </c>
      <c r="K175" s="350">
        <f t="shared" si="102"/>
        <v>0</v>
      </c>
      <c r="L175" s="350">
        <f t="shared" si="102"/>
        <v>0</v>
      </c>
      <c r="M175" s="350">
        <f t="shared" si="102"/>
        <v>0</v>
      </c>
      <c r="N175" s="350">
        <f t="shared" si="102"/>
        <v>0</v>
      </c>
      <c r="O175" s="350">
        <f t="shared" si="102"/>
        <v>0</v>
      </c>
      <c r="P175" s="350">
        <f t="shared" si="102"/>
        <v>0</v>
      </c>
      <c r="Q175" s="350">
        <f t="shared" si="102"/>
        <v>0</v>
      </c>
      <c r="R175" s="350">
        <f t="shared" si="102"/>
        <v>0</v>
      </c>
      <c r="S175" s="350">
        <f t="shared" si="102"/>
        <v>0</v>
      </c>
      <c r="T175" s="350">
        <f t="shared" si="102"/>
        <v>0</v>
      </c>
      <c r="U175" s="350">
        <f t="shared" si="102"/>
        <v>0</v>
      </c>
      <c r="V175" s="350">
        <f t="shared" si="102"/>
        <v>0</v>
      </c>
      <c r="W175" s="350">
        <f t="shared" si="102"/>
        <v>0</v>
      </c>
      <c r="X175" s="350">
        <f t="shared" si="102"/>
        <v>0</v>
      </c>
      <c r="Y175" s="350">
        <f t="shared" si="102"/>
        <v>0</v>
      </c>
      <c r="Z175" s="350">
        <f t="shared" si="102"/>
        <v>0</v>
      </c>
      <c r="AA175" s="350">
        <f t="shared" si="102"/>
        <v>0</v>
      </c>
      <c r="AB175" s="350">
        <f t="shared" si="102"/>
        <v>0</v>
      </c>
      <c r="AC175" s="350">
        <f t="shared" si="102"/>
        <v>0</v>
      </c>
      <c r="AD175" s="350">
        <f t="shared" si="102"/>
        <v>0</v>
      </c>
      <c r="AE175" s="350">
        <f t="shared" si="102"/>
        <v>0</v>
      </c>
      <c r="AF175" s="350">
        <f t="shared" si="102"/>
        <v>0</v>
      </c>
      <c r="AG175" s="350">
        <f t="shared" si="102"/>
        <v>0</v>
      </c>
      <c r="AH175" s="350">
        <f t="shared" si="102"/>
        <v>0</v>
      </c>
      <c r="AI175" s="350">
        <f t="shared" si="102"/>
        <v>0</v>
      </c>
      <c r="AJ175" s="350">
        <f t="shared" si="102"/>
        <v>0</v>
      </c>
      <c r="AK175" s="350">
        <f t="shared" si="102"/>
        <v>0</v>
      </c>
      <c r="AL175" s="350">
        <f t="shared" si="102"/>
        <v>0</v>
      </c>
      <c r="AM175" s="350">
        <f t="shared" si="102"/>
        <v>0</v>
      </c>
      <c r="AN175" s="350">
        <f t="shared" si="102"/>
        <v>0</v>
      </c>
      <c r="AO175" s="350">
        <f t="shared" si="102"/>
        <v>0</v>
      </c>
      <c r="AP175" s="350">
        <f t="shared" si="102"/>
        <v>0</v>
      </c>
      <c r="AQ175" s="350">
        <f t="shared" si="102"/>
        <v>0</v>
      </c>
      <c r="AR175" s="350">
        <f t="shared" si="102"/>
        <v>0</v>
      </c>
      <c r="AS175" s="350">
        <f t="shared" si="102"/>
        <v>0</v>
      </c>
      <c r="AT175" s="350">
        <f t="shared" si="102"/>
        <v>0</v>
      </c>
      <c r="AU175" s="350">
        <f t="shared" si="102"/>
        <v>0</v>
      </c>
      <c r="AV175" s="350">
        <f t="shared" si="102"/>
        <v>0</v>
      </c>
      <c r="AW175" s="350">
        <f t="shared" si="102"/>
        <v>0</v>
      </c>
      <c r="AX175" s="350">
        <f t="shared" si="102"/>
        <v>0</v>
      </c>
      <c r="AY175" s="350">
        <f t="shared" si="102"/>
        <v>0</v>
      </c>
      <c r="AZ175" s="350">
        <f t="shared" si="102"/>
        <v>0</v>
      </c>
      <c r="BA175" s="350">
        <f t="shared" si="102"/>
        <v>0</v>
      </c>
      <c r="BB175" s="350">
        <f t="shared" si="102"/>
        <v>0</v>
      </c>
      <c r="BC175" s="350">
        <f t="shared" si="102"/>
        <v>0</v>
      </c>
      <c r="BD175" s="350">
        <f t="shared" si="102"/>
        <v>0</v>
      </c>
      <c r="BE175" s="350">
        <f t="shared" si="102"/>
        <v>0</v>
      </c>
      <c r="BF175" s="350">
        <f t="shared" si="102"/>
        <v>0</v>
      </c>
      <c r="BG175" s="350">
        <f t="shared" si="102"/>
        <v>0</v>
      </c>
      <c r="BH175" s="350">
        <f t="shared" si="102"/>
        <v>0</v>
      </c>
      <c r="BI175" s="350">
        <f t="shared" si="102"/>
        <v>0</v>
      </c>
      <c r="BJ175" s="350">
        <f t="shared" si="102"/>
        <v>0</v>
      </c>
      <c r="BK175" s="350">
        <f t="shared" si="102"/>
        <v>0</v>
      </c>
      <c r="BL175" s="350">
        <f t="shared" si="102"/>
        <v>0</v>
      </c>
      <c r="BM175" s="350">
        <f t="shared" si="102"/>
        <v>0</v>
      </c>
      <c r="BN175" s="350">
        <f t="shared" si="102"/>
        <v>425341.59828271717</v>
      </c>
      <c r="BO175" s="350">
        <f t="shared" si="102"/>
        <v>0</v>
      </c>
      <c r="BP175" s="350">
        <f t="shared" si="102"/>
        <v>0</v>
      </c>
      <c r="BQ175" s="350">
        <f t="shared" si="102"/>
        <v>0</v>
      </c>
      <c r="BR175" s="350">
        <f t="shared" si="102"/>
        <v>0</v>
      </c>
      <c r="BS175" s="350">
        <f t="shared" si="102"/>
        <v>0</v>
      </c>
      <c r="BT175" s="350">
        <f t="shared" si="102"/>
        <v>0</v>
      </c>
      <c r="BU175" s="350">
        <f t="shared" si="102"/>
        <v>0</v>
      </c>
      <c r="BV175" s="350">
        <f t="shared" si="102"/>
        <v>0</v>
      </c>
      <c r="BW175" s="350">
        <f t="shared" si="102"/>
        <v>0</v>
      </c>
      <c r="BX175" s="350">
        <f t="shared" si="102"/>
        <v>0</v>
      </c>
      <c r="BY175" s="350">
        <f t="shared" si="102"/>
        <v>0</v>
      </c>
      <c r="BZ175" s="350">
        <f t="shared" si="102"/>
        <v>0</v>
      </c>
      <c r="CA175" s="350">
        <f t="shared" si="102"/>
        <v>0</v>
      </c>
      <c r="CB175" s="350">
        <f t="shared" si="102"/>
        <v>0</v>
      </c>
      <c r="CC175" s="350">
        <f t="shared" si="102"/>
        <v>0</v>
      </c>
      <c r="CD175" s="350">
        <f t="shared" si="102"/>
        <v>0</v>
      </c>
      <c r="CE175" s="350">
        <f t="shared" si="102"/>
        <v>0</v>
      </c>
      <c r="CF175" s="350">
        <f t="shared" si="102"/>
        <v>0</v>
      </c>
      <c r="CG175" s="350">
        <f t="shared" si="102"/>
        <v>0</v>
      </c>
      <c r="CH175" s="350">
        <f t="shared" si="102"/>
        <v>0</v>
      </c>
      <c r="CI175" s="350">
        <f t="shared" si="102"/>
        <v>0</v>
      </c>
      <c r="CJ175" s="350">
        <f t="shared" si="102"/>
        <v>0</v>
      </c>
      <c r="CK175" s="350">
        <f t="shared" si="102"/>
        <v>0</v>
      </c>
      <c r="CL175" s="350">
        <f t="shared" si="102"/>
        <v>0</v>
      </c>
      <c r="CM175" s="350">
        <f t="shared" si="102"/>
        <v>0</v>
      </c>
      <c r="CN175" s="350">
        <f t="shared" si="102"/>
        <v>0</v>
      </c>
      <c r="CO175" s="350">
        <f t="shared" si="102"/>
        <v>0</v>
      </c>
      <c r="CP175" s="350">
        <f t="shared" si="102"/>
        <v>0</v>
      </c>
      <c r="CQ175" s="350">
        <f t="shared" si="102"/>
        <v>0</v>
      </c>
      <c r="CR175" s="350">
        <f t="shared" si="102"/>
        <v>0</v>
      </c>
      <c r="CS175" s="350">
        <f t="shared" si="102"/>
        <v>0</v>
      </c>
      <c r="CT175" s="350">
        <f t="shared" si="102"/>
        <v>0</v>
      </c>
      <c r="CU175" s="350">
        <f t="shared" si="102"/>
        <v>0</v>
      </c>
      <c r="CV175" s="350">
        <f t="shared" si="102"/>
        <v>0</v>
      </c>
      <c r="CW175" s="350">
        <f t="shared" si="102"/>
        <v>0</v>
      </c>
      <c r="CX175" s="350">
        <f t="shared" si="102"/>
        <v>0</v>
      </c>
      <c r="CY175" s="350">
        <f t="shared" si="102"/>
        <v>0</v>
      </c>
      <c r="CZ175" s="350">
        <f t="shared" si="102"/>
        <v>0</v>
      </c>
      <c r="DA175" s="350">
        <f t="shared" si="102"/>
        <v>0</v>
      </c>
      <c r="DB175" s="350">
        <f t="shared" si="102"/>
        <v>0</v>
      </c>
      <c r="DC175" s="350">
        <f t="shared" si="102"/>
        <v>0</v>
      </c>
      <c r="DD175" s="350">
        <f t="shared" si="102"/>
        <v>0</v>
      </c>
      <c r="DE175" s="350">
        <f t="shared" si="102"/>
        <v>0</v>
      </c>
      <c r="DF175" s="350">
        <f t="shared" si="102"/>
        <v>0</v>
      </c>
      <c r="DG175" s="350">
        <f t="shared" si="102"/>
        <v>0</v>
      </c>
      <c r="DH175" s="350">
        <f t="shared" si="102"/>
        <v>0</v>
      </c>
      <c r="DI175" s="350">
        <f t="shared" si="102"/>
        <v>0</v>
      </c>
      <c r="DJ175" s="350">
        <f t="shared" si="102"/>
        <v>0</v>
      </c>
      <c r="DK175" s="350">
        <f t="shared" si="102"/>
        <v>0</v>
      </c>
      <c r="DL175" s="350">
        <f t="shared" si="102"/>
        <v>0</v>
      </c>
      <c r="DM175" s="350">
        <f t="shared" si="102"/>
        <v>0</v>
      </c>
      <c r="DN175" s="350">
        <f t="shared" si="102"/>
        <v>0</v>
      </c>
      <c r="DO175" s="350">
        <f t="shared" si="102"/>
        <v>0</v>
      </c>
      <c r="DP175" s="350">
        <f t="shared" si="102"/>
        <v>0</v>
      </c>
      <c r="DQ175" s="350">
        <f t="shared" si="102"/>
        <v>0</v>
      </c>
      <c r="DR175" s="350">
        <f t="shared" si="102"/>
        <v>0</v>
      </c>
      <c r="DS175" s="350">
        <f t="shared" si="102"/>
        <v>0</v>
      </c>
      <c r="DT175" s="350">
        <f t="shared" si="102"/>
        <v>0</v>
      </c>
      <c r="DU175" s="350">
        <f t="shared" si="102"/>
        <v>0</v>
      </c>
      <c r="DV175" s="350">
        <f t="shared" si="102"/>
        <v>0</v>
      </c>
      <c r="DW175" s="6"/>
      <c r="DX175" s="6"/>
      <c r="DY175" s="6"/>
      <c r="DZ175" s="6"/>
    </row>
    <row r="176" spans="1:130" ht="12.75" customHeight="1" outlineLevel="1" x14ac:dyDescent="0.25">
      <c r="A176" s="6"/>
      <c r="B176" s="6"/>
      <c r="C176" s="6"/>
      <c r="D176" s="6"/>
      <c r="E176" s="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</row>
    <row r="177" spans="1:130" ht="12.75" customHeight="1" outlineLevel="1" x14ac:dyDescent="0.25">
      <c r="A177" s="6"/>
      <c r="B177" s="23" t="s">
        <v>392</v>
      </c>
      <c r="C177" s="6"/>
      <c r="D177" s="6"/>
      <c r="E177" s="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</row>
    <row r="178" spans="1:130" ht="12.75" customHeight="1" outlineLevel="1" x14ac:dyDescent="0.25">
      <c r="A178" s="6"/>
      <c r="B178" s="287" t="s">
        <v>458</v>
      </c>
      <c r="C178" s="296">
        <f>IF($D$5="IRR",D150,C150)</f>
        <v>0.25</v>
      </c>
      <c r="D178" s="78"/>
      <c r="E178" s="78"/>
      <c r="F178" s="1194"/>
      <c r="G178" s="1194"/>
      <c r="H178" s="1194"/>
      <c r="I178" s="1194"/>
      <c r="J178" s="1194"/>
      <c r="K178" s="1194"/>
      <c r="L178" s="1194"/>
      <c r="M178" s="1194"/>
      <c r="N178" s="1194"/>
      <c r="O178" s="1194"/>
      <c r="P178" s="1194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  <c r="CQ178" s="78"/>
      <c r="CR178" s="78"/>
      <c r="CS178" s="78"/>
      <c r="CT178" s="78"/>
      <c r="CU178" s="78"/>
      <c r="CV178" s="78"/>
      <c r="CW178" s="78"/>
      <c r="CX178" s="78"/>
      <c r="CY178" s="78"/>
      <c r="CZ178" s="78"/>
      <c r="DA178" s="78"/>
      <c r="DB178" s="78"/>
      <c r="DC178" s="78"/>
      <c r="DD178" s="78"/>
      <c r="DE178" s="78"/>
      <c r="DF178" s="78"/>
      <c r="DG178" s="78"/>
      <c r="DH178" s="78"/>
      <c r="DI178" s="78"/>
      <c r="DJ178" s="78"/>
      <c r="DK178" s="78"/>
      <c r="DL178" s="78"/>
      <c r="DM178" s="78"/>
      <c r="DN178" s="78"/>
      <c r="DO178" s="78"/>
      <c r="DP178" s="78"/>
      <c r="DQ178" s="78"/>
      <c r="DR178" s="78"/>
      <c r="DS178" s="78"/>
      <c r="DT178" s="78"/>
      <c r="DU178" s="78"/>
      <c r="DV178" s="78"/>
      <c r="DW178" s="6"/>
      <c r="DX178" s="6"/>
      <c r="DY178" s="6"/>
      <c r="DZ178" s="6"/>
    </row>
    <row r="179" spans="1:130" ht="12.75" customHeight="1" outlineLevel="1" x14ac:dyDescent="0.25">
      <c r="A179" s="6"/>
      <c r="B179" s="6" t="s">
        <v>435</v>
      </c>
      <c r="C179" s="6"/>
      <c r="D179" s="6"/>
      <c r="E179" s="6"/>
      <c r="F179" s="350">
        <f t="shared" ref="F179:DV179" si="103">IF(F154="","",E184)</f>
        <v>0</v>
      </c>
      <c r="G179" s="350">
        <f t="shared" si="103"/>
        <v>2045560.6845345572</v>
      </c>
      <c r="H179" s="350">
        <f t="shared" si="103"/>
        <v>2616917.5365782818</v>
      </c>
      <c r="I179" s="350">
        <f t="shared" si="103"/>
        <v>3201056.4517660085</v>
      </c>
      <c r="J179" s="350">
        <f t="shared" si="103"/>
        <v>3807495.5471103266</v>
      </c>
      <c r="K179" s="350">
        <f t="shared" si="103"/>
        <v>4428872.7802451188</v>
      </c>
      <c r="L179" s="350">
        <f t="shared" si="103"/>
        <v>5069658.4294854421</v>
      </c>
      <c r="M179" s="350">
        <f t="shared" si="103"/>
        <v>5724109.8691653069</v>
      </c>
      <c r="N179" s="350">
        <f t="shared" si="103"/>
        <v>6004131.315624685</v>
      </c>
      <c r="O179" s="350">
        <f t="shared" si="103"/>
        <v>6119006.231990532</v>
      </c>
      <c r="P179" s="350">
        <f t="shared" si="103"/>
        <v>6232267.7339566369</v>
      </c>
      <c r="Q179" s="350">
        <f t="shared" si="103"/>
        <v>6351507.5035540722</v>
      </c>
      <c r="R179" s="350">
        <f t="shared" si="103"/>
        <v>6469072.5545325391</v>
      </c>
      <c r="S179" s="350">
        <f t="shared" si="103"/>
        <v>6592843.02682928</v>
      </c>
      <c r="T179" s="350">
        <f t="shared" si="103"/>
        <v>6718981.5557034397</v>
      </c>
      <c r="U179" s="350">
        <f t="shared" si="103"/>
        <v>6839166.0555953672</v>
      </c>
      <c r="V179" s="350">
        <f t="shared" si="103"/>
        <v>6970017.395672515</v>
      </c>
      <c r="W179" s="350">
        <f t="shared" si="103"/>
        <v>7099030.9330074731</v>
      </c>
      <c r="X179" s="350">
        <f t="shared" si="103"/>
        <v>7234854.1756779989</v>
      </c>
      <c r="Y179" s="350">
        <f t="shared" si="103"/>
        <v>7368769.7853989052</v>
      </c>
      <c r="Z179" s="350">
        <f t="shared" si="103"/>
        <v>7509753.8459263705</v>
      </c>
      <c r="AA179" s="350">
        <f t="shared" si="103"/>
        <v>7653435.3045137124</v>
      </c>
      <c r="AB179" s="350">
        <f t="shared" si="103"/>
        <v>7795098.761768871</v>
      </c>
      <c r="AC179" s="350">
        <f t="shared" si="103"/>
        <v>7944239.6234937701</v>
      </c>
      <c r="AD179" s="350">
        <f t="shared" si="103"/>
        <v>8091285.8067500424</v>
      </c>
      <c r="AE179" s="350">
        <f t="shared" si="103"/>
        <v>8246093.5102264397</v>
      </c>
      <c r="AF179" s="350">
        <f t="shared" si="103"/>
        <v>8403863.0946236216</v>
      </c>
      <c r="AG179" s="350">
        <f t="shared" si="103"/>
        <v>8548957.5694942065</v>
      </c>
      <c r="AH179" s="350">
        <f t="shared" si="103"/>
        <v>8712521.7445906401</v>
      </c>
      <c r="AI179" s="350">
        <f t="shared" si="103"/>
        <v>8873788.6662593372</v>
      </c>
      <c r="AJ179" s="350">
        <f t="shared" si="103"/>
        <v>9043567.7195974942</v>
      </c>
      <c r="AK179" s="350">
        <f t="shared" si="103"/>
        <v>9210962.2317486275</v>
      </c>
      <c r="AL179" s="350">
        <f t="shared" si="103"/>
        <v>9382287.6127235554</v>
      </c>
      <c r="AM179" s="350">
        <f t="shared" si="103"/>
        <v>9549012.3269269653</v>
      </c>
      <c r="AN179" s="350">
        <f t="shared" si="103"/>
        <v>9705260.8873159774</v>
      </c>
      <c r="AO179" s="350">
        <f t="shared" si="103"/>
        <v>9862568.0056115594</v>
      </c>
      <c r="AP179" s="350">
        <f t="shared" si="103"/>
        <v>10021159.880240746</v>
      </c>
      <c r="AQ179" s="350">
        <f t="shared" si="103"/>
        <v>10188929.021979652</v>
      </c>
      <c r="AR179" s="350">
        <f t="shared" si="103"/>
        <v>10357506.910712533</v>
      </c>
      <c r="AS179" s="350">
        <f t="shared" si="103"/>
        <v>10509968.180630311</v>
      </c>
      <c r="AT179" s="350">
        <f t="shared" si="103"/>
        <v>10684688.397796979</v>
      </c>
      <c r="AU179" s="350">
        <f t="shared" si="103"/>
        <v>10856096.425237484</v>
      </c>
      <c r="AV179" s="350">
        <f t="shared" si="103"/>
        <v>11037438.991427004</v>
      </c>
      <c r="AW179" s="350">
        <f t="shared" si="103"/>
        <v>11215376.357217435</v>
      </c>
      <c r="AX179" s="350">
        <f t="shared" si="103"/>
        <v>11403592.899002844</v>
      </c>
      <c r="AY179" s="350">
        <f t="shared" si="103"/>
        <v>11595410.521171024</v>
      </c>
      <c r="AZ179" s="350">
        <f t="shared" si="103"/>
        <v>11783675.821125461</v>
      </c>
      <c r="BA179" s="350">
        <f t="shared" si="103"/>
        <v>11982765.435126547</v>
      </c>
      <c r="BB179" s="350">
        <f t="shared" si="103"/>
        <v>12178200.59202919</v>
      </c>
      <c r="BC179" s="350">
        <f t="shared" si="103"/>
        <v>12384838.508637164</v>
      </c>
      <c r="BD179" s="350">
        <f t="shared" si="103"/>
        <v>12592957.444176124</v>
      </c>
      <c r="BE179" s="350">
        <f t="shared" si="103"/>
        <v>12781541.729564141</v>
      </c>
      <c r="BF179" s="350">
        <f t="shared" si="103"/>
        <v>12997250.647222158</v>
      </c>
      <c r="BG179" s="350">
        <f t="shared" si="103"/>
        <v>13208991.198221739</v>
      </c>
      <c r="BH179" s="350">
        <f t="shared" si="103"/>
        <v>13432878.355058983</v>
      </c>
      <c r="BI179" s="350">
        <f t="shared" si="103"/>
        <v>13652682.282139096</v>
      </c>
      <c r="BJ179" s="350">
        <f t="shared" si="103"/>
        <v>13885058.423223676</v>
      </c>
      <c r="BK179" s="350">
        <f t="shared" si="103"/>
        <v>14121880.53465255</v>
      </c>
      <c r="BL179" s="350">
        <f t="shared" si="103"/>
        <v>14354437.745315004</v>
      </c>
      <c r="BM179" s="350">
        <f t="shared" si="103"/>
        <v>14600240.324947294</v>
      </c>
      <c r="BN179" s="350">
        <f t="shared" si="103"/>
        <v>14841651.873434363</v>
      </c>
      <c r="BO179" s="350">
        <f t="shared" si="103"/>
        <v>5069258.9191906275</v>
      </c>
      <c r="BP179" s="350">
        <f t="shared" si="103"/>
        <v>5166247.2533503808</v>
      </c>
      <c r="BQ179" s="350">
        <f t="shared" si="103"/>
        <v>5258657.5148333739</v>
      </c>
      <c r="BR179" s="350">
        <f t="shared" si="103"/>
        <v>5359269.5451933835</v>
      </c>
      <c r="BS179" s="350">
        <f t="shared" si="103"/>
        <v>5458468.4829157181</v>
      </c>
      <c r="BT179" s="350">
        <f t="shared" si="103"/>
        <v>5562903.4257073244</v>
      </c>
      <c r="BU179" s="350">
        <f t="shared" si="103"/>
        <v>5665871.5831826339</v>
      </c>
      <c r="BV179" s="350">
        <f t="shared" si="103"/>
        <v>5774274.6959799789</v>
      </c>
      <c r="BW179" s="350">
        <f t="shared" si="103"/>
        <v>5884751.8471122263</v>
      </c>
      <c r="BX179" s="350">
        <f t="shared" si="103"/>
        <v>5993677.3503119387</v>
      </c>
      <c r="BY179" s="350">
        <f t="shared" si="103"/>
        <v>6108352.2546647461</v>
      </c>
      <c r="BZ179" s="350">
        <f t="shared" si="103"/>
        <v>6221416.5537799168</v>
      </c>
      <c r="CA179" s="350">
        <f t="shared" si="103"/>
        <v>6340448.7115931083</v>
      </c>
      <c r="CB179" s="350">
        <f t="shared" si="103"/>
        <v>6461758.2694921466</v>
      </c>
      <c r="CC179" s="350">
        <f t="shared" si="103"/>
        <v>6573321.8935417132</v>
      </c>
      <c r="CD179" s="350">
        <f t="shared" si="103"/>
        <v>6699086.9314917251</v>
      </c>
      <c r="CE179" s="350">
        <f t="shared" si="103"/>
        <v>6823085.6036446439</v>
      </c>
      <c r="CF179" s="350">
        <f t="shared" si="103"/>
        <v>6953629.2821341511</v>
      </c>
      <c r="CG179" s="350">
        <f t="shared" si="103"/>
        <v>7082339.4789782884</v>
      </c>
      <c r="CH179" s="350">
        <f t="shared" si="103"/>
        <v>7217843.3699749699</v>
      </c>
      <c r="CI179" s="350">
        <f t="shared" si="103"/>
        <v>7355939.8088902785</v>
      </c>
      <c r="CJ179" s="350">
        <f t="shared" si="103"/>
        <v>7492096.6878899187</v>
      </c>
      <c r="CK179" s="350">
        <f t="shared" si="103"/>
        <v>7635440.3183309278</v>
      </c>
      <c r="CL179" s="350">
        <f t="shared" si="103"/>
        <v>7776770.6922248919</v>
      </c>
      <c r="CM179" s="350">
        <f t="shared" si="103"/>
        <v>7925560.8894913811</v>
      </c>
      <c r="CN179" s="350">
        <f t="shared" si="103"/>
        <v>8077197.8368651783</v>
      </c>
      <c r="CO179" s="350">
        <f t="shared" si="103"/>
        <v>8216652.3669271367</v>
      </c>
      <c r="CP179" s="350">
        <f t="shared" si="103"/>
        <v>8373858.6643646518</v>
      </c>
      <c r="CQ179" s="350">
        <f t="shared" si="103"/>
        <v>8528857.0045557991</v>
      </c>
      <c r="CR179" s="350">
        <f t="shared" si="103"/>
        <v>8692036.6026676837</v>
      </c>
      <c r="CS179" s="350">
        <f t="shared" si="103"/>
        <v>8852924.3487228546</v>
      </c>
      <c r="CT179" s="350">
        <f t="shared" si="103"/>
        <v>9022304.2124687061</v>
      </c>
      <c r="CU179" s="350">
        <f t="shared" si="103"/>
        <v>9194924.7611128427</v>
      </c>
      <c r="CV179" s="350">
        <f t="shared" si="103"/>
        <v>9365120.8598623928</v>
      </c>
      <c r="CW179" s="350">
        <f t="shared" si="103"/>
        <v>9544300.3979136534</v>
      </c>
      <c r="CX179" s="350">
        <f t="shared" si="103"/>
        <v>9720963.3652811088</v>
      </c>
      <c r="CY179" s="350">
        <f t="shared" si="103"/>
        <v>9906951.1118642204</v>
      </c>
      <c r="CZ179" s="350">
        <f t="shared" si="103"/>
        <v>10096497.296081467</v>
      </c>
      <c r="DA179" s="350">
        <f t="shared" si="103"/>
        <v>10270815.458658915</v>
      </c>
      <c r="DB179" s="350">
        <f t="shared" si="103"/>
        <v>10467323.330455808</v>
      </c>
      <c r="DC179" s="350">
        <f t="shared" si="103"/>
        <v>10661071.255694743</v>
      </c>
      <c r="DD179" s="350">
        <f t="shared" si="103"/>
        <v>10865045.753334599</v>
      </c>
      <c r="DE179" s="350">
        <f t="shared" si="103"/>
        <v>11066155.435903562</v>
      </c>
      <c r="DF179" s="350">
        <f t="shared" si="103"/>
        <v>11277880.265585877</v>
      </c>
      <c r="DG179" s="350">
        <f t="shared" si="103"/>
        <v>11493655.951391047</v>
      </c>
      <c r="DH179" s="350">
        <f t="shared" si="103"/>
        <v>11706401.074827984</v>
      </c>
      <c r="DI179" s="350">
        <f t="shared" si="103"/>
        <v>11930375.49739206</v>
      </c>
      <c r="DJ179" s="350">
        <f t="shared" si="103"/>
        <v>12151204.206601378</v>
      </c>
      <c r="DK179" s="350">
        <f t="shared" si="103"/>
        <v>12383688.889830267</v>
      </c>
      <c r="DL179" s="350">
        <f t="shared" si="103"/>
        <v>12620621.620101826</v>
      </c>
      <c r="DM179" s="350">
        <f t="shared" si="103"/>
        <v>12846370.579994362</v>
      </c>
      <c r="DN179" s="350">
        <f t="shared" si="103"/>
        <v>13092155.635051571</v>
      </c>
      <c r="DO179" s="350">
        <f t="shared" si="103"/>
        <v>13334488.647142258</v>
      </c>
      <c r="DP179" s="350">
        <f t="shared" si="103"/>
        <v>13589612.692170314</v>
      </c>
      <c r="DQ179" s="350">
        <f t="shared" si="103"/>
        <v>13841153.528426688</v>
      </c>
      <c r="DR179" s="350">
        <f t="shared" si="103"/>
        <v>14105971.41304676</v>
      </c>
      <c r="DS179" s="350">
        <f t="shared" si="103"/>
        <v>14375855.964391584</v>
      </c>
      <c r="DT179" s="350">
        <f t="shared" si="103"/>
        <v>14641949.996141853</v>
      </c>
      <c r="DU179" s="350">
        <f t="shared" si="103"/>
        <v>14922089.235745527</v>
      </c>
      <c r="DV179" s="350">
        <f t="shared" si="103"/>
        <v>15198293.928997325</v>
      </c>
      <c r="DW179" s="6"/>
      <c r="DX179" s="6"/>
      <c r="DY179" s="6"/>
      <c r="DZ179" s="6"/>
    </row>
    <row r="180" spans="1:130" ht="12.75" customHeight="1" outlineLevel="1" x14ac:dyDescent="0.25">
      <c r="A180" s="6"/>
      <c r="B180" s="6" t="s">
        <v>459</v>
      </c>
      <c r="C180" s="6"/>
      <c r="D180" s="6"/>
      <c r="E180" s="6"/>
      <c r="F180" s="350">
        <f>IF(F179="","",IF(IRR_Type="XIRR()",F179*((1+$C178)^(1/12)-1),F179*$C178/12))</f>
        <v>0</v>
      </c>
      <c r="G180" s="350">
        <f t="shared" ref="G180:AL180" si="104">IF(G165="","",IF($D$5="Equity Multiple",F181*$C$178-F181,IF(IRR_Type="XIRR()",G179*((1+$C178)^((G117-F117)/365)-1),G179*$C178/12)))</f>
        <v>39136.987551499551</v>
      </c>
      <c r="H180" s="350">
        <f t="shared" si="104"/>
        <v>45181.635097359402</v>
      </c>
      <c r="I180" s="350">
        <f t="shared" si="104"/>
        <v>61244.67851361716</v>
      </c>
      <c r="J180" s="350">
        <f t="shared" si="104"/>
        <v>70475.931555750052</v>
      </c>
      <c r="K180" s="350">
        <f t="shared" si="104"/>
        <v>84736.053140886506</v>
      </c>
      <c r="L180" s="350">
        <f t="shared" si="104"/>
        <v>93838.297659628093</v>
      </c>
      <c r="M180" s="350">
        <f t="shared" si="104"/>
        <v>109517.36528115391</v>
      </c>
      <c r="N180" s="350">
        <f t="shared" si="104"/>
        <v>114874.91636584696</v>
      </c>
      <c r="O180" s="350">
        <f t="shared" si="104"/>
        <v>113261.50196610513</v>
      </c>
      <c r="P180" s="350">
        <f t="shared" si="104"/>
        <v>119239.76959743559</v>
      </c>
      <c r="Q180" s="350">
        <f t="shared" si="104"/>
        <v>117565.05097846649</v>
      </c>
      <c r="R180" s="350">
        <f t="shared" si="104"/>
        <v>123770.47229674121</v>
      </c>
      <c r="S180" s="350">
        <f t="shared" si="104"/>
        <v>126138.52887415972</v>
      </c>
      <c r="T180" s="350">
        <f t="shared" si="104"/>
        <v>120184.49989192767</v>
      </c>
      <c r="U180" s="350">
        <f t="shared" si="104"/>
        <v>130851.3400771476</v>
      </c>
      <c r="V180" s="350">
        <f t="shared" si="104"/>
        <v>129013.53733495773</v>
      </c>
      <c r="W180" s="350">
        <f t="shared" si="104"/>
        <v>135823.24267052565</v>
      </c>
      <c r="X180" s="350">
        <f t="shared" si="104"/>
        <v>133915.6097209063</v>
      </c>
      <c r="Y180" s="350">
        <f t="shared" si="104"/>
        <v>140984.0605274651</v>
      </c>
      <c r="Z180" s="350">
        <f t="shared" si="104"/>
        <v>143681.45858734165</v>
      </c>
      <c r="AA180" s="350">
        <f t="shared" si="104"/>
        <v>141663.45725515834</v>
      </c>
      <c r="AB180" s="350">
        <f t="shared" si="104"/>
        <v>149140.86172489886</v>
      </c>
      <c r="AC180" s="350">
        <f t="shared" si="104"/>
        <v>147046.18325627196</v>
      </c>
      <c r="AD180" s="350">
        <f t="shared" si="104"/>
        <v>154807.703476397</v>
      </c>
      <c r="AE180" s="350">
        <f t="shared" si="104"/>
        <v>157769.5843971826</v>
      </c>
      <c r="AF180" s="350">
        <f t="shared" si="104"/>
        <v>145094.47487058473</v>
      </c>
      <c r="AG180" s="350">
        <f t="shared" si="104"/>
        <v>163564.17509643445</v>
      </c>
      <c r="AH180" s="350">
        <f t="shared" si="104"/>
        <v>161266.92166869709</v>
      </c>
      <c r="AI180" s="350">
        <f t="shared" si="104"/>
        <v>169779.05333815698</v>
      </c>
      <c r="AJ180" s="350">
        <f t="shared" si="104"/>
        <v>167394.5121511328</v>
      </c>
      <c r="AK180" s="350">
        <f t="shared" si="104"/>
        <v>176230.07565933131</v>
      </c>
      <c r="AL180" s="350">
        <f t="shared" si="104"/>
        <v>179507.9834491935</v>
      </c>
      <c r="AM180" s="350">
        <f t="shared" ref="AM180:BR180" si="105">IF(AM165="","",IF($D$5="Equity Multiple",AL181*$C$178-AL181,IF(IRR_Type="XIRR()",AM179*((1+$C178)^((AM117-AL117)/365)-1),AM179*$C178/12)))</f>
        <v>176750.18416981964</v>
      </c>
      <c r="AN180" s="350">
        <f t="shared" si="105"/>
        <v>185687.31663776952</v>
      </c>
      <c r="AO180" s="350">
        <f t="shared" si="105"/>
        <v>182554.03299287695</v>
      </c>
      <c r="AP180" s="350">
        <f t="shared" si="105"/>
        <v>191731.30010259693</v>
      </c>
      <c r="AQ180" s="350">
        <f t="shared" si="105"/>
        <v>194941.16762762485</v>
      </c>
      <c r="AR180" s="350">
        <f t="shared" si="105"/>
        <v>178824.54881252357</v>
      </c>
      <c r="AS180" s="350">
        <f t="shared" si="105"/>
        <v>201083.4960614125</v>
      </c>
      <c r="AT180" s="350">
        <f t="shared" si="105"/>
        <v>197771.30633524997</v>
      </c>
      <c r="AU180" s="350">
        <f t="shared" si="105"/>
        <v>207705.84508426519</v>
      </c>
      <c r="AV180" s="350">
        <f t="shared" si="105"/>
        <v>204300.64468517597</v>
      </c>
      <c r="AW180" s="350">
        <f t="shared" si="105"/>
        <v>214579.82068015536</v>
      </c>
      <c r="AX180" s="350">
        <f t="shared" si="105"/>
        <v>218180.90106292482</v>
      </c>
      <c r="AY180" s="350">
        <f t="shared" si="105"/>
        <v>214628.57884918072</v>
      </c>
      <c r="AZ180" s="350">
        <f t="shared" si="105"/>
        <v>225452.89289583155</v>
      </c>
      <c r="BA180" s="350">
        <f t="shared" si="105"/>
        <v>221798.43579738683</v>
      </c>
      <c r="BB180" s="350">
        <f t="shared" si="105"/>
        <v>233001.19550271842</v>
      </c>
      <c r="BC180" s="350">
        <f t="shared" si="105"/>
        <v>236954.72552072137</v>
      </c>
      <c r="BD180" s="350">
        <f t="shared" si="105"/>
        <v>217420.07536977707</v>
      </c>
      <c r="BE180" s="350">
        <f t="shared" si="105"/>
        <v>244544.70763977626</v>
      </c>
      <c r="BF180" s="350">
        <f t="shared" si="105"/>
        <v>240576.34098134245</v>
      </c>
      <c r="BG180" s="350">
        <f t="shared" si="105"/>
        <v>252722.94681900353</v>
      </c>
      <c r="BH180" s="350">
        <f t="shared" si="105"/>
        <v>248639.71706187309</v>
      </c>
      <c r="BI180" s="350">
        <f t="shared" si="105"/>
        <v>261211.93106634016</v>
      </c>
      <c r="BJ180" s="350">
        <f t="shared" si="105"/>
        <v>265657.90141063335</v>
      </c>
      <c r="BK180" s="350">
        <f t="shared" si="105"/>
        <v>261393.00064421416</v>
      </c>
      <c r="BL180" s="350">
        <f t="shared" si="105"/>
        <v>274638.36961404892</v>
      </c>
      <c r="BM180" s="350">
        <f t="shared" si="105"/>
        <v>270247.33846882998</v>
      </c>
      <c r="BN180" s="350">
        <f t="shared" si="105"/>
        <v>283960.06483985484</v>
      </c>
      <c r="BO180" s="350">
        <f t="shared" si="105"/>
        <v>96988.33415975346</v>
      </c>
      <c r="BP180" s="350">
        <f t="shared" si="105"/>
        <v>92410.261482992777</v>
      </c>
      <c r="BQ180" s="350">
        <f t="shared" si="105"/>
        <v>100612.03036000981</v>
      </c>
      <c r="BR180" s="350">
        <f t="shared" si="105"/>
        <v>99198.937722334871</v>
      </c>
      <c r="BS180" s="350">
        <f t="shared" ref="BS180:CX180" si="106">IF(BS165="","",IF($D$5="Equity Multiple",BR181*$C$178-BR181,IF(IRR_Type="XIRR()",BS179*((1+$C178)^((BS117-BR117)/365)-1),BS179*$C178/12)))</f>
        <v>104434.94279160611</v>
      </c>
      <c r="BT180" s="350">
        <f t="shared" si="106"/>
        <v>102968.1574753098</v>
      </c>
      <c r="BU180" s="350">
        <f t="shared" si="106"/>
        <v>108403.11279734498</v>
      </c>
      <c r="BV180" s="350">
        <f t="shared" si="106"/>
        <v>110477.15113224719</v>
      </c>
      <c r="BW180" s="350">
        <f t="shared" si="106"/>
        <v>108925.50319971198</v>
      </c>
      <c r="BX180" s="350">
        <f t="shared" si="106"/>
        <v>114674.90435280719</v>
      </c>
      <c r="BY180" s="350">
        <f t="shared" si="106"/>
        <v>113064.29911517115</v>
      </c>
      <c r="BZ180" s="350">
        <f t="shared" si="106"/>
        <v>119032.15781319169</v>
      </c>
      <c r="CA180" s="350">
        <f t="shared" si="106"/>
        <v>121309.55789903809</v>
      </c>
      <c r="CB180" s="350">
        <f t="shared" si="106"/>
        <v>111563.62404956711</v>
      </c>
      <c r="CC180" s="350">
        <f t="shared" si="106"/>
        <v>125765.03795001219</v>
      </c>
      <c r="CD180" s="350">
        <f t="shared" si="106"/>
        <v>123998.67215291852</v>
      </c>
      <c r="CE180" s="350">
        <f t="shared" si="106"/>
        <v>130543.67848950755</v>
      </c>
      <c r="CF180" s="350">
        <f t="shared" si="106"/>
        <v>128710.19684413716</v>
      </c>
      <c r="CG180" s="350">
        <f t="shared" si="106"/>
        <v>135503.89099668115</v>
      </c>
      <c r="CH180" s="350">
        <f t="shared" si="106"/>
        <v>138096.43891530891</v>
      </c>
      <c r="CI180" s="350">
        <f t="shared" si="106"/>
        <v>136156.87899963988</v>
      </c>
      <c r="CJ180" s="350">
        <f t="shared" si="106"/>
        <v>143343.63044100892</v>
      </c>
      <c r="CK180" s="350">
        <f t="shared" si="106"/>
        <v>141330.37389396384</v>
      </c>
      <c r="CL180" s="350">
        <f t="shared" si="106"/>
        <v>148790.19726648953</v>
      </c>
      <c r="CM180" s="350">
        <f t="shared" si="106"/>
        <v>151636.94737379753</v>
      </c>
      <c r="CN180" s="350">
        <f t="shared" si="106"/>
        <v>139454.53006195879</v>
      </c>
      <c r="CO180" s="350">
        <f t="shared" si="106"/>
        <v>157206.29743751514</v>
      </c>
      <c r="CP180" s="350">
        <f t="shared" si="106"/>
        <v>154998.34019114805</v>
      </c>
      <c r="CQ180" s="350">
        <f t="shared" si="106"/>
        <v>163179.59811188435</v>
      </c>
      <c r="CR180" s="350">
        <f t="shared" si="106"/>
        <v>160887.74605517136</v>
      </c>
      <c r="CS180" s="350">
        <f t="shared" si="106"/>
        <v>169379.86374585133</v>
      </c>
      <c r="CT180" s="350">
        <f t="shared" si="106"/>
        <v>172620.54864413603</v>
      </c>
      <c r="CU180" s="350">
        <f t="shared" si="106"/>
        <v>170196.09874954977</v>
      </c>
      <c r="CV180" s="350">
        <f t="shared" si="106"/>
        <v>179179.53805126101</v>
      </c>
      <c r="CW180" s="350">
        <f t="shared" si="106"/>
        <v>176662.96736745469</v>
      </c>
      <c r="CX180" s="350">
        <f t="shared" si="106"/>
        <v>185987.74658311182</v>
      </c>
      <c r="CY180" s="350">
        <f t="shared" ref="CY180:DV180" si="107">IF(CY165="","",IF($D$5="Equity Multiple",CX181*$C$178-CX181,IF(IRR_Type="XIRR()",CY179*((1+$C178)^((CY117-CX117)/365)-1),CY179*$C178/12)))</f>
        <v>189546.1842172468</v>
      </c>
      <c r="CZ180" s="350">
        <f t="shared" si="107"/>
        <v>174318.16257744841</v>
      </c>
      <c r="DA180" s="350">
        <f t="shared" si="107"/>
        <v>196507.87179689383</v>
      </c>
      <c r="DB180" s="350">
        <f t="shared" si="107"/>
        <v>193747.92523893496</v>
      </c>
      <c r="DC180" s="350">
        <f t="shared" si="107"/>
        <v>203974.49763985531</v>
      </c>
      <c r="DD180" s="350">
        <f t="shared" si="107"/>
        <v>201109.68256896408</v>
      </c>
      <c r="DE180" s="350">
        <f t="shared" si="107"/>
        <v>211724.82968231401</v>
      </c>
      <c r="DF180" s="350">
        <f t="shared" si="107"/>
        <v>215775.68580516992</v>
      </c>
      <c r="DG180" s="350">
        <f t="shared" si="107"/>
        <v>212745.12343693708</v>
      </c>
      <c r="DH180" s="350">
        <f t="shared" si="107"/>
        <v>223974.42256407614</v>
      </c>
      <c r="DI180" s="350">
        <f t="shared" si="107"/>
        <v>220828.70920931824</v>
      </c>
      <c r="DJ180" s="350">
        <f t="shared" si="107"/>
        <v>232484.6832288896</v>
      </c>
      <c r="DK180" s="350">
        <f t="shared" si="107"/>
        <v>236932.73027155834</v>
      </c>
      <c r="DL180" s="350">
        <f t="shared" si="107"/>
        <v>225748.95989253646</v>
      </c>
      <c r="DM180" s="350">
        <f t="shared" si="107"/>
        <v>245785.05505720957</v>
      </c>
      <c r="DN180" s="350">
        <f t="shared" si="107"/>
        <v>242333.01209068653</v>
      </c>
      <c r="DO180" s="350">
        <f t="shared" si="107"/>
        <v>255124.04502805756</v>
      </c>
      <c r="DP180" s="350">
        <f t="shared" si="107"/>
        <v>251540.83625637283</v>
      </c>
      <c r="DQ180" s="350">
        <f t="shared" si="107"/>
        <v>264817.88462007273</v>
      </c>
      <c r="DR180" s="350">
        <f t="shared" si="107"/>
        <v>269884.55134482379</v>
      </c>
      <c r="DS180" s="350">
        <f t="shared" si="107"/>
        <v>266094.03175026883</v>
      </c>
      <c r="DT180" s="350">
        <f t="shared" si="107"/>
        <v>280139.23960367445</v>
      </c>
      <c r="DU180" s="350">
        <f t="shared" si="107"/>
        <v>276204.69325179851</v>
      </c>
      <c r="DV180" s="350">
        <f t="shared" si="107"/>
        <v>290783.570881224</v>
      </c>
      <c r="DW180" s="6"/>
      <c r="DX180" s="6"/>
      <c r="DY180" s="6"/>
      <c r="DZ180" s="6"/>
    </row>
    <row r="181" spans="1:130" ht="12.75" customHeight="1" outlineLevel="1" x14ac:dyDescent="0.25">
      <c r="A181" s="6"/>
      <c r="B181" s="6" t="s">
        <v>438</v>
      </c>
      <c r="C181" s="6"/>
      <c r="D181" s="6"/>
      <c r="E181" s="6"/>
      <c r="F181" s="350">
        <f t="shared" ref="F181:AK181" si="108">IF(F179="","",-MIN(0,F$160*Equity_Share_LP_Monthly))</f>
        <v>2045560.6845345572</v>
      </c>
      <c r="G181" s="350">
        <f t="shared" si="108"/>
        <v>532219.86449222511</v>
      </c>
      <c r="H181" s="350">
        <f t="shared" si="108"/>
        <v>538957.28009036742</v>
      </c>
      <c r="I181" s="350">
        <f t="shared" si="108"/>
        <v>545194.41683070059</v>
      </c>
      <c r="J181" s="350">
        <f t="shared" si="108"/>
        <v>550901.30157904211</v>
      </c>
      <c r="K181" s="350">
        <f t="shared" si="108"/>
        <v>556049.59609943768</v>
      </c>
      <c r="L181" s="350">
        <f t="shared" si="108"/>
        <v>560613.14202023717</v>
      </c>
      <c r="M181" s="350">
        <f t="shared" si="108"/>
        <v>170504.08117822444</v>
      </c>
      <c r="N181" s="350">
        <f t="shared" si="108"/>
        <v>0</v>
      </c>
      <c r="O181" s="350">
        <f t="shared" si="108"/>
        <v>0</v>
      </c>
      <c r="P181" s="350">
        <f t="shared" si="108"/>
        <v>0</v>
      </c>
      <c r="Q181" s="350">
        <f t="shared" si="108"/>
        <v>0</v>
      </c>
      <c r="R181" s="350">
        <f t="shared" si="108"/>
        <v>0</v>
      </c>
      <c r="S181" s="350">
        <f t="shared" si="108"/>
        <v>0</v>
      </c>
      <c r="T181" s="350">
        <f t="shared" si="108"/>
        <v>0</v>
      </c>
      <c r="U181" s="350">
        <f t="shared" si="108"/>
        <v>0</v>
      </c>
      <c r="V181" s="350">
        <f t="shared" si="108"/>
        <v>0</v>
      </c>
      <c r="W181" s="350">
        <f t="shared" si="108"/>
        <v>0</v>
      </c>
      <c r="X181" s="350">
        <f t="shared" si="108"/>
        <v>0</v>
      </c>
      <c r="Y181" s="350">
        <f t="shared" si="108"/>
        <v>0</v>
      </c>
      <c r="Z181" s="350">
        <f t="shared" si="108"/>
        <v>0</v>
      </c>
      <c r="AA181" s="350">
        <f t="shared" si="108"/>
        <v>0</v>
      </c>
      <c r="AB181" s="350">
        <f t="shared" si="108"/>
        <v>0</v>
      </c>
      <c r="AC181" s="350">
        <f t="shared" si="108"/>
        <v>0</v>
      </c>
      <c r="AD181" s="350">
        <f t="shared" si="108"/>
        <v>0</v>
      </c>
      <c r="AE181" s="350">
        <f t="shared" si="108"/>
        <v>0</v>
      </c>
      <c r="AF181" s="350">
        <f t="shared" si="108"/>
        <v>0</v>
      </c>
      <c r="AG181" s="350">
        <f t="shared" si="108"/>
        <v>0</v>
      </c>
      <c r="AH181" s="350">
        <f t="shared" si="108"/>
        <v>0</v>
      </c>
      <c r="AI181" s="350">
        <f t="shared" si="108"/>
        <v>0</v>
      </c>
      <c r="AJ181" s="350">
        <f t="shared" si="108"/>
        <v>0</v>
      </c>
      <c r="AK181" s="350">
        <f t="shared" si="108"/>
        <v>0</v>
      </c>
      <c r="AL181" s="350">
        <f t="shared" ref="AL181:BQ181" si="109">IF(AL179="","",-MIN(0,AL$160*Equity_Share_LP_Monthly))</f>
        <v>0</v>
      </c>
      <c r="AM181" s="350">
        <f t="shared" si="109"/>
        <v>0</v>
      </c>
      <c r="AN181" s="350">
        <f t="shared" si="109"/>
        <v>0</v>
      </c>
      <c r="AO181" s="350">
        <f t="shared" si="109"/>
        <v>0</v>
      </c>
      <c r="AP181" s="350">
        <f t="shared" si="109"/>
        <v>0</v>
      </c>
      <c r="AQ181" s="350">
        <f t="shared" si="109"/>
        <v>0</v>
      </c>
      <c r="AR181" s="350">
        <f t="shared" si="109"/>
        <v>0</v>
      </c>
      <c r="AS181" s="350">
        <f t="shared" si="109"/>
        <v>0</v>
      </c>
      <c r="AT181" s="350">
        <f t="shared" si="109"/>
        <v>0</v>
      </c>
      <c r="AU181" s="350">
        <f t="shared" si="109"/>
        <v>0</v>
      </c>
      <c r="AV181" s="350">
        <f t="shared" si="109"/>
        <v>0</v>
      </c>
      <c r="AW181" s="350">
        <f t="shared" si="109"/>
        <v>0</v>
      </c>
      <c r="AX181" s="350">
        <f t="shared" si="109"/>
        <v>0</v>
      </c>
      <c r="AY181" s="350">
        <f t="shared" si="109"/>
        <v>0</v>
      </c>
      <c r="AZ181" s="350">
        <f t="shared" si="109"/>
        <v>0</v>
      </c>
      <c r="BA181" s="350">
        <f t="shared" si="109"/>
        <v>0</v>
      </c>
      <c r="BB181" s="350">
        <f t="shared" si="109"/>
        <v>0</v>
      </c>
      <c r="BC181" s="350">
        <f t="shared" si="109"/>
        <v>0</v>
      </c>
      <c r="BD181" s="350">
        <f t="shared" si="109"/>
        <v>0</v>
      </c>
      <c r="BE181" s="350">
        <f t="shared" si="109"/>
        <v>0</v>
      </c>
      <c r="BF181" s="350">
        <f t="shared" si="109"/>
        <v>0</v>
      </c>
      <c r="BG181" s="350">
        <f t="shared" si="109"/>
        <v>0</v>
      </c>
      <c r="BH181" s="350">
        <f t="shared" si="109"/>
        <v>0</v>
      </c>
      <c r="BI181" s="350">
        <f t="shared" si="109"/>
        <v>0</v>
      </c>
      <c r="BJ181" s="350">
        <f t="shared" si="109"/>
        <v>0</v>
      </c>
      <c r="BK181" s="350">
        <f t="shared" si="109"/>
        <v>0</v>
      </c>
      <c r="BL181" s="350">
        <f t="shared" si="109"/>
        <v>0</v>
      </c>
      <c r="BM181" s="350">
        <f t="shared" si="109"/>
        <v>0</v>
      </c>
      <c r="BN181" s="350">
        <f t="shared" si="109"/>
        <v>0</v>
      </c>
      <c r="BO181" s="350">
        <f t="shared" si="109"/>
        <v>0</v>
      </c>
      <c r="BP181" s="350">
        <f t="shared" si="109"/>
        <v>0</v>
      </c>
      <c r="BQ181" s="350">
        <f t="shared" si="109"/>
        <v>0</v>
      </c>
      <c r="BR181" s="350">
        <f t="shared" ref="BR181:CW181" si="110">IF(BR179="","",-MIN(0,BR$160*Equity_Share_LP_Monthly))</f>
        <v>0</v>
      </c>
      <c r="BS181" s="350">
        <f t="shared" si="110"/>
        <v>0</v>
      </c>
      <c r="BT181" s="350">
        <f t="shared" si="110"/>
        <v>0</v>
      </c>
      <c r="BU181" s="350">
        <f t="shared" si="110"/>
        <v>0</v>
      </c>
      <c r="BV181" s="350">
        <f t="shared" si="110"/>
        <v>0</v>
      </c>
      <c r="BW181" s="350">
        <f t="shared" si="110"/>
        <v>0</v>
      </c>
      <c r="BX181" s="350">
        <f t="shared" si="110"/>
        <v>0</v>
      </c>
      <c r="BY181" s="350">
        <f t="shared" si="110"/>
        <v>0</v>
      </c>
      <c r="BZ181" s="350">
        <f t="shared" si="110"/>
        <v>0</v>
      </c>
      <c r="CA181" s="350">
        <f t="shared" si="110"/>
        <v>0</v>
      </c>
      <c r="CB181" s="350">
        <f t="shared" si="110"/>
        <v>0</v>
      </c>
      <c r="CC181" s="350">
        <f t="shared" si="110"/>
        <v>0</v>
      </c>
      <c r="CD181" s="350">
        <f t="shared" si="110"/>
        <v>0</v>
      </c>
      <c r="CE181" s="350">
        <f t="shared" si="110"/>
        <v>0</v>
      </c>
      <c r="CF181" s="350">
        <f t="shared" si="110"/>
        <v>0</v>
      </c>
      <c r="CG181" s="350">
        <f t="shared" si="110"/>
        <v>0</v>
      </c>
      <c r="CH181" s="350">
        <f t="shared" si="110"/>
        <v>0</v>
      </c>
      <c r="CI181" s="350">
        <f t="shared" si="110"/>
        <v>0</v>
      </c>
      <c r="CJ181" s="350">
        <f t="shared" si="110"/>
        <v>0</v>
      </c>
      <c r="CK181" s="350">
        <f t="shared" si="110"/>
        <v>0</v>
      </c>
      <c r="CL181" s="350">
        <f t="shared" si="110"/>
        <v>0</v>
      </c>
      <c r="CM181" s="350">
        <f t="shared" si="110"/>
        <v>0</v>
      </c>
      <c r="CN181" s="350">
        <f t="shared" si="110"/>
        <v>0</v>
      </c>
      <c r="CO181" s="350">
        <f t="shared" si="110"/>
        <v>0</v>
      </c>
      <c r="CP181" s="350">
        <f t="shared" si="110"/>
        <v>0</v>
      </c>
      <c r="CQ181" s="350">
        <f t="shared" si="110"/>
        <v>0</v>
      </c>
      <c r="CR181" s="350">
        <f t="shared" si="110"/>
        <v>0</v>
      </c>
      <c r="CS181" s="350">
        <f t="shared" si="110"/>
        <v>0</v>
      </c>
      <c r="CT181" s="350">
        <f t="shared" si="110"/>
        <v>0</v>
      </c>
      <c r="CU181" s="350">
        <f t="shared" si="110"/>
        <v>0</v>
      </c>
      <c r="CV181" s="350">
        <f t="shared" si="110"/>
        <v>0</v>
      </c>
      <c r="CW181" s="350">
        <f t="shared" si="110"/>
        <v>0</v>
      </c>
      <c r="CX181" s="350">
        <f t="shared" ref="CX181:DV181" si="111">IF(CX179="","",-MIN(0,CX$160*Equity_Share_LP_Monthly))</f>
        <v>0</v>
      </c>
      <c r="CY181" s="350">
        <f t="shared" si="111"/>
        <v>0</v>
      </c>
      <c r="CZ181" s="350">
        <f t="shared" si="111"/>
        <v>0</v>
      </c>
      <c r="DA181" s="350">
        <f t="shared" si="111"/>
        <v>0</v>
      </c>
      <c r="DB181" s="350">
        <f t="shared" si="111"/>
        <v>0</v>
      </c>
      <c r="DC181" s="350">
        <f t="shared" si="111"/>
        <v>0</v>
      </c>
      <c r="DD181" s="350">
        <f t="shared" si="111"/>
        <v>0</v>
      </c>
      <c r="DE181" s="350">
        <f t="shared" si="111"/>
        <v>0</v>
      </c>
      <c r="DF181" s="350">
        <f t="shared" si="111"/>
        <v>0</v>
      </c>
      <c r="DG181" s="350">
        <f t="shared" si="111"/>
        <v>0</v>
      </c>
      <c r="DH181" s="350">
        <f t="shared" si="111"/>
        <v>0</v>
      </c>
      <c r="DI181" s="350">
        <f t="shared" si="111"/>
        <v>0</v>
      </c>
      <c r="DJ181" s="350">
        <f t="shared" si="111"/>
        <v>0</v>
      </c>
      <c r="DK181" s="350">
        <f t="shared" si="111"/>
        <v>0</v>
      </c>
      <c r="DL181" s="350">
        <f t="shared" si="111"/>
        <v>0</v>
      </c>
      <c r="DM181" s="350">
        <f t="shared" si="111"/>
        <v>0</v>
      </c>
      <c r="DN181" s="350">
        <f t="shared" si="111"/>
        <v>0</v>
      </c>
      <c r="DO181" s="350">
        <f t="shared" si="111"/>
        <v>0</v>
      </c>
      <c r="DP181" s="350">
        <f t="shared" si="111"/>
        <v>0</v>
      </c>
      <c r="DQ181" s="350">
        <f t="shared" si="111"/>
        <v>0</v>
      </c>
      <c r="DR181" s="350">
        <f t="shared" si="111"/>
        <v>0</v>
      </c>
      <c r="DS181" s="350">
        <f t="shared" si="111"/>
        <v>0</v>
      </c>
      <c r="DT181" s="350">
        <f t="shared" si="111"/>
        <v>0</v>
      </c>
      <c r="DU181" s="350">
        <f t="shared" si="111"/>
        <v>0</v>
      </c>
      <c r="DV181" s="350">
        <f t="shared" si="111"/>
        <v>0</v>
      </c>
      <c r="DW181" s="6"/>
      <c r="DX181" s="6"/>
      <c r="DY181" s="6"/>
      <c r="DZ181" s="6"/>
    </row>
    <row r="182" spans="1:130" ht="12.75" customHeight="1" outlineLevel="1" x14ac:dyDescent="0.25">
      <c r="A182" s="6"/>
      <c r="B182" s="6" t="s">
        <v>446</v>
      </c>
      <c r="C182" s="6"/>
      <c r="D182" s="6"/>
      <c r="E182" s="6"/>
      <c r="F182" s="350">
        <f t="shared" ref="F182:DV182" si="112">F172</f>
        <v>0</v>
      </c>
      <c r="G182" s="350">
        <f t="shared" si="112"/>
        <v>0</v>
      </c>
      <c r="H182" s="350">
        <f t="shared" si="112"/>
        <v>0</v>
      </c>
      <c r="I182" s="350">
        <f t="shared" si="112"/>
        <v>0</v>
      </c>
      <c r="J182" s="350">
        <f t="shared" si="112"/>
        <v>0</v>
      </c>
      <c r="K182" s="350">
        <f t="shared" si="112"/>
        <v>0</v>
      </c>
      <c r="L182" s="350">
        <f t="shared" si="112"/>
        <v>0</v>
      </c>
      <c r="M182" s="350">
        <f t="shared" si="112"/>
        <v>0</v>
      </c>
      <c r="N182" s="350">
        <f t="shared" si="112"/>
        <v>0</v>
      </c>
      <c r="O182" s="350">
        <f t="shared" si="112"/>
        <v>0</v>
      </c>
      <c r="P182" s="350">
        <f t="shared" si="112"/>
        <v>0</v>
      </c>
      <c r="Q182" s="350">
        <f t="shared" si="112"/>
        <v>0</v>
      </c>
      <c r="R182" s="350">
        <f t="shared" si="112"/>
        <v>0</v>
      </c>
      <c r="S182" s="350">
        <f t="shared" si="112"/>
        <v>0</v>
      </c>
      <c r="T182" s="350">
        <f t="shared" si="112"/>
        <v>0</v>
      </c>
      <c r="U182" s="350">
        <f t="shared" si="112"/>
        <v>0</v>
      </c>
      <c r="V182" s="350">
        <f t="shared" si="112"/>
        <v>0</v>
      </c>
      <c r="W182" s="350">
        <f t="shared" si="112"/>
        <v>0</v>
      </c>
      <c r="X182" s="350">
        <f t="shared" si="112"/>
        <v>0</v>
      </c>
      <c r="Y182" s="350">
        <f t="shared" si="112"/>
        <v>0</v>
      </c>
      <c r="Z182" s="350">
        <f t="shared" si="112"/>
        <v>0</v>
      </c>
      <c r="AA182" s="350">
        <f t="shared" si="112"/>
        <v>0</v>
      </c>
      <c r="AB182" s="350">
        <f t="shared" si="112"/>
        <v>0</v>
      </c>
      <c r="AC182" s="350">
        <f t="shared" si="112"/>
        <v>0</v>
      </c>
      <c r="AD182" s="350">
        <f t="shared" si="112"/>
        <v>0</v>
      </c>
      <c r="AE182" s="350">
        <f t="shared" si="112"/>
        <v>0</v>
      </c>
      <c r="AF182" s="350">
        <f t="shared" si="112"/>
        <v>0</v>
      </c>
      <c r="AG182" s="350">
        <f t="shared" si="112"/>
        <v>0</v>
      </c>
      <c r="AH182" s="350">
        <f t="shared" si="112"/>
        <v>0</v>
      </c>
      <c r="AI182" s="350">
        <f t="shared" si="112"/>
        <v>0</v>
      </c>
      <c r="AJ182" s="350">
        <f t="shared" si="112"/>
        <v>0</v>
      </c>
      <c r="AK182" s="350">
        <f t="shared" si="112"/>
        <v>4904.6946844035401</v>
      </c>
      <c r="AL182" s="350">
        <f t="shared" si="112"/>
        <v>12783.26924578376</v>
      </c>
      <c r="AM182" s="350">
        <f t="shared" si="112"/>
        <v>20501.6237808068</v>
      </c>
      <c r="AN182" s="350">
        <f t="shared" si="112"/>
        <v>28380.198342187021</v>
      </c>
      <c r="AO182" s="350">
        <f t="shared" si="112"/>
        <v>23962.15836369152</v>
      </c>
      <c r="AP182" s="350">
        <f t="shared" si="112"/>
        <v>23962.15836369152</v>
      </c>
      <c r="AQ182" s="350">
        <f t="shared" si="112"/>
        <v>26363.278894745075</v>
      </c>
      <c r="AR182" s="350">
        <f t="shared" si="112"/>
        <v>26363.278894745075</v>
      </c>
      <c r="AS182" s="350">
        <f t="shared" si="112"/>
        <v>26363.278894745075</v>
      </c>
      <c r="AT182" s="350">
        <f t="shared" si="112"/>
        <v>26363.278894745075</v>
      </c>
      <c r="AU182" s="350">
        <f t="shared" si="112"/>
        <v>26363.278894745075</v>
      </c>
      <c r="AV182" s="350">
        <f t="shared" si="112"/>
        <v>26363.278894745075</v>
      </c>
      <c r="AW182" s="350">
        <f t="shared" si="112"/>
        <v>26363.278894745075</v>
      </c>
      <c r="AX182" s="350">
        <f t="shared" si="112"/>
        <v>26363.278894745075</v>
      </c>
      <c r="AY182" s="350">
        <f t="shared" si="112"/>
        <v>26363.278894745075</v>
      </c>
      <c r="AZ182" s="350">
        <f t="shared" si="112"/>
        <v>26363.278894745075</v>
      </c>
      <c r="BA182" s="350">
        <f t="shared" si="112"/>
        <v>26363.278894745075</v>
      </c>
      <c r="BB182" s="350">
        <f t="shared" si="112"/>
        <v>26363.278894745075</v>
      </c>
      <c r="BC182" s="350">
        <f t="shared" si="112"/>
        <v>28835.789981760503</v>
      </c>
      <c r="BD182" s="350">
        <f t="shared" si="112"/>
        <v>28835.789981760503</v>
      </c>
      <c r="BE182" s="350">
        <f t="shared" si="112"/>
        <v>28835.789981760503</v>
      </c>
      <c r="BF182" s="350">
        <f t="shared" si="112"/>
        <v>28835.789981760503</v>
      </c>
      <c r="BG182" s="350">
        <f t="shared" si="112"/>
        <v>28835.789981760503</v>
      </c>
      <c r="BH182" s="350">
        <f t="shared" si="112"/>
        <v>28835.789981760503</v>
      </c>
      <c r="BI182" s="350">
        <f t="shared" si="112"/>
        <v>28835.789981760503</v>
      </c>
      <c r="BJ182" s="350">
        <f t="shared" si="112"/>
        <v>28835.789981760503</v>
      </c>
      <c r="BK182" s="350">
        <f t="shared" si="112"/>
        <v>28835.789981760503</v>
      </c>
      <c r="BL182" s="350">
        <f t="shared" si="112"/>
        <v>28835.789981760503</v>
      </c>
      <c r="BM182" s="350">
        <f t="shared" si="112"/>
        <v>28835.789981760503</v>
      </c>
      <c r="BN182" s="350">
        <f t="shared" si="112"/>
        <v>9894095.2998272497</v>
      </c>
      <c r="BO182" s="350">
        <f t="shared" si="112"/>
        <v>0</v>
      </c>
      <c r="BP182" s="350">
        <f t="shared" si="112"/>
        <v>0</v>
      </c>
      <c r="BQ182" s="350">
        <f t="shared" si="112"/>
        <v>0</v>
      </c>
      <c r="BR182" s="350">
        <f t="shared" si="112"/>
        <v>0</v>
      </c>
      <c r="BS182" s="350">
        <f t="shared" si="112"/>
        <v>0</v>
      </c>
      <c r="BT182" s="350">
        <f t="shared" si="112"/>
        <v>0</v>
      </c>
      <c r="BU182" s="350">
        <f t="shared" si="112"/>
        <v>0</v>
      </c>
      <c r="BV182" s="350">
        <f t="shared" si="112"/>
        <v>0</v>
      </c>
      <c r="BW182" s="350">
        <f t="shared" si="112"/>
        <v>0</v>
      </c>
      <c r="BX182" s="350">
        <f t="shared" si="112"/>
        <v>0</v>
      </c>
      <c r="BY182" s="350">
        <f t="shared" si="112"/>
        <v>0</v>
      </c>
      <c r="BZ182" s="350">
        <f t="shared" si="112"/>
        <v>0</v>
      </c>
      <c r="CA182" s="350">
        <f t="shared" si="112"/>
        <v>0</v>
      </c>
      <c r="CB182" s="350">
        <f t="shared" si="112"/>
        <v>0</v>
      </c>
      <c r="CC182" s="350">
        <f t="shared" si="112"/>
        <v>0</v>
      </c>
      <c r="CD182" s="350">
        <f t="shared" si="112"/>
        <v>0</v>
      </c>
      <c r="CE182" s="350">
        <f t="shared" si="112"/>
        <v>0</v>
      </c>
      <c r="CF182" s="350">
        <f t="shared" si="112"/>
        <v>0</v>
      </c>
      <c r="CG182" s="350">
        <f t="shared" si="112"/>
        <v>0</v>
      </c>
      <c r="CH182" s="350">
        <f t="shared" si="112"/>
        <v>0</v>
      </c>
      <c r="CI182" s="350">
        <f t="shared" si="112"/>
        <v>0</v>
      </c>
      <c r="CJ182" s="350">
        <f t="shared" si="112"/>
        <v>0</v>
      </c>
      <c r="CK182" s="350">
        <f t="shared" si="112"/>
        <v>0</v>
      </c>
      <c r="CL182" s="350">
        <f t="shared" si="112"/>
        <v>0</v>
      </c>
      <c r="CM182" s="350">
        <f t="shared" si="112"/>
        <v>0</v>
      </c>
      <c r="CN182" s="350">
        <f t="shared" si="112"/>
        <v>0</v>
      </c>
      <c r="CO182" s="350">
        <f t="shared" si="112"/>
        <v>0</v>
      </c>
      <c r="CP182" s="350">
        <f t="shared" si="112"/>
        <v>0</v>
      </c>
      <c r="CQ182" s="350">
        <f t="shared" si="112"/>
        <v>0</v>
      </c>
      <c r="CR182" s="350">
        <f t="shared" si="112"/>
        <v>0</v>
      </c>
      <c r="CS182" s="350">
        <f t="shared" si="112"/>
        <v>0</v>
      </c>
      <c r="CT182" s="350">
        <f t="shared" si="112"/>
        <v>0</v>
      </c>
      <c r="CU182" s="350">
        <f t="shared" si="112"/>
        <v>0</v>
      </c>
      <c r="CV182" s="350">
        <f t="shared" si="112"/>
        <v>0</v>
      </c>
      <c r="CW182" s="350">
        <f t="shared" si="112"/>
        <v>0</v>
      </c>
      <c r="CX182" s="350">
        <f t="shared" si="112"/>
        <v>0</v>
      </c>
      <c r="CY182" s="350">
        <f t="shared" si="112"/>
        <v>0</v>
      </c>
      <c r="CZ182" s="350">
        <f t="shared" si="112"/>
        <v>0</v>
      </c>
      <c r="DA182" s="350">
        <f t="shared" si="112"/>
        <v>0</v>
      </c>
      <c r="DB182" s="350">
        <f t="shared" si="112"/>
        <v>0</v>
      </c>
      <c r="DC182" s="350">
        <f t="shared" si="112"/>
        <v>0</v>
      </c>
      <c r="DD182" s="350">
        <f t="shared" si="112"/>
        <v>0</v>
      </c>
      <c r="DE182" s="350">
        <f t="shared" si="112"/>
        <v>0</v>
      </c>
      <c r="DF182" s="350">
        <f t="shared" si="112"/>
        <v>0</v>
      </c>
      <c r="DG182" s="350">
        <f t="shared" si="112"/>
        <v>0</v>
      </c>
      <c r="DH182" s="350">
        <f t="shared" si="112"/>
        <v>0</v>
      </c>
      <c r="DI182" s="350">
        <f t="shared" si="112"/>
        <v>0</v>
      </c>
      <c r="DJ182" s="350">
        <f t="shared" si="112"/>
        <v>0</v>
      </c>
      <c r="DK182" s="350">
        <f t="shared" si="112"/>
        <v>0</v>
      </c>
      <c r="DL182" s="350">
        <f t="shared" si="112"/>
        <v>0</v>
      </c>
      <c r="DM182" s="350">
        <f t="shared" si="112"/>
        <v>0</v>
      </c>
      <c r="DN182" s="350">
        <f t="shared" si="112"/>
        <v>0</v>
      </c>
      <c r="DO182" s="350">
        <f t="shared" si="112"/>
        <v>0</v>
      </c>
      <c r="DP182" s="350">
        <f t="shared" si="112"/>
        <v>0</v>
      </c>
      <c r="DQ182" s="350">
        <f t="shared" si="112"/>
        <v>0</v>
      </c>
      <c r="DR182" s="350">
        <f t="shared" si="112"/>
        <v>0</v>
      </c>
      <c r="DS182" s="350">
        <f t="shared" si="112"/>
        <v>0</v>
      </c>
      <c r="DT182" s="350">
        <f t="shared" si="112"/>
        <v>0</v>
      </c>
      <c r="DU182" s="350">
        <f t="shared" si="112"/>
        <v>0</v>
      </c>
      <c r="DV182" s="350">
        <f t="shared" si="112"/>
        <v>0</v>
      </c>
      <c r="DW182" s="6"/>
      <c r="DX182" s="6"/>
      <c r="DY182" s="6"/>
      <c r="DZ182" s="6"/>
    </row>
    <row r="183" spans="1:130" ht="12.75" customHeight="1" outlineLevel="1" x14ac:dyDescent="0.25">
      <c r="A183" s="6"/>
      <c r="B183" s="6" t="str">
        <f>"Distributions to LP "&amp;B177</f>
        <v>Distributions to LP Hurdle 2</v>
      </c>
      <c r="C183" s="6"/>
      <c r="D183" s="6"/>
      <c r="E183" s="6"/>
      <c r="F183" s="350">
        <f>IF(F179="","",MIN(F179+F180-F182,F175*$I$150))</f>
        <v>0</v>
      </c>
      <c r="G183" s="350">
        <f t="shared" ref="G183:DV183" si="113">IF(G179="","",MIN(G179+G180-G182,G175*$I$149))</f>
        <v>0</v>
      </c>
      <c r="H183" s="350">
        <f t="shared" si="113"/>
        <v>0</v>
      </c>
      <c r="I183" s="350">
        <f t="shared" si="113"/>
        <v>0</v>
      </c>
      <c r="J183" s="350">
        <f t="shared" si="113"/>
        <v>0</v>
      </c>
      <c r="K183" s="350">
        <f t="shared" si="113"/>
        <v>0</v>
      </c>
      <c r="L183" s="350">
        <f t="shared" si="113"/>
        <v>0</v>
      </c>
      <c r="M183" s="350">
        <f t="shared" si="113"/>
        <v>0</v>
      </c>
      <c r="N183" s="350">
        <f t="shared" si="113"/>
        <v>0</v>
      </c>
      <c r="O183" s="350">
        <f t="shared" si="113"/>
        <v>0</v>
      </c>
      <c r="P183" s="350">
        <f t="shared" si="113"/>
        <v>0</v>
      </c>
      <c r="Q183" s="350">
        <f t="shared" si="113"/>
        <v>0</v>
      </c>
      <c r="R183" s="350">
        <f t="shared" si="113"/>
        <v>0</v>
      </c>
      <c r="S183" s="350">
        <f t="shared" si="113"/>
        <v>0</v>
      </c>
      <c r="T183" s="350">
        <f t="shared" si="113"/>
        <v>0</v>
      </c>
      <c r="U183" s="350">
        <f t="shared" si="113"/>
        <v>0</v>
      </c>
      <c r="V183" s="350">
        <f t="shared" si="113"/>
        <v>0</v>
      </c>
      <c r="W183" s="350">
        <f t="shared" si="113"/>
        <v>0</v>
      </c>
      <c r="X183" s="350">
        <f t="shared" si="113"/>
        <v>0</v>
      </c>
      <c r="Y183" s="350">
        <f t="shared" si="113"/>
        <v>0</v>
      </c>
      <c r="Z183" s="350">
        <f t="shared" si="113"/>
        <v>0</v>
      </c>
      <c r="AA183" s="350">
        <f t="shared" si="113"/>
        <v>0</v>
      </c>
      <c r="AB183" s="350">
        <f t="shared" si="113"/>
        <v>0</v>
      </c>
      <c r="AC183" s="350">
        <f t="shared" si="113"/>
        <v>0</v>
      </c>
      <c r="AD183" s="350">
        <f t="shared" si="113"/>
        <v>0</v>
      </c>
      <c r="AE183" s="350">
        <f t="shared" si="113"/>
        <v>0</v>
      </c>
      <c r="AF183" s="350">
        <f t="shared" si="113"/>
        <v>0</v>
      </c>
      <c r="AG183" s="350">
        <f t="shared" si="113"/>
        <v>0</v>
      </c>
      <c r="AH183" s="350">
        <f t="shared" si="113"/>
        <v>0</v>
      </c>
      <c r="AI183" s="350">
        <f t="shared" si="113"/>
        <v>0</v>
      </c>
      <c r="AJ183" s="350">
        <f t="shared" si="113"/>
        <v>0</v>
      </c>
      <c r="AK183" s="350">
        <f t="shared" si="113"/>
        <v>0</v>
      </c>
      <c r="AL183" s="350">
        <f t="shared" si="113"/>
        <v>0</v>
      </c>
      <c r="AM183" s="350">
        <f t="shared" si="113"/>
        <v>0</v>
      </c>
      <c r="AN183" s="350">
        <f t="shared" si="113"/>
        <v>0</v>
      </c>
      <c r="AO183" s="350">
        <f t="shared" si="113"/>
        <v>0</v>
      </c>
      <c r="AP183" s="350">
        <f t="shared" si="113"/>
        <v>0</v>
      </c>
      <c r="AQ183" s="350">
        <f t="shared" si="113"/>
        <v>0</v>
      </c>
      <c r="AR183" s="350">
        <f t="shared" si="113"/>
        <v>0</v>
      </c>
      <c r="AS183" s="350">
        <f t="shared" si="113"/>
        <v>0</v>
      </c>
      <c r="AT183" s="350">
        <f t="shared" si="113"/>
        <v>0</v>
      </c>
      <c r="AU183" s="350">
        <f t="shared" si="113"/>
        <v>0</v>
      </c>
      <c r="AV183" s="350">
        <f t="shared" si="113"/>
        <v>0</v>
      </c>
      <c r="AW183" s="350">
        <f t="shared" si="113"/>
        <v>0</v>
      </c>
      <c r="AX183" s="350">
        <f t="shared" si="113"/>
        <v>0</v>
      </c>
      <c r="AY183" s="350">
        <f t="shared" si="113"/>
        <v>0</v>
      </c>
      <c r="AZ183" s="350">
        <f t="shared" si="113"/>
        <v>0</v>
      </c>
      <c r="BA183" s="350">
        <f t="shared" si="113"/>
        <v>0</v>
      </c>
      <c r="BB183" s="350">
        <f t="shared" si="113"/>
        <v>0</v>
      </c>
      <c r="BC183" s="350">
        <f t="shared" si="113"/>
        <v>0</v>
      </c>
      <c r="BD183" s="350">
        <f t="shared" si="113"/>
        <v>0</v>
      </c>
      <c r="BE183" s="350">
        <f t="shared" si="113"/>
        <v>0</v>
      </c>
      <c r="BF183" s="350">
        <f t="shared" si="113"/>
        <v>0</v>
      </c>
      <c r="BG183" s="350">
        <f t="shared" si="113"/>
        <v>0</v>
      </c>
      <c r="BH183" s="350">
        <f t="shared" si="113"/>
        <v>0</v>
      </c>
      <c r="BI183" s="350">
        <f t="shared" si="113"/>
        <v>0</v>
      </c>
      <c r="BJ183" s="350">
        <f t="shared" si="113"/>
        <v>0</v>
      </c>
      <c r="BK183" s="350">
        <f t="shared" si="113"/>
        <v>0</v>
      </c>
      <c r="BL183" s="350">
        <f t="shared" si="113"/>
        <v>0</v>
      </c>
      <c r="BM183" s="350">
        <f t="shared" si="113"/>
        <v>0</v>
      </c>
      <c r="BN183" s="350">
        <f t="shared" si="113"/>
        <v>162257.71925634047</v>
      </c>
      <c r="BO183" s="350">
        <f t="shared" si="113"/>
        <v>0</v>
      </c>
      <c r="BP183" s="350">
        <f t="shared" si="113"/>
        <v>0</v>
      </c>
      <c r="BQ183" s="350">
        <f t="shared" si="113"/>
        <v>0</v>
      </c>
      <c r="BR183" s="350">
        <f t="shared" si="113"/>
        <v>0</v>
      </c>
      <c r="BS183" s="350">
        <f t="shared" si="113"/>
        <v>0</v>
      </c>
      <c r="BT183" s="350">
        <f t="shared" si="113"/>
        <v>0</v>
      </c>
      <c r="BU183" s="350">
        <f t="shared" si="113"/>
        <v>0</v>
      </c>
      <c r="BV183" s="350">
        <f t="shared" si="113"/>
        <v>0</v>
      </c>
      <c r="BW183" s="350">
        <f t="shared" si="113"/>
        <v>0</v>
      </c>
      <c r="BX183" s="350">
        <f t="shared" si="113"/>
        <v>0</v>
      </c>
      <c r="BY183" s="350">
        <f t="shared" si="113"/>
        <v>0</v>
      </c>
      <c r="BZ183" s="350">
        <f t="shared" si="113"/>
        <v>0</v>
      </c>
      <c r="CA183" s="350">
        <f t="shared" si="113"/>
        <v>0</v>
      </c>
      <c r="CB183" s="350">
        <f t="shared" si="113"/>
        <v>0</v>
      </c>
      <c r="CC183" s="350">
        <f t="shared" si="113"/>
        <v>0</v>
      </c>
      <c r="CD183" s="350">
        <f t="shared" si="113"/>
        <v>0</v>
      </c>
      <c r="CE183" s="350">
        <f t="shared" si="113"/>
        <v>0</v>
      </c>
      <c r="CF183" s="350">
        <f t="shared" si="113"/>
        <v>0</v>
      </c>
      <c r="CG183" s="350">
        <f t="shared" si="113"/>
        <v>0</v>
      </c>
      <c r="CH183" s="350">
        <f t="shared" si="113"/>
        <v>0</v>
      </c>
      <c r="CI183" s="350">
        <f t="shared" si="113"/>
        <v>0</v>
      </c>
      <c r="CJ183" s="350">
        <f t="shared" si="113"/>
        <v>0</v>
      </c>
      <c r="CK183" s="350">
        <f t="shared" si="113"/>
        <v>0</v>
      </c>
      <c r="CL183" s="350">
        <f t="shared" si="113"/>
        <v>0</v>
      </c>
      <c r="CM183" s="350">
        <f t="shared" si="113"/>
        <v>0</v>
      </c>
      <c r="CN183" s="350">
        <f t="shared" si="113"/>
        <v>0</v>
      </c>
      <c r="CO183" s="350">
        <f t="shared" si="113"/>
        <v>0</v>
      </c>
      <c r="CP183" s="350">
        <f t="shared" si="113"/>
        <v>0</v>
      </c>
      <c r="CQ183" s="350">
        <f t="shared" si="113"/>
        <v>0</v>
      </c>
      <c r="CR183" s="350">
        <f t="shared" si="113"/>
        <v>0</v>
      </c>
      <c r="CS183" s="350">
        <f t="shared" si="113"/>
        <v>0</v>
      </c>
      <c r="CT183" s="350">
        <f t="shared" si="113"/>
        <v>0</v>
      </c>
      <c r="CU183" s="350">
        <f t="shared" si="113"/>
        <v>0</v>
      </c>
      <c r="CV183" s="350">
        <f t="shared" si="113"/>
        <v>0</v>
      </c>
      <c r="CW183" s="350">
        <f t="shared" si="113"/>
        <v>0</v>
      </c>
      <c r="CX183" s="350">
        <f t="shared" si="113"/>
        <v>0</v>
      </c>
      <c r="CY183" s="350">
        <f t="shared" si="113"/>
        <v>0</v>
      </c>
      <c r="CZ183" s="350">
        <f t="shared" si="113"/>
        <v>0</v>
      </c>
      <c r="DA183" s="350">
        <f t="shared" si="113"/>
        <v>0</v>
      </c>
      <c r="DB183" s="350">
        <f t="shared" si="113"/>
        <v>0</v>
      </c>
      <c r="DC183" s="350">
        <f t="shared" si="113"/>
        <v>0</v>
      </c>
      <c r="DD183" s="350">
        <f t="shared" si="113"/>
        <v>0</v>
      </c>
      <c r="DE183" s="350">
        <f t="shared" si="113"/>
        <v>0</v>
      </c>
      <c r="DF183" s="350">
        <f t="shared" si="113"/>
        <v>0</v>
      </c>
      <c r="DG183" s="350">
        <f t="shared" si="113"/>
        <v>0</v>
      </c>
      <c r="DH183" s="350">
        <f t="shared" si="113"/>
        <v>0</v>
      </c>
      <c r="DI183" s="350">
        <f t="shared" si="113"/>
        <v>0</v>
      </c>
      <c r="DJ183" s="350">
        <f t="shared" si="113"/>
        <v>0</v>
      </c>
      <c r="DK183" s="350">
        <f t="shared" si="113"/>
        <v>0</v>
      </c>
      <c r="DL183" s="350">
        <f t="shared" si="113"/>
        <v>0</v>
      </c>
      <c r="DM183" s="350">
        <f t="shared" si="113"/>
        <v>0</v>
      </c>
      <c r="DN183" s="350">
        <f t="shared" si="113"/>
        <v>0</v>
      </c>
      <c r="DO183" s="350">
        <f t="shared" si="113"/>
        <v>0</v>
      </c>
      <c r="DP183" s="350">
        <f t="shared" si="113"/>
        <v>0</v>
      </c>
      <c r="DQ183" s="350">
        <f t="shared" si="113"/>
        <v>0</v>
      </c>
      <c r="DR183" s="350">
        <f t="shared" si="113"/>
        <v>0</v>
      </c>
      <c r="DS183" s="350">
        <f t="shared" si="113"/>
        <v>0</v>
      </c>
      <c r="DT183" s="350">
        <f t="shared" si="113"/>
        <v>0</v>
      </c>
      <c r="DU183" s="350">
        <f t="shared" si="113"/>
        <v>0</v>
      </c>
      <c r="DV183" s="350">
        <f t="shared" si="113"/>
        <v>0</v>
      </c>
      <c r="DW183" s="6"/>
      <c r="DX183" s="6"/>
      <c r="DY183" s="6"/>
      <c r="DZ183" s="6"/>
    </row>
    <row r="184" spans="1:130" ht="12.75" customHeight="1" outlineLevel="1" x14ac:dyDescent="0.25">
      <c r="A184" s="6"/>
      <c r="B184" s="6" t="s">
        <v>440</v>
      </c>
      <c r="C184" s="6"/>
      <c r="D184" s="6"/>
      <c r="E184" s="6"/>
      <c r="F184" s="350">
        <f>F179+F181-F183</f>
        <v>2045560.6845345572</v>
      </c>
      <c r="G184" s="350">
        <f t="shared" ref="G184:DV184" si="114">IF(G179="","",G179+G180+G181-G182-G183)</f>
        <v>2616917.5365782818</v>
      </c>
      <c r="H184" s="350">
        <f t="shared" si="114"/>
        <v>3201056.4517660085</v>
      </c>
      <c r="I184" s="350">
        <f t="shared" si="114"/>
        <v>3807495.5471103266</v>
      </c>
      <c r="J184" s="350">
        <f t="shared" si="114"/>
        <v>4428872.7802451188</v>
      </c>
      <c r="K184" s="350">
        <f t="shared" si="114"/>
        <v>5069658.4294854421</v>
      </c>
      <c r="L184" s="350">
        <f t="shared" si="114"/>
        <v>5724109.8691653069</v>
      </c>
      <c r="M184" s="350">
        <f t="shared" si="114"/>
        <v>6004131.315624685</v>
      </c>
      <c r="N184" s="350">
        <f t="shared" si="114"/>
        <v>6119006.231990532</v>
      </c>
      <c r="O184" s="350">
        <f t="shared" si="114"/>
        <v>6232267.7339566369</v>
      </c>
      <c r="P184" s="350">
        <f t="shared" si="114"/>
        <v>6351507.5035540722</v>
      </c>
      <c r="Q184" s="350">
        <f t="shared" si="114"/>
        <v>6469072.5545325391</v>
      </c>
      <c r="R184" s="350">
        <f t="shared" si="114"/>
        <v>6592843.02682928</v>
      </c>
      <c r="S184" s="350">
        <f t="shared" si="114"/>
        <v>6718981.5557034397</v>
      </c>
      <c r="T184" s="350">
        <f t="shared" si="114"/>
        <v>6839166.0555953672</v>
      </c>
      <c r="U184" s="350">
        <f t="shared" si="114"/>
        <v>6970017.395672515</v>
      </c>
      <c r="V184" s="350">
        <f t="shared" si="114"/>
        <v>7099030.9330074731</v>
      </c>
      <c r="W184" s="350">
        <f t="shared" si="114"/>
        <v>7234854.1756779989</v>
      </c>
      <c r="X184" s="350">
        <f t="shared" si="114"/>
        <v>7368769.7853989052</v>
      </c>
      <c r="Y184" s="350">
        <f t="shared" si="114"/>
        <v>7509753.8459263705</v>
      </c>
      <c r="Z184" s="350">
        <f t="shared" si="114"/>
        <v>7653435.3045137124</v>
      </c>
      <c r="AA184" s="350">
        <f t="shared" si="114"/>
        <v>7795098.761768871</v>
      </c>
      <c r="AB184" s="350">
        <f t="shared" si="114"/>
        <v>7944239.6234937701</v>
      </c>
      <c r="AC184" s="350">
        <f t="shared" si="114"/>
        <v>8091285.8067500424</v>
      </c>
      <c r="AD184" s="350">
        <f t="shared" si="114"/>
        <v>8246093.5102264397</v>
      </c>
      <c r="AE184" s="350">
        <f t="shared" si="114"/>
        <v>8403863.0946236216</v>
      </c>
      <c r="AF184" s="350">
        <f t="shared" si="114"/>
        <v>8548957.5694942065</v>
      </c>
      <c r="AG184" s="350">
        <f t="shared" si="114"/>
        <v>8712521.7445906401</v>
      </c>
      <c r="AH184" s="350">
        <f t="shared" si="114"/>
        <v>8873788.6662593372</v>
      </c>
      <c r="AI184" s="350">
        <f t="shared" si="114"/>
        <v>9043567.7195974942</v>
      </c>
      <c r="AJ184" s="350">
        <f t="shared" si="114"/>
        <v>9210962.2317486275</v>
      </c>
      <c r="AK184" s="350">
        <f t="shared" si="114"/>
        <v>9382287.6127235554</v>
      </c>
      <c r="AL184" s="350">
        <f t="shared" si="114"/>
        <v>9549012.3269269653</v>
      </c>
      <c r="AM184" s="350">
        <f t="shared" si="114"/>
        <v>9705260.8873159774</v>
      </c>
      <c r="AN184" s="350">
        <f t="shared" si="114"/>
        <v>9862568.0056115594</v>
      </c>
      <c r="AO184" s="350">
        <f t="shared" si="114"/>
        <v>10021159.880240746</v>
      </c>
      <c r="AP184" s="350">
        <f t="shared" si="114"/>
        <v>10188929.021979652</v>
      </c>
      <c r="AQ184" s="350">
        <f t="shared" si="114"/>
        <v>10357506.910712533</v>
      </c>
      <c r="AR184" s="350">
        <f t="shared" si="114"/>
        <v>10509968.180630311</v>
      </c>
      <c r="AS184" s="350">
        <f t="shared" si="114"/>
        <v>10684688.397796979</v>
      </c>
      <c r="AT184" s="350">
        <f t="shared" si="114"/>
        <v>10856096.425237484</v>
      </c>
      <c r="AU184" s="350">
        <f t="shared" si="114"/>
        <v>11037438.991427004</v>
      </c>
      <c r="AV184" s="350">
        <f t="shared" si="114"/>
        <v>11215376.357217435</v>
      </c>
      <c r="AW184" s="350">
        <f t="shared" si="114"/>
        <v>11403592.899002844</v>
      </c>
      <c r="AX184" s="350">
        <f t="shared" si="114"/>
        <v>11595410.521171024</v>
      </c>
      <c r="AY184" s="350">
        <f t="shared" si="114"/>
        <v>11783675.821125461</v>
      </c>
      <c r="AZ184" s="350">
        <f t="shared" si="114"/>
        <v>11982765.435126547</v>
      </c>
      <c r="BA184" s="350">
        <f t="shared" si="114"/>
        <v>12178200.59202919</v>
      </c>
      <c r="BB184" s="350">
        <f t="shared" si="114"/>
        <v>12384838.508637164</v>
      </c>
      <c r="BC184" s="350">
        <f t="shared" si="114"/>
        <v>12592957.444176124</v>
      </c>
      <c r="BD184" s="350">
        <f t="shared" si="114"/>
        <v>12781541.729564141</v>
      </c>
      <c r="BE184" s="350">
        <f t="shared" si="114"/>
        <v>12997250.647222158</v>
      </c>
      <c r="BF184" s="350">
        <f t="shared" si="114"/>
        <v>13208991.198221739</v>
      </c>
      <c r="BG184" s="350">
        <f t="shared" si="114"/>
        <v>13432878.355058983</v>
      </c>
      <c r="BH184" s="350">
        <f t="shared" si="114"/>
        <v>13652682.282139096</v>
      </c>
      <c r="BI184" s="350">
        <f t="shared" si="114"/>
        <v>13885058.423223676</v>
      </c>
      <c r="BJ184" s="350">
        <f t="shared" si="114"/>
        <v>14121880.53465255</v>
      </c>
      <c r="BK184" s="350">
        <f t="shared" si="114"/>
        <v>14354437.745315004</v>
      </c>
      <c r="BL184" s="350">
        <f t="shared" si="114"/>
        <v>14600240.324947294</v>
      </c>
      <c r="BM184" s="350">
        <f t="shared" si="114"/>
        <v>14841651.873434363</v>
      </c>
      <c r="BN184" s="350">
        <f t="shared" si="114"/>
        <v>5069258.9191906275</v>
      </c>
      <c r="BO184" s="350">
        <f t="shared" si="114"/>
        <v>5166247.2533503808</v>
      </c>
      <c r="BP184" s="350">
        <f t="shared" si="114"/>
        <v>5258657.5148333739</v>
      </c>
      <c r="BQ184" s="350">
        <f t="shared" si="114"/>
        <v>5359269.5451933835</v>
      </c>
      <c r="BR184" s="350">
        <f t="shared" si="114"/>
        <v>5458468.4829157181</v>
      </c>
      <c r="BS184" s="350">
        <f t="shared" si="114"/>
        <v>5562903.4257073244</v>
      </c>
      <c r="BT184" s="350">
        <f t="shared" si="114"/>
        <v>5665871.5831826339</v>
      </c>
      <c r="BU184" s="350">
        <f t="shared" si="114"/>
        <v>5774274.6959799789</v>
      </c>
      <c r="BV184" s="350">
        <f t="shared" si="114"/>
        <v>5884751.8471122263</v>
      </c>
      <c r="BW184" s="350">
        <f t="shared" si="114"/>
        <v>5993677.3503119387</v>
      </c>
      <c r="BX184" s="350">
        <f t="shared" si="114"/>
        <v>6108352.2546647461</v>
      </c>
      <c r="BY184" s="350">
        <f t="shared" si="114"/>
        <v>6221416.5537799168</v>
      </c>
      <c r="BZ184" s="350">
        <f t="shared" si="114"/>
        <v>6340448.7115931083</v>
      </c>
      <c r="CA184" s="350">
        <f t="shared" si="114"/>
        <v>6461758.2694921466</v>
      </c>
      <c r="CB184" s="350">
        <f t="shared" si="114"/>
        <v>6573321.8935417132</v>
      </c>
      <c r="CC184" s="350">
        <f t="shared" si="114"/>
        <v>6699086.9314917251</v>
      </c>
      <c r="CD184" s="350">
        <f t="shared" si="114"/>
        <v>6823085.6036446439</v>
      </c>
      <c r="CE184" s="350">
        <f t="shared" si="114"/>
        <v>6953629.2821341511</v>
      </c>
      <c r="CF184" s="350">
        <f t="shared" si="114"/>
        <v>7082339.4789782884</v>
      </c>
      <c r="CG184" s="350">
        <f t="shared" si="114"/>
        <v>7217843.3699749699</v>
      </c>
      <c r="CH184" s="350">
        <f t="shared" si="114"/>
        <v>7355939.8088902785</v>
      </c>
      <c r="CI184" s="350">
        <f t="shared" si="114"/>
        <v>7492096.6878899187</v>
      </c>
      <c r="CJ184" s="350">
        <f t="shared" si="114"/>
        <v>7635440.3183309278</v>
      </c>
      <c r="CK184" s="350">
        <f t="shared" si="114"/>
        <v>7776770.6922248919</v>
      </c>
      <c r="CL184" s="350">
        <f t="shared" si="114"/>
        <v>7925560.8894913811</v>
      </c>
      <c r="CM184" s="350">
        <f t="shared" si="114"/>
        <v>8077197.8368651783</v>
      </c>
      <c r="CN184" s="350">
        <f t="shared" si="114"/>
        <v>8216652.3669271367</v>
      </c>
      <c r="CO184" s="350">
        <f t="shared" si="114"/>
        <v>8373858.6643646518</v>
      </c>
      <c r="CP184" s="350">
        <f t="shared" si="114"/>
        <v>8528857.0045557991</v>
      </c>
      <c r="CQ184" s="350">
        <f t="shared" si="114"/>
        <v>8692036.6026676837</v>
      </c>
      <c r="CR184" s="350">
        <f t="shared" si="114"/>
        <v>8852924.3487228546</v>
      </c>
      <c r="CS184" s="350">
        <f t="shared" si="114"/>
        <v>9022304.2124687061</v>
      </c>
      <c r="CT184" s="350">
        <f t="shared" si="114"/>
        <v>9194924.7611128427</v>
      </c>
      <c r="CU184" s="350">
        <f t="shared" si="114"/>
        <v>9365120.8598623928</v>
      </c>
      <c r="CV184" s="350">
        <f t="shared" si="114"/>
        <v>9544300.3979136534</v>
      </c>
      <c r="CW184" s="350">
        <f t="shared" si="114"/>
        <v>9720963.3652811088</v>
      </c>
      <c r="CX184" s="350">
        <f t="shared" si="114"/>
        <v>9906951.1118642204</v>
      </c>
      <c r="CY184" s="350">
        <f t="shared" si="114"/>
        <v>10096497.296081467</v>
      </c>
      <c r="CZ184" s="350">
        <f t="shared" si="114"/>
        <v>10270815.458658915</v>
      </c>
      <c r="DA184" s="350">
        <f t="shared" si="114"/>
        <v>10467323.330455808</v>
      </c>
      <c r="DB184" s="350">
        <f t="shared" si="114"/>
        <v>10661071.255694743</v>
      </c>
      <c r="DC184" s="350">
        <f t="shared" si="114"/>
        <v>10865045.753334599</v>
      </c>
      <c r="DD184" s="350">
        <f t="shared" si="114"/>
        <v>11066155.435903562</v>
      </c>
      <c r="DE184" s="350">
        <f t="shared" si="114"/>
        <v>11277880.265585877</v>
      </c>
      <c r="DF184" s="350">
        <f t="shared" si="114"/>
        <v>11493655.951391047</v>
      </c>
      <c r="DG184" s="350">
        <f t="shared" si="114"/>
        <v>11706401.074827984</v>
      </c>
      <c r="DH184" s="350">
        <f t="shared" si="114"/>
        <v>11930375.49739206</v>
      </c>
      <c r="DI184" s="350">
        <f t="shared" si="114"/>
        <v>12151204.206601378</v>
      </c>
      <c r="DJ184" s="350">
        <f t="shared" si="114"/>
        <v>12383688.889830267</v>
      </c>
      <c r="DK184" s="350">
        <f t="shared" si="114"/>
        <v>12620621.620101826</v>
      </c>
      <c r="DL184" s="350">
        <f t="shared" si="114"/>
        <v>12846370.579994362</v>
      </c>
      <c r="DM184" s="350">
        <f t="shared" si="114"/>
        <v>13092155.635051571</v>
      </c>
      <c r="DN184" s="350">
        <f t="shared" si="114"/>
        <v>13334488.647142258</v>
      </c>
      <c r="DO184" s="350">
        <f t="shared" si="114"/>
        <v>13589612.692170314</v>
      </c>
      <c r="DP184" s="350">
        <f t="shared" si="114"/>
        <v>13841153.528426688</v>
      </c>
      <c r="DQ184" s="350">
        <f t="shared" si="114"/>
        <v>14105971.41304676</v>
      </c>
      <c r="DR184" s="350">
        <f t="shared" si="114"/>
        <v>14375855.964391584</v>
      </c>
      <c r="DS184" s="350">
        <f t="shared" si="114"/>
        <v>14641949.996141853</v>
      </c>
      <c r="DT184" s="350">
        <f t="shared" si="114"/>
        <v>14922089.235745527</v>
      </c>
      <c r="DU184" s="350">
        <f t="shared" si="114"/>
        <v>15198293.928997325</v>
      </c>
      <c r="DV184" s="350">
        <f t="shared" si="114"/>
        <v>15489077.499878548</v>
      </c>
      <c r="DW184" s="6"/>
      <c r="DX184" s="6"/>
      <c r="DY184" s="6"/>
      <c r="DZ184" s="6"/>
    </row>
    <row r="185" spans="1:130" ht="12.75" customHeight="1" outlineLevel="1" x14ac:dyDescent="0.25">
      <c r="A185" s="6"/>
      <c r="B185" s="1256">
        <f>C178</f>
        <v>0.25</v>
      </c>
      <c r="C185" s="6"/>
      <c r="D185" s="6"/>
      <c r="E185" s="139">
        <f>XIRR(F185:DV185,F155:DV155)</f>
        <v>0.15364879965782166</v>
      </c>
      <c r="F185" s="350">
        <f>IF(F179="","",-F181+F183)</f>
        <v>-2045560.6845345572</v>
      </c>
      <c r="G185" s="350">
        <f t="shared" ref="G185:DV185" si="115">IF(G179="","",-G181+G182+G183)</f>
        <v>-532219.86449222511</v>
      </c>
      <c r="H185" s="350">
        <f t="shared" si="115"/>
        <v>-538957.28009036742</v>
      </c>
      <c r="I185" s="350">
        <f t="shared" si="115"/>
        <v>-545194.41683070059</v>
      </c>
      <c r="J185" s="350">
        <f t="shared" si="115"/>
        <v>-550901.30157904211</v>
      </c>
      <c r="K185" s="350">
        <f t="shared" si="115"/>
        <v>-556049.59609943768</v>
      </c>
      <c r="L185" s="350">
        <f t="shared" si="115"/>
        <v>-560613.14202023717</v>
      </c>
      <c r="M185" s="350">
        <f t="shared" si="115"/>
        <v>-170504.08117822444</v>
      </c>
      <c r="N185" s="350">
        <f t="shared" si="115"/>
        <v>0</v>
      </c>
      <c r="O185" s="350">
        <f t="shared" si="115"/>
        <v>0</v>
      </c>
      <c r="P185" s="350">
        <f t="shared" si="115"/>
        <v>0</v>
      </c>
      <c r="Q185" s="350">
        <f t="shared" si="115"/>
        <v>0</v>
      </c>
      <c r="R185" s="350">
        <f t="shared" si="115"/>
        <v>0</v>
      </c>
      <c r="S185" s="350">
        <f t="shared" si="115"/>
        <v>0</v>
      </c>
      <c r="T185" s="350">
        <f t="shared" si="115"/>
        <v>0</v>
      </c>
      <c r="U185" s="350">
        <f t="shared" si="115"/>
        <v>0</v>
      </c>
      <c r="V185" s="350">
        <f t="shared" si="115"/>
        <v>0</v>
      </c>
      <c r="W185" s="350">
        <f t="shared" si="115"/>
        <v>0</v>
      </c>
      <c r="X185" s="350">
        <f t="shared" si="115"/>
        <v>0</v>
      </c>
      <c r="Y185" s="350">
        <f t="shared" si="115"/>
        <v>0</v>
      </c>
      <c r="Z185" s="350">
        <f t="shared" si="115"/>
        <v>0</v>
      </c>
      <c r="AA185" s="350">
        <f t="shared" si="115"/>
        <v>0</v>
      </c>
      <c r="AB185" s="350">
        <f t="shared" si="115"/>
        <v>0</v>
      </c>
      <c r="AC185" s="350">
        <f t="shared" si="115"/>
        <v>0</v>
      </c>
      <c r="AD185" s="350">
        <f t="shared" si="115"/>
        <v>0</v>
      </c>
      <c r="AE185" s="350">
        <f t="shared" si="115"/>
        <v>0</v>
      </c>
      <c r="AF185" s="350">
        <f t="shared" si="115"/>
        <v>0</v>
      </c>
      <c r="AG185" s="350">
        <f t="shared" si="115"/>
        <v>0</v>
      </c>
      <c r="AH185" s="350">
        <f t="shared" si="115"/>
        <v>0</v>
      </c>
      <c r="AI185" s="350">
        <f t="shared" si="115"/>
        <v>0</v>
      </c>
      <c r="AJ185" s="350">
        <f t="shared" si="115"/>
        <v>0</v>
      </c>
      <c r="AK185" s="350">
        <f t="shared" si="115"/>
        <v>4904.6946844035401</v>
      </c>
      <c r="AL185" s="350">
        <f t="shared" si="115"/>
        <v>12783.26924578376</v>
      </c>
      <c r="AM185" s="350">
        <f t="shared" si="115"/>
        <v>20501.6237808068</v>
      </c>
      <c r="AN185" s="350">
        <f t="shared" si="115"/>
        <v>28380.198342187021</v>
      </c>
      <c r="AO185" s="350">
        <f t="shared" si="115"/>
        <v>23962.15836369152</v>
      </c>
      <c r="AP185" s="350">
        <f t="shared" si="115"/>
        <v>23962.15836369152</v>
      </c>
      <c r="AQ185" s="350">
        <f t="shared" si="115"/>
        <v>26363.278894745075</v>
      </c>
      <c r="AR185" s="350">
        <f t="shared" si="115"/>
        <v>26363.278894745075</v>
      </c>
      <c r="AS185" s="350">
        <f t="shared" si="115"/>
        <v>26363.278894745075</v>
      </c>
      <c r="AT185" s="350">
        <f t="shared" si="115"/>
        <v>26363.278894745075</v>
      </c>
      <c r="AU185" s="350">
        <f t="shared" si="115"/>
        <v>26363.278894745075</v>
      </c>
      <c r="AV185" s="350">
        <f t="shared" si="115"/>
        <v>26363.278894745075</v>
      </c>
      <c r="AW185" s="350">
        <f t="shared" si="115"/>
        <v>26363.278894745075</v>
      </c>
      <c r="AX185" s="350">
        <f t="shared" si="115"/>
        <v>26363.278894745075</v>
      </c>
      <c r="AY185" s="350">
        <f t="shared" si="115"/>
        <v>26363.278894745075</v>
      </c>
      <c r="AZ185" s="350">
        <f t="shared" si="115"/>
        <v>26363.278894745075</v>
      </c>
      <c r="BA185" s="350">
        <f t="shared" si="115"/>
        <v>26363.278894745075</v>
      </c>
      <c r="BB185" s="350">
        <f t="shared" si="115"/>
        <v>26363.278894745075</v>
      </c>
      <c r="BC185" s="350">
        <f t="shared" si="115"/>
        <v>28835.789981760503</v>
      </c>
      <c r="BD185" s="350">
        <f t="shared" si="115"/>
        <v>28835.789981760503</v>
      </c>
      <c r="BE185" s="350">
        <f t="shared" si="115"/>
        <v>28835.789981760503</v>
      </c>
      <c r="BF185" s="350">
        <f t="shared" si="115"/>
        <v>28835.789981760503</v>
      </c>
      <c r="BG185" s="350">
        <f t="shared" si="115"/>
        <v>28835.789981760503</v>
      </c>
      <c r="BH185" s="350">
        <f t="shared" si="115"/>
        <v>28835.789981760503</v>
      </c>
      <c r="BI185" s="350">
        <f t="shared" si="115"/>
        <v>28835.789981760503</v>
      </c>
      <c r="BJ185" s="350">
        <f t="shared" si="115"/>
        <v>28835.789981760503</v>
      </c>
      <c r="BK185" s="350">
        <f t="shared" si="115"/>
        <v>28835.789981760503</v>
      </c>
      <c r="BL185" s="350">
        <f t="shared" si="115"/>
        <v>28835.789981760503</v>
      </c>
      <c r="BM185" s="350">
        <f t="shared" si="115"/>
        <v>28835.789981760503</v>
      </c>
      <c r="BN185" s="350">
        <f t="shared" si="115"/>
        <v>10056353.019083589</v>
      </c>
      <c r="BO185" s="350">
        <f t="shared" si="115"/>
        <v>0</v>
      </c>
      <c r="BP185" s="350">
        <f t="shared" si="115"/>
        <v>0</v>
      </c>
      <c r="BQ185" s="350">
        <f t="shared" si="115"/>
        <v>0</v>
      </c>
      <c r="BR185" s="350">
        <f t="shared" si="115"/>
        <v>0</v>
      </c>
      <c r="BS185" s="350">
        <f t="shared" si="115"/>
        <v>0</v>
      </c>
      <c r="BT185" s="350">
        <f t="shared" si="115"/>
        <v>0</v>
      </c>
      <c r="BU185" s="350">
        <f t="shared" si="115"/>
        <v>0</v>
      </c>
      <c r="BV185" s="350">
        <f t="shared" si="115"/>
        <v>0</v>
      </c>
      <c r="BW185" s="350">
        <f t="shared" si="115"/>
        <v>0</v>
      </c>
      <c r="BX185" s="350">
        <f t="shared" si="115"/>
        <v>0</v>
      </c>
      <c r="BY185" s="350">
        <f t="shared" si="115"/>
        <v>0</v>
      </c>
      <c r="BZ185" s="350">
        <f t="shared" si="115"/>
        <v>0</v>
      </c>
      <c r="CA185" s="350">
        <f t="shared" si="115"/>
        <v>0</v>
      </c>
      <c r="CB185" s="350">
        <f t="shared" si="115"/>
        <v>0</v>
      </c>
      <c r="CC185" s="350">
        <f t="shared" si="115"/>
        <v>0</v>
      </c>
      <c r="CD185" s="350">
        <f t="shared" si="115"/>
        <v>0</v>
      </c>
      <c r="CE185" s="350">
        <f t="shared" si="115"/>
        <v>0</v>
      </c>
      <c r="CF185" s="350">
        <f t="shared" si="115"/>
        <v>0</v>
      </c>
      <c r="CG185" s="350">
        <f t="shared" si="115"/>
        <v>0</v>
      </c>
      <c r="CH185" s="350">
        <f t="shared" si="115"/>
        <v>0</v>
      </c>
      <c r="CI185" s="350">
        <f t="shared" si="115"/>
        <v>0</v>
      </c>
      <c r="CJ185" s="350">
        <f t="shared" si="115"/>
        <v>0</v>
      </c>
      <c r="CK185" s="350">
        <f t="shared" si="115"/>
        <v>0</v>
      </c>
      <c r="CL185" s="350">
        <f t="shared" si="115"/>
        <v>0</v>
      </c>
      <c r="CM185" s="350">
        <f t="shared" si="115"/>
        <v>0</v>
      </c>
      <c r="CN185" s="350">
        <f t="shared" si="115"/>
        <v>0</v>
      </c>
      <c r="CO185" s="350">
        <f t="shared" si="115"/>
        <v>0</v>
      </c>
      <c r="CP185" s="350">
        <f t="shared" si="115"/>
        <v>0</v>
      </c>
      <c r="CQ185" s="350">
        <f t="shared" si="115"/>
        <v>0</v>
      </c>
      <c r="CR185" s="350">
        <f t="shared" si="115"/>
        <v>0</v>
      </c>
      <c r="CS185" s="350">
        <f t="shared" si="115"/>
        <v>0</v>
      </c>
      <c r="CT185" s="350">
        <f t="shared" si="115"/>
        <v>0</v>
      </c>
      <c r="CU185" s="350">
        <f t="shared" si="115"/>
        <v>0</v>
      </c>
      <c r="CV185" s="350">
        <f t="shared" si="115"/>
        <v>0</v>
      </c>
      <c r="CW185" s="350">
        <f t="shared" si="115"/>
        <v>0</v>
      </c>
      <c r="CX185" s="350">
        <f t="shared" si="115"/>
        <v>0</v>
      </c>
      <c r="CY185" s="350">
        <f t="shared" si="115"/>
        <v>0</v>
      </c>
      <c r="CZ185" s="350">
        <f t="shared" si="115"/>
        <v>0</v>
      </c>
      <c r="DA185" s="350">
        <f t="shared" si="115"/>
        <v>0</v>
      </c>
      <c r="DB185" s="350">
        <f t="shared" si="115"/>
        <v>0</v>
      </c>
      <c r="DC185" s="350">
        <f t="shared" si="115"/>
        <v>0</v>
      </c>
      <c r="DD185" s="350">
        <f t="shared" si="115"/>
        <v>0</v>
      </c>
      <c r="DE185" s="350">
        <f t="shared" si="115"/>
        <v>0</v>
      </c>
      <c r="DF185" s="350">
        <f t="shared" si="115"/>
        <v>0</v>
      </c>
      <c r="DG185" s="350">
        <f t="shared" si="115"/>
        <v>0</v>
      </c>
      <c r="DH185" s="350">
        <f t="shared" si="115"/>
        <v>0</v>
      </c>
      <c r="DI185" s="350">
        <f t="shared" si="115"/>
        <v>0</v>
      </c>
      <c r="DJ185" s="350">
        <f t="shared" si="115"/>
        <v>0</v>
      </c>
      <c r="DK185" s="350">
        <f t="shared" si="115"/>
        <v>0</v>
      </c>
      <c r="DL185" s="350">
        <f t="shared" si="115"/>
        <v>0</v>
      </c>
      <c r="DM185" s="350">
        <f t="shared" si="115"/>
        <v>0</v>
      </c>
      <c r="DN185" s="350">
        <f t="shared" si="115"/>
        <v>0</v>
      </c>
      <c r="DO185" s="350">
        <f t="shared" si="115"/>
        <v>0</v>
      </c>
      <c r="DP185" s="350">
        <f t="shared" si="115"/>
        <v>0</v>
      </c>
      <c r="DQ185" s="350">
        <f t="shared" si="115"/>
        <v>0</v>
      </c>
      <c r="DR185" s="350">
        <f t="shared" si="115"/>
        <v>0</v>
      </c>
      <c r="DS185" s="350">
        <f t="shared" si="115"/>
        <v>0</v>
      </c>
      <c r="DT185" s="350">
        <f t="shared" si="115"/>
        <v>0</v>
      </c>
      <c r="DU185" s="350">
        <f t="shared" si="115"/>
        <v>0</v>
      </c>
      <c r="DV185" s="350">
        <f t="shared" si="115"/>
        <v>0</v>
      </c>
      <c r="DW185" s="6"/>
      <c r="DX185" s="6"/>
      <c r="DY185" s="6"/>
      <c r="DZ185" s="6"/>
    </row>
    <row r="186" spans="1:130" ht="12.75" customHeight="1" outlineLevel="1" x14ac:dyDescent="0.25">
      <c r="A186" s="6"/>
      <c r="B186" s="271" t="s">
        <v>447</v>
      </c>
      <c r="C186" s="271" t="s">
        <v>447</v>
      </c>
      <c r="D186" s="271" t="s">
        <v>447</v>
      </c>
      <c r="E186" s="271" t="s">
        <v>447</v>
      </c>
      <c r="F186" s="1172" t="str">
        <f t="shared" ref="F186:DV186" si="116">IF(F179="","",".")</f>
        <v>.</v>
      </c>
      <c r="G186" s="1172" t="str">
        <f t="shared" si="116"/>
        <v>.</v>
      </c>
      <c r="H186" s="1172" t="str">
        <f t="shared" si="116"/>
        <v>.</v>
      </c>
      <c r="I186" s="1172" t="str">
        <f t="shared" si="116"/>
        <v>.</v>
      </c>
      <c r="J186" s="1172" t="str">
        <f t="shared" si="116"/>
        <v>.</v>
      </c>
      <c r="K186" s="1172" t="str">
        <f t="shared" si="116"/>
        <v>.</v>
      </c>
      <c r="L186" s="1172" t="str">
        <f t="shared" si="116"/>
        <v>.</v>
      </c>
      <c r="M186" s="1172" t="str">
        <f t="shared" si="116"/>
        <v>.</v>
      </c>
      <c r="N186" s="1172" t="str">
        <f t="shared" si="116"/>
        <v>.</v>
      </c>
      <c r="O186" s="1172" t="str">
        <f t="shared" si="116"/>
        <v>.</v>
      </c>
      <c r="P186" s="1172" t="str">
        <f t="shared" si="116"/>
        <v>.</v>
      </c>
      <c r="Q186" s="1172" t="str">
        <f t="shared" si="116"/>
        <v>.</v>
      </c>
      <c r="R186" s="1172" t="str">
        <f t="shared" si="116"/>
        <v>.</v>
      </c>
      <c r="S186" s="1172" t="str">
        <f t="shared" si="116"/>
        <v>.</v>
      </c>
      <c r="T186" s="1172" t="str">
        <f t="shared" si="116"/>
        <v>.</v>
      </c>
      <c r="U186" s="1172" t="str">
        <f t="shared" si="116"/>
        <v>.</v>
      </c>
      <c r="V186" s="1172" t="str">
        <f t="shared" si="116"/>
        <v>.</v>
      </c>
      <c r="W186" s="1172" t="str">
        <f t="shared" si="116"/>
        <v>.</v>
      </c>
      <c r="X186" s="1172" t="str">
        <f t="shared" si="116"/>
        <v>.</v>
      </c>
      <c r="Y186" s="1172" t="str">
        <f t="shared" si="116"/>
        <v>.</v>
      </c>
      <c r="Z186" s="1172" t="str">
        <f t="shared" si="116"/>
        <v>.</v>
      </c>
      <c r="AA186" s="1172" t="str">
        <f t="shared" si="116"/>
        <v>.</v>
      </c>
      <c r="AB186" s="1172" t="str">
        <f t="shared" si="116"/>
        <v>.</v>
      </c>
      <c r="AC186" s="1172" t="str">
        <f t="shared" si="116"/>
        <v>.</v>
      </c>
      <c r="AD186" s="1172" t="str">
        <f t="shared" si="116"/>
        <v>.</v>
      </c>
      <c r="AE186" s="1172" t="str">
        <f t="shared" si="116"/>
        <v>.</v>
      </c>
      <c r="AF186" s="1172" t="str">
        <f t="shared" si="116"/>
        <v>.</v>
      </c>
      <c r="AG186" s="1172" t="str">
        <f t="shared" si="116"/>
        <v>.</v>
      </c>
      <c r="AH186" s="1172" t="str">
        <f t="shared" si="116"/>
        <v>.</v>
      </c>
      <c r="AI186" s="1172" t="str">
        <f t="shared" si="116"/>
        <v>.</v>
      </c>
      <c r="AJ186" s="1172" t="str">
        <f t="shared" si="116"/>
        <v>.</v>
      </c>
      <c r="AK186" s="1172" t="str">
        <f t="shared" si="116"/>
        <v>.</v>
      </c>
      <c r="AL186" s="1172" t="str">
        <f t="shared" si="116"/>
        <v>.</v>
      </c>
      <c r="AM186" s="1172" t="str">
        <f t="shared" si="116"/>
        <v>.</v>
      </c>
      <c r="AN186" s="1172" t="str">
        <f t="shared" si="116"/>
        <v>.</v>
      </c>
      <c r="AO186" s="1172" t="str">
        <f t="shared" si="116"/>
        <v>.</v>
      </c>
      <c r="AP186" s="1172" t="str">
        <f t="shared" si="116"/>
        <v>.</v>
      </c>
      <c r="AQ186" s="1172" t="str">
        <f t="shared" si="116"/>
        <v>.</v>
      </c>
      <c r="AR186" s="1172" t="str">
        <f t="shared" si="116"/>
        <v>.</v>
      </c>
      <c r="AS186" s="1172" t="str">
        <f t="shared" si="116"/>
        <v>.</v>
      </c>
      <c r="AT186" s="1172" t="str">
        <f t="shared" si="116"/>
        <v>.</v>
      </c>
      <c r="AU186" s="1172" t="str">
        <f t="shared" si="116"/>
        <v>.</v>
      </c>
      <c r="AV186" s="1172" t="str">
        <f t="shared" si="116"/>
        <v>.</v>
      </c>
      <c r="AW186" s="1172" t="str">
        <f t="shared" si="116"/>
        <v>.</v>
      </c>
      <c r="AX186" s="1172" t="str">
        <f t="shared" si="116"/>
        <v>.</v>
      </c>
      <c r="AY186" s="1172" t="str">
        <f t="shared" si="116"/>
        <v>.</v>
      </c>
      <c r="AZ186" s="1172" t="str">
        <f t="shared" si="116"/>
        <v>.</v>
      </c>
      <c r="BA186" s="1172" t="str">
        <f t="shared" si="116"/>
        <v>.</v>
      </c>
      <c r="BB186" s="1172" t="str">
        <f t="shared" si="116"/>
        <v>.</v>
      </c>
      <c r="BC186" s="1172" t="str">
        <f t="shared" si="116"/>
        <v>.</v>
      </c>
      <c r="BD186" s="1172" t="str">
        <f t="shared" si="116"/>
        <v>.</v>
      </c>
      <c r="BE186" s="1172" t="str">
        <f t="shared" si="116"/>
        <v>.</v>
      </c>
      <c r="BF186" s="1172" t="str">
        <f t="shared" si="116"/>
        <v>.</v>
      </c>
      <c r="BG186" s="1172" t="str">
        <f t="shared" si="116"/>
        <v>.</v>
      </c>
      <c r="BH186" s="1172" t="str">
        <f t="shared" si="116"/>
        <v>.</v>
      </c>
      <c r="BI186" s="1172" t="str">
        <f t="shared" si="116"/>
        <v>.</v>
      </c>
      <c r="BJ186" s="1172" t="str">
        <f t="shared" si="116"/>
        <v>.</v>
      </c>
      <c r="BK186" s="1172" t="str">
        <f t="shared" si="116"/>
        <v>.</v>
      </c>
      <c r="BL186" s="1172" t="str">
        <f t="shared" si="116"/>
        <v>.</v>
      </c>
      <c r="BM186" s="1172" t="str">
        <f t="shared" si="116"/>
        <v>.</v>
      </c>
      <c r="BN186" s="1172" t="str">
        <f t="shared" si="116"/>
        <v>.</v>
      </c>
      <c r="BO186" s="1172" t="str">
        <f t="shared" si="116"/>
        <v>.</v>
      </c>
      <c r="BP186" s="1172" t="str">
        <f t="shared" si="116"/>
        <v>.</v>
      </c>
      <c r="BQ186" s="1172" t="str">
        <f t="shared" si="116"/>
        <v>.</v>
      </c>
      <c r="BR186" s="1172" t="str">
        <f t="shared" si="116"/>
        <v>.</v>
      </c>
      <c r="BS186" s="1172" t="str">
        <f t="shared" si="116"/>
        <v>.</v>
      </c>
      <c r="BT186" s="1172" t="str">
        <f t="shared" si="116"/>
        <v>.</v>
      </c>
      <c r="BU186" s="1172" t="str">
        <f t="shared" si="116"/>
        <v>.</v>
      </c>
      <c r="BV186" s="1172" t="str">
        <f t="shared" si="116"/>
        <v>.</v>
      </c>
      <c r="BW186" s="1172" t="str">
        <f t="shared" si="116"/>
        <v>.</v>
      </c>
      <c r="BX186" s="1172" t="str">
        <f t="shared" si="116"/>
        <v>.</v>
      </c>
      <c r="BY186" s="1172" t="str">
        <f t="shared" si="116"/>
        <v>.</v>
      </c>
      <c r="BZ186" s="1172" t="str">
        <f t="shared" si="116"/>
        <v>.</v>
      </c>
      <c r="CA186" s="1172" t="str">
        <f t="shared" si="116"/>
        <v>.</v>
      </c>
      <c r="CB186" s="1172" t="str">
        <f t="shared" si="116"/>
        <v>.</v>
      </c>
      <c r="CC186" s="1172" t="str">
        <f t="shared" si="116"/>
        <v>.</v>
      </c>
      <c r="CD186" s="1172" t="str">
        <f t="shared" si="116"/>
        <v>.</v>
      </c>
      <c r="CE186" s="1172" t="str">
        <f t="shared" si="116"/>
        <v>.</v>
      </c>
      <c r="CF186" s="1172" t="str">
        <f t="shared" si="116"/>
        <v>.</v>
      </c>
      <c r="CG186" s="1172" t="str">
        <f t="shared" si="116"/>
        <v>.</v>
      </c>
      <c r="CH186" s="1172" t="str">
        <f t="shared" si="116"/>
        <v>.</v>
      </c>
      <c r="CI186" s="1172" t="str">
        <f t="shared" si="116"/>
        <v>.</v>
      </c>
      <c r="CJ186" s="1172" t="str">
        <f t="shared" si="116"/>
        <v>.</v>
      </c>
      <c r="CK186" s="1172" t="str">
        <f t="shared" si="116"/>
        <v>.</v>
      </c>
      <c r="CL186" s="1172" t="str">
        <f t="shared" si="116"/>
        <v>.</v>
      </c>
      <c r="CM186" s="1172" t="str">
        <f t="shared" si="116"/>
        <v>.</v>
      </c>
      <c r="CN186" s="1172" t="str">
        <f t="shared" si="116"/>
        <v>.</v>
      </c>
      <c r="CO186" s="1172" t="str">
        <f t="shared" si="116"/>
        <v>.</v>
      </c>
      <c r="CP186" s="1172" t="str">
        <f t="shared" si="116"/>
        <v>.</v>
      </c>
      <c r="CQ186" s="1172" t="str">
        <f t="shared" si="116"/>
        <v>.</v>
      </c>
      <c r="CR186" s="1172" t="str">
        <f t="shared" si="116"/>
        <v>.</v>
      </c>
      <c r="CS186" s="1172" t="str">
        <f t="shared" si="116"/>
        <v>.</v>
      </c>
      <c r="CT186" s="1172" t="str">
        <f t="shared" si="116"/>
        <v>.</v>
      </c>
      <c r="CU186" s="1172" t="str">
        <f t="shared" si="116"/>
        <v>.</v>
      </c>
      <c r="CV186" s="1172" t="str">
        <f t="shared" si="116"/>
        <v>.</v>
      </c>
      <c r="CW186" s="1172" t="str">
        <f t="shared" si="116"/>
        <v>.</v>
      </c>
      <c r="CX186" s="1172" t="str">
        <f t="shared" si="116"/>
        <v>.</v>
      </c>
      <c r="CY186" s="1172" t="str">
        <f t="shared" si="116"/>
        <v>.</v>
      </c>
      <c r="CZ186" s="1172" t="str">
        <f t="shared" si="116"/>
        <v>.</v>
      </c>
      <c r="DA186" s="1172" t="str">
        <f t="shared" si="116"/>
        <v>.</v>
      </c>
      <c r="DB186" s="1172" t="str">
        <f t="shared" si="116"/>
        <v>.</v>
      </c>
      <c r="DC186" s="1172" t="str">
        <f t="shared" si="116"/>
        <v>.</v>
      </c>
      <c r="DD186" s="1172" t="str">
        <f t="shared" si="116"/>
        <v>.</v>
      </c>
      <c r="DE186" s="1172" t="str">
        <f t="shared" si="116"/>
        <v>.</v>
      </c>
      <c r="DF186" s="1172" t="str">
        <f t="shared" si="116"/>
        <v>.</v>
      </c>
      <c r="DG186" s="1172" t="str">
        <f t="shared" si="116"/>
        <v>.</v>
      </c>
      <c r="DH186" s="1172" t="str">
        <f t="shared" si="116"/>
        <v>.</v>
      </c>
      <c r="DI186" s="1172" t="str">
        <f t="shared" si="116"/>
        <v>.</v>
      </c>
      <c r="DJ186" s="1172" t="str">
        <f t="shared" si="116"/>
        <v>.</v>
      </c>
      <c r="DK186" s="1172" t="str">
        <f t="shared" si="116"/>
        <v>.</v>
      </c>
      <c r="DL186" s="1172" t="str">
        <f t="shared" si="116"/>
        <v>.</v>
      </c>
      <c r="DM186" s="1172" t="str">
        <f t="shared" si="116"/>
        <v>.</v>
      </c>
      <c r="DN186" s="1172" t="str">
        <f t="shared" si="116"/>
        <v>.</v>
      </c>
      <c r="DO186" s="1172" t="str">
        <f t="shared" si="116"/>
        <v>.</v>
      </c>
      <c r="DP186" s="1172" t="str">
        <f t="shared" si="116"/>
        <v>.</v>
      </c>
      <c r="DQ186" s="1172" t="str">
        <f t="shared" si="116"/>
        <v>.</v>
      </c>
      <c r="DR186" s="1172" t="str">
        <f t="shared" si="116"/>
        <v>.</v>
      </c>
      <c r="DS186" s="1172" t="str">
        <f t="shared" si="116"/>
        <v>.</v>
      </c>
      <c r="DT186" s="1172" t="str">
        <f t="shared" si="116"/>
        <v>.</v>
      </c>
      <c r="DU186" s="1172" t="str">
        <f t="shared" si="116"/>
        <v>.</v>
      </c>
      <c r="DV186" s="1172" t="str">
        <f t="shared" si="116"/>
        <v>.</v>
      </c>
      <c r="DW186" s="6"/>
      <c r="DX186" s="6"/>
      <c r="DY186" s="6"/>
      <c r="DZ186" s="6"/>
    </row>
    <row r="187" spans="1:130" ht="12.75" customHeight="1" outlineLevel="1" x14ac:dyDescent="0.25">
      <c r="A187" s="6"/>
      <c r="B187" s="6" t="s">
        <v>441</v>
      </c>
      <c r="C187" s="6"/>
      <c r="D187" s="6"/>
      <c r="E187" s="6"/>
      <c r="F187" s="350">
        <f t="shared" ref="F187:DV187" si="117">IF(F179="","",F183)</f>
        <v>0</v>
      </c>
      <c r="G187" s="350">
        <f t="shared" si="117"/>
        <v>0</v>
      </c>
      <c r="H187" s="350">
        <f t="shared" si="117"/>
        <v>0</v>
      </c>
      <c r="I187" s="350">
        <f t="shared" si="117"/>
        <v>0</v>
      </c>
      <c r="J187" s="350">
        <f t="shared" si="117"/>
        <v>0</v>
      </c>
      <c r="K187" s="350">
        <f t="shared" si="117"/>
        <v>0</v>
      </c>
      <c r="L187" s="350">
        <f t="shared" si="117"/>
        <v>0</v>
      </c>
      <c r="M187" s="350">
        <f t="shared" si="117"/>
        <v>0</v>
      </c>
      <c r="N187" s="350">
        <f t="shared" si="117"/>
        <v>0</v>
      </c>
      <c r="O187" s="350">
        <f t="shared" si="117"/>
        <v>0</v>
      </c>
      <c r="P187" s="350">
        <f t="shared" si="117"/>
        <v>0</v>
      </c>
      <c r="Q187" s="350">
        <f t="shared" si="117"/>
        <v>0</v>
      </c>
      <c r="R187" s="350">
        <f t="shared" si="117"/>
        <v>0</v>
      </c>
      <c r="S187" s="350">
        <f t="shared" si="117"/>
        <v>0</v>
      </c>
      <c r="T187" s="350">
        <f t="shared" si="117"/>
        <v>0</v>
      </c>
      <c r="U187" s="350">
        <f t="shared" si="117"/>
        <v>0</v>
      </c>
      <c r="V187" s="350">
        <f t="shared" si="117"/>
        <v>0</v>
      </c>
      <c r="W187" s="350">
        <f t="shared" si="117"/>
        <v>0</v>
      </c>
      <c r="X187" s="350">
        <f t="shared" si="117"/>
        <v>0</v>
      </c>
      <c r="Y187" s="350">
        <f t="shared" si="117"/>
        <v>0</v>
      </c>
      <c r="Z187" s="350">
        <f t="shared" si="117"/>
        <v>0</v>
      </c>
      <c r="AA187" s="350">
        <f t="shared" si="117"/>
        <v>0</v>
      </c>
      <c r="AB187" s="350">
        <f t="shared" si="117"/>
        <v>0</v>
      </c>
      <c r="AC187" s="350">
        <f t="shared" si="117"/>
        <v>0</v>
      </c>
      <c r="AD187" s="350">
        <f t="shared" si="117"/>
        <v>0</v>
      </c>
      <c r="AE187" s="350">
        <f t="shared" si="117"/>
        <v>0</v>
      </c>
      <c r="AF187" s="350">
        <f t="shared" si="117"/>
        <v>0</v>
      </c>
      <c r="AG187" s="350">
        <f t="shared" si="117"/>
        <v>0</v>
      </c>
      <c r="AH187" s="350">
        <f t="shared" si="117"/>
        <v>0</v>
      </c>
      <c r="AI187" s="350">
        <f t="shared" si="117"/>
        <v>0</v>
      </c>
      <c r="AJ187" s="350">
        <f t="shared" si="117"/>
        <v>0</v>
      </c>
      <c r="AK187" s="350">
        <f t="shared" si="117"/>
        <v>0</v>
      </c>
      <c r="AL187" s="350">
        <f t="shared" si="117"/>
        <v>0</v>
      </c>
      <c r="AM187" s="350">
        <f t="shared" si="117"/>
        <v>0</v>
      </c>
      <c r="AN187" s="350">
        <f t="shared" si="117"/>
        <v>0</v>
      </c>
      <c r="AO187" s="350">
        <f t="shared" si="117"/>
        <v>0</v>
      </c>
      <c r="AP187" s="350">
        <f t="shared" si="117"/>
        <v>0</v>
      </c>
      <c r="AQ187" s="350">
        <f t="shared" si="117"/>
        <v>0</v>
      </c>
      <c r="AR187" s="350">
        <f t="shared" si="117"/>
        <v>0</v>
      </c>
      <c r="AS187" s="350">
        <f t="shared" si="117"/>
        <v>0</v>
      </c>
      <c r="AT187" s="350">
        <f t="shared" si="117"/>
        <v>0</v>
      </c>
      <c r="AU187" s="350">
        <f t="shared" si="117"/>
        <v>0</v>
      </c>
      <c r="AV187" s="350">
        <f t="shared" si="117"/>
        <v>0</v>
      </c>
      <c r="AW187" s="350">
        <f t="shared" si="117"/>
        <v>0</v>
      </c>
      <c r="AX187" s="350">
        <f t="shared" si="117"/>
        <v>0</v>
      </c>
      <c r="AY187" s="350">
        <f t="shared" si="117"/>
        <v>0</v>
      </c>
      <c r="AZ187" s="350">
        <f t="shared" si="117"/>
        <v>0</v>
      </c>
      <c r="BA187" s="350">
        <f t="shared" si="117"/>
        <v>0</v>
      </c>
      <c r="BB187" s="350">
        <f t="shared" si="117"/>
        <v>0</v>
      </c>
      <c r="BC187" s="350">
        <f t="shared" si="117"/>
        <v>0</v>
      </c>
      <c r="BD187" s="350">
        <f t="shared" si="117"/>
        <v>0</v>
      </c>
      <c r="BE187" s="350">
        <f t="shared" si="117"/>
        <v>0</v>
      </c>
      <c r="BF187" s="350">
        <f t="shared" si="117"/>
        <v>0</v>
      </c>
      <c r="BG187" s="350">
        <f t="shared" si="117"/>
        <v>0</v>
      </c>
      <c r="BH187" s="350">
        <f t="shared" si="117"/>
        <v>0</v>
      </c>
      <c r="BI187" s="350">
        <f t="shared" si="117"/>
        <v>0</v>
      </c>
      <c r="BJ187" s="350">
        <f t="shared" si="117"/>
        <v>0</v>
      </c>
      <c r="BK187" s="350">
        <f t="shared" si="117"/>
        <v>0</v>
      </c>
      <c r="BL187" s="350">
        <f t="shared" si="117"/>
        <v>0</v>
      </c>
      <c r="BM187" s="350">
        <f t="shared" si="117"/>
        <v>0</v>
      </c>
      <c r="BN187" s="350">
        <f t="shared" si="117"/>
        <v>162257.71925634047</v>
      </c>
      <c r="BO187" s="350">
        <f t="shared" si="117"/>
        <v>0</v>
      </c>
      <c r="BP187" s="350">
        <f t="shared" si="117"/>
        <v>0</v>
      </c>
      <c r="BQ187" s="350">
        <f t="shared" si="117"/>
        <v>0</v>
      </c>
      <c r="BR187" s="350">
        <f t="shared" si="117"/>
        <v>0</v>
      </c>
      <c r="BS187" s="350">
        <f t="shared" si="117"/>
        <v>0</v>
      </c>
      <c r="BT187" s="350">
        <f t="shared" si="117"/>
        <v>0</v>
      </c>
      <c r="BU187" s="350">
        <f t="shared" si="117"/>
        <v>0</v>
      </c>
      <c r="BV187" s="350">
        <f t="shared" si="117"/>
        <v>0</v>
      </c>
      <c r="BW187" s="350">
        <f t="shared" si="117"/>
        <v>0</v>
      </c>
      <c r="BX187" s="350">
        <f t="shared" si="117"/>
        <v>0</v>
      </c>
      <c r="BY187" s="350">
        <f t="shared" si="117"/>
        <v>0</v>
      </c>
      <c r="BZ187" s="350">
        <f t="shared" si="117"/>
        <v>0</v>
      </c>
      <c r="CA187" s="350">
        <f t="shared" si="117"/>
        <v>0</v>
      </c>
      <c r="CB187" s="350">
        <f t="shared" si="117"/>
        <v>0</v>
      </c>
      <c r="CC187" s="350">
        <f t="shared" si="117"/>
        <v>0</v>
      </c>
      <c r="CD187" s="350">
        <f t="shared" si="117"/>
        <v>0</v>
      </c>
      <c r="CE187" s="350">
        <f t="shared" si="117"/>
        <v>0</v>
      </c>
      <c r="CF187" s="350">
        <f t="shared" si="117"/>
        <v>0</v>
      </c>
      <c r="CG187" s="350">
        <f t="shared" si="117"/>
        <v>0</v>
      </c>
      <c r="CH187" s="350">
        <f t="shared" si="117"/>
        <v>0</v>
      </c>
      <c r="CI187" s="350">
        <f t="shared" si="117"/>
        <v>0</v>
      </c>
      <c r="CJ187" s="350">
        <f t="shared" si="117"/>
        <v>0</v>
      </c>
      <c r="CK187" s="350">
        <f t="shared" si="117"/>
        <v>0</v>
      </c>
      <c r="CL187" s="350">
        <f t="shared" si="117"/>
        <v>0</v>
      </c>
      <c r="CM187" s="350">
        <f t="shared" si="117"/>
        <v>0</v>
      </c>
      <c r="CN187" s="350">
        <f t="shared" si="117"/>
        <v>0</v>
      </c>
      <c r="CO187" s="350">
        <f t="shared" si="117"/>
        <v>0</v>
      </c>
      <c r="CP187" s="350">
        <f t="shared" si="117"/>
        <v>0</v>
      </c>
      <c r="CQ187" s="350">
        <f t="shared" si="117"/>
        <v>0</v>
      </c>
      <c r="CR187" s="350">
        <f t="shared" si="117"/>
        <v>0</v>
      </c>
      <c r="CS187" s="350">
        <f t="shared" si="117"/>
        <v>0</v>
      </c>
      <c r="CT187" s="350">
        <f t="shared" si="117"/>
        <v>0</v>
      </c>
      <c r="CU187" s="350">
        <f t="shared" si="117"/>
        <v>0</v>
      </c>
      <c r="CV187" s="350">
        <f t="shared" si="117"/>
        <v>0</v>
      </c>
      <c r="CW187" s="350">
        <f t="shared" si="117"/>
        <v>0</v>
      </c>
      <c r="CX187" s="350">
        <f t="shared" si="117"/>
        <v>0</v>
      </c>
      <c r="CY187" s="350">
        <f t="shared" si="117"/>
        <v>0</v>
      </c>
      <c r="CZ187" s="350">
        <f t="shared" si="117"/>
        <v>0</v>
      </c>
      <c r="DA187" s="350">
        <f t="shared" si="117"/>
        <v>0</v>
      </c>
      <c r="DB187" s="350">
        <f t="shared" si="117"/>
        <v>0</v>
      </c>
      <c r="DC187" s="350">
        <f t="shared" si="117"/>
        <v>0</v>
      </c>
      <c r="DD187" s="350">
        <f t="shared" si="117"/>
        <v>0</v>
      </c>
      <c r="DE187" s="350">
        <f t="shared" si="117"/>
        <v>0</v>
      </c>
      <c r="DF187" s="350">
        <f t="shared" si="117"/>
        <v>0</v>
      </c>
      <c r="DG187" s="350">
        <f t="shared" si="117"/>
        <v>0</v>
      </c>
      <c r="DH187" s="350">
        <f t="shared" si="117"/>
        <v>0</v>
      </c>
      <c r="DI187" s="350">
        <f t="shared" si="117"/>
        <v>0</v>
      </c>
      <c r="DJ187" s="350">
        <f t="shared" si="117"/>
        <v>0</v>
      </c>
      <c r="DK187" s="350">
        <f t="shared" si="117"/>
        <v>0</v>
      </c>
      <c r="DL187" s="350">
        <f t="shared" si="117"/>
        <v>0</v>
      </c>
      <c r="DM187" s="350">
        <f t="shared" si="117"/>
        <v>0</v>
      </c>
      <c r="DN187" s="350">
        <f t="shared" si="117"/>
        <v>0</v>
      </c>
      <c r="DO187" s="350">
        <f t="shared" si="117"/>
        <v>0</v>
      </c>
      <c r="DP187" s="350">
        <f t="shared" si="117"/>
        <v>0</v>
      </c>
      <c r="DQ187" s="350">
        <f t="shared" si="117"/>
        <v>0</v>
      </c>
      <c r="DR187" s="350">
        <f t="shared" si="117"/>
        <v>0</v>
      </c>
      <c r="DS187" s="350">
        <f t="shared" si="117"/>
        <v>0</v>
      </c>
      <c r="DT187" s="350">
        <f t="shared" si="117"/>
        <v>0</v>
      </c>
      <c r="DU187" s="350">
        <f t="shared" si="117"/>
        <v>0</v>
      </c>
      <c r="DV187" s="350">
        <f t="shared" si="117"/>
        <v>0</v>
      </c>
      <c r="DW187" s="6"/>
      <c r="DX187" s="6"/>
      <c r="DY187" s="6"/>
      <c r="DZ187" s="6"/>
    </row>
    <row r="188" spans="1:130" ht="12.75" customHeight="1" outlineLevel="1" x14ac:dyDescent="0.25">
      <c r="A188" s="6"/>
      <c r="B188" s="6" t="s">
        <v>443</v>
      </c>
      <c r="C188" s="6"/>
      <c r="D188" s="6"/>
      <c r="E188" s="6"/>
      <c r="F188" s="350">
        <f t="shared" ref="F188:AK188" si="118">IF(F179="","",F187/VLOOKUP($B177,Promote_Structure_Monthly,8,FALSE)*VLOOKUP($B177,Promote_Structure_Monthly,7,FALSE))</f>
        <v>0</v>
      </c>
      <c r="G188" s="350">
        <f t="shared" si="118"/>
        <v>0</v>
      </c>
      <c r="H188" s="350">
        <f t="shared" si="118"/>
        <v>0</v>
      </c>
      <c r="I188" s="350">
        <f t="shared" si="118"/>
        <v>0</v>
      </c>
      <c r="J188" s="350">
        <f t="shared" si="118"/>
        <v>0</v>
      </c>
      <c r="K188" s="350">
        <f t="shared" si="118"/>
        <v>0</v>
      </c>
      <c r="L188" s="350">
        <f t="shared" si="118"/>
        <v>0</v>
      </c>
      <c r="M188" s="350">
        <f t="shared" si="118"/>
        <v>0</v>
      </c>
      <c r="N188" s="350">
        <f t="shared" si="118"/>
        <v>0</v>
      </c>
      <c r="O188" s="350">
        <f t="shared" si="118"/>
        <v>0</v>
      </c>
      <c r="P188" s="350">
        <f t="shared" si="118"/>
        <v>0</v>
      </c>
      <c r="Q188" s="350">
        <f t="shared" si="118"/>
        <v>0</v>
      </c>
      <c r="R188" s="350">
        <f t="shared" si="118"/>
        <v>0</v>
      </c>
      <c r="S188" s="350">
        <f t="shared" si="118"/>
        <v>0</v>
      </c>
      <c r="T188" s="350">
        <f t="shared" si="118"/>
        <v>0</v>
      </c>
      <c r="U188" s="350">
        <f t="shared" si="118"/>
        <v>0</v>
      </c>
      <c r="V188" s="350">
        <f t="shared" si="118"/>
        <v>0</v>
      </c>
      <c r="W188" s="350">
        <f t="shared" si="118"/>
        <v>0</v>
      </c>
      <c r="X188" s="350">
        <f t="shared" si="118"/>
        <v>0</v>
      </c>
      <c r="Y188" s="350">
        <f t="shared" si="118"/>
        <v>0</v>
      </c>
      <c r="Z188" s="350">
        <f t="shared" si="118"/>
        <v>0</v>
      </c>
      <c r="AA188" s="350">
        <f t="shared" si="118"/>
        <v>0</v>
      </c>
      <c r="AB188" s="350">
        <f t="shared" si="118"/>
        <v>0</v>
      </c>
      <c r="AC188" s="350">
        <f t="shared" si="118"/>
        <v>0</v>
      </c>
      <c r="AD188" s="350">
        <f t="shared" si="118"/>
        <v>0</v>
      </c>
      <c r="AE188" s="350">
        <f t="shared" si="118"/>
        <v>0</v>
      </c>
      <c r="AF188" s="350">
        <f t="shared" si="118"/>
        <v>0</v>
      </c>
      <c r="AG188" s="350">
        <f t="shared" si="118"/>
        <v>0</v>
      </c>
      <c r="AH188" s="350">
        <f t="shared" si="118"/>
        <v>0</v>
      </c>
      <c r="AI188" s="350">
        <f t="shared" si="118"/>
        <v>0</v>
      </c>
      <c r="AJ188" s="350">
        <f t="shared" si="118"/>
        <v>0</v>
      </c>
      <c r="AK188" s="350">
        <f t="shared" si="118"/>
        <v>0</v>
      </c>
      <c r="AL188" s="350">
        <f t="shared" ref="AL188:BQ188" si="119">IF(AL179="","",AL187/VLOOKUP($B177,Promote_Structure_Monthly,8,FALSE)*VLOOKUP($B177,Promote_Structure_Monthly,7,FALSE))</f>
        <v>0</v>
      </c>
      <c r="AM188" s="350">
        <f t="shared" si="119"/>
        <v>0</v>
      </c>
      <c r="AN188" s="350">
        <f t="shared" si="119"/>
        <v>0</v>
      </c>
      <c r="AO188" s="350">
        <f t="shared" si="119"/>
        <v>0</v>
      </c>
      <c r="AP188" s="350">
        <f t="shared" si="119"/>
        <v>0</v>
      </c>
      <c r="AQ188" s="350">
        <f t="shared" si="119"/>
        <v>0</v>
      </c>
      <c r="AR188" s="350">
        <f t="shared" si="119"/>
        <v>0</v>
      </c>
      <c r="AS188" s="350">
        <f t="shared" si="119"/>
        <v>0</v>
      </c>
      <c r="AT188" s="350">
        <f t="shared" si="119"/>
        <v>0</v>
      </c>
      <c r="AU188" s="350">
        <f t="shared" si="119"/>
        <v>0</v>
      </c>
      <c r="AV188" s="350">
        <f t="shared" si="119"/>
        <v>0</v>
      </c>
      <c r="AW188" s="350">
        <f t="shared" si="119"/>
        <v>0</v>
      </c>
      <c r="AX188" s="350">
        <f t="shared" si="119"/>
        <v>0</v>
      </c>
      <c r="AY188" s="350">
        <f t="shared" si="119"/>
        <v>0</v>
      </c>
      <c r="AZ188" s="350">
        <f t="shared" si="119"/>
        <v>0</v>
      </c>
      <c r="BA188" s="350">
        <f t="shared" si="119"/>
        <v>0</v>
      </c>
      <c r="BB188" s="350">
        <f t="shared" si="119"/>
        <v>0</v>
      </c>
      <c r="BC188" s="350">
        <f t="shared" si="119"/>
        <v>0</v>
      </c>
      <c r="BD188" s="350">
        <f t="shared" si="119"/>
        <v>0</v>
      </c>
      <c r="BE188" s="350">
        <f t="shared" si="119"/>
        <v>0</v>
      </c>
      <c r="BF188" s="350">
        <f t="shared" si="119"/>
        <v>0</v>
      </c>
      <c r="BG188" s="350">
        <f t="shared" si="119"/>
        <v>0</v>
      </c>
      <c r="BH188" s="350">
        <f t="shared" si="119"/>
        <v>0</v>
      </c>
      <c r="BI188" s="350">
        <f t="shared" si="119"/>
        <v>0</v>
      </c>
      <c r="BJ188" s="350">
        <f t="shared" si="119"/>
        <v>0</v>
      </c>
      <c r="BK188" s="350">
        <f t="shared" si="119"/>
        <v>0</v>
      </c>
      <c r="BL188" s="350">
        <f t="shared" si="119"/>
        <v>0</v>
      </c>
      <c r="BM188" s="350">
        <f t="shared" si="119"/>
        <v>0</v>
      </c>
      <c r="BN188" s="350">
        <f t="shared" si="119"/>
        <v>263083.8790263767</v>
      </c>
      <c r="BO188" s="350">
        <f t="shared" si="119"/>
        <v>0</v>
      </c>
      <c r="BP188" s="350">
        <f t="shared" si="119"/>
        <v>0</v>
      </c>
      <c r="BQ188" s="350">
        <f t="shared" si="119"/>
        <v>0</v>
      </c>
      <c r="BR188" s="350">
        <f t="shared" ref="BR188:CW188" si="120">IF(BR179="","",BR187/VLOOKUP($B177,Promote_Structure_Monthly,8,FALSE)*VLOOKUP($B177,Promote_Structure_Monthly,7,FALSE))</f>
        <v>0</v>
      </c>
      <c r="BS188" s="350">
        <f t="shared" si="120"/>
        <v>0</v>
      </c>
      <c r="BT188" s="350">
        <f t="shared" si="120"/>
        <v>0</v>
      </c>
      <c r="BU188" s="350">
        <f t="shared" si="120"/>
        <v>0</v>
      </c>
      <c r="BV188" s="350">
        <f t="shared" si="120"/>
        <v>0</v>
      </c>
      <c r="BW188" s="350">
        <f t="shared" si="120"/>
        <v>0</v>
      </c>
      <c r="BX188" s="350">
        <f t="shared" si="120"/>
        <v>0</v>
      </c>
      <c r="BY188" s="350">
        <f t="shared" si="120"/>
        <v>0</v>
      </c>
      <c r="BZ188" s="350">
        <f t="shared" si="120"/>
        <v>0</v>
      </c>
      <c r="CA188" s="350">
        <f t="shared" si="120"/>
        <v>0</v>
      </c>
      <c r="CB188" s="350">
        <f t="shared" si="120"/>
        <v>0</v>
      </c>
      <c r="CC188" s="350">
        <f t="shared" si="120"/>
        <v>0</v>
      </c>
      <c r="CD188" s="350">
        <f t="shared" si="120"/>
        <v>0</v>
      </c>
      <c r="CE188" s="350">
        <f t="shared" si="120"/>
        <v>0</v>
      </c>
      <c r="CF188" s="350">
        <f t="shared" si="120"/>
        <v>0</v>
      </c>
      <c r="CG188" s="350">
        <f t="shared" si="120"/>
        <v>0</v>
      </c>
      <c r="CH188" s="350">
        <f t="shared" si="120"/>
        <v>0</v>
      </c>
      <c r="CI188" s="350">
        <f t="shared" si="120"/>
        <v>0</v>
      </c>
      <c r="CJ188" s="350">
        <f t="shared" si="120"/>
        <v>0</v>
      </c>
      <c r="CK188" s="350">
        <f t="shared" si="120"/>
        <v>0</v>
      </c>
      <c r="CL188" s="350">
        <f t="shared" si="120"/>
        <v>0</v>
      </c>
      <c r="CM188" s="350">
        <f t="shared" si="120"/>
        <v>0</v>
      </c>
      <c r="CN188" s="350">
        <f t="shared" si="120"/>
        <v>0</v>
      </c>
      <c r="CO188" s="350">
        <f t="shared" si="120"/>
        <v>0</v>
      </c>
      <c r="CP188" s="350">
        <f t="shared" si="120"/>
        <v>0</v>
      </c>
      <c r="CQ188" s="350">
        <f t="shared" si="120"/>
        <v>0</v>
      </c>
      <c r="CR188" s="350">
        <f t="shared" si="120"/>
        <v>0</v>
      </c>
      <c r="CS188" s="350">
        <f t="shared" si="120"/>
        <v>0</v>
      </c>
      <c r="CT188" s="350">
        <f t="shared" si="120"/>
        <v>0</v>
      </c>
      <c r="CU188" s="350">
        <f t="shared" si="120"/>
        <v>0</v>
      </c>
      <c r="CV188" s="350">
        <f t="shared" si="120"/>
        <v>0</v>
      </c>
      <c r="CW188" s="350">
        <f t="shared" si="120"/>
        <v>0</v>
      </c>
      <c r="CX188" s="350">
        <f t="shared" ref="CX188:DV188" si="121">IF(CX179="","",CX187/VLOOKUP($B177,Promote_Structure_Monthly,8,FALSE)*VLOOKUP($B177,Promote_Structure_Monthly,7,FALSE))</f>
        <v>0</v>
      </c>
      <c r="CY188" s="350">
        <f t="shared" si="121"/>
        <v>0</v>
      </c>
      <c r="CZ188" s="350">
        <f t="shared" si="121"/>
        <v>0</v>
      </c>
      <c r="DA188" s="350">
        <f t="shared" si="121"/>
        <v>0</v>
      </c>
      <c r="DB188" s="350">
        <f t="shared" si="121"/>
        <v>0</v>
      </c>
      <c r="DC188" s="350">
        <f t="shared" si="121"/>
        <v>0</v>
      </c>
      <c r="DD188" s="350">
        <f t="shared" si="121"/>
        <v>0</v>
      </c>
      <c r="DE188" s="350">
        <f t="shared" si="121"/>
        <v>0</v>
      </c>
      <c r="DF188" s="350">
        <f t="shared" si="121"/>
        <v>0</v>
      </c>
      <c r="DG188" s="350">
        <f t="shared" si="121"/>
        <v>0</v>
      </c>
      <c r="DH188" s="350">
        <f t="shared" si="121"/>
        <v>0</v>
      </c>
      <c r="DI188" s="350">
        <f t="shared" si="121"/>
        <v>0</v>
      </c>
      <c r="DJ188" s="350">
        <f t="shared" si="121"/>
        <v>0</v>
      </c>
      <c r="DK188" s="350">
        <f t="shared" si="121"/>
        <v>0</v>
      </c>
      <c r="DL188" s="350">
        <f t="shared" si="121"/>
        <v>0</v>
      </c>
      <c r="DM188" s="350">
        <f t="shared" si="121"/>
        <v>0</v>
      </c>
      <c r="DN188" s="350">
        <f t="shared" si="121"/>
        <v>0</v>
      </c>
      <c r="DO188" s="350">
        <f t="shared" si="121"/>
        <v>0</v>
      </c>
      <c r="DP188" s="350">
        <f t="shared" si="121"/>
        <v>0</v>
      </c>
      <c r="DQ188" s="350">
        <f t="shared" si="121"/>
        <v>0</v>
      </c>
      <c r="DR188" s="350">
        <f t="shared" si="121"/>
        <v>0</v>
      </c>
      <c r="DS188" s="350">
        <f t="shared" si="121"/>
        <v>0</v>
      </c>
      <c r="DT188" s="350">
        <f t="shared" si="121"/>
        <v>0</v>
      </c>
      <c r="DU188" s="350">
        <f t="shared" si="121"/>
        <v>0</v>
      </c>
      <c r="DV188" s="350">
        <f t="shared" si="121"/>
        <v>0</v>
      </c>
      <c r="DW188" s="6"/>
      <c r="DX188" s="6"/>
      <c r="DY188" s="6"/>
      <c r="DZ188" s="6"/>
    </row>
    <row r="189" spans="1:130" ht="12.75" customHeight="1" outlineLevel="1" x14ac:dyDescent="0.25">
      <c r="A189" s="6"/>
      <c r="B189" s="6" t="str">
        <f>"Total Distributions ("&amp;B177&amp;")"</f>
        <v>Total Distributions (Hurdle 2)</v>
      </c>
      <c r="C189" s="6"/>
      <c r="D189" s="6"/>
      <c r="E189" s="6"/>
      <c r="F189" s="350">
        <f t="shared" ref="F189:DV189" si="122">IF(F179="","",F187+F188)</f>
        <v>0</v>
      </c>
      <c r="G189" s="350">
        <f t="shared" si="122"/>
        <v>0</v>
      </c>
      <c r="H189" s="350">
        <f t="shared" si="122"/>
        <v>0</v>
      </c>
      <c r="I189" s="350">
        <f t="shared" si="122"/>
        <v>0</v>
      </c>
      <c r="J189" s="350">
        <f t="shared" si="122"/>
        <v>0</v>
      </c>
      <c r="K189" s="350">
        <f t="shared" si="122"/>
        <v>0</v>
      </c>
      <c r="L189" s="350">
        <f t="shared" si="122"/>
        <v>0</v>
      </c>
      <c r="M189" s="350">
        <f t="shared" si="122"/>
        <v>0</v>
      </c>
      <c r="N189" s="350">
        <f t="shared" si="122"/>
        <v>0</v>
      </c>
      <c r="O189" s="350">
        <f t="shared" si="122"/>
        <v>0</v>
      </c>
      <c r="P189" s="350">
        <f t="shared" si="122"/>
        <v>0</v>
      </c>
      <c r="Q189" s="350">
        <f t="shared" si="122"/>
        <v>0</v>
      </c>
      <c r="R189" s="350">
        <f t="shared" si="122"/>
        <v>0</v>
      </c>
      <c r="S189" s="350">
        <f t="shared" si="122"/>
        <v>0</v>
      </c>
      <c r="T189" s="350">
        <f t="shared" si="122"/>
        <v>0</v>
      </c>
      <c r="U189" s="350">
        <f t="shared" si="122"/>
        <v>0</v>
      </c>
      <c r="V189" s="350">
        <f t="shared" si="122"/>
        <v>0</v>
      </c>
      <c r="W189" s="350">
        <f t="shared" si="122"/>
        <v>0</v>
      </c>
      <c r="X189" s="350">
        <f t="shared" si="122"/>
        <v>0</v>
      </c>
      <c r="Y189" s="350">
        <f t="shared" si="122"/>
        <v>0</v>
      </c>
      <c r="Z189" s="350">
        <f t="shared" si="122"/>
        <v>0</v>
      </c>
      <c r="AA189" s="350">
        <f t="shared" si="122"/>
        <v>0</v>
      </c>
      <c r="AB189" s="350">
        <f t="shared" si="122"/>
        <v>0</v>
      </c>
      <c r="AC189" s="350">
        <f t="shared" si="122"/>
        <v>0</v>
      </c>
      <c r="AD189" s="350">
        <f t="shared" si="122"/>
        <v>0</v>
      </c>
      <c r="AE189" s="350">
        <f t="shared" si="122"/>
        <v>0</v>
      </c>
      <c r="AF189" s="350">
        <f t="shared" si="122"/>
        <v>0</v>
      </c>
      <c r="AG189" s="350">
        <f t="shared" si="122"/>
        <v>0</v>
      </c>
      <c r="AH189" s="350">
        <f t="shared" si="122"/>
        <v>0</v>
      </c>
      <c r="AI189" s="350">
        <f t="shared" si="122"/>
        <v>0</v>
      </c>
      <c r="AJ189" s="350">
        <f t="shared" si="122"/>
        <v>0</v>
      </c>
      <c r="AK189" s="350">
        <f t="shared" si="122"/>
        <v>0</v>
      </c>
      <c r="AL189" s="350">
        <f t="shared" si="122"/>
        <v>0</v>
      </c>
      <c r="AM189" s="350">
        <f t="shared" si="122"/>
        <v>0</v>
      </c>
      <c r="AN189" s="350">
        <f t="shared" si="122"/>
        <v>0</v>
      </c>
      <c r="AO189" s="350">
        <f t="shared" si="122"/>
        <v>0</v>
      </c>
      <c r="AP189" s="350">
        <f t="shared" si="122"/>
        <v>0</v>
      </c>
      <c r="AQ189" s="350">
        <f t="shared" si="122"/>
        <v>0</v>
      </c>
      <c r="AR189" s="350">
        <f t="shared" si="122"/>
        <v>0</v>
      </c>
      <c r="AS189" s="350">
        <f t="shared" si="122"/>
        <v>0</v>
      </c>
      <c r="AT189" s="350">
        <f t="shared" si="122"/>
        <v>0</v>
      </c>
      <c r="AU189" s="350">
        <f t="shared" si="122"/>
        <v>0</v>
      </c>
      <c r="AV189" s="350">
        <f t="shared" si="122"/>
        <v>0</v>
      </c>
      <c r="AW189" s="350">
        <f t="shared" si="122"/>
        <v>0</v>
      </c>
      <c r="AX189" s="350">
        <f t="shared" si="122"/>
        <v>0</v>
      </c>
      <c r="AY189" s="350">
        <f t="shared" si="122"/>
        <v>0</v>
      </c>
      <c r="AZ189" s="350">
        <f t="shared" si="122"/>
        <v>0</v>
      </c>
      <c r="BA189" s="350">
        <f t="shared" si="122"/>
        <v>0</v>
      </c>
      <c r="BB189" s="350">
        <f t="shared" si="122"/>
        <v>0</v>
      </c>
      <c r="BC189" s="350">
        <f t="shared" si="122"/>
        <v>0</v>
      </c>
      <c r="BD189" s="350">
        <f t="shared" si="122"/>
        <v>0</v>
      </c>
      <c r="BE189" s="350">
        <f t="shared" si="122"/>
        <v>0</v>
      </c>
      <c r="BF189" s="350">
        <f t="shared" si="122"/>
        <v>0</v>
      </c>
      <c r="BG189" s="350">
        <f t="shared" si="122"/>
        <v>0</v>
      </c>
      <c r="BH189" s="350">
        <f t="shared" si="122"/>
        <v>0</v>
      </c>
      <c r="BI189" s="350">
        <f t="shared" si="122"/>
        <v>0</v>
      </c>
      <c r="BJ189" s="350">
        <f t="shared" si="122"/>
        <v>0</v>
      </c>
      <c r="BK189" s="350">
        <f t="shared" si="122"/>
        <v>0</v>
      </c>
      <c r="BL189" s="350">
        <f t="shared" si="122"/>
        <v>0</v>
      </c>
      <c r="BM189" s="350">
        <f t="shared" si="122"/>
        <v>0</v>
      </c>
      <c r="BN189" s="350">
        <f t="shared" si="122"/>
        <v>425341.59828271717</v>
      </c>
      <c r="BO189" s="350">
        <f t="shared" si="122"/>
        <v>0</v>
      </c>
      <c r="BP189" s="350">
        <f t="shared" si="122"/>
        <v>0</v>
      </c>
      <c r="BQ189" s="350">
        <f t="shared" si="122"/>
        <v>0</v>
      </c>
      <c r="BR189" s="350">
        <f t="shared" si="122"/>
        <v>0</v>
      </c>
      <c r="BS189" s="350">
        <f t="shared" si="122"/>
        <v>0</v>
      </c>
      <c r="BT189" s="350">
        <f t="shared" si="122"/>
        <v>0</v>
      </c>
      <c r="BU189" s="350">
        <f t="shared" si="122"/>
        <v>0</v>
      </c>
      <c r="BV189" s="350">
        <f t="shared" si="122"/>
        <v>0</v>
      </c>
      <c r="BW189" s="350">
        <f t="shared" si="122"/>
        <v>0</v>
      </c>
      <c r="BX189" s="350">
        <f t="shared" si="122"/>
        <v>0</v>
      </c>
      <c r="BY189" s="350">
        <f t="shared" si="122"/>
        <v>0</v>
      </c>
      <c r="BZ189" s="350">
        <f t="shared" si="122"/>
        <v>0</v>
      </c>
      <c r="CA189" s="350">
        <f t="shared" si="122"/>
        <v>0</v>
      </c>
      <c r="CB189" s="350">
        <f t="shared" si="122"/>
        <v>0</v>
      </c>
      <c r="CC189" s="350">
        <f t="shared" si="122"/>
        <v>0</v>
      </c>
      <c r="CD189" s="350">
        <f t="shared" si="122"/>
        <v>0</v>
      </c>
      <c r="CE189" s="350">
        <f t="shared" si="122"/>
        <v>0</v>
      </c>
      <c r="CF189" s="350">
        <f t="shared" si="122"/>
        <v>0</v>
      </c>
      <c r="CG189" s="350">
        <f t="shared" si="122"/>
        <v>0</v>
      </c>
      <c r="CH189" s="350">
        <f t="shared" si="122"/>
        <v>0</v>
      </c>
      <c r="CI189" s="350">
        <f t="shared" si="122"/>
        <v>0</v>
      </c>
      <c r="CJ189" s="350">
        <f t="shared" si="122"/>
        <v>0</v>
      </c>
      <c r="CK189" s="350">
        <f t="shared" si="122"/>
        <v>0</v>
      </c>
      <c r="CL189" s="350">
        <f t="shared" si="122"/>
        <v>0</v>
      </c>
      <c r="CM189" s="350">
        <f t="shared" si="122"/>
        <v>0</v>
      </c>
      <c r="CN189" s="350">
        <f t="shared" si="122"/>
        <v>0</v>
      </c>
      <c r="CO189" s="350">
        <f t="shared" si="122"/>
        <v>0</v>
      </c>
      <c r="CP189" s="350">
        <f t="shared" si="122"/>
        <v>0</v>
      </c>
      <c r="CQ189" s="350">
        <f t="shared" si="122"/>
        <v>0</v>
      </c>
      <c r="CR189" s="350">
        <f t="shared" si="122"/>
        <v>0</v>
      </c>
      <c r="CS189" s="350">
        <f t="shared" si="122"/>
        <v>0</v>
      </c>
      <c r="CT189" s="350">
        <f t="shared" si="122"/>
        <v>0</v>
      </c>
      <c r="CU189" s="350">
        <f t="shared" si="122"/>
        <v>0</v>
      </c>
      <c r="CV189" s="350">
        <f t="shared" si="122"/>
        <v>0</v>
      </c>
      <c r="CW189" s="350">
        <f t="shared" si="122"/>
        <v>0</v>
      </c>
      <c r="CX189" s="350">
        <f t="shared" si="122"/>
        <v>0</v>
      </c>
      <c r="CY189" s="350">
        <f t="shared" si="122"/>
        <v>0</v>
      </c>
      <c r="CZ189" s="350">
        <f t="shared" si="122"/>
        <v>0</v>
      </c>
      <c r="DA189" s="350">
        <f t="shared" si="122"/>
        <v>0</v>
      </c>
      <c r="DB189" s="350">
        <f t="shared" si="122"/>
        <v>0</v>
      </c>
      <c r="DC189" s="350">
        <f t="shared" si="122"/>
        <v>0</v>
      </c>
      <c r="DD189" s="350">
        <f t="shared" si="122"/>
        <v>0</v>
      </c>
      <c r="DE189" s="350">
        <f t="shared" si="122"/>
        <v>0</v>
      </c>
      <c r="DF189" s="350">
        <f t="shared" si="122"/>
        <v>0</v>
      </c>
      <c r="DG189" s="350">
        <f t="shared" si="122"/>
        <v>0</v>
      </c>
      <c r="DH189" s="350">
        <f t="shared" si="122"/>
        <v>0</v>
      </c>
      <c r="DI189" s="350">
        <f t="shared" si="122"/>
        <v>0</v>
      </c>
      <c r="DJ189" s="350">
        <f t="shared" si="122"/>
        <v>0</v>
      </c>
      <c r="DK189" s="350">
        <f t="shared" si="122"/>
        <v>0</v>
      </c>
      <c r="DL189" s="350">
        <f t="shared" si="122"/>
        <v>0</v>
      </c>
      <c r="DM189" s="350">
        <f t="shared" si="122"/>
        <v>0</v>
      </c>
      <c r="DN189" s="350">
        <f t="shared" si="122"/>
        <v>0</v>
      </c>
      <c r="DO189" s="350">
        <f t="shared" si="122"/>
        <v>0</v>
      </c>
      <c r="DP189" s="350">
        <f t="shared" si="122"/>
        <v>0</v>
      </c>
      <c r="DQ189" s="350">
        <f t="shared" si="122"/>
        <v>0</v>
      </c>
      <c r="DR189" s="350">
        <f t="shared" si="122"/>
        <v>0</v>
      </c>
      <c r="DS189" s="350">
        <f t="shared" si="122"/>
        <v>0</v>
      </c>
      <c r="DT189" s="350">
        <f t="shared" si="122"/>
        <v>0</v>
      </c>
      <c r="DU189" s="350">
        <f t="shared" si="122"/>
        <v>0</v>
      </c>
      <c r="DV189" s="350">
        <f t="shared" si="122"/>
        <v>0</v>
      </c>
      <c r="DW189" s="6"/>
      <c r="DX189" s="6"/>
      <c r="DY189" s="6"/>
      <c r="DZ189" s="6"/>
    </row>
    <row r="190" spans="1:130" ht="12.75" customHeight="1" outlineLevel="1" x14ac:dyDescent="0.25">
      <c r="A190" s="6"/>
      <c r="B190" s="6" t="s">
        <v>444</v>
      </c>
      <c r="C190" s="6"/>
      <c r="D190" s="6"/>
      <c r="E190" s="6"/>
      <c r="F190" s="350">
        <f t="shared" ref="F190:DV190" si="123">IF(F179="","",MAX(F$160-F174-F189,0))</f>
        <v>0</v>
      </c>
      <c r="G190" s="350">
        <f t="shared" si="123"/>
        <v>0</v>
      </c>
      <c r="H190" s="350">
        <f t="shared" si="123"/>
        <v>0</v>
      </c>
      <c r="I190" s="350">
        <f t="shared" si="123"/>
        <v>0</v>
      </c>
      <c r="J190" s="350">
        <f t="shared" si="123"/>
        <v>0</v>
      </c>
      <c r="K190" s="350">
        <f t="shared" si="123"/>
        <v>0</v>
      </c>
      <c r="L190" s="350">
        <f t="shared" si="123"/>
        <v>0</v>
      </c>
      <c r="M190" s="350">
        <f t="shared" si="123"/>
        <v>0</v>
      </c>
      <c r="N190" s="350">
        <f t="shared" si="123"/>
        <v>0</v>
      </c>
      <c r="O190" s="350">
        <f t="shared" si="123"/>
        <v>0</v>
      </c>
      <c r="P190" s="350">
        <f t="shared" si="123"/>
        <v>0</v>
      </c>
      <c r="Q190" s="350">
        <f t="shared" si="123"/>
        <v>0</v>
      </c>
      <c r="R190" s="350">
        <f t="shared" si="123"/>
        <v>0</v>
      </c>
      <c r="S190" s="350">
        <f t="shared" si="123"/>
        <v>0</v>
      </c>
      <c r="T190" s="350">
        <f t="shared" si="123"/>
        <v>0</v>
      </c>
      <c r="U190" s="350">
        <f t="shared" si="123"/>
        <v>0</v>
      </c>
      <c r="V190" s="350">
        <f t="shared" si="123"/>
        <v>0</v>
      </c>
      <c r="W190" s="350">
        <f t="shared" si="123"/>
        <v>0</v>
      </c>
      <c r="X190" s="350">
        <f t="shared" si="123"/>
        <v>0</v>
      </c>
      <c r="Y190" s="350">
        <f t="shared" si="123"/>
        <v>0</v>
      </c>
      <c r="Z190" s="350">
        <f t="shared" si="123"/>
        <v>0</v>
      </c>
      <c r="AA190" s="350">
        <f t="shared" si="123"/>
        <v>0</v>
      </c>
      <c r="AB190" s="350">
        <f t="shared" si="123"/>
        <v>0</v>
      </c>
      <c r="AC190" s="350">
        <f t="shared" si="123"/>
        <v>0</v>
      </c>
      <c r="AD190" s="350">
        <f t="shared" si="123"/>
        <v>0</v>
      </c>
      <c r="AE190" s="350">
        <f t="shared" si="123"/>
        <v>0</v>
      </c>
      <c r="AF190" s="350">
        <f t="shared" si="123"/>
        <v>0</v>
      </c>
      <c r="AG190" s="350">
        <f t="shared" si="123"/>
        <v>0</v>
      </c>
      <c r="AH190" s="350">
        <f t="shared" si="123"/>
        <v>0</v>
      </c>
      <c r="AI190" s="350">
        <f t="shared" si="123"/>
        <v>0</v>
      </c>
      <c r="AJ190" s="350">
        <f t="shared" si="123"/>
        <v>0</v>
      </c>
      <c r="AK190" s="350">
        <f t="shared" si="123"/>
        <v>0</v>
      </c>
      <c r="AL190" s="350">
        <f t="shared" si="123"/>
        <v>0</v>
      </c>
      <c r="AM190" s="350">
        <f t="shared" si="123"/>
        <v>0</v>
      </c>
      <c r="AN190" s="350">
        <f t="shared" si="123"/>
        <v>0</v>
      </c>
      <c r="AO190" s="350">
        <f t="shared" si="123"/>
        <v>0</v>
      </c>
      <c r="AP190" s="350">
        <f t="shared" si="123"/>
        <v>0</v>
      </c>
      <c r="AQ190" s="350">
        <f t="shared" si="123"/>
        <v>0</v>
      </c>
      <c r="AR190" s="350">
        <f t="shared" si="123"/>
        <v>0</v>
      </c>
      <c r="AS190" s="350">
        <f t="shared" si="123"/>
        <v>0</v>
      </c>
      <c r="AT190" s="350">
        <f t="shared" si="123"/>
        <v>0</v>
      </c>
      <c r="AU190" s="350">
        <f t="shared" si="123"/>
        <v>0</v>
      </c>
      <c r="AV190" s="350">
        <f t="shared" si="123"/>
        <v>0</v>
      </c>
      <c r="AW190" s="350">
        <f t="shared" si="123"/>
        <v>0</v>
      </c>
      <c r="AX190" s="350">
        <f t="shared" si="123"/>
        <v>0</v>
      </c>
      <c r="AY190" s="350">
        <f t="shared" si="123"/>
        <v>0</v>
      </c>
      <c r="AZ190" s="350">
        <f t="shared" si="123"/>
        <v>0</v>
      </c>
      <c r="BA190" s="350">
        <f t="shared" si="123"/>
        <v>0</v>
      </c>
      <c r="BB190" s="350">
        <f t="shared" si="123"/>
        <v>0</v>
      </c>
      <c r="BC190" s="350">
        <f t="shared" si="123"/>
        <v>0</v>
      </c>
      <c r="BD190" s="350">
        <f t="shared" si="123"/>
        <v>0</v>
      </c>
      <c r="BE190" s="350">
        <f t="shared" si="123"/>
        <v>0</v>
      </c>
      <c r="BF190" s="350">
        <f t="shared" si="123"/>
        <v>0</v>
      </c>
      <c r="BG190" s="350">
        <f t="shared" si="123"/>
        <v>0</v>
      </c>
      <c r="BH190" s="350">
        <f t="shared" si="123"/>
        <v>0</v>
      </c>
      <c r="BI190" s="350">
        <f t="shared" si="123"/>
        <v>0</v>
      </c>
      <c r="BJ190" s="350">
        <f t="shared" si="123"/>
        <v>0</v>
      </c>
      <c r="BK190" s="350">
        <f t="shared" si="123"/>
        <v>0</v>
      </c>
      <c r="BL190" s="350">
        <f t="shared" si="123"/>
        <v>0</v>
      </c>
      <c r="BM190" s="350">
        <f t="shared" si="123"/>
        <v>0</v>
      </c>
      <c r="BN190" s="350">
        <f t="shared" si="123"/>
        <v>0</v>
      </c>
      <c r="BO190" s="350">
        <f t="shared" si="123"/>
        <v>0</v>
      </c>
      <c r="BP190" s="350">
        <f t="shared" si="123"/>
        <v>0</v>
      </c>
      <c r="BQ190" s="350">
        <f t="shared" si="123"/>
        <v>0</v>
      </c>
      <c r="BR190" s="350">
        <f t="shared" si="123"/>
        <v>0</v>
      </c>
      <c r="BS190" s="350">
        <f t="shared" si="123"/>
        <v>0</v>
      </c>
      <c r="BT190" s="350">
        <f t="shared" si="123"/>
        <v>0</v>
      </c>
      <c r="BU190" s="350">
        <f t="shared" si="123"/>
        <v>0</v>
      </c>
      <c r="BV190" s="350">
        <f t="shared" si="123"/>
        <v>0</v>
      </c>
      <c r="BW190" s="350">
        <f t="shared" si="123"/>
        <v>0</v>
      </c>
      <c r="BX190" s="350">
        <f t="shared" si="123"/>
        <v>0</v>
      </c>
      <c r="BY190" s="350">
        <f t="shared" si="123"/>
        <v>0</v>
      </c>
      <c r="BZ190" s="350">
        <f t="shared" si="123"/>
        <v>0</v>
      </c>
      <c r="CA190" s="350">
        <f t="shared" si="123"/>
        <v>0</v>
      </c>
      <c r="CB190" s="350">
        <f t="shared" si="123"/>
        <v>0</v>
      </c>
      <c r="CC190" s="350">
        <f t="shared" si="123"/>
        <v>0</v>
      </c>
      <c r="CD190" s="350">
        <f t="shared" si="123"/>
        <v>0</v>
      </c>
      <c r="CE190" s="350">
        <f t="shared" si="123"/>
        <v>0</v>
      </c>
      <c r="CF190" s="350">
        <f t="shared" si="123"/>
        <v>0</v>
      </c>
      <c r="CG190" s="350">
        <f t="shared" si="123"/>
        <v>0</v>
      </c>
      <c r="CH190" s="350">
        <f t="shared" si="123"/>
        <v>0</v>
      </c>
      <c r="CI190" s="350">
        <f t="shared" si="123"/>
        <v>0</v>
      </c>
      <c r="CJ190" s="350">
        <f t="shared" si="123"/>
        <v>0</v>
      </c>
      <c r="CK190" s="350">
        <f t="shared" si="123"/>
        <v>0</v>
      </c>
      <c r="CL190" s="350">
        <f t="shared" si="123"/>
        <v>0</v>
      </c>
      <c r="CM190" s="350">
        <f t="shared" si="123"/>
        <v>0</v>
      </c>
      <c r="CN190" s="350">
        <f t="shared" si="123"/>
        <v>0</v>
      </c>
      <c r="CO190" s="350">
        <f t="shared" si="123"/>
        <v>0</v>
      </c>
      <c r="CP190" s="350">
        <f t="shared" si="123"/>
        <v>0</v>
      </c>
      <c r="CQ190" s="350">
        <f t="shared" si="123"/>
        <v>0</v>
      </c>
      <c r="CR190" s="350">
        <f t="shared" si="123"/>
        <v>0</v>
      </c>
      <c r="CS190" s="350">
        <f t="shared" si="123"/>
        <v>0</v>
      </c>
      <c r="CT190" s="350">
        <f t="shared" si="123"/>
        <v>0</v>
      </c>
      <c r="CU190" s="350">
        <f t="shared" si="123"/>
        <v>0</v>
      </c>
      <c r="CV190" s="350">
        <f t="shared" si="123"/>
        <v>0</v>
      </c>
      <c r="CW190" s="350">
        <f t="shared" si="123"/>
        <v>0</v>
      </c>
      <c r="CX190" s="350">
        <f t="shared" si="123"/>
        <v>0</v>
      </c>
      <c r="CY190" s="350">
        <f t="shared" si="123"/>
        <v>0</v>
      </c>
      <c r="CZ190" s="350">
        <f t="shared" si="123"/>
        <v>0</v>
      </c>
      <c r="DA190" s="350">
        <f t="shared" si="123"/>
        <v>0</v>
      </c>
      <c r="DB190" s="350">
        <f t="shared" si="123"/>
        <v>0</v>
      </c>
      <c r="DC190" s="350">
        <f t="shared" si="123"/>
        <v>0</v>
      </c>
      <c r="DD190" s="350">
        <f t="shared" si="123"/>
        <v>0</v>
      </c>
      <c r="DE190" s="350">
        <f t="shared" si="123"/>
        <v>0</v>
      </c>
      <c r="DF190" s="350">
        <f t="shared" si="123"/>
        <v>0</v>
      </c>
      <c r="DG190" s="350">
        <f t="shared" si="123"/>
        <v>0</v>
      </c>
      <c r="DH190" s="350">
        <f t="shared" si="123"/>
        <v>0</v>
      </c>
      <c r="DI190" s="350">
        <f t="shared" si="123"/>
        <v>0</v>
      </c>
      <c r="DJ190" s="350">
        <f t="shared" si="123"/>
        <v>0</v>
      </c>
      <c r="DK190" s="350">
        <f t="shared" si="123"/>
        <v>0</v>
      </c>
      <c r="DL190" s="350">
        <f t="shared" si="123"/>
        <v>0</v>
      </c>
      <c r="DM190" s="350">
        <f t="shared" si="123"/>
        <v>0</v>
      </c>
      <c r="DN190" s="350">
        <f t="shared" si="123"/>
        <v>0</v>
      </c>
      <c r="DO190" s="350">
        <f t="shared" si="123"/>
        <v>0</v>
      </c>
      <c r="DP190" s="350">
        <f t="shared" si="123"/>
        <v>0</v>
      </c>
      <c r="DQ190" s="350">
        <f t="shared" si="123"/>
        <v>0</v>
      </c>
      <c r="DR190" s="350">
        <f t="shared" si="123"/>
        <v>0</v>
      </c>
      <c r="DS190" s="350">
        <f t="shared" si="123"/>
        <v>0</v>
      </c>
      <c r="DT190" s="350">
        <f t="shared" si="123"/>
        <v>0</v>
      </c>
      <c r="DU190" s="350">
        <f t="shared" si="123"/>
        <v>0</v>
      </c>
      <c r="DV190" s="350">
        <f t="shared" si="123"/>
        <v>0</v>
      </c>
      <c r="DW190" s="6"/>
      <c r="DX190" s="6"/>
      <c r="DY190" s="6"/>
      <c r="DZ190" s="6"/>
    </row>
    <row r="191" spans="1:130" ht="12.75" customHeight="1" outlineLevel="1" x14ac:dyDescent="0.25">
      <c r="A191" s="6"/>
      <c r="B191" s="6"/>
      <c r="C191" s="6"/>
      <c r="D191" s="6"/>
      <c r="E191" s="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</row>
    <row r="192" spans="1:130" ht="12.75" customHeight="1" outlineLevel="1" x14ac:dyDescent="0.25">
      <c r="A192" s="6"/>
      <c r="B192" s="23" t="s">
        <v>393</v>
      </c>
      <c r="C192" s="6"/>
      <c r="D192" s="6"/>
      <c r="E192" s="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</row>
    <row r="193" spans="1:130" ht="12.75" customHeight="1" outlineLevel="1" x14ac:dyDescent="0.25">
      <c r="A193" s="6"/>
      <c r="B193" s="287" t="s">
        <v>458</v>
      </c>
      <c r="C193" s="296">
        <f>IF($D$5="IRR",D151,C151)</f>
        <v>0.4</v>
      </c>
      <c r="D193" s="78"/>
      <c r="E193" s="78"/>
      <c r="F193" s="1194"/>
      <c r="G193" s="1194"/>
      <c r="H193" s="1194"/>
      <c r="I193" s="1194"/>
      <c r="J193" s="1194"/>
      <c r="K193" s="1194"/>
      <c r="L193" s="1194"/>
      <c r="M193" s="1194"/>
      <c r="N193" s="1194"/>
      <c r="O193" s="1194"/>
      <c r="P193" s="1194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78"/>
      <c r="CB193" s="78"/>
      <c r="CC193" s="78"/>
      <c r="CD193" s="78"/>
      <c r="CE193" s="78"/>
      <c r="CF193" s="78"/>
      <c r="CG193" s="78"/>
      <c r="CH193" s="78"/>
      <c r="CI193" s="78"/>
      <c r="CJ193" s="78"/>
      <c r="CK193" s="78"/>
      <c r="CL193" s="78"/>
      <c r="CM193" s="78"/>
      <c r="CN193" s="78"/>
      <c r="CO193" s="78"/>
      <c r="CP193" s="78"/>
      <c r="CQ193" s="78"/>
      <c r="CR193" s="78"/>
      <c r="CS193" s="78"/>
      <c r="CT193" s="78"/>
      <c r="CU193" s="78"/>
      <c r="CV193" s="78"/>
      <c r="CW193" s="78"/>
      <c r="CX193" s="78"/>
      <c r="CY193" s="78"/>
      <c r="CZ193" s="78"/>
      <c r="DA193" s="78"/>
      <c r="DB193" s="78"/>
      <c r="DC193" s="78"/>
      <c r="DD193" s="78"/>
      <c r="DE193" s="78"/>
      <c r="DF193" s="78"/>
      <c r="DG193" s="78"/>
      <c r="DH193" s="78"/>
      <c r="DI193" s="78"/>
      <c r="DJ193" s="78"/>
      <c r="DK193" s="78"/>
      <c r="DL193" s="78"/>
      <c r="DM193" s="78"/>
      <c r="DN193" s="78"/>
      <c r="DO193" s="78"/>
      <c r="DP193" s="78"/>
      <c r="DQ193" s="78"/>
      <c r="DR193" s="78"/>
      <c r="DS193" s="78"/>
      <c r="DT193" s="78"/>
      <c r="DU193" s="78"/>
      <c r="DV193" s="78"/>
      <c r="DW193" s="6"/>
      <c r="DX193" s="6"/>
      <c r="DY193" s="6"/>
      <c r="DZ193" s="6"/>
    </row>
    <row r="194" spans="1:130" ht="12.75" customHeight="1" outlineLevel="1" x14ac:dyDescent="0.25">
      <c r="A194" s="6"/>
      <c r="B194" s="6" t="s">
        <v>435</v>
      </c>
      <c r="C194" s="6"/>
      <c r="D194" s="6"/>
      <c r="E194" s="6"/>
      <c r="F194" s="350">
        <f t="shared" ref="F194:DV194" si="124">IF(F173="","",E199)</f>
        <v>0</v>
      </c>
      <c r="G194" s="350">
        <f t="shared" si="124"/>
        <v>2045560.6845345572</v>
      </c>
      <c r="H194" s="350">
        <f t="shared" si="124"/>
        <v>2637079.9965570751</v>
      </c>
      <c r="I194" s="350">
        <f t="shared" si="124"/>
        <v>3244990.5159228933</v>
      </c>
      <c r="J194" s="350">
        <f t="shared" si="124"/>
        <v>3884255.0555762034</v>
      </c>
      <c r="K194" s="350">
        <f t="shared" si="124"/>
        <v>4544075.5630597537</v>
      </c>
      <c r="L194" s="350">
        <f t="shared" si="124"/>
        <v>5231854.8958825283</v>
      </c>
      <c r="M194" s="350">
        <f t="shared" si="124"/>
        <v>5939175.5719121676</v>
      </c>
      <c r="N194" s="350">
        <f t="shared" si="124"/>
        <v>6281852.4137728447</v>
      </c>
      <c r="O194" s="350">
        <f t="shared" si="124"/>
        <v>6463959.1488210531</v>
      </c>
      <c r="P194" s="350">
        <f t="shared" si="124"/>
        <v>6645216.3750884281</v>
      </c>
      <c r="Q194" s="350">
        <f t="shared" si="124"/>
        <v>6837856.7903746953</v>
      </c>
      <c r="R194" s="350">
        <f t="shared" si="124"/>
        <v>7029598.5583688365</v>
      </c>
      <c r="S194" s="350">
        <f t="shared" si="124"/>
        <v>7233381.9582076268</v>
      </c>
      <c r="T194" s="350">
        <f t="shared" si="124"/>
        <v>7443072.9036487779</v>
      </c>
      <c r="U194" s="350">
        <f t="shared" si="124"/>
        <v>7644735.1776401559</v>
      </c>
      <c r="V194" s="350">
        <f t="shared" si="124"/>
        <v>7866350.9800833892</v>
      </c>
      <c r="W194" s="350">
        <f t="shared" si="124"/>
        <v>8086932.9680985231</v>
      </c>
      <c r="X194" s="350">
        <f t="shared" si="124"/>
        <v>8321367.7912002727</v>
      </c>
      <c r="Y194" s="350">
        <f t="shared" si="124"/>
        <v>8554709.0004897416</v>
      </c>
      <c r="Z194" s="350">
        <f t="shared" si="124"/>
        <v>8802704.3405189198</v>
      </c>
      <c r="AA194" s="350">
        <f t="shared" si="124"/>
        <v>9057888.900973089</v>
      </c>
      <c r="AB194" s="350">
        <f t="shared" si="124"/>
        <v>9311883.0522708856</v>
      </c>
      <c r="AC194" s="350">
        <f t="shared" si="124"/>
        <v>9581828.3658669014</v>
      </c>
      <c r="AD194" s="350">
        <f t="shared" si="124"/>
        <v>9850514.4129443895</v>
      </c>
      <c r="AE194" s="350">
        <f t="shared" si="124"/>
        <v>10136074.29244007</v>
      </c>
      <c r="AF194" s="350">
        <f t="shared" si="124"/>
        <v>10429912.363445265</v>
      </c>
      <c r="AG194" s="350">
        <f t="shared" si="124"/>
        <v>10702629.248696214</v>
      </c>
      <c r="AH194" s="350">
        <f t="shared" si="124"/>
        <v>11012891.372116741</v>
      </c>
      <c r="AI194" s="350">
        <f t="shared" si="124"/>
        <v>11321706.155337928</v>
      </c>
      <c r="AJ194" s="350">
        <f t="shared" si="124"/>
        <v>11649914.907680377</v>
      </c>
      <c r="AK194" s="350">
        <f t="shared" si="124"/>
        <v>11976592.600685634</v>
      </c>
      <c r="AL194" s="350">
        <f t="shared" si="124"/>
        <v>12318881.38204208</v>
      </c>
      <c r="AM194" s="350">
        <f t="shared" si="124"/>
        <v>12663214.313586265</v>
      </c>
      <c r="AN194" s="350">
        <f t="shared" si="124"/>
        <v>12997804.522730887</v>
      </c>
      <c r="AO194" s="350">
        <f t="shared" si="124"/>
        <v>13346222.05673271</v>
      </c>
      <c r="AP194" s="350">
        <f t="shared" si="124"/>
        <v>13696504.09383134</v>
      </c>
      <c r="AQ194" s="350">
        <f t="shared" si="124"/>
        <v>14069594.504966656</v>
      </c>
      <c r="AR194" s="350">
        <f t="shared" si="124"/>
        <v>14451099.4391382</v>
      </c>
      <c r="AS194" s="350">
        <f t="shared" si="124"/>
        <v>14802597.324379992</v>
      </c>
      <c r="AT194" s="350">
        <f t="shared" si="124"/>
        <v>15205351.524123557</v>
      </c>
      <c r="AU194" s="350">
        <f t="shared" si="124"/>
        <v>15605364.677726179</v>
      </c>
      <c r="AV194" s="350">
        <f t="shared" si="124"/>
        <v>16031390.570609279</v>
      </c>
      <c r="AW194" s="350">
        <f t="shared" si="124"/>
        <v>16454566.857348636</v>
      </c>
      <c r="AX194" s="350">
        <f t="shared" si="124"/>
        <v>16905210.558187205</v>
      </c>
      <c r="AY194" s="350">
        <f t="shared" si="124"/>
        <v>17368918.121024478</v>
      </c>
      <c r="AZ194" s="350">
        <f t="shared" si="124"/>
        <v>17829600.296687756</v>
      </c>
      <c r="BA194" s="350">
        <f t="shared" si="124"/>
        <v>18320105.304944366</v>
      </c>
      <c r="BB194" s="350">
        <f t="shared" si="124"/>
        <v>18807459.918760326</v>
      </c>
      <c r="BC194" s="350">
        <f t="shared" si="124"/>
        <v>19326312.428897221</v>
      </c>
      <c r="BD194" s="350">
        <f t="shared" si="124"/>
        <v>19857733.618087996</v>
      </c>
      <c r="BE194" s="350">
        <f t="shared" si="124"/>
        <v>20348129.349115785</v>
      </c>
      <c r="BF194" s="350">
        <f t="shared" si="124"/>
        <v>20909172.333105505</v>
      </c>
      <c r="BG194" s="350">
        <f t="shared" si="124"/>
        <v>21466655.004207533</v>
      </c>
      <c r="BH194" s="350">
        <f t="shared" si="124"/>
        <v>22060123.305078276</v>
      </c>
      <c r="BI194" s="350">
        <f t="shared" si="124"/>
        <v>22649880.032365758</v>
      </c>
      <c r="BJ194" s="350">
        <f t="shared" si="124"/>
        <v>23277649.242030982</v>
      </c>
      <c r="BK194" s="350">
        <f t="shared" si="124"/>
        <v>23923617.064717628</v>
      </c>
      <c r="BL194" s="350">
        <f t="shared" si="124"/>
        <v>24565628.40906908</v>
      </c>
      <c r="BM194" s="350">
        <f t="shared" si="124"/>
        <v>25248933.893558346</v>
      </c>
      <c r="BN194" s="350">
        <f t="shared" si="124"/>
        <v>25928108.723444041</v>
      </c>
      <c r="BO194" s="350">
        <f t="shared" si="124"/>
        <v>16623394.379482642</v>
      </c>
      <c r="BP194" s="350">
        <f t="shared" si="124"/>
        <v>17105295.557108078</v>
      </c>
      <c r="BQ194" s="350">
        <f t="shared" si="124"/>
        <v>17568745.646069318</v>
      </c>
      <c r="BR194" s="350">
        <f t="shared" si="124"/>
        <v>18078051.929910611</v>
      </c>
      <c r="BS194" s="350">
        <f t="shared" si="124"/>
        <v>18584982.353462376</v>
      </c>
      <c r="BT194" s="350">
        <f t="shared" si="124"/>
        <v>19123748.665433865</v>
      </c>
      <c r="BU194" s="350">
        <f t="shared" si="124"/>
        <v>19660001.689180646</v>
      </c>
      <c r="BV194" s="350">
        <f t="shared" si="124"/>
        <v>20229932.098690011</v>
      </c>
      <c r="BW194" s="350">
        <f t="shared" si="124"/>
        <v>20816384.412765756</v>
      </c>
      <c r="BX194" s="350">
        <f t="shared" si="124"/>
        <v>21400100.988428447</v>
      </c>
      <c r="BY194" s="350">
        <f t="shared" si="124"/>
        <v>22020475.722505342</v>
      </c>
      <c r="BZ194" s="350">
        <f t="shared" si="124"/>
        <v>22637956.473644894</v>
      </c>
      <c r="CA194" s="350">
        <f t="shared" si="124"/>
        <v>23294215.81723284</v>
      </c>
      <c r="CB194" s="350">
        <f t="shared" si="124"/>
        <v>23969499.683928598</v>
      </c>
      <c r="CC194" s="350">
        <f t="shared" si="124"/>
        <v>24596243.904497031</v>
      </c>
      <c r="CD194" s="350">
        <f t="shared" si="124"/>
        <v>25309272.701874841</v>
      </c>
      <c r="CE194" s="350">
        <f t="shared" si="124"/>
        <v>26018975.294847313</v>
      </c>
      <c r="CF194" s="350">
        <f t="shared" si="124"/>
        <v>26773248.131607398</v>
      </c>
      <c r="CG194" s="350">
        <f t="shared" si="124"/>
        <v>27524002.36485289</v>
      </c>
      <c r="CH194" s="350">
        <f t="shared" si="124"/>
        <v>28321904.938166</v>
      </c>
      <c r="CI194" s="350">
        <f t="shared" si="124"/>
        <v>29142938.177872039</v>
      </c>
      <c r="CJ194" s="350">
        <f t="shared" si="124"/>
        <v>29960141.383799806</v>
      </c>
      <c r="CK194" s="350">
        <f t="shared" si="124"/>
        <v>30828666.011507459</v>
      </c>
      <c r="CL194" s="350">
        <f t="shared" si="124"/>
        <v>31693139.06310283</v>
      </c>
      <c r="CM194" s="350">
        <f t="shared" si="124"/>
        <v>32611902.144125953</v>
      </c>
      <c r="CN194" s="350">
        <f t="shared" si="124"/>
        <v>33557299.557500012</v>
      </c>
      <c r="CO194" s="350">
        <f t="shared" si="124"/>
        <v>34434741.466295823</v>
      </c>
      <c r="CP194" s="350">
        <f t="shared" si="124"/>
        <v>35432981.782624759</v>
      </c>
      <c r="CQ194" s="350">
        <f t="shared" si="124"/>
        <v>36426565.412786216</v>
      </c>
      <c r="CR194" s="350">
        <f t="shared" si="124"/>
        <v>37482547.384250335</v>
      </c>
      <c r="CS194" s="350">
        <f t="shared" si="124"/>
        <v>38533603.310794026</v>
      </c>
      <c r="CT194" s="350">
        <f t="shared" si="124"/>
        <v>39650666.913432375</v>
      </c>
      <c r="CU194" s="350">
        <f t="shared" si="124"/>
        <v>40800113.449020833</v>
      </c>
      <c r="CV194" s="350">
        <f t="shared" si="124"/>
        <v>41944197.937319703</v>
      </c>
      <c r="CW194" s="350">
        <f t="shared" si="124"/>
        <v>43160132.416110419</v>
      </c>
      <c r="CX194" s="350">
        <f t="shared" si="124"/>
        <v>44370394.688343935</v>
      </c>
      <c r="CY194" s="350">
        <f t="shared" si="124"/>
        <v>45656663.001776308</v>
      </c>
      <c r="CZ194" s="350">
        <f t="shared" si="124"/>
        <v>46980219.380499989</v>
      </c>
      <c r="DA194" s="350">
        <f t="shared" si="124"/>
        <v>48208638.052814119</v>
      </c>
      <c r="DB194" s="350">
        <f t="shared" si="124"/>
        <v>49606174.495674625</v>
      </c>
      <c r="DC194" s="350">
        <f t="shared" si="124"/>
        <v>50997191.577900663</v>
      </c>
      <c r="DD194" s="350">
        <f t="shared" si="124"/>
        <v>52475566.337950431</v>
      </c>
      <c r="DE194" s="350">
        <f t="shared" si="124"/>
        <v>53947044.635111593</v>
      </c>
      <c r="DF194" s="350">
        <f t="shared" si="124"/>
        <v>55510933.678805284</v>
      </c>
      <c r="DG194" s="350">
        <f t="shared" si="124"/>
        <v>57120158.828629121</v>
      </c>
      <c r="DH194" s="350">
        <f t="shared" si="124"/>
        <v>58721877.112247542</v>
      </c>
      <c r="DI194" s="350">
        <f t="shared" si="124"/>
        <v>60424185.382554539</v>
      </c>
      <c r="DJ194" s="350">
        <f t="shared" si="124"/>
        <v>62118552.563681461</v>
      </c>
      <c r="DK194" s="350">
        <f t="shared" si="124"/>
        <v>63919328.202486783</v>
      </c>
      <c r="DL194" s="350">
        <f t="shared" si="124"/>
        <v>65772307.132699937</v>
      </c>
      <c r="DM194" s="350">
        <f t="shared" si="124"/>
        <v>67554338.988862112</v>
      </c>
      <c r="DN194" s="350">
        <f t="shared" si="124"/>
        <v>69512694.470858067</v>
      </c>
      <c r="DO194" s="350">
        <f t="shared" si="124"/>
        <v>71461914.430340216</v>
      </c>
      <c r="DP194" s="350">
        <f t="shared" si="124"/>
        <v>73533547.932692394</v>
      </c>
      <c r="DQ194" s="350">
        <f t="shared" si="124"/>
        <v>75595517.482470542</v>
      </c>
      <c r="DR194" s="350">
        <f t="shared" si="124"/>
        <v>77786981.395699352</v>
      </c>
      <c r="DS194" s="350">
        <f t="shared" si="124"/>
        <v>80041974.394288242</v>
      </c>
      <c r="DT194" s="350">
        <f t="shared" si="124"/>
        <v>82286448.087522998</v>
      </c>
      <c r="DU194" s="350">
        <f t="shared" si="124"/>
        <v>84671877.641244844</v>
      </c>
      <c r="DV194" s="350">
        <f t="shared" si="124"/>
        <v>87046179.416790843</v>
      </c>
      <c r="DW194" s="6"/>
      <c r="DX194" s="6"/>
      <c r="DY194" s="6"/>
      <c r="DZ194" s="6"/>
    </row>
    <row r="195" spans="1:130" ht="12.75" customHeight="1" outlineLevel="1" x14ac:dyDescent="0.25">
      <c r="A195" s="6"/>
      <c r="B195" s="6" t="s">
        <v>459</v>
      </c>
      <c r="C195" s="6"/>
      <c r="D195" s="6"/>
      <c r="E195" s="6"/>
      <c r="F195" s="350">
        <f>IF(F194="","",IF(IRR_Type="XIRR()",F194*((1+$C193)^(1/12)-1),F194*$C193/12))</f>
        <v>0</v>
      </c>
      <c r="G195" s="350">
        <f t="shared" ref="G195:AL195" si="125">IF(G165="","",IF($D$5="Equity Multiple",F196*$C$193-F196,IF(IRR_Type="XIRR()",G194*((1+$C193)^((G117-F117)/365)-1),G194*$C193/12)))</f>
        <v>59299.447530292789</v>
      </c>
      <c r="H195" s="350">
        <f t="shared" si="125"/>
        <v>68953.239275450949</v>
      </c>
      <c r="I195" s="350">
        <f t="shared" si="125"/>
        <v>94070.122822609686</v>
      </c>
      <c r="J195" s="350">
        <f t="shared" si="125"/>
        <v>108919.20590450845</v>
      </c>
      <c r="K195" s="350">
        <f t="shared" si="125"/>
        <v>131729.73672333764</v>
      </c>
      <c r="L195" s="350">
        <f t="shared" si="125"/>
        <v>146707.53400940256</v>
      </c>
      <c r="M195" s="350">
        <f t="shared" si="125"/>
        <v>172172.76068245262</v>
      </c>
      <c r="N195" s="350">
        <f t="shared" si="125"/>
        <v>182106.73504820815</v>
      </c>
      <c r="O195" s="350">
        <f t="shared" si="125"/>
        <v>181257.22626737508</v>
      </c>
      <c r="P195" s="350">
        <f t="shared" si="125"/>
        <v>192640.4152862675</v>
      </c>
      <c r="Q195" s="350">
        <f t="shared" si="125"/>
        <v>191741.76799414126</v>
      </c>
      <c r="R195" s="350">
        <f t="shared" si="125"/>
        <v>203783.39983879001</v>
      </c>
      <c r="S195" s="350">
        <f t="shared" si="125"/>
        <v>209690.94544115118</v>
      </c>
      <c r="T195" s="350">
        <f t="shared" si="125"/>
        <v>201662.27399137826</v>
      </c>
      <c r="U195" s="350">
        <f t="shared" si="125"/>
        <v>221615.80244323352</v>
      </c>
      <c r="V195" s="350">
        <f t="shared" si="125"/>
        <v>220581.98801513421</v>
      </c>
      <c r="W195" s="350">
        <f t="shared" si="125"/>
        <v>234434.82310174988</v>
      </c>
      <c r="X195" s="350">
        <f t="shared" si="125"/>
        <v>233341.20928946958</v>
      </c>
      <c r="Y195" s="350">
        <f t="shared" si="125"/>
        <v>247995.34002917763</v>
      </c>
      <c r="Z195" s="350">
        <f t="shared" si="125"/>
        <v>255184.5604541701</v>
      </c>
      <c r="AA195" s="350">
        <f t="shared" si="125"/>
        <v>253994.15129779559</v>
      </c>
      <c r="AB195" s="350">
        <f t="shared" si="125"/>
        <v>269945.31359601492</v>
      </c>
      <c r="AC195" s="350">
        <f t="shared" si="125"/>
        <v>268686.04707748751</v>
      </c>
      <c r="AD195" s="350">
        <f t="shared" si="125"/>
        <v>285559.87949567992</v>
      </c>
      <c r="AE195" s="350">
        <f t="shared" si="125"/>
        <v>293838.07100519451</v>
      </c>
      <c r="AF195" s="350">
        <f t="shared" si="125"/>
        <v>272716.88525094773</v>
      </c>
      <c r="AG195" s="350">
        <f t="shared" si="125"/>
        <v>310262.1234205268</v>
      </c>
      <c r="AH195" s="350">
        <f t="shared" si="125"/>
        <v>308814.78322118777</v>
      </c>
      <c r="AI195" s="350">
        <f t="shared" si="125"/>
        <v>328208.75234244968</v>
      </c>
      <c r="AJ195" s="350">
        <f t="shared" si="125"/>
        <v>326677.69300525729</v>
      </c>
      <c r="AK195" s="350">
        <f t="shared" si="125"/>
        <v>347193.47604084859</v>
      </c>
      <c r="AL195" s="350">
        <f t="shared" si="125"/>
        <v>357116.20078996691</v>
      </c>
      <c r="AM195" s="350">
        <f t="shared" ref="AM195:BR195" si="126">IF(AM165="","",IF($D$5="Equity Multiple",AL196*$C$193-AL196,IF(IRR_Type="XIRR()",AM194*((1+$C193)^((AM117-AL117)/365)-1),AM194*$C193/12)))</f>
        <v>355091.83292542974</v>
      </c>
      <c r="AN195" s="350">
        <f t="shared" si="126"/>
        <v>376797.73234401026</v>
      </c>
      <c r="AO195" s="350">
        <f t="shared" si="126"/>
        <v>374244.19546231924</v>
      </c>
      <c r="AP195" s="350">
        <f t="shared" si="126"/>
        <v>397052.5694990062</v>
      </c>
      <c r="AQ195" s="350">
        <f t="shared" si="126"/>
        <v>407868.21306628961</v>
      </c>
      <c r="AR195" s="350">
        <f t="shared" si="126"/>
        <v>377861.16413653694</v>
      </c>
      <c r="AS195" s="350">
        <f t="shared" si="126"/>
        <v>429117.47863830958</v>
      </c>
      <c r="AT195" s="350">
        <f t="shared" si="126"/>
        <v>426376.43249736738</v>
      </c>
      <c r="AU195" s="350">
        <f t="shared" si="126"/>
        <v>452389.17177784402</v>
      </c>
      <c r="AV195" s="350">
        <f t="shared" si="126"/>
        <v>449539.56563410099</v>
      </c>
      <c r="AW195" s="350">
        <f t="shared" si="126"/>
        <v>477006.97973331437</v>
      </c>
      <c r="AX195" s="350">
        <f t="shared" si="126"/>
        <v>490070.84173201822</v>
      </c>
      <c r="AY195" s="350">
        <f t="shared" si="126"/>
        <v>487045.4545580236</v>
      </c>
      <c r="AZ195" s="350">
        <f t="shared" si="126"/>
        <v>516868.28715135425</v>
      </c>
      <c r="BA195" s="350">
        <f t="shared" si="126"/>
        <v>513717.89271070587</v>
      </c>
      <c r="BB195" s="350">
        <f t="shared" si="126"/>
        <v>545215.78903164121</v>
      </c>
      <c r="BC195" s="350">
        <f t="shared" si="126"/>
        <v>560256.97917253617</v>
      </c>
      <c r="BD195" s="350">
        <f t="shared" si="126"/>
        <v>519231.52100954956</v>
      </c>
      <c r="BE195" s="350">
        <f t="shared" si="126"/>
        <v>589878.77397147822</v>
      </c>
      <c r="BF195" s="350">
        <f t="shared" si="126"/>
        <v>586318.46108378971</v>
      </c>
      <c r="BG195" s="350">
        <f t="shared" si="126"/>
        <v>622304.0908525032</v>
      </c>
      <c r="BH195" s="350">
        <f t="shared" si="126"/>
        <v>618592.51726924279</v>
      </c>
      <c r="BI195" s="350">
        <f t="shared" si="126"/>
        <v>656604.99964698509</v>
      </c>
      <c r="BJ195" s="350">
        <f t="shared" si="126"/>
        <v>674803.61266840564</v>
      </c>
      <c r="BK195" s="350">
        <f t="shared" si="126"/>
        <v>670847.13433321309</v>
      </c>
      <c r="BL195" s="350">
        <f t="shared" si="126"/>
        <v>712141.27447102498</v>
      </c>
      <c r="BM195" s="350">
        <f t="shared" si="126"/>
        <v>708010.61986745498</v>
      </c>
      <c r="BN195" s="350">
        <f t="shared" si="126"/>
        <v>751638.67512219097</v>
      </c>
      <c r="BO195" s="350">
        <f t="shared" si="126"/>
        <v>481901.17762543546</v>
      </c>
      <c r="BP195" s="350">
        <f t="shared" si="126"/>
        <v>463450.08896124177</v>
      </c>
      <c r="BQ195" s="350">
        <f t="shared" si="126"/>
        <v>509306.28384129331</v>
      </c>
      <c r="BR195" s="350">
        <f t="shared" si="126"/>
        <v>506930.42355176521</v>
      </c>
      <c r="BS195" s="350">
        <f t="shared" ref="BS195:CX195" si="127">IF(BS165="","",IF($D$5="Equity Multiple",BR196*$C$193-BR196,IF(IRR_Type="XIRR()",BS194*((1+$C193)^((BS117-BR117)/365)-1),BS194*$C193/12)))</f>
        <v>538766.31197148981</v>
      </c>
      <c r="BT195" s="350">
        <f t="shared" si="127"/>
        <v>536253.02374678093</v>
      </c>
      <c r="BU195" s="350">
        <f t="shared" si="127"/>
        <v>569930.40950936405</v>
      </c>
      <c r="BV195" s="350">
        <f t="shared" si="127"/>
        <v>586452.31407574413</v>
      </c>
      <c r="BW195" s="350">
        <f t="shared" si="127"/>
        <v>583716.5756626901</v>
      </c>
      <c r="BX195" s="350">
        <f t="shared" si="127"/>
        <v>620374.7340768961</v>
      </c>
      <c r="BY195" s="350">
        <f t="shared" si="127"/>
        <v>617480.75113955</v>
      </c>
      <c r="BZ195" s="350">
        <f t="shared" si="127"/>
        <v>656259.34358794568</v>
      </c>
      <c r="CA195" s="350">
        <f t="shared" si="127"/>
        <v>675283.86669575691</v>
      </c>
      <c r="CB195" s="350">
        <f t="shared" si="127"/>
        <v>626744.22056843468</v>
      </c>
      <c r="CC195" s="350">
        <f t="shared" si="127"/>
        <v>713028.79737781023</v>
      </c>
      <c r="CD195" s="350">
        <f t="shared" si="127"/>
        <v>709702.59297247091</v>
      </c>
      <c r="CE195" s="350">
        <f t="shared" si="127"/>
        <v>754272.83676008543</v>
      </c>
      <c r="CF195" s="350">
        <f t="shared" si="127"/>
        <v>750754.23324549303</v>
      </c>
      <c r="CG195" s="350">
        <f t="shared" si="127"/>
        <v>797902.57331310934</v>
      </c>
      <c r="CH195" s="350">
        <f t="shared" si="127"/>
        <v>821033.23970604129</v>
      </c>
      <c r="CI195" s="350">
        <f t="shared" si="127"/>
        <v>817203.2059277657</v>
      </c>
      <c r="CJ195" s="350">
        <f t="shared" si="127"/>
        <v>868524.62770765403</v>
      </c>
      <c r="CK195" s="350">
        <f t="shared" si="127"/>
        <v>864473.05159536947</v>
      </c>
      <c r="CL195" s="350">
        <f t="shared" si="127"/>
        <v>918763.08102312335</v>
      </c>
      <c r="CM195" s="350">
        <f t="shared" si="127"/>
        <v>945397.41337405902</v>
      </c>
      <c r="CN195" s="350">
        <f t="shared" si="127"/>
        <v>877441.90879580786</v>
      </c>
      <c r="CO195" s="350">
        <f t="shared" si="127"/>
        <v>998240.3163289337</v>
      </c>
      <c r="CP195" s="350">
        <f t="shared" si="127"/>
        <v>993583.63016145874</v>
      </c>
      <c r="CQ195" s="350">
        <f t="shared" si="127"/>
        <v>1055981.9714641189</v>
      </c>
      <c r="CR195" s="350">
        <f t="shared" si="127"/>
        <v>1051055.9265436896</v>
      </c>
      <c r="CS195" s="350">
        <f t="shared" si="127"/>
        <v>1117063.6026383524</v>
      </c>
      <c r="CT195" s="350">
        <f t="shared" si="127"/>
        <v>1149446.535588457</v>
      </c>
      <c r="CU195" s="350">
        <f t="shared" si="127"/>
        <v>1144084.4882988713</v>
      </c>
      <c r="CV195" s="350">
        <f t="shared" si="127"/>
        <v>1215934.4787907149</v>
      </c>
      <c r="CW195" s="350">
        <f t="shared" si="127"/>
        <v>1210262.2722335167</v>
      </c>
      <c r="CX195" s="350">
        <f t="shared" si="127"/>
        <v>1286268.3134323719</v>
      </c>
      <c r="CY195" s="350">
        <f t="shared" ref="CY195:DV195" si="128">IF(CY165="","",IF($D$5="Equity Multiple",CX196*$C$193-CX196,IF(IRR_Type="XIRR()",CY194*((1+$C193)^((CY117-CX117)/365)-1),CY194*$C193/12)))</f>
        <v>1323556.3787236819</v>
      </c>
      <c r="CZ195" s="350">
        <f t="shared" si="128"/>
        <v>1228418.6723141302</v>
      </c>
      <c r="DA195" s="350">
        <f t="shared" si="128"/>
        <v>1397536.4428605062</v>
      </c>
      <c r="DB195" s="350">
        <f t="shared" si="128"/>
        <v>1391017.0822260412</v>
      </c>
      <c r="DC195" s="350">
        <f t="shared" si="128"/>
        <v>1478374.7600497652</v>
      </c>
      <c r="DD195" s="350">
        <f t="shared" si="128"/>
        <v>1471478.2971611642</v>
      </c>
      <c r="DE195" s="350">
        <f t="shared" si="128"/>
        <v>1563889.0436936922</v>
      </c>
      <c r="DF195" s="350">
        <f t="shared" si="128"/>
        <v>1609225.1498238386</v>
      </c>
      <c r="DG195" s="350">
        <f t="shared" si="128"/>
        <v>1601718.2836184185</v>
      </c>
      <c r="DH195" s="350">
        <f t="shared" si="128"/>
        <v>1702308.2703069996</v>
      </c>
      <c r="DI195" s="350">
        <f t="shared" si="128"/>
        <v>1694367.1811269219</v>
      </c>
      <c r="DJ195" s="350">
        <f t="shared" si="128"/>
        <v>1800775.6388053193</v>
      </c>
      <c r="DK195" s="350">
        <f t="shared" si="128"/>
        <v>1852978.9302131531</v>
      </c>
      <c r="DL195" s="350">
        <f t="shared" si="128"/>
        <v>1782031.8561621744</v>
      </c>
      <c r="DM195" s="350">
        <f t="shared" si="128"/>
        <v>1958355.4819959516</v>
      </c>
      <c r="DN195" s="350">
        <f t="shared" si="128"/>
        <v>1949219.9594821481</v>
      </c>
      <c r="DO195" s="350">
        <f t="shared" si="128"/>
        <v>2071633.5023521727</v>
      </c>
      <c r="DP195" s="350">
        <f t="shared" si="128"/>
        <v>2061969.5497781492</v>
      </c>
      <c r="DQ195" s="350">
        <f t="shared" si="128"/>
        <v>2191463.9132288047</v>
      </c>
      <c r="DR195" s="350">
        <f t="shared" si="128"/>
        <v>2254992.9985888954</v>
      </c>
      <c r="DS195" s="350">
        <f t="shared" si="128"/>
        <v>2244473.693234751</v>
      </c>
      <c r="DT195" s="350">
        <f t="shared" si="128"/>
        <v>2385429.5537218503</v>
      </c>
      <c r="DU195" s="350">
        <f t="shared" si="128"/>
        <v>2374301.7755459961</v>
      </c>
      <c r="DV195" s="350">
        <f t="shared" si="128"/>
        <v>2523411.0080742701</v>
      </c>
      <c r="DW195" s="6"/>
      <c r="DX195" s="6"/>
      <c r="DY195" s="6"/>
      <c r="DZ195" s="6"/>
    </row>
    <row r="196" spans="1:130" ht="12.75" customHeight="1" outlineLevel="1" x14ac:dyDescent="0.25">
      <c r="A196" s="6"/>
      <c r="B196" s="6" t="s">
        <v>438</v>
      </c>
      <c r="C196" s="6"/>
      <c r="D196" s="6"/>
      <c r="E196" s="6"/>
      <c r="F196" s="350">
        <f t="shared" ref="F196:AK196" si="129">IF(F194="","",-MIN(0,F$160*Equity_Share_LP_Monthly))</f>
        <v>2045560.6845345572</v>
      </c>
      <c r="G196" s="350">
        <f t="shared" si="129"/>
        <v>532219.86449222511</v>
      </c>
      <c r="H196" s="350">
        <f t="shared" si="129"/>
        <v>538957.28009036742</v>
      </c>
      <c r="I196" s="350">
        <f t="shared" si="129"/>
        <v>545194.41683070059</v>
      </c>
      <c r="J196" s="350">
        <f t="shared" si="129"/>
        <v>550901.30157904211</v>
      </c>
      <c r="K196" s="350">
        <f t="shared" si="129"/>
        <v>556049.59609943768</v>
      </c>
      <c r="L196" s="350">
        <f t="shared" si="129"/>
        <v>560613.14202023717</v>
      </c>
      <c r="M196" s="350">
        <f t="shared" si="129"/>
        <v>170504.08117822444</v>
      </c>
      <c r="N196" s="350">
        <f t="shared" si="129"/>
        <v>0</v>
      </c>
      <c r="O196" s="350">
        <f t="shared" si="129"/>
        <v>0</v>
      </c>
      <c r="P196" s="350">
        <f t="shared" si="129"/>
        <v>0</v>
      </c>
      <c r="Q196" s="350">
        <f t="shared" si="129"/>
        <v>0</v>
      </c>
      <c r="R196" s="350">
        <f t="shared" si="129"/>
        <v>0</v>
      </c>
      <c r="S196" s="350">
        <f t="shared" si="129"/>
        <v>0</v>
      </c>
      <c r="T196" s="350">
        <f t="shared" si="129"/>
        <v>0</v>
      </c>
      <c r="U196" s="350">
        <f t="shared" si="129"/>
        <v>0</v>
      </c>
      <c r="V196" s="350">
        <f t="shared" si="129"/>
        <v>0</v>
      </c>
      <c r="W196" s="350">
        <f t="shared" si="129"/>
        <v>0</v>
      </c>
      <c r="X196" s="350">
        <f t="shared" si="129"/>
        <v>0</v>
      </c>
      <c r="Y196" s="350">
        <f t="shared" si="129"/>
        <v>0</v>
      </c>
      <c r="Z196" s="350">
        <f t="shared" si="129"/>
        <v>0</v>
      </c>
      <c r="AA196" s="350">
        <f t="shared" si="129"/>
        <v>0</v>
      </c>
      <c r="AB196" s="350">
        <f t="shared" si="129"/>
        <v>0</v>
      </c>
      <c r="AC196" s="350">
        <f t="shared" si="129"/>
        <v>0</v>
      </c>
      <c r="AD196" s="350">
        <f t="shared" si="129"/>
        <v>0</v>
      </c>
      <c r="AE196" s="350">
        <f t="shared" si="129"/>
        <v>0</v>
      </c>
      <c r="AF196" s="350">
        <f t="shared" si="129"/>
        <v>0</v>
      </c>
      <c r="AG196" s="350">
        <f t="shared" si="129"/>
        <v>0</v>
      </c>
      <c r="AH196" s="350">
        <f t="shared" si="129"/>
        <v>0</v>
      </c>
      <c r="AI196" s="350">
        <f t="shared" si="129"/>
        <v>0</v>
      </c>
      <c r="AJ196" s="350">
        <f t="shared" si="129"/>
        <v>0</v>
      </c>
      <c r="AK196" s="350">
        <f t="shared" si="129"/>
        <v>0</v>
      </c>
      <c r="AL196" s="350">
        <f t="shared" ref="AL196:BQ196" si="130">IF(AL194="","",-MIN(0,AL$160*Equity_Share_LP_Monthly))</f>
        <v>0</v>
      </c>
      <c r="AM196" s="350">
        <f t="shared" si="130"/>
        <v>0</v>
      </c>
      <c r="AN196" s="350">
        <f t="shared" si="130"/>
        <v>0</v>
      </c>
      <c r="AO196" s="350">
        <f t="shared" si="130"/>
        <v>0</v>
      </c>
      <c r="AP196" s="350">
        <f t="shared" si="130"/>
        <v>0</v>
      </c>
      <c r="AQ196" s="350">
        <f t="shared" si="130"/>
        <v>0</v>
      </c>
      <c r="AR196" s="350">
        <f t="shared" si="130"/>
        <v>0</v>
      </c>
      <c r="AS196" s="350">
        <f t="shared" si="130"/>
        <v>0</v>
      </c>
      <c r="AT196" s="350">
        <f t="shared" si="130"/>
        <v>0</v>
      </c>
      <c r="AU196" s="350">
        <f t="shared" si="130"/>
        <v>0</v>
      </c>
      <c r="AV196" s="350">
        <f t="shared" si="130"/>
        <v>0</v>
      </c>
      <c r="AW196" s="350">
        <f t="shared" si="130"/>
        <v>0</v>
      </c>
      <c r="AX196" s="350">
        <f t="shared" si="130"/>
        <v>0</v>
      </c>
      <c r="AY196" s="350">
        <f t="shared" si="130"/>
        <v>0</v>
      </c>
      <c r="AZ196" s="350">
        <f t="shared" si="130"/>
        <v>0</v>
      </c>
      <c r="BA196" s="350">
        <f t="shared" si="130"/>
        <v>0</v>
      </c>
      <c r="BB196" s="350">
        <f t="shared" si="130"/>
        <v>0</v>
      </c>
      <c r="BC196" s="350">
        <f t="shared" si="130"/>
        <v>0</v>
      </c>
      <c r="BD196" s="350">
        <f t="shared" si="130"/>
        <v>0</v>
      </c>
      <c r="BE196" s="350">
        <f t="shared" si="130"/>
        <v>0</v>
      </c>
      <c r="BF196" s="350">
        <f t="shared" si="130"/>
        <v>0</v>
      </c>
      <c r="BG196" s="350">
        <f t="shared" si="130"/>
        <v>0</v>
      </c>
      <c r="BH196" s="350">
        <f t="shared" si="130"/>
        <v>0</v>
      </c>
      <c r="BI196" s="350">
        <f t="shared" si="130"/>
        <v>0</v>
      </c>
      <c r="BJ196" s="350">
        <f t="shared" si="130"/>
        <v>0</v>
      </c>
      <c r="BK196" s="350">
        <f t="shared" si="130"/>
        <v>0</v>
      </c>
      <c r="BL196" s="350">
        <f t="shared" si="130"/>
        <v>0</v>
      </c>
      <c r="BM196" s="350">
        <f t="shared" si="130"/>
        <v>0</v>
      </c>
      <c r="BN196" s="350">
        <f t="shared" si="130"/>
        <v>0</v>
      </c>
      <c r="BO196" s="350">
        <f t="shared" si="130"/>
        <v>0</v>
      </c>
      <c r="BP196" s="350">
        <f t="shared" si="130"/>
        <v>0</v>
      </c>
      <c r="BQ196" s="350">
        <f t="shared" si="130"/>
        <v>0</v>
      </c>
      <c r="BR196" s="350">
        <f t="shared" ref="BR196:CW196" si="131">IF(BR194="","",-MIN(0,BR$160*Equity_Share_LP_Monthly))</f>
        <v>0</v>
      </c>
      <c r="BS196" s="350">
        <f t="shared" si="131"/>
        <v>0</v>
      </c>
      <c r="BT196" s="350">
        <f t="shared" si="131"/>
        <v>0</v>
      </c>
      <c r="BU196" s="350">
        <f t="shared" si="131"/>
        <v>0</v>
      </c>
      <c r="BV196" s="350">
        <f t="shared" si="131"/>
        <v>0</v>
      </c>
      <c r="BW196" s="350">
        <f t="shared" si="131"/>
        <v>0</v>
      </c>
      <c r="BX196" s="350">
        <f t="shared" si="131"/>
        <v>0</v>
      </c>
      <c r="BY196" s="350">
        <f t="shared" si="131"/>
        <v>0</v>
      </c>
      <c r="BZ196" s="350">
        <f t="shared" si="131"/>
        <v>0</v>
      </c>
      <c r="CA196" s="350">
        <f t="shared" si="131"/>
        <v>0</v>
      </c>
      <c r="CB196" s="350">
        <f t="shared" si="131"/>
        <v>0</v>
      </c>
      <c r="CC196" s="350">
        <f t="shared" si="131"/>
        <v>0</v>
      </c>
      <c r="CD196" s="350">
        <f t="shared" si="131"/>
        <v>0</v>
      </c>
      <c r="CE196" s="350">
        <f t="shared" si="131"/>
        <v>0</v>
      </c>
      <c r="CF196" s="350">
        <f t="shared" si="131"/>
        <v>0</v>
      </c>
      <c r="CG196" s="350">
        <f t="shared" si="131"/>
        <v>0</v>
      </c>
      <c r="CH196" s="350">
        <f t="shared" si="131"/>
        <v>0</v>
      </c>
      <c r="CI196" s="350">
        <f t="shared" si="131"/>
        <v>0</v>
      </c>
      <c r="CJ196" s="350">
        <f t="shared" si="131"/>
        <v>0</v>
      </c>
      <c r="CK196" s="350">
        <f t="shared" si="131"/>
        <v>0</v>
      </c>
      <c r="CL196" s="350">
        <f t="shared" si="131"/>
        <v>0</v>
      </c>
      <c r="CM196" s="350">
        <f t="shared" si="131"/>
        <v>0</v>
      </c>
      <c r="CN196" s="350">
        <f t="shared" si="131"/>
        <v>0</v>
      </c>
      <c r="CO196" s="350">
        <f t="shared" si="131"/>
        <v>0</v>
      </c>
      <c r="CP196" s="350">
        <f t="shared" si="131"/>
        <v>0</v>
      </c>
      <c r="CQ196" s="350">
        <f t="shared" si="131"/>
        <v>0</v>
      </c>
      <c r="CR196" s="350">
        <f t="shared" si="131"/>
        <v>0</v>
      </c>
      <c r="CS196" s="350">
        <f t="shared" si="131"/>
        <v>0</v>
      </c>
      <c r="CT196" s="350">
        <f t="shared" si="131"/>
        <v>0</v>
      </c>
      <c r="CU196" s="350">
        <f t="shared" si="131"/>
        <v>0</v>
      </c>
      <c r="CV196" s="350">
        <f t="shared" si="131"/>
        <v>0</v>
      </c>
      <c r="CW196" s="350">
        <f t="shared" si="131"/>
        <v>0</v>
      </c>
      <c r="CX196" s="350">
        <f t="shared" ref="CX196:DV196" si="132">IF(CX194="","",-MIN(0,CX$160*Equity_Share_LP_Monthly))</f>
        <v>0</v>
      </c>
      <c r="CY196" s="350">
        <f t="shared" si="132"/>
        <v>0</v>
      </c>
      <c r="CZ196" s="350">
        <f t="shared" si="132"/>
        <v>0</v>
      </c>
      <c r="DA196" s="350">
        <f t="shared" si="132"/>
        <v>0</v>
      </c>
      <c r="DB196" s="350">
        <f t="shared" si="132"/>
        <v>0</v>
      </c>
      <c r="DC196" s="350">
        <f t="shared" si="132"/>
        <v>0</v>
      </c>
      <c r="DD196" s="350">
        <f t="shared" si="132"/>
        <v>0</v>
      </c>
      <c r="DE196" s="350">
        <f t="shared" si="132"/>
        <v>0</v>
      </c>
      <c r="DF196" s="350">
        <f t="shared" si="132"/>
        <v>0</v>
      </c>
      <c r="DG196" s="350">
        <f t="shared" si="132"/>
        <v>0</v>
      </c>
      <c r="DH196" s="350">
        <f t="shared" si="132"/>
        <v>0</v>
      </c>
      <c r="DI196" s="350">
        <f t="shared" si="132"/>
        <v>0</v>
      </c>
      <c r="DJ196" s="350">
        <f t="shared" si="132"/>
        <v>0</v>
      </c>
      <c r="DK196" s="350">
        <f t="shared" si="132"/>
        <v>0</v>
      </c>
      <c r="DL196" s="350">
        <f t="shared" si="132"/>
        <v>0</v>
      </c>
      <c r="DM196" s="350">
        <f t="shared" si="132"/>
        <v>0</v>
      </c>
      <c r="DN196" s="350">
        <f t="shared" si="132"/>
        <v>0</v>
      </c>
      <c r="DO196" s="350">
        <f t="shared" si="132"/>
        <v>0</v>
      </c>
      <c r="DP196" s="350">
        <f t="shared" si="132"/>
        <v>0</v>
      </c>
      <c r="DQ196" s="350">
        <f t="shared" si="132"/>
        <v>0</v>
      </c>
      <c r="DR196" s="350">
        <f t="shared" si="132"/>
        <v>0</v>
      </c>
      <c r="DS196" s="350">
        <f t="shared" si="132"/>
        <v>0</v>
      </c>
      <c r="DT196" s="350">
        <f t="shared" si="132"/>
        <v>0</v>
      </c>
      <c r="DU196" s="350">
        <f t="shared" si="132"/>
        <v>0</v>
      </c>
      <c r="DV196" s="350">
        <f t="shared" si="132"/>
        <v>0</v>
      </c>
      <c r="DW196" s="6"/>
      <c r="DX196" s="6"/>
      <c r="DY196" s="6"/>
      <c r="DZ196" s="6"/>
    </row>
    <row r="197" spans="1:130" ht="12.75" customHeight="1" outlineLevel="1" x14ac:dyDescent="0.25">
      <c r="A197" s="6"/>
      <c r="B197" s="6" t="s">
        <v>446</v>
      </c>
      <c r="C197" s="6"/>
      <c r="D197" s="6"/>
      <c r="E197" s="6"/>
      <c r="F197" s="350">
        <f t="shared" ref="F197:DV197" si="133">IF(F194="","",F187+F172)</f>
        <v>0</v>
      </c>
      <c r="G197" s="350">
        <f t="shared" si="133"/>
        <v>0</v>
      </c>
      <c r="H197" s="350">
        <f t="shared" si="133"/>
        <v>0</v>
      </c>
      <c r="I197" s="350">
        <f t="shared" si="133"/>
        <v>0</v>
      </c>
      <c r="J197" s="350">
        <f t="shared" si="133"/>
        <v>0</v>
      </c>
      <c r="K197" s="350">
        <f t="shared" si="133"/>
        <v>0</v>
      </c>
      <c r="L197" s="350">
        <f t="shared" si="133"/>
        <v>0</v>
      </c>
      <c r="M197" s="350">
        <f t="shared" si="133"/>
        <v>0</v>
      </c>
      <c r="N197" s="350">
        <f t="shared" si="133"/>
        <v>0</v>
      </c>
      <c r="O197" s="350">
        <f t="shared" si="133"/>
        <v>0</v>
      </c>
      <c r="P197" s="350">
        <f t="shared" si="133"/>
        <v>0</v>
      </c>
      <c r="Q197" s="350">
        <f t="shared" si="133"/>
        <v>0</v>
      </c>
      <c r="R197" s="350">
        <f t="shared" si="133"/>
        <v>0</v>
      </c>
      <c r="S197" s="350">
        <f t="shared" si="133"/>
        <v>0</v>
      </c>
      <c r="T197" s="350">
        <f t="shared" si="133"/>
        <v>0</v>
      </c>
      <c r="U197" s="350">
        <f t="shared" si="133"/>
        <v>0</v>
      </c>
      <c r="V197" s="350">
        <f t="shared" si="133"/>
        <v>0</v>
      </c>
      <c r="W197" s="350">
        <f t="shared" si="133"/>
        <v>0</v>
      </c>
      <c r="X197" s="350">
        <f t="shared" si="133"/>
        <v>0</v>
      </c>
      <c r="Y197" s="350">
        <f t="shared" si="133"/>
        <v>0</v>
      </c>
      <c r="Z197" s="350">
        <f t="shared" si="133"/>
        <v>0</v>
      </c>
      <c r="AA197" s="350">
        <f t="shared" si="133"/>
        <v>0</v>
      </c>
      <c r="AB197" s="350">
        <f t="shared" si="133"/>
        <v>0</v>
      </c>
      <c r="AC197" s="350">
        <f t="shared" si="133"/>
        <v>0</v>
      </c>
      <c r="AD197" s="350">
        <f t="shared" si="133"/>
        <v>0</v>
      </c>
      <c r="AE197" s="350">
        <f t="shared" si="133"/>
        <v>0</v>
      </c>
      <c r="AF197" s="350">
        <f t="shared" si="133"/>
        <v>0</v>
      </c>
      <c r="AG197" s="350">
        <f t="shared" si="133"/>
        <v>0</v>
      </c>
      <c r="AH197" s="350">
        <f t="shared" si="133"/>
        <v>0</v>
      </c>
      <c r="AI197" s="350">
        <f t="shared" si="133"/>
        <v>0</v>
      </c>
      <c r="AJ197" s="350">
        <f t="shared" si="133"/>
        <v>0</v>
      </c>
      <c r="AK197" s="350">
        <f t="shared" si="133"/>
        <v>4904.6946844035401</v>
      </c>
      <c r="AL197" s="350">
        <f t="shared" si="133"/>
        <v>12783.26924578376</v>
      </c>
      <c r="AM197" s="350">
        <f t="shared" si="133"/>
        <v>20501.6237808068</v>
      </c>
      <c r="AN197" s="350">
        <f t="shared" si="133"/>
        <v>28380.198342187021</v>
      </c>
      <c r="AO197" s="350">
        <f t="shared" si="133"/>
        <v>23962.15836369152</v>
      </c>
      <c r="AP197" s="350">
        <f t="shared" si="133"/>
        <v>23962.15836369152</v>
      </c>
      <c r="AQ197" s="350">
        <f t="shared" si="133"/>
        <v>26363.278894745075</v>
      </c>
      <c r="AR197" s="350">
        <f t="shared" si="133"/>
        <v>26363.278894745075</v>
      </c>
      <c r="AS197" s="350">
        <f t="shared" si="133"/>
        <v>26363.278894745075</v>
      </c>
      <c r="AT197" s="350">
        <f t="shared" si="133"/>
        <v>26363.278894745075</v>
      </c>
      <c r="AU197" s="350">
        <f t="shared" si="133"/>
        <v>26363.278894745075</v>
      </c>
      <c r="AV197" s="350">
        <f t="shared" si="133"/>
        <v>26363.278894745075</v>
      </c>
      <c r="AW197" s="350">
        <f t="shared" si="133"/>
        <v>26363.278894745075</v>
      </c>
      <c r="AX197" s="350">
        <f t="shared" si="133"/>
        <v>26363.278894745075</v>
      </c>
      <c r="AY197" s="350">
        <f t="shared" si="133"/>
        <v>26363.278894745075</v>
      </c>
      <c r="AZ197" s="350">
        <f t="shared" si="133"/>
        <v>26363.278894745075</v>
      </c>
      <c r="BA197" s="350">
        <f t="shared" si="133"/>
        <v>26363.278894745075</v>
      </c>
      <c r="BB197" s="350">
        <f t="shared" si="133"/>
        <v>26363.278894745075</v>
      </c>
      <c r="BC197" s="350">
        <f t="shared" si="133"/>
        <v>28835.789981760503</v>
      </c>
      <c r="BD197" s="350">
        <f t="shared" si="133"/>
        <v>28835.789981760503</v>
      </c>
      <c r="BE197" s="350">
        <f t="shared" si="133"/>
        <v>28835.789981760503</v>
      </c>
      <c r="BF197" s="350">
        <f t="shared" si="133"/>
        <v>28835.789981760503</v>
      </c>
      <c r="BG197" s="350">
        <f t="shared" si="133"/>
        <v>28835.789981760503</v>
      </c>
      <c r="BH197" s="350">
        <f t="shared" si="133"/>
        <v>28835.789981760503</v>
      </c>
      <c r="BI197" s="350">
        <f t="shared" si="133"/>
        <v>28835.789981760503</v>
      </c>
      <c r="BJ197" s="350">
        <f t="shared" si="133"/>
        <v>28835.789981760503</v>
      </c>
      <c r="BK197" s="350">
        <f t="shared" si="133"/>
        <v>28835.789981760503</v>
      </c>
      <c r="BL197" s="350">
        <f t="shared" si="133"/>
        <v>28835.789981760503</v>
      </c>
      <c r="BM197" s="350">
        <f t="shared" si="133"/>
        <v>28835.789981760503</v>
      </c>
      <c r="BN197" s="350">
        <f t="shared" si="133"/>
        <v>10056353.019083589</v>
      </c>
      <c r="BO197" s="350">
        <f t="shared" si="133"/>
        <v>0</v>
      </c>
      <c r="BP197" s="350">
        <f t="shared" si="133"/>
        <v>0</v>
      </c>
      <c r="BQ197" s="350">
        <f t="shared" si="133"/>
        <v>0</v>
      </c>
      <c r="BR197" s="350">
        <f t="shared" si="133"/>
        <v>0</v>
      </c>
      <c r="BS197" s="350">
        <f t="shared" si="133"/>
        <v>0</v>
      </c>
      <c r="BT197" s="350">
        <f t="shared" si="133"/>
        <v>0</v>
      </c>
      <c r="BU197" s="350">
        <f t="shared" si="133"/>
        <v>0</v>
      </c>
      <c r="BV197" s="350">
        <f t="shared" si="133"/>
        <v>0</v>
      </c>
      <c r="BW197" s="350">
        <f t="shared" si="133"/>
        <v>0</v>
      </c>
      <c r="BX197" s="350">
        <f t="shared" si="133"/>
        <v>0</v>
      </c>
      <c r="BY197" s="350">
        <f t="shared" si="133"/>
        <v>0</v>
      </c>
      <c r="BZ197" s="350">
        <f t="shared" si="133"/>
        <v>0</v>
      </c>
      <c r="CA197" s="350">
        <f t="shared" si="133"/>
        <v>0</v>
      </c>
      <c r="CB197" s="350">
        <f t="shared" si="133"/>
        <v>0</v>
      </c>
      <c r="CC197" s="350">
        <f t="shared" si="133"/>
        <v>0</v>
      </c>
      <c r="CD197" s="350">
        <f t="shared" si="133"/>
        <v>0</v>
      </c>
      <c r="CE197" s="350">
        <f t="shared" si="133"/>
        <v>0</v>
      </c>
      <c r="CF197" s="350">
        <f t="shared" si="133"/>
        <v>0</v>
      </c>
      <c r="CG197" s="350">
        <f t="shared" si="133"/>
        <v>0</v>
      </c>
      <c r="CH197" s="350">
        <f t="shared" si="133"/>
        <v>0</v>
      </c>
      <c r="CI197" s="350">
        <f t="shared" si="133"/>
        <v>0</v>
      </c>
      <c r="CJ197" s="350">
        <f t="shared" si="133"/>
        <v>0</v>
      </c>
      <c r="CK197" s="350">
        <f t="shared" si="133"/>
        <v>0</v>
      </c>
      <c r="CL197" s="350">
        <f t="shared" si="133"/>
        <v>0</v>
      </c>
      <c r="CM197" s="350">
        <f t="shared" si="133"/>
        <v>0</v>
      </c>
      <c r="CN197" s="350">
        <f t="shared" si="133"/>
        <v>0</v>
      </c>
      <c r="CO197" s="350">
        <f t="shared" si="133"/>
        <v>0</v>
      </c>
      <c r="CP197" s="350">
        <f t="shared" si="133"/>
        <v>0</v>
      </c>
      <c r="CQ197" s="350">
        <f t="shared" si="133"/>
        <v>0</v>
      </c>
      <c r="CR197" s="350">
        <f t="shared" si="133"/>
        <v>0</v>
      </c>
      <c r="CS197" s="350">
        <f t="shared" si="133"/>
        <v>0</v>
      </c>
      <c r="CT197" s="350">
        <f t="shared" si="133"/>
        <v>0</v>
      </c>
      <c r="CU197" s="350">
        <f t="shared" si="133"/>
        <v>0</v>
      </c>
      <c r="CV197" s="350">
        <f t="shared" si="133"/>
        <v>0</v>
      </c>
      <c r="CW197" s="350">
        <f t="shared" si="133"/>
        <v>0</v>
      </c>
      <c r="CX197" s="350">
        <f t="shared" si="133"/>
        <v>0</v>
      </c>
      <c r="CY197" s="350">
        <f t="shared" si="133"/>
        <v>0</v>
      </c>
      <c r="CZ197" s="350">
        <f t="shared" si="133"/>
        <v>0</v>
      </c>
      <c r="DA197" s="350">
        <f t="shared" si="133"/>
        <v>0</v>
      </c>
      <c r="DB197" s="350">
        <f t="shared" si="133"/>
        <v>0</v>
      </c>
      <c r="DC197" s="350">
        <f t="shared" si="133"/>
        <v>0</v>
      </c>
      <c r="DD197" s="350">
        <f t="shared" si="133"/>
        <v>0</v>
      </c>
      <c r="DE197" s="350">
        <f t="shared" si="133"/>
        <v>0</v>
      </c>
      <c r="DF197" s="350">
        <f t="shared" si="133"/>
        <v>0</v>
      </c>
      <c r="DG197" s="350">
        <f t="shared" si="133"/>
        <v>0</v>
      </c>
      <c r="DH197" s="350">
        <f t="shared" si="133"/>
        <v>0</v>
      </c>
      <c r="DI197" s="350">
        <f t="shared" si="133"/>
        <v>0</v>
      </c>
      <c r="DJ197" s="350">
        <f t="shared" si="133"/>
        <v>0</v>
      </c>
      <c r="DK197" s="350">
        <f t="shared" si="133"/>
        <v>0</v>
      </c>
      <c r="DL197" s="350">
        <f t="shared" si="133"/>
        <v>0</v>
      </c>
      <c r="DM197" s="350">
        <f t="shared" si="133"/>
        <v>0</v>
      </c>
      <c r="DN197" s="350">
        <f t="shared" si="133"/>
        <v>0</v>
      </c>
      <c r="DO197" s="350">
        <f t="shared" si="133"/>
        <v>0</v>
      </c>
      <c r="DP197" s="350">
        <f t="shared" si="133"/>
        <v>0</v>
      </c>
      <c r="DQ197" s="350">
        <f t="shared" si="133"/>
        <v>0</v>
      </c>
      <c r="DR197" s="350">
        <f t="shared" si="133"/>
        <v>0</v>
      </c>
      <c r="DS197" s="350">
        <f t="shared" si="133"/>
        <v>0</v>
      </c>
      <c r="DT197" s="350">
        <f t="shared" si="133"/>
        <v>0</v>
      </c>
      <c r="DU197" s="350">
        <f t="shared" si="133"/>
        <v>0</v>
      </c>
      <c r="DV197" s="350">
        <f t="shared" si="133"/>
        <v>0</v>
      </c>
      <c r="DW197" s="6"/>
      <c r="DX197" s="6"/>
      <c r="DY197" s="6"/>
      <c r="DZ197" s="6"/>
    </row>
    <row r="198" spans="1:130" ht="12.75" customHeight="1" outlineLevel="1" x14ac:dyDescent="0.25">
      <c r="A198" s="6"/>
      <c r="B198" s="6" t="str">
        <f>"Distributions to LP "&amp;B192</f>
        <v>Distributions to LP Hurdle 3</v>
      </c>
      <c r="C198" s="6"/>
      <c r="D198" s="6"/>
      <c r="E198" s="6"/>
      <c r="F198" s="350">
        <f t="shared" ref="F198:DV198" si="134">IF(F194="","",MIN(F194+F195-F197,F190*$I$150))</f>
        <v>0</v>
      </c>
      <c r="G198" s="350">
        <f t="shared" si="134"/>
        <v>0</v>
      </c>
      <c r="H198" s="350">
        <f t="shared" si="134"/>
        <v>0</v>
      </c>
      <c r="I198" s="350">
        <f t="shared" si="134"/>
        <v>0</v>
      </c>
      <c r="J198" s="350">
        <f t="shared" si="134"/>
        <v>0</v>
      </c>
      <c r="K198" s="350">
        <f t="shared" si="134"/>
        <v>0</v>
      </c>
      <c r="L198" s="350">
        <f t="shared" si="134"/>
        <v>0</v>
      </c>
      <c r="M198" s="350">
        <f t="shared" si="134"/>
        <v>0</v>
      </c>
      <c r="N198" s="350">
        <f t="shared" si="134"/>
        <v>0</v>
      </c>
      <c r="O198" s="350">
        <f t="shared" si="134"/>
        <v>0</v>
      </c>
      <c r="P198" s="350">
        <f t="shared" si="134"/>
        <v>0</v>
      </c>
      <c r="Q198" s="350">
        <f t="shared" si="134"/>
        <v>0</v>
      </c>
      <c r="R198" s="350">
        <f t="shared" si="134"/>
        <v>0</v>
      </c>
      <c r="S198" s="350">
        <f t="shared" si="134"/>
        <v>0</v>
      </c>
      <c r="T198" s="350">
        <f t="shared" si="134"/>
        <v>0</v>
      </c>
      <c r="U198" s="350">
        <f t="shared" si="134"/>
        <v>0</v>
      </c>
      <c r="V198" s="350">
        <f t="shared" si="134"/>
        <v>0</v>
      </c>
      <c r="W198" s="350">
        <f t="shared" si="134"/>
        <v>0</v>
      </c>
      <c r="X198" s="350">
        <f t="shared" si="134"/>
        <v>0</v>
      </c>
      <c r="Y198" s="350">
        <f t="shared" si="134"/>
        <v>0</v>
      </c>
      <c r="Z198" s="350">
        <f t="shared" si="134"/>
        <v>0</v>
      </c>
      <c r="AA198" s="350">
        <f t="shared" si="134"/>
        <v>0</v>
      </c>
      <c r="AB198" s="350">
        <f t="shared" si="134"/>
        <v>0</v>
      </c>
      <c r="AC198" s="350">
        <f t="shared" si="134"/>
        <v>0</v>
      </c>
      <c r="AD198" s="350">
        <f t="shared" si="134"/>
        <v>0</v>
      </c>
      <c r="AE198" s="350">
        <f t="shared" si="134"/>
        <v>0</v>
      </c>
      <c r="AF198" s="350">
        <f t="shared" si="134"/>
        <v>0</v>
      </c>
      <c r="AG198" s="350">
        <f t="shared" si="134"/>
        <v>0</v>
      </c>
      <c r="AH198" s="350">
        <f t="shared" si="134"/>
        <v>0</v>
      </c>
      <c r="AI198" s="350">
        <f t="shared" si="134"/>
        <v>0</v>
      </c>
      <c r="AJ198" s="350">
        <f t="shared" si="134"/>
        <v>0</v>
      </c>
      <c r="AK198" s="350">
        <f t="shared" si="134"/>
        <v>0</v>
      </c>
      <c r="AL198" s="350">
        <f t="shared" si="134"/>
        <v>0</v>
      </c>
      <c r="AM198" s="350">
        <f t="shared" si="134"/>
        <v>0</v>
      </c>
      <c r="AN198" s="350">
        <f t="shared" si="134"/>
        <v>0</v>
      </c>
      <c r="AO198" s="350">
        <f t="shared" si="134"/>
        <v>0</v>
      </c>
      <c r="AP198" s="350">
        <f t="shared" si="134"/>
        <v>0</v>
      </c>
      <c r="AQ198" s="350">
        <f t="shared" si="134"/>
        <v>0</v>
      </c>
      <c r="AR198" s="350">
        <f t="shared" si="134"/>
        <v>0</v>
      </c>
      <c r="AS198" s="350">
        <f t="shared" si="134"/>
        <v>0</v>
      </c>
      <c r="AT198" s="350">
        <f t="shared" si="134"/>
        <v>0</v>
      </c>
      <c r="AU198" s="350">
        <f t="shared" si="134"/>
        <v>0</v>
      </c>
      <c r="AV198" s="350">
        <f t="shared" si="134"/>
        <v>0</v>
      </c>
      <c r="AW198" s="350">
        <f t="shared" si="134"/>
        <v>0</v>
      </c>
      <c r="AX198" s="350">
        <f t="shared" si="134"/>
        <v>0</v>
      </c>
      <c r="AY198" s="350">
        <f t="shared" si="134"/>
        <v>0</v>
      </c>
      <c r="AZ198" s="350">
        <f t="shared" si="134"/>
        <v>0</v>
      </c>
      <c r="BA198" s="350">
        <f t="shared" si="134"/>
        <v>0</v>
      </c>
      <c r="BB198" s="350">
        <f t="shared" si="134"/>
        <v>0</v>
      </c>
      <c r="BC198" s="350">
        <f t="shared" si="134"/>
        <v>0</v>
      </c>
      <c r="BD198" s="350">
        <f t="shared" si="134"/>
        <v>0</v>
      </c>
      <c r="BE198" s="350">
        <f t="shared" si="134"/>
        <v>0</v>
      </c>
      <c r="BF198" s="350">
        <f t="shared" si="134"/>
        <v>0</v>
      </c>
      <c r="BG198" s="350">
        <f t="shared" si="134"/>
        <v>0</v>
      </c>
      <c r="BH198" s="350">
        <f t="shared" si="134"/>
        <v>0</v>
      </c>
      <c r="BI198" s="350">
        <f t="shared" si="134"/>
        <v>0</v>
      </c>
      <c r="BJ198" s="350">
        <f t="shared" si="134"/>
        <v>0</v>
      </c>
      <c r="BK198" s="350">
        <f t="shared" si="134"/>
        <v>0</v>
      </c>
      <c r="BL198" s="350">
        <f t="shared" si="134"/>
        <v>0</v>
      </c>
      <c r="BM198" s="350">
        <f t="shared" si="134"/>
        <v>0</v>
      </c>
      <c r="BN198" s="350">
        <f t="shared" si="134"/>
        <v>0</v>
      </c>
      <c r="BO198" s="350">
        <f t="shared" si="134"/>
        <v>0</v>
      </c>
      <c r="BP198" s="350">
        <f t="shared" si="134"/>
        <v>0</v>
      </c>
      <c r="BQ198" s="350">
        <f t="shared" si="134"/>
        <v>0</v>
      </c>
      <c r="BR198" s="350">
        <f t="shared" si="134"/>
        <v>0</v>
      </c>
      <c r="BS198" s="350">
        <f t="shared" si="134"/>
        <v>0</v>
      </c>
      <c r="BT198" s="350">
        <f t="shared" si="134"/>
        <v>0</v>
      </c>
      <c r="BU198" s="350">
        <f t="shared" si="134"/>
        <v>0</v>
      </c>
      <c r="BV198" s="350">
        <f t="shared" si="134"/>
        <v>0</v>
      </c>
      <c r="BW198" s="350">
        <f t="shared" si="134"/>
        <v>0</v>
      </c>
      <c r="BX198" s="350">
        <f t="shared" si="134"/>
        <v>0</v>
      </c>
      <c r="BY198" s="350">
        <f t="shared" si="134"/>
        <v>0</v>
      </c>
      <c r="BZ198" s="350">
        <f t="shared" si="134"/>
        <v>0</v>
      </c>
      <c r="CA198" s="350">
        <f t="shared" si="134"/>
        <v>0</v>
      </c>
      <c r="CB198" s="350">
        <f t="shared" si="134"/>
        <v>0</v>
      </c>
      <c r="CC198" s="350">
        <f t="shared" si="134"/>
        <v>0</v>
      </c>
      <c r="CD198" s="350">
        <f t="shared" si="134"/>
        <v>0</v>
      </c>
      <c r="CE198" s="350">
        <f t="shared" si="134"/>
        <v>0</v>
      </c>
      <c r="CF198" s="350">
        <f t="shared" si="134"/>
        <v>0</v>
      </c>
      <c r="CG198" s="350">
        <f t="shared" si="134"/>
        <v>0</v>
      </c>
      <c r="CH198" s="350">
        <f t="shared" si="134"/>
        <v>0</v>
      </c>
      <c r="CI198" s="350">
        <f t="shared" si="134"/>
        <v>0</v>
      </c>
      <c r="CJ198" s="350">
        <f t="shared" si="134"/>
        <v>0</v>
      </c>
      <c r="CK198" s="350">
        <f t="shared" si="134"/>
        <v>0</v>
      </c>
      <c r="CL198" s="350">
        <f t="shared" si="134"/>
        <v>0</v>
      </c>
      <c r="CM198" s="350">
        <f t="shared" si="134"/>
        <v>0</v>
      </c>
      <c r="CN198" s="350">
        <f t="shared" si="134"/>
        <v>0</v>
      </c>
      <c r="CO198" s="350">
        <f t="shared" si="134"/>
        <v>0</v>
      </c>
      <c r="CP198" s="350">
        <f t="shared" si="134"/>
        <v>0</v>
      </c>
      <c r="CQ198" s="350">
        <f t="shared" si="134"/>
        <v>0</v>
      </c>
      <c r="CR198" s="350">
        <f t="shared" si="134"/>
        <v>0</v>
      </c>
      <c r="CS198" s="350">
        <f t="shared" si="134"/>
        <v>0</v>
      </c>
      <c r="CT198" s="350">
        <f t="shared" si="134"/>
        <v>0</v>
      </c>
      <c r="CU198" s="350">
        <f t="shared" si="134"/>
        <v>0</v>
      </c>
      <c r="CV198" s="350">
        <f t="shared" si="134"/>
        <v>0</v>
      </c>
      <c r="CW198" s="350">
        <f t="shared" si="134"/>
        <v>0</v>
      </c>
      <c r="CX198" s="350">
        <f t="shared" si="134"/>
        <v>0</v>
      </c>
      <c r="CY198" s="350">
        <f t="shared" si="134"/>
        <v>0</v>
      </c>
      <c r="CZ198" s="350">
        <f t="shared" si="134"/>
        <v>0</v>
      </c>
      <c r="DA198" s="350">
        <f t="shared" si="134"/>
        <v>0</v>
      </c>
      <c r="DB198" s="350">
        <f t="shared" si="134"/>
        <v>0</v>
      </c>
      <c r="DC198" s="350">
        <f t="shared" si="134"/>
        <v>0</v>
      </c>
      <c r="DD198" s="350">
        <f t="shared" si="134"/>
        <v>0</v>
      </c>
      <c r="DE198" s="350">
        <f t="shared" si="134"/>
        <v>0</v>
      </c>
      <c r="DF198" s="350">
        <f t="shared" si="134"/>
        <v>0</v>
      </c>
      <c r="DG198" s="350">
        <f t="shared" si="134"/>
        <v>0</v>
      </c>
      <c r="DH198" s="350">
        <f t="shared" si="134"/>
        <v>0</v>
      </c>
      <c r="DI198" s="350">
        <f t="shared" si="134"/>
        <v>0</v>
      </c>
      <c r="DJ198" s="350">
        <f t="shared" si="134"/>
        <v>0</v>
      </c>
      <c r="DK198" s="350">
        <f t="shared" si="134"/>
        <v>0</v>
      </c>
      <c r="DL198" s="350">
        <f t="shared" si="134"/>
        <v>0</v>
      </c>
      <c r="DM198" s="350">
        <f t="shared" si="134"/>
        <v>0</v>
      </c>
      <c r="DN198" s="350">
        <f t="shared" si="134"/>
        <v>0</v>
      </c>
      <c r="DO198" s="350">
        <f t="shared" si="134"/>
        <v>0</v>
      </c>
      <c r="DP198" s="350">
        <f t="shared" si="134"/>
        <v>0</v>
      </c>
      <c r="DQ198" s="350">
        <f t="shared" si="134"/>
        <v>0</v>
      </c>
      <c r="DR198" s="350">
        <f t="shared" si="134"/>
        <v>0</v>
      </c>
      <c r="DS198" s="350">
        <f t="shared" si="134"/>
        <v>0</v>
      </c>
      <c r="DT198" s="350">
        <f t="shared" si="134"/>
        <v>0</v>
      </c>
      <c r="DU198" s="350">
        <f t="shared" si="134"/>
        <v>0</v>
      </c>
      <c r="DV198" s="350">
        <f t="shared" si="134"/>
        <v>0</v>
      </c>
      <c r="DW198" s="6"/>
      <c r="DX198" s="6"/>
      <c r="DY198" s="6"/>
      <c r="DZ198" s="6"/>
    </row>
    <row r="199" spans="1:130" ht="12.75" customHeight="1" outlineLevel="1" x14ac:dyDescent="0.25">
      <c r="A199" s="6"/>
      <c r="B199" s="6" t="s">
        <v>440</v>
      </c>
      <c r="C199" s="6"/>
      <c r="D199" s="6"/>
      <c r="E199" s="6"/>
      <c r="F199" s="350">
        <f>F194+F196-F198</f>
        <v>2045560.6845345572</v>
      </c>
      <c r="G199" s="350">
        <f t="shared" ref="G199:DV199" si="135">IF(G194="","",G194+G195+G196-G197-G198)</f>
        <v>2637079.9965570751</v>
      </c>
      <c r="H199" s="350">
        <f t="shared" si="135"/>
        <v>3244990.5159228933</v>
      </c>
      <c r="I199" s="350">
        <f t="shared" si="135"/>
        <v>3884255.0555762034</v>
      </c>
      <c r="J199" s="350">
        <f t="shared" si="135"/>
        <v>4544075.5630597537</v>
      </c>
      <c r="K199" s="350">
        <f t="shared" si="135"/>
        <v>5231854.8958825283</v>
      </c>
      <c r="L199" s="350">
        <f t="shared" si="135"/>
        <v>5939175.5719121676</v>
      </c>
      <c r="M199" s="350">
        <f t="shared" si="135"/>
        <v>6281852.4137728447</v>
      </c>
      <c r="N199" s="350">
        <f t="shared" si="135"/>
        <v>6463959.1488210531</v>
      </c>
      <c r="O199" s="350">
        <f t="shared" si="135"/>
        <v>6645216.3750884281</v>
      </c>
      <c r="P199" s="350">
        <f t="shared" si="135"/>
        <v>6837856.7903746953</v>
      </c>
      <c r="Q199" s="350">
        <f t="shared" si="135"/>
        <v>7029598.5583688365</v>
      </c>
      <c r="R199" s="350">
        <f t="shared" si="135"/>
        <v>7233381.9582076268</v>
      </c>
      <c r="S199" s="350">
        <f t="shared" si="135"/>
        <v>7443072.9036487779</v>
      </c>
      <c r="T199" s="350">
        <f t="shared" si="135"/>
        <v>7644735.1776401559</v>
      </c>
      <c r="U199" s="350">
        <f t="shared" si="135"/>
        <v>7866350.9800833892</v>
      </c>
      <c r="V199" s="350">
        <f t="shared" si="135"/>
        <v>8086932.9680985231</v>
      </c>
      <c r="W199" s="350">
        <f t="shared" si="135"/>
        <v>8321367.7912002727</v>
      </c>
      <c r="X199" s="350">
        <f t="shared" si="135"/>
        <v>8554709.0004897416</v>
      </c>
      <c r="Y199" s="350">
        <f t="shared" si="135"/>
        <v>8802704.3405189198</v>
      </c>
      <c r="Z199" s="350">
        <f t="shared" si="135"/>
        <v>9057888.900973089</v>
      </c>
      <c r="AA199" s="350">
        <f t="shared" si="135"/>
        <v>9311883.0522708856</v>
      </c>
      <c r="AB199" s="350">
        <f t="shared" si="135"/>
        <v>9581828.3658669014</v>
      </c>
      <c r="AC199" s="350">
        <f t="shared" si="135"/>
        <v>9850514.4129443895</v>
      </c>
      <c r="AD199" s="350">
        <f t="shared" si="135"/>
        <v>10136074.29244007</v>
      </c>
      <c r="AE199" s="350">
        <f t="shared" si="135"/>
        <v>10429912.363445265</v>
      </c>
      <c r="AF199" s="350">
        <f t="shared" si="135"/>
        <v>10702629.248696214</v>
      </c>
      <c r="AG199" s="350">
        <f t="shared" si="135"/>
        <v>11012891.372116741</v>
      </c>
      <c r="AH199" s="350">
        <f t="shared" si="135"/>
        <v>11321706.155337928</v>
      </c>
      <c r="AI199" s="350">
        <f t="shared" si="135"/>
        <v>11649914.907680377</v>
      </c>
      <c r="AJ199" s="350">
        <f t="shared" si="135"/>
        <v>11976592.600685634</v>
      </c>
      <c r="AK199" s="350">
        <f t="shared" si="135"/>
        <v>12318881.38204208</v>
      </c>
      <c r="AL199" s="350">
        <f t="shared" si="135"/>
        <v>12663214.313586265</v>
      </c>
      <c r="AM199" s="350">
        <f t="shared" si="135"/>
        <v>12997804.522730887</v>
      </c>
      <c r="AN199" s="350">
        <f t="shared" si="135"/>
        <v>13346222.05673271</v>
      </c>
      <c r="AO199" s="350">
        <f t="shared" si="135"/>
        <v>13696504.09383134</v>
      </c>
      <c r="AP199" s="350">
        <f t="shared" si="135"/>
        <v>14069594.504966656</v>
      </c>
      <c r="AQ199" s="350">
        <f t="shared" si="135"/>
        <v>14451099.4391382</v>
      </c>
      <c r="AR199" s="350">
        <f t="shared" si="135"/>
        <v>14802597.324379992</v>
      </c>
      <c r="AS199" s="350">
        <f t="shared" si="135"/>
        <v>15205351.524123557</v>
      </c>
      <c r="AT199" s="350">
        <f t="shared" si="135"/>
        <v>15605364.677726179</v>
      </c>
      <c r="AU199" s="350">
        <f t="shared" si="135"/>
        <v>16031390.570609279</v>
      </c>
      <c r="AV199" s="350">
        <f t="shared" si="135"/>
        <v>16454566.857348636</v>
      </c>
      <c r="AW199" s="350">
        <f t="shared" si="135"/>
        <v>16905210.558187205</v>
      </c>
      <c r="AX199" s="350">
        <f t="shared" si="135"/>
        <v>17368918.121024478</v>
      </c>
      <c r="AY199" s="350">
        <f t="shared" si="135"/>
        <v>17829600.296687756</v>
      </c>
      <c r="AZ199" s="350">
        <f t="shared" si="135"/>
        <v>18320105.304944366</v>
      </c>
      <c r="BA199" s="350">
        <f t="shared" si="135"/>
        <v>18807459.918760326</v>
      </c>
      <c r="BB199" s="350">
        <f t="shared" si="135"/>
        <v>19326312.428897221</v>
      </c>
      <c r="BC199" s="350">
        <f t="shared" si="135"/>
        <v>19857733.618087996</v>
      </c>
      <c r="BD199" s="350">
        <f t="shared" si="135"/>
        <v>20348129.349115785</v>
      </c>
      <c r="BE199" s="350">
        <f t="shared" si="135"/>
        <v>20909172.333105505</v>
      </c>
      <c r="BF199" s="350">
        <f t="shared" si="135"/>
        <v>21466655.004207533</v>
      </c>
      <c r="BG199" s="350">
        <f t="shared" si="135"/>
        <v>22060123.305078276</v>
      </c>
      <c r="BH199" s="350">
        <f t="shared" si="135"/>
        <v>22649880.032365758</v>
      </c>
      <c r="BI199" s="350">
        <f t="shared" si="135"/>
        <v>23277649.242030982</v>
      </c>
      <c r="BJ199" s="350">
        <f t="shared" si="135"/>
        <v>23923617.064717628</v>
      </c>
      <c r="BK199" s="350">
        <f t="shared" si="135"/>
        <v>24565628.40906908</v>
      </c>
      <c r="BL199" s="350">
        <f t="shared" si="135"/>
        <v>25248933.893558346</v>
      </c>
      <c r="BM199" s="350">
        <f t="shared" si="135"/>
        <v>25928108.723444041</v>
      </c>
      <c r="BN199" s="350">
        <f t="shared" si="135"/>
        <v>16623394.379482642</v>
      </c>
      <c r="BO199" s="350">
        <f t="shared" si="135"/>
        <v>17105295.557108078</v>
      </c>
      <c r="BP199" s="350">
        <f t="shared" si="135"/>
        <v>17568745.646069318</v>
      </c>
      <c r="BQ199" s="350">
        <f t="shared" si="135"/>
        <v>18078051.929910611</v>
      </c>
      <c r="BR199" s="350">
        <f t="shared" si="135"/>
        <v>18584982.353462376</v>
      </c>
      <c r="BS199" s="350">
        <f t="shared" si="135"/>
        <v>19123748.665433865</v>
      </c>
      <c r="BT199" s="350">
        <f t="shared" si="135"/>
        <v>19660001.689180646</v>
      </c>
      <c r="BU199" s="350">
        <f t="shared" si="135"/>
        <v>20229932.098690011</v>
      </c>
      <c r="BV199" s="350">
        <f t="shared" si="135"/>
        <v>20816384.412765756</v>
      </c>
      <c r="BW199" s="350">
        <f t="shared" si="135"/>
        <v>21400100.988428447</v>
      </c>
      <c r="BX199" s="350">
        <f t="shared" si="135"/>
        <v>22020475.722505342</v>
      </c>
      <c r="BY199" s="350">
        <f t="shared" si="135"/>
        <v>22637956.473644894</v>
      </c>
      <c r="BZ199" s="350">
        <f t="shared" si="135"/>
        <v>23294215.81723284</v>
      </c>
      <c r="CA199" s="350">
        <f t="shared" si="135"/>
        <v>23969499.683928598</v>
      </c>
      <c r="CB199" s="350">
        <f t="shared" si="135"/>
        <v>24596243.904497031</v>
      </c>
      <c r="CC199" s="350">
        <f t="shared" si="135"/>
        <v>25309272.701874841</v>
      </c>
      <c r="CD199" s="350">
        <f t="shared" si="135"/>
        <v>26018975.294847313</v>
      </c>
      <c r="CE199" s="350">
        <f t="shared" si="135"/>
        <v>26773248.131607398</v>
      </c>
      <c r="CF199" s="350">
        <f t="shared" si="135"/>
        <v>27524002.36485289</v>
      </c>
      <c r="CG199" s="350">
        <f t="shared" si="135"/>
        <v>28321904.938166</v>
      </c>
      <c r="CH199" s="350">
        <f t="shared" si="135"/>
        <v>29142938.177872039</v>
      </c>
      <c r="CI199" s="350">
        <f t="shared" si="135"/>
        <v>29960141.383799806</v>
      </c>
      <c r="CJ199" s="350">
        <f t="shared" si="135"/>
        <v>30828666.011507459</v>
      </c>
      <c r="CK199" s="350">
        <f t="shared" si="135"/>
        <v>31693139.06310283</v>
      </c>
      <c r="CL199" s="350">
        <f t="shared" si="135"/>
        <v>32611902.144125953</v>
      </c>
      <c r="CM199" s="350">
        <f t="shared" si="135"/>
        <v>33557299.557500012</v>
      </c>
      <c r="CN199" s="350">
        <f t="shared" si="135"/>
        <v>34434741.466295823</v>
      </c>
      <c r="CO199" s="350">
        <f t="shared" si="135"/>
        <v>35432981.782624759</v>
      </c>
      <c r="CP199" s="350">
        <f t="shared" si="135"/>
        <v>36426565.412786216</v>
      </c>
      <c r="CQ199" s="350">
        <f t="shared" si="135"/>
        <v>37482547.384250335</v>
      </c>
      <c r="CR199" s="350">
        <f t="shared" si="135"/>
        <v>38533603.310794026</v>
      </c>
      <c r="CS199" s="350">
        <f t="shared" si="135"/>
        <v>39650666.913432375</v>
      </c>
      <c r="CT199" s="350">
        <f t="shared" si="135"/>
        <v>40800113.449020833</v>
      </c>
      <c r="CU199" s="350">
        <f t="shared" si="135"/>
        <v>41944197.937319703</v>
      </c>
      <c r="CV199" s="350">
        <f t="shared" si="135"/>
        <v>43160132.416110419</v>
      </c>
      <c r="CW199" s="350">
        <f t="shared" si="135"/>
        <v>44370394.688343935</v>
      </c>
      <c r="CX199" s="350">
        <f t="shared" si="135"/>
        <v>45656663.001776308</v>
      </c>
      <c r="CY199" s="350">
        <f t="shared" si="135"/>
        <v>46980219.380499989</v>
      </c>
      <c r="CZ199" s="350">
        <f t="shared" si="135"/>
        <v>48208638.052814119</v>
      </c>
      <c r="DA199" s="350">
        <f t="shared" si="135"/>
        <v>49606174.495674625</v>
      </c>
      <c r="DB199" s="350">
        <f t="shared" si="135"/>
        <v>50997191.577900663</v>
      </c>
      <c r="DC199" s="350">
        <f t="shared" si="135"/>
        <v>52475566.337950431</v>
      </c>
      <c r="DD199" s="350">
        <f t="shared" si="135"/>
        <v>53947044.635111593</v>
      </c>
      <c r="DE199" s="350">
        <f t="shared" si="135"/>
        <v>55510933.678805284</v>
      </c>
      <c r="DF199" s="350">
        <f t="shared" si="135"/>
        <v>57120158.828629121</v>
      </c>
      <c r="DG199" s="350">
        <f t="shared" si="135"/>
        <v>58721877.112247542</v>
      </c>
      <c r="DH199" s="350">
        <f t="shared" si="135"/>
        <v>60424185.382554539</v>
      </c>
      <c r="DI199" s="350">
        <f t="shared" si="135"/>
        <v>62118552.563681461</v>
      </c>
      <c r="DJ199" s="350">
        <f t="shared" si="135"/>
        <v>63919328.202486783</v>
      </c>
      <c r="DK199" s="350">
        <f t="shared" si="135"/>
        <v>65772307.132699937</v>
      </c>
      <c r="DL199" s="350">
        <f t="shared" si="135"/>
        <v>67554338.988862112</v>
      </c>
      <c r="DM199" s="350">
        <f t="shared" si="135"/>
        <v>69512694.470858067</v>
      </c>
      <c r="DN199" s="350">
        <f t="shared" si="135"/>
        <v>71461914.430340216</v>
      </c>
      <c r="DO199" s="350">
        <f t="shared" si="135"/>
        <v>73533547.932692394</v>
      </c>
      <c r="DP199" s="350">
        <f t="shared" si="135"/>
        <v>75595517.482470542</v>
      </c>
      <c r="DQ199" s="350">
        <f t="shared" si="135"/>
        <v>77786981.395699352</v>
      </c>
      <c r="DR199" s="350">
        <f t="shared" si="135"/>
        <v>80041974.394288242</v>
      </c>
      <c r="DS199" s="350">
        <f t="shared" si="135"/>
        <v>82286448.087522998</v>
      </c>
      <c r="DT199" s="350">
        <f t="shared" si="135"/>
        <v>84671877.641244844</v>
      </c>
      <c r="DU199" s="350">
        <f t="shared" si="135"/>
        <v>87046179.416790843</v>
      </c>
      <c r="DV199" s="350">
        <f t="shared" si="135"/>
        <v>89569590.424865112</v>
      </c>
      <c r="DW199" s="6"/>
      <c r="DX199" s="6"/>
      <c r="DY199" s="6"/>
      <c r="DZ199" s="6"/>
    </row>
    <row r="200" spans="1:130" ht="12.75" customHeight="1" outlineLevel="1" x14ac:dyDescent="0.25">
      <c r="A200" s="6"/>
      <c r="B200" s="1256">
        <f>C193</f>
        <v>0.4</v>
      </c>
      <c r="C200" s="6"/>
      <c r="D200" s="6"/>
      <c r="E200" s="139">
        <f>XIRR(F200:DV200,F155:DV155)</f>
        <v>0.15364879965782166</v>
      </c>
      <c r="F200" s="350">
        <f>IF(F194="","",-F196+F198)</f>
        <v>-2045560.6845345572</v>
      </c>
      <c r="G200" s="350">
        <f t="shared" ref="G200:DV200" si="136">IF(G194="","",-G196+G197+G198)</f>
        <v>-532219.86449222511</v>
      </c>
      <c r="H200" s="350">
        <f t="shared" si="136"/>
        <v>-538957.28009036742</v>
      </c>
      <c r="I200" s="350">
        <f t="shared" si="136"/>
        <v>-545194.41683070059</v>
      </c>
      <c r="J200" s="350">
        <f t="shared" si="136"/>
        <v>-550901.30157904211</v>
      </c>
      <c r="K200" s="350">
        <f t="shared" si="136"/>
        <v>-556049.59609943768</v>
      </c>
      <c r="L200" s="350">
        <f t="shared" si="136"/>
        <v>-560613.14202023717</v>
      </c>
      <c r="M200" s="350">
        <f t="shared" si="136"/>
        <v>-170504.08117822444</v>
      </c>
      <c r="N200" s="350">
        <f t="shared" si="136"/>
        <v>0</v>
      </c>
      <c r="O200" s="350">
        <f t="shared" si="136"/>
        <v>0</v>
      </c>
      <c r="P200" s="350">
        <f t="shared" si="136"/>
        <v>0</v>
      </c>
      <c r="Q200" s="350">
        <f t="shared" si="136"/>
        <v>0</v>
      </c>
      <c r="R200" s="350">
        <f t="shared" si="136"/>
        <v>0</v>
      </c>
      <c r="S200" s="350">
        <f t="shared" si="136"/>
        <v>0</v>
      </c>
      <c r="T200" s="350">
        <f t="shared" si="136"/>
        <v>0</v>
      </c>
      <c r="U200" s="350">
        <f t="shared" si="136"/>
        <v>0</v>
      </c>
      <c r="V200" s="350">
        <f t="shared" si="136"/>
        <v>0</v>
      </c>
      <c r="W200" s="350">
        <f t="shared" si="136"/>
        <v>0</v>
      </c>
      <c r="X200" s="350">
        <f t="shared" si="136"/>
        <v>0</v>
      </c>
      <c r="Y200" s="350">
        <f t="shared" si="136"/>
        <v>0</v>
      </c>
      <c r="Z200" s="350">
        <f t="shared" si="136"/>
        <v>0</v>
      </c>
      <c r="AA200" s="350">
        <f t="shared" si="136"/>
        <v>0</v>
      </c>
      <c r="AB200" s="350">
        <f t="shared" si="136"/>
        <v>0</v>
      </c>
      <c r="AC200" s="350">
        <f t="shared" si="136"/>
        <v>0</v>
      </c>
      <c r="AD200" s="350">
        <f t="shared" si="136"/>
        <v>0</v>
      </c>
      <c r="AE200" s="350">
        <f t="shared" si="136"/>
        <v>0</v>
      </c>
      <c r="AF200" s="350">
        <f t="shared" si="136"/>
        <v>0</v>
      </c>
      <c r="AG200" s="350">
        <f t="shared" si="136"/>
        <v>0</v>
      </c>
      <c r="AH200" s="350">
        <f t="shared" si="136"/>
        <v>0</v>
      </c>
      <c r="AI200" s="350">
        <f t="shared" si="136"/>
        <v>0</v>
      </c>
      <c r="AJ200" s="350">
        <f t="shared" si="136"/>
        <v>0</v>
      </c>
      <c r="AK200" s="350">
        <f t="shared" si="136"/>
        <v>4904.6946844035401</v>
      </c>
      <c r="AL200" s="350">
        <f t="shared" si="136"/>
        <v>12783.26924578376</v>
      </c>
      <c r="AM200" s="350">
        <f t="shared" si="136"/>
        <v>20501.6237808068</v>
      </c>
      <c r="AN200" s="350">
        <f t="shared" si="136"/>
        <v>28380.198342187021</v>
      </c>
      <c r="AO200" s="350">
        <f t="shared" si="136"/>
        <v>23962.15836369152</v>
      </c>
      <c r="AP200" s="350">
        <f t="shared" si="136"/>
        <v>23962.15836369152</v>
      </c>
      <c r="AQ200" s="350">
        <f t="shared" si="136"/>
        <v>26363.278894745075</v>
      </c>
      <c r="AR200" s="350">
        <f t="shared" si="136"/>
        <v>26363.278894745075</v>
      </c>
      <c r="AS200" s="350">
        <f t="shared" si="136"/>
        <v>26363.278894745075</v>
      </c>
      <c r="AT200" s="350">
        <f t="shared" si="136"/>
        <v>26363.278894745075</v>
      </c>
      <c r="AU200" s="350">
        <f t="shared" si="136"/>
        <v>26363.278894745075</v>
      </c>
      <c r="AV200" s="350">
        <f t="shared" si="136"/>
        <v>26363.278894745075</v>
      </c>
      <c r="AW200" s="350">
        <f t="shared" si="136"/>
        <v>26363.278894745075</v>
      </c>
      <c r="AX200" s="350">
        <f t="shared" si="136"/>
        <v>26363.278894745075</v>
      </c>
      <c r="AY200" s="350">
        <f t="shared" si="136"/>
        <v>26363.278894745075</v>
      </c>
      <c r="AZ200" s="350">
        <f t="shared" si="136"/>
        <v>26363.278894745075</v>
      </c>
      <c r="BA200" s="350">
        <f t="shared" si="136"/>
        <v>26363.278894745075</v>
      </c>
      <c r="BB200" s="350">
        <f t="shared" si="136"/>
        <v>26363.278894745075</v>
      </c>
      <c r="BC200" s="350">
        <f t="shared" si="136"/>
        <v>28835.789981760503</v>
      </c>
      <c r="BD200" s="350">
        <f t="shared" si="136"/>
        <v>28835.789981760503</v>
      </c>
      <c r="BE200" s="350">
        <f t="shared" si="136"/>
        <v>28835.789981760503</v>
      </c>
      <c r="BF200" s="350">
        <f t="shared" si="136"/>
        <v>28835.789981760503</v>
      </c>
      <c r="BG200" s="350">
        <f t="shared" si="136"/>
        <v>28835.789981760503</v>
      </c>
      <c r="BH200" s="350">
        <f t="shared" si="136"/>
        <v>28835.789981760503</v>
      </c>
      <c r="BI200" s="350">
        <f t="shared" si="136"/>
        <v>28835.789981760503</v>
      </c>
      <c r="BJ200" s="350">
        <f t="shared" si="136"/>
        <v>28835.789981760503</v>
      </c>
      <c r="BK200" s="350">
        <f t="shared" si="136"/>
        <v>28835.789981760503</v>
      </c>
      <c r="BL200" s="350">
        <f t="shared" si="136"/>
        <v>28835.789981760503</v>
      </c>
      <c r="BM200" s="350">
        <f t="shared" si="136"/>
        <v>28835.789981760503</v>
      </c>
      <c r="BN200" s="350">
        <f t="shared" si="136"/>
        <v>10056353.019083589</v>
      </c>
      <c r="BO200" s="350">
        <f t="shared" si="136"/>
        <v>0</v>
      </c>
      <c r="BP200" s="350">
        <f t="shared" si="136"/>
        <v>0</v>
      </c>
      <c r="BQ200" s="350">
        <f t="shared" si="136"/>
        <v>0</v>
      </c>
      <c r="BR200" s="350">
        <f t="shared" si="136"/>
        <v>0</v>
      </c>
      <c r="BS200" s="350">
        <f t="shared" si="136"/>
        <v>0</v>
      </c>
      <c r="BT200" s="350">
        <f t="shared" si="136"/>
        <v>0</v>
      </c>
      <c r="BU200" s="350">
        <f t="shared" si="136"/>
        <v>0</v>
      </c>
      <c r="BV200" s="350">
        <f t="shared" si="136"/>
        <v>0</v>
      </c>
      <c r="BW200" s="350">
        <f t="shared" si="136"/>
        <v>0</v>
      </c>
      <c r="BX200" s="350">
        <f t="shared" si="136"/>
        <v>0</v>
      </c>
      <c r="BY200" s="350">
        <f t="shared" si="136"/>
        <v>0</v>
      </c>
      <c r="BZ200" s="350">
        <f t="shared" si="136"/>
        <v>0</v>
      </c>
      <c r="CA200" s="350">
        <f t="shared" si="136"/>
        <v>0</v>
      </c>
      <c r="CB200" s="350">
        <f t="shared" si="136"/>
        <v>0</v>
      </c>
      <c r="CC200" s="350">
        <f t="shared" si="136"/>
        <v>0</v>
      </c>
      <c r="CD200" s="350">
        <f t="shared" si="136"/>
        <v>0</v>
      </c>
      <c r="CE200" s="350">
        <f t="shared" si="136"/>
        <v>0</v>
      </c>
      <c r="CF200" s="350">
        <f t="shared" si="136"/>
        <v>0</v>
      </c>
      <c r="CG200" s="350">
        <f t="shared" si="136"/>
        <v>0</v>
      </c>
      <c r="CH200" s="350">
        <f t="shared" si="136"/>
        <v>0</v>
      </c>
      <c r="CI200" s="350">
        <f t="shared" si="136"/>
        <v>0</v>
      </c>
      <c r="CJ200" s="350">
        <f t="shared" si="136"/>
        <v>0</v>
      </c>
      <c r="CK200" s="350">
        <f t="shared" si="136"/>
        <v>0</v>
      </c>
      <c r="CL200" s="350">
        <f t="shared" si="136"/>
        <v>0</v>
      </c>
      <c r="CM200" s="350">
        <f t="shared" si="136"/>
        <v>0</v>
      </c>
      <c r="CN200" s="350">
        <f t="shared" si="136"/>
        <v>0</v>
      </c>
      <c r="CO200" s="350">
        <f t="shared" si="136"/>
        <v>0</v>
      </c>
      <c r="CP200" s="350">
        <f t="shared" si="136"/>
        <v>0</v>
      </c>
      <c r="CQ200" s="350">
        <f t="shared" si="136"/>
        <v>0</v>
      </c>
      <c r="CR200" s="350">
        <f t="shared" si="136"/>
        <v>0</v>
      </c>
      <c r="CS200" s="350">
        <f t="shared" si="136"/>
        <v>0</v>
      </c>
      <c r="CT200" s="350">
        <f t="shared" si="136"/>
        <v>0</v>
      </c>
      <c r="CU200" s="350">
        <f t="shared" si="136"/>
        <v>0</v>
      </c>
      <c r="CV200" s="350">
        <f t="shared" si="136"/>
        <v>0</v>
      </c>
      <c r="CW200" s="350">
        <f t="shared" si="136"/>
        <v>0</v>
      </c>
      <c r="CX200" s="350">
        <f t="shared" si="136"/>
        <v>0</v>
      </c>
      <c r="CY200" s="350">
        <f t="shared" si="136"/>
        <v>0</v>
      </c>
      <c r="CZ200" s="350">
        <f t="shared" si="136"/>
        <v>0</v>
      </c>
      <c r="DA200" s="350">
        <f t="shared" si="136"/>
        <v>0</v>
      </c>
      <c r="DB200" s="350">
        <f t="shared" si="136"/>
        <v>0</v>
      </c>
      <c r="DC200" s="350">
        <f t="shared" si="136"/>
        <v>0</v>
      </c>
      <c r="DD200" s="350">
        <f t="shared" si="136"/>
        <v>0</v>
      </c>
      <c r="DE200" s="350">
        <f t="shared" si="136"/>
        <v>0</v>
      </c>
      <c r="DF200" s="350">
        <f t="shared" si="136"/>
        <v>0</v>
      </c>
      <c r="DG200" s="350">
        <f t="shared" si="136"/>
        <v>0</v>
      </c>
      <c r="DH200" s="350">
        <f t="shared" si="136"/>
        <v>0</v>
      </c>
      <c r="DI200" s="350">
        <f t="shared" si="136"/>
        <v>0</v>
      </c>
      <c r="DJ200" s="350">
        <f t="shared" si="136"/>
        <v>0</v>
      </c>
      <c r="DK200" s="350">
        <f t="shared" si="136"/>
        <v>0</v>
      </c>
      <c r="DL200" s="350">
        <f t="shared" si="136"/>
        <v>0</v>
      </c>
      <c r="DM200" s="350">
        <f t="shared" si="136"/>
        <v>0</v>
      </c>
      <c r="DN200" s="350">
        <f t="shared" si="136"/>
        <v>0</v>
      </c>
      <c r="DO200" s="350">
        <f t="shared" si="136"/>
        <v>0</v>
      </c>
      <c r="DP200" s="350">
        <f t="shared" si="136"/>
        <v>0</v>
      </c>
      <c r="DQ200" s="350">
        <f t="shared" si="136"/>
        <v>0</v>
      </c>
      <c r="DR200" s="350">
        <f t="shared" si="136"/>
        <v>0</v>
      </c>
      <c r="DS200" s="350">
        <f t="shared" si="136"/>
        <v>0</v>
      </c>
      <c r="DT200" s="350">
        <f t="shared" si="136"/>
        <v>0</v>
      </c>
      <c r="DU200" s="350">
        <f t="shared" si="136"/>
        <v>0</v>
      </c>
      <c r="DV200" s="350">
        <f t="shared" si="136"/>
        <v>0</v>
      </c>
      <c r="DW200" s="6"/>
      <c r="DX200" s="6"/>
      <c r="DY200" s="6"/>
      <c r="DZ200" s="6"/>
    </row>
    <row r="201" spans="1:130" ht="12.75" customHeight="1" outlineLevel="1" x14ac:dyDescent="0.25">
      <c r="A201" s="6"/>
      <c r="B201" s="271" t="s">
        <v>447</v>
      </c>
      <c r="C201" s="271" t="s">
        <v>447</v>
      </c>
      <c r="D201" s="271" t="s">
        <v>447</v>
      </c>
      <c r="E201" s="271" t="s">
        <v>447</v>
      </c>
      <c r="F201" s="1172" t="str">
        <f t="shared" ref="F201:DV201" si="137">IF(F194="","",".")</f>
        <v>.</v>
      </c>
      <c r="G201" s="1172" t="str">
        <f t="shared" si="137"/>
        <v>.</v>
      </c>
      <c r="H201" s="1172" t="str">
        <f t="shared" si="137"/>
        <v>.</v>
      </c>
      <c r="I201" s="1172" t="str">
        <f t="shared" si="137"/>
        <v>.</v>
      </c>
      <c r="J201" s="1172" t="str">
        <f t="shared" si="137"/>
        <v>.</v>
      </c>
      <c r="K201" s="1172" t="str">
        <f t="shared" si="137"/>
        <v>.</v>
      </c>
      <c r="L201" s="1172" t="str">
        <f t="shared" si="137"/>
        <v>.</v>
      </c>
      <c r="M201" s="1172" t="str">
        <f t="shared" si="137"/>
        <v>.</v>
      </c>
      <c r="N201" s="1172" t="str">
        <f t="shared" si="137"/>
        <v>.</v>
      </c>
      <c r="O201" s="1172" t="str">
        <f t="shared" si="137"/>
        <v>.</v>
      </c>
      <c r="P201" s="1172" t="str">
        <f t="shared" si="137"/>
        <v>.</v>
      </c>
      <c r="Q201" s="1172" t="str">
        <f t="shared" si="137"/>
        <v>.</v>
      </c>
      <c r="R201" s="1172" t="str">
        <f t="shared" si="137"/>
        <v>.</v>
      </c>
      <c r="S201" s="1172" t="str">
        <f t="shared" si="137"/>
        <v>.</v>
      </c>
      <c r="T201" s="1172" t="str">
        <f t="shared" si="137"/>
        <v>.</v>
      </c>
      <c r="U201" s="1172" t="str">
        <f t="shared" si="137"/>
        <v>.</v>
      </c>
      <c r="V201" s="1172" t="str">
        <f t="shared" si="137"/>
        <v>.</v>
      </c>
      <c r="W201" s="1172" t="str">
        <f t="shared" si="137"/>
        <v>.</v>
      </c>
      <c r="X201" s="1172" t="str">
        <f t="shared" si="137"/>
        <v>.</v>
      </c>
      <c r="Y201" s="1172" t="str">
        <f t="shared" si="137"/>
        <v>.</v>
      </c>
      <c r="Z201" s="1172" t="str">
        <f t="shared" si="137"/>
        <v>.</v>
      </c>
      <c r="AA201" s="1172" t="str">
        <f t="shared" si="137"/>
        <v>.</v>
      </c>
      <c r="AB201" s="1172" t="str">
        <f t="shared" si="137"/>
        <v>.</v>
      </c>
      <c r="AC201" s="1172" t="str">
        <f t="shared" si="137"/>
        <v>.</v>
      </c>
      <c r="AD201" s="1172" t="str">
        <f t="shared" si="137"/>
        <v>.</v>
      </c>
      <c r="AE201" s="1172" t="str">
        <f t="shared" si="137"/>
        <v>.</v>
      </c>
      <c r="AF201" s="1172" t="str">
        <f t="shared" si="137"/>
        <v>.</v>
      </c>
      <c r="AG201" s="1172" t="str">
        <f t="shared" si="137"/>
        <v>.</v>
      </c>
      <c r="AH201" s="1172" t="str">
        <f t="shared" si="137"/>
        <v>.</v>
      </c>
      <c r="AI201" s="1172" t="str">
        <f t="shared" si="137"/>
        <v>.</v>
      </c>
      <c r="AJ201" s="1172" t="str">
        <f t="shared" si="137"/>
        <v>.</v>
      </c>
      <c r="AK201" s="1172" t="str">
        <f t="shared" si="137"/>
        <v>.</v>
      </c>
      <c r="AL201" s="1172" t="str">
        <f t="shared" si="137"/>
        <v>.</v>
      </c>
      <c r="AM201" s="1172" t="str">
        <f t="shared" si="137"/>
        <v>.</v>
      </c>
      <c r="AN201" s="1172" t="str">
        <f t="shared" si="137"/>
        <v>.</v>
      </c>
      <c r="AO201" s="1172" t="str">
        <f t="shared" si="137"/>
        <v>.</v>
      </c>
      <c r="AP201" s="1172" t="str">
        <f t="shared" si="137"/>
        <v>.</v>
      </c>
      <c r="AQ201" s="1172" t="str">
        <f t="shared" si="137"/>
        <v>.</v>
      </c>
      <c r="AR201" s="1172" t="str">
        <f t="shared" si="137"/>
        <v>.</v>
      </c>
      <c r="AS201" s="1172" t="str">
        <f t="shared" si="137"/>
        <v>.</v>
      </c>
      <c r="AT201" s="1172" t="str">
        <f t="shared" si="137"/>
        <v>.</v>
      </c>
      <c r="AU201" s="1172" t="str">
        <f t="shared" si="137"/>
        <v>.</v>
      </c>
      <c r="AV201" s="1172" t="str">
        <f t="shared" si="137"/>
        <v>.</v>
      </c>
      <c r="AW201" s="1172" t="str">
        <f t="shared" si="137"/>
        <v>.</v>
      </c>
      <c r="AX201" s="1172" t="str">
        <f t="shared" si="137"/>
        <v>.</v>
      </c>
      <c r="AY201" s="1172" t="str">
        <f t="shared" si="137"/>
        <v>.</v>
      </c>
      <c r="AZ201" s="1172" t="str">
        <f t="shared" si="137"/>
        <v>.</v>
      </c>
      <c r="BA201" s="1172" t="str">
        <f t="shared" si="137"/>
        <v>.</v>
      </c>
      <c r="BB201" s="1172" t="str">
        <f t="shared" si="137"/>
        <v>.</v>
      </c>
      <c r="BC201" s="1172" t="str">
        <f t="shared" si="137"/>
        <v>.</v>
      </c>
      <c r="BD201" s="1172" t="str">
        <f t="shared" si="137"/>
        <v>.</v>
      </c>
      <c r="BE201" s="1172" t="str">
        <f t="shared" si="137"/>
        <v>.</v>
      </c>
      <c r="BF201" s="1172" t="str">
        <f t="shared" si="137"/>
        <v>.</v>
      </c>
      <c r="BG201" s="1172" t="str">
        <f t="shared" si="137"/>
        <v>.</v>
      </c>
      <c r="BH201" s="1172" t="str">
        <f t="shared" si="137"/>
        <v>.</v>
      </c>
      <c r="BI201" s="1172" t="str">
        <f t="shared" si="137"/>
        <v>.</v>
      </c>
      <c r="BJ201" s="1172" t="str">
        <f t="shared" si="137"/>
        <v>.</v>
      </c>
      <c r="BK201" s="1172" t="str">
        <f t="shared" si="137"/>
        <v>.</v>
      </c>
      <c r="BL201" s="1172" t="str">
        <f t="shared" si="137"/>
        <v>.</v>
      </c>
      <c r="BM201" s="1172" t="str">
        <f t="shared" si="137"/>
        <v>.</v>
      </c>
      <c r="BN201" s="1172" t="str">
        <f t="shared" si="137"/>
        <v>.</v>
      </c>
      <c r="BO201" s="1172" t="str">
        <f t="shared" si="137"/>
        <v>.</v>
      </c>
      <c r="BP201" s="1172" t="str">
        <f t="shared" si="137"/>
        <v>.</v>
      </c>
      <c r="BQ201" s="1172" t="str">
        <f t="shared" si="137"/>
        <v>.</v>
      </c>
      <c r="BR201" s="1172" t="str">
        <f t="shared" si="137"/>
        <v>.</v>
      </c>
      <c r="BS201" s="1172" t="str">
        <f t="shared" si="137"/>
        <v>.</v>
      </c>
      <c r="BT201" s="1172" t="str">
        <f t="shared" si="137"/>
        <v>.</v>
      </c>
      <c r="BU201" s="1172" t="str">
        <f t="shared" si="137"/>
        <v>.</v>
      </c>
      <c r="BV201" s="1172" t="str">
        <f t="shared" si="137"/>
        <v>.</v>
      </c>
      <c r="BW201" s="1172" t="str">
        <f t="shared" si="137"/>
        <v>.</v>
      </c>
      <c r="BX201" s="1172" t="str">
        <f t="shared" si="137"/>
        <v>.</v>
      </c>
      <c r="BY201" s="1172" t="str">
        <f t="shared" si="137"/>
        <v>.</v>
      </c>
      <c r="BZ201" s="1172" t="str">
        <f t="shared" si="137"/>
        <v>.</v>
      </c>
      <c r="CA201" s="1172" t="str">
        <f t="shared" si="137"/>
        <v>.</v>
      </c>
      <c r="CB201" s="1172" t="str">
        <f t="shared" si="137"/>
        <v>.</v>
      </c>
      <c r="CC201" s="1172" t="str">
        <f t="shared" si="137"/>
        <v>.</v>
      </c>
      <c r="CD201" s="1172" t="str">
        <f t="shared" si="137"/>
        <v>.</v>
      </c>
      <c r="CE201" s="1172" t="str">
        <f t="shared" si="137"/>
        <v>.</v>
      </c>
      <c r="CF201" s="1172" t="str">
        <f t="shared" si="137"/>
        <v>.</v>
      </c>
      <c r="CG201" s="1172" t="str">
        <f t="shared" si="137"/>
        <v>.</v>
      </c>
      <c r="CH201" s="1172" t="str">
        <f t="shared" si="137"/>
        <v>.</v>
      </c>
      <c r="CI201" s="1172" t="str">
        <f t="shared" si="137"/>
        <v>.</v>
      </c>
      <c r="CJ201" s="1172" t="str">
        <f t="shared" si="137"/>
        <v>.</v>
      </c>
      <c r="CK201" s="1172" t="str">
        <f t="shared" si="137"/>
        <v>.</v>
      </c>
      <c r="CL201" s="1172" t="str">
        <f t="shared" si="137"/>
        <v>.</v>
      </c>
      <c r="CM201" s="1172" t="str">
        <f t="shared" si="137"/>
        <v>.</v>
      </c>
      <c r="CN201" s="1172" t="str">
        <f t="shared" si="137"/>
        <v>.</v>
      </c>
      <c r="CO201" s="1172" t="str">
        <f t="shared" si="137"/>
        <v>.</v>
      </c>
      <c r="CP201" s="1172" t="str">
        <f t="shared" si="137"/>
        <v>.</v>
      </c>
      <c r="CQ201" s="1172" t="str">
        <f t="shared" si="137"/>
        <v>.</v>
      </c>
      <c r="CR201" s="1172" t="str">
        <f t="shared" si="137"/>
        <v>.</v>
      </c>
      <c r="CS201" s="1172" t="str">
        <f t="shared" si="137"/>
        <v>.</v>
      </c>
      <c r="CT201" s="1172" t="str">
        <f t="shared" si="137"/>
        <v>.</v>
      </c>
      <c r="CU201" s="1172" t="str">
        <f t="shared" si="137"/>
        <v>.</v>
      </c>
      <c r="CV201" s="1172" t="str">
        <f t="shared" si="137"/>
        <v>.</v>
      </c>
      <c r="CW201" s="1172" t="str">
        <f t="shared" si="137"/>
        <v>.</v>
      </c>
      <c r="CX201" s="1172" t="str">
        <f t="shared" si="137"/>
        <v>.</v>
      </c>
      <c r="CY201" s="1172" t="str">
        <f t="shared" si="137"/>
        <v>.</v>
      </c>
      <c r="CZ201" s="1172" t="str">
        <f t="shared" si="137"/>
        <v>.</v>
      </c>
      <c r="DA201" s="1172" t="str">
        <f t="shared" si="137"/>
        <v>.</v>
      </c>
      <c r="DB201" s="1172" t="str">
        <f t="shared" si="137"/>
        <v>.</v>
      </c>
      <c r="DC201" s="1172" t="str">
        <f t="shared" si="137"/>
        <v>.</v>
      </c>
      <c r="DD201" s="1172" t="str">
        <f t="shared" si="137"/>
        <v>.</v>
      </c>
      <c r="DE201" s="1172" t="str">
        <f t="shared" si="137"/>
        <v>.</v>
      </c>
      <c r="DF201" s="1172" t="str">
        <f t="shared" si="137"/>
        <v>.</v>
      </c>
      <c r="DG201" s="1172" t="str">
        <f t="shared" si="137"/>
        <v>.</v>
      </c>
      <c r="DH201" s="1172" t="str">
        <f t="shared" si="137"/>
        <v>.</v>
      </c>
      <c r="DI201" s="1172" t="str">
        <f t="shared" si="137"/>
        <v>.</v>
      </c>
      <c r="DJ201" s="1172" t="str">
        <f t="shared" si="137"/>
        <v>.</v>
      </c>
      <c r="DK201" s="1172" t="str">
        <f t="shared" si="137"/>
        <v>.</v>
      </c>
      <c r="DL201" s="1172" t="str">
        <f t="shared" si="137"/>
        <v>.</v>
      </c>
      <c r="DM201" s="1172" t="str">
        <f t="shared" si="137"/>
        <v>.</v>
      </c>
      <c r="DN201" s="1172" t="str">
        <f t="shared" si="137"/>
        <v>.</v>
      </c>
      <c r="DO201" s="1172" t="str">
        <f t="shared" si="137"/>
        <v>.</v>
      </c>
      <c r="DP201" s="1172" t="str">
        <f t="shared" si="137"/>
        <v>.</v>
      </c>
      <c r="DQ201" s="1172" t="str">
        <f t="shared" si="137"/>
        <v>.</v>
      </c>
      <c r="DR201" s="1172" t="str">
        <f t="shared" si="137"/>
        <v>.</v>
      </c>
      <c r="DS201" s="1172" t="str">
        <f t="shared" si="137"/>
        <v>.</v>
      </c>
      <c r="DT201" s="1172" t="str">
        <f t="shared" si="137"/>
        <v>.</v>
      </c>
      <c r="DU201" s="1172" t="str">
        <f t="shared" si="137"/>
        <v>.</v>
      </c>
      <c r="DV201" s="1172" t="str">
        <f t="shared" si="137"/>
        <v>.</v>
      </c>
      <c r="DW201" s="6"/>
      <c r="DX201" s="6"/>
      <c r="DY201" s="6"/>
      <c r="DZ201" s="6"/>
    </row>
    <row r="202" spans="1:130" ht="12.75" customHeight="1" outlineLevel="1" x14ac:dyDescent="0.25">
      <c r="A202" s="6"/>
      <c r="B202" s="6" t="s">
        <v>441</v>
      </c>
      <c r="C202" s="6"/>
      <c r="D202" s="6"/>
      <c r="E202" s="6"/>
      <c r="F202" s="350">
        <f t="shared" ref="F202:DV202" si="138">IF(F194="","",F198)</f>
        <v>0</v>
      </c>
      <c r="G202" s="350">
        <f t="shared" si="138"/>
        <v>0</v>
      </c>
      <c r="H202" s="350">
        <f t="shared" si="138"/>
        <v>0</v>
      </c>
      <c r="I202" s="350">
        <f t="shared" si="138"/>
        <v>0</v>
      </c>
      <c r="J202" s="350">
        <f t="shared" si="138"/>
        <v>0</v>
      </c>
      <c r="K202" s="350">
        <f t="shared" si="138"/>
        <v>0</v>
      </c>
      <c r="L202" s="350">
        <f t="shared" si="138"/>
        <v>0</v>
      </c>
      <c r="M202" s="350">
        <f t="shared" si="138"/>
        <v>0</v>
      </c>
      <c r="N202" s="350">
        <f t="shared" si="138"/>
        <v>0</v>
      </c>
      <c r="O202" s="350">
        <f t="shared" si="138"/>
        <v>0</v>
      </c>
      <c r="P202" s="350">
        <f t="shared" si="138"/>
        <v>0</v>
      </c>
      <c r="Q202" s="350">
        <f t="shared" si="138"/>
        <v>0</v>
      </c>
      <c r="R202" s="350">
        <f t="shared" si="138"/>
        <v>0</v>
      </c>
      <c r="S202" s="350">
        <f t="shared" si="138"/>
        <v>0</v>
      </c>
      <c r="T202" s="350">
        <f t="shared" si="138"/>
        <v>0</v>
      </c>
      <c r="U202" s="350">
        <f t="shared" si="138"/>
        <v>0</v>
      </c>
      <c r="V202" s="350">
        <f t="shared" si="138"/>
        <v>0</v>
      </c>
      <c r="W202" s="350">
        <f t="shared" si="138"/>
        <v>0</v>
      </c>
      <c r="X202" s="350">
        <f t="shared" si="138"/>
        <v>0</v>
      </c>
      <c r="Y202" s="350">
        <f t="shared" si="138"/>
        <v>0</v>
      </c>
      <c r="Z202" s="350">
        <f t="shared" si="138"/>
        <v>0</v>
      </c>
      <c r="AA202" s="350">
        <f t="shared" si="138"/>
        <v>0</v>
      </c>
      <c r="AB202" s="350">
        <f t="shared" si="138"/>
        <v>0</v>
      </c>
      <c r="AC202" s="350">
        <f t="shared" si="138"/>
        <v>0</v>
      </c>
      <c r="AD202" s="350">
        <f t="shared" si="138"/>
        <v>0</v>
      </c>
      <c r="AE202" s="350">
        <f t="shared" si="138"/>
        <v>0</v>
      </c>
      <c r="AF202" s="350">
        <f t="shared" si="138"/>
        <v>0</v>
      </c>
      <c r="AG202" s="350">
        <f t="shared" si="138"/>
        <v>0</v>
      </c>
      <c r="AH202" s="350">
        <f t="shared" si="138"/>
        <v>0</v>
      </c>
      <c r="AI202" s="350">
        <f t="shared" si="138"/>
        <v>0</v>
      </c>
      <c r="AJ202" s="350">
        <f t="shared" si="138"/>
        <v>0</v>
      </c>
      <c r="AK202" s="350">
        <f t="shared" si="138"/>
        <v>0</v>
      </c>
      <c r="AL202" s="350">
        <f t="shared" si="138"/>
        <v>0</v>
      </c>
      <c r="AM202" s="350">
        <f t="shared" si="138"/>
        <v>0</v>
      </c>
      <c r="AN202" s="350">
        <f t="shared" si="138"/>
        <v>0</v>
      </c>
      <c r="AO202" s="350">
        <f t="shared" si="138"/>
        <v>0</v>
      </c>
      <c r="AP202" s="350">
        <f t="shared" si="138"/>
        <v>0</v>
      </c>
      <c r="AQ202" s="350">
        <f t="shared" si="138"/>
        <v>0</v>
      </c>
      <c r="AR202" s="350">
        <f t="shared" si="138"/>
        <v>0</v>
      </c>
      <c r="AS202" s="350">
        <f t="shared" si="138"/>
        <v>0</v>
      </c>
      <c r="AT202" s="350">
        <f t="shared" si="138"/>
        <v>0</v>
      </c>
      <c r="AU202" s="350">
        <f t="shared" si="138"/>
        <v>0</v>
      </c>
      <c r="AV202" s="350">
        <f t="shared" si="138"/>
        <v>0</v>
      </c>
      <c r="AW202" s="350">
        <f t="shared" si="138"/>
        <v>0</v>
      </c>
      <c r="AX202" s="350">
        <f t="shared" si="138"/>
        <v>0</v>
      </c>
      <c r="AY202" s="350">
        <f t="shared" si="138"/>
        <v>0</v>
      </c>
      <c r="AZ202" s="350">
        <f t="shared" si="138"/>
        <v>0</v>
      </c>
      <c r="BA202" s="350">
        <f t="shared" si="138"/>
        <v>0</v>
      </c>
      <c r="BB202" s="350">
        <f t="shared" si="138"/>
        <v>0</v>
      </c>
      <c r="BC202" s="350">
        <f t="shared" si="138"/>
        <v>0</v>
      </c>
      <c r="BD202" s="350">
        <f t="shared" si="138"/>
        <v>0</v>
      </c>
      <c r="BE202" s="350">
        <f t="shared" si="138"/>
        <v>0</v>
      </c>
      <c r="BF202" s="350">
        <f t="shared" si="138"/>
        <v>0</v>
      </c>
      <c r="BG202" s="350">
        <f t="shared" si="138"/>
        <v>0</v>
      </c>
      <c r="BH202" s="350">
        <f t="shared" si="138"/>
        <v>0</v>
      </c>
      <c r="BI202" s="350">
        <f t="shared" si="138"/>
        <v>0</v>
      </c>
      <c r="BJ202" s="350">
        <f t="shared" si="138"/>
        <v>0</v>
      </c>
      <c r="BK202" s="350">
        <f t="shared" si="138"/>
        <v>0</v>
      </c>
      <c r="BL202" s="350">
        <f t="shared" si="138"/>
        <v>0</v>
      </c>
      <c r="BM202" s="350">
        <f t="shared" si="138"/>
        <v>0</v>
      </c>
      <c r="BN202" s="350">
        <f t="shared" si="138"/>
        <v>0</v>
      </c>
      <c r="BO202" s="350">
        <f t="shared" si="138"/>
        <v>0</v>
      </c>
      <c r="BP202" s="350">
        <f t="shared" si="138"/>
        <v>0</v>
      </c>
      <c r="BQ202" s="350">
        <f t="shared" si="138"/>
        <v>0</v>
      </c>
      <c r="BR202" s="350">
        <f t="shared" si="138"/>
        <v>0</v>
      </c>
      <c r="BS202" s="350">
        <f t="shared" si="138"/>
        <v>0</v>
      </c>
      <c r="BT202" s="350">
        <f t="shared" si="138"/>
        <v>0</v>
      </c>
      <c r="BU202" s="350">
        <f t="shared" si="138"/>
        <v>0</v>
      </c>
      <c r="BV202" s="350">
        <f t="shared" si="138"/>
        <v>0</v>
      </c>
      <c r="BW202" s="350">
        <f t="shared" si="138"/>
        <v>0</v>
      </c>
      <c r="BX202" s="350">
        <f t="shared" si="138"/>
        <v>0</v>
      </c>
      <c r="BY202" s="350">
        <f t="shared" si="138"/>
        <v>0</v>
      </c>
      <c r="BZ202" s="350">
        <f t="shared" si="138"/>
        <v>0</v>
      </c>
      <c r="CA202" s="350">
        <f t="shared" si="138"/>
        <v>0</v>
      </c>
      <c r="CB202" s="350">
        <f t="shared" si="138"/>
        <v>0</v>
      </c>
      <c r="CC202" s="350">
        <f t="shared" si="138"/>
        <v>0</v>
      </c>
      <c r="CD202" s="350">
        <f t="shared" si="138"/>
        <v>0</v>
      </c>
      <c r="CE202" s="350">
        <f t="shared" si="138"/>
        <v>0</v>
      </c>
      <c r="CF202" s="350">
        <f t="shared" si="138"/>
        <v>0</v>
      </c>
      <c r="CG202" s="350">
        <f t="shared" si="138"/>
        <v>0</v>
      </c>
      <c r="CH202" s="350">
        <f t="shared" si="138"/>
        <v>0</v>
      </c>
      <c r="CI202" s="350">
        <f t="shared" si="138"/>
        <v>0</v>
      </c>
      <c r="CJ202" s="350">
        <f t="shared" si="138"/>
        <v>0</v>
      </c>
      <c r="CK202" s="350">
        <f t="shared" si="138"/>
        <v>0</v>
      </c>
      <c r="CL202" s="350">
        <f t="shared" si="138"/>
        <v>0</v>
      </c>
      <c r="CM202" s="350">
        <f t="shared" si="138"/>
        <v>0</v>
      </c>
      <c r="CN202" s="350">
        <f t="shared" si="138"/>
        <v>0</v>
      </c>
      <c r="CO202" s="350">
        <f t="shared" si="138"/>
        <v>0</v>
      </c>
      <c r="CP202" s="350">
        <f t="shared" si="138"/>
        <v>0</v>
      </c>
      <c r="CQ202" s="350">
        <f t="shared" si="138"/>
        <v>0</v>
      </c>
      <c r="CR202" s="350">
        <f t="shared" si="138"/>
        <v>0</v>
      </c>
      <c r="CS202" s="350">
        <f t="shared" si="138"/>
        <v>0</v>
      </c>
      <c r="CT202" s="350">
        <f t="shared" si="138"/>
        <v>0</v>
      </c>
      <c r="CU202" s="350">
        <f t="shared" si="138"/>
        <v>0</v>
      </c>
      <c r="CV202" s="350">
        <f t="shared" si="138"/>
        <v>0</v>
      </c>
      <c r="CW202" s="350">
        <f t="shared" si="138"/>
        <v>0</v>
      </c>
      <c r="CX202" s="350">
        <f t="shared" si="138"/>
        <v>0</v>
      </c>
      <c r="CY202" s="350">
        <f t="shared" si="138"/>
        <v>0</v>
      </c>
      <c r="CZ202" s="350">
        <f t="shared" si="138"/>
        <v>0</v>
      </c>
      <c r="DA202" s="350">
        <f t="shared" si="138"/>
        <v>0</v>
      </c>
      <c r="DB202" s="350">
        <f t="shared" si="138"/>
        <v>0</v>
      </c>
      <c r="DC202" s="350">
        <f t="shared" si="138"/>
        <v>0</v>
      </c>
      <c r="DD202" s="350">
        <f t="shared" si="138"/>
        <v>0</v>
      </c>
      <c r="DE202" s="350">
        <f t="shared" si="138"/>
        <v>0</v>
      </c>
      <c r="DF202" s="350">
        <f t="shared" si="138"/>
        <v>0</v>
      </c>
      <c r="DG202" s="350">
        <f t="shared" si="138"/>
        <v>0</v>
      </c>
      <c r="DH202" s="350">
        <f t="shared" si="138"/>
        <v>0</v>
      </c>
      <c r="DI202" s="350">
        <f t="shared" si="138"/>
        <v>0</v>
      </c>
      <c r="DJ202" s="350">
        <f t="shared" si="138"/>
        <v>0</v>
      </c>
      <c r="DK202" s="350">
        <f t="shared" si="138"/>
        <v>0</v>
      </c>
      <c r="DL202" s="350">
        <f t="shared" si="138"/>
        <v>0</v>
      </c>
      <c r="DM202" s="350">
        <f t="shared" si="138"/>
        <v>0</v>
      </c>
      <c r="DN202" s="350">
        <f t="shared" si="138"/>
        <v>0</v>
      </c>
      <c r="DO202" s="350">
        <f t="shared" si="138"/>
        <v>0</v>
      </c>
      <c r="DP202" s="350">
        <f t="shared" si="138"/>
        <v>0</v>
      </c>
      <c r="DQ202" s="350">
        <f t="shared" si="138"/>
        <v>0</v>
      </c>
      <c r="DR202" s="350">
        <f t="shared" si="138"/>
        <v>0</v>
      </c>
      <c r="DS202" s="350">
        <f t="shared" si="138"/>
        <v>0</v>
      </c>
      <c r="DT202" s="350">
        <f t="shared" si="138"/>
        <v>0</v>
      </c>
      <c r="DU202" s="350">
        <f t="shared" si="138"/>
        <v>0</v>
      </c>
      <c r="DV202" s="350">
        <f t="shared" si="138"/>
        <v>0</v>
      </c>
      <c r="DW202" s="6"/>
      <c r="DX202" s="6"/>
      <c r="DY202" s="6"/>
      <c r="DZ202" s="6"/>
    </row>
    <row r="203" spans="1:130" ht="12.75" customHeight="1" outlineLevel="1" x14ac:dyDescent="0.25">
      <c r="A203" s="6"/>
      <c r="B203" s="6" t="s">
        <v>443</v>
      </c>
      <c r="C203" s="6"/>
      <c r="D203" s="6"/>
      <c r="E203" s="6"/>
      <c r="F203" s="350">
        <f t="shared" ref="F203:AK203" si="139">IF(F194="","",F202/VLOOKUP($B192,Promote_Structure_Monthly,8,FALSE)*VLOOKUP($B192,Promote_Structure_Monthly,7,FALSE))</f>
        <v>0</v>
      </c>
      <c r="G203" s="350">
        <f t="shared" si="139"/>
        <v>0</v>
      </c>
      <c r="H203" s="350">
        <f t="shared" si="139"/>
        <v>0</v>
      </c>
      <c r="I203" s="350">
        <f t="shared" si="139"/>
        <v>0</v>
      </c>
      <c r="J203" s="350">
        <f t="shared" si="139"/>
        <v>0</v>
      </c>
      <c r="K203" s="350">
        <f t="shared" si="139"/>
        <v>0</v>
      </c>
      <c r="L203" s="350">
        <f t="shared" si="139"/>
        <v>0</v>
      </c>
      <c r="M203" s="350">
        <f t="shared" si="139"/>
        <v>0</v>
      </c>
      <c r="N203" s="350">
        <f t="shared" si="139"/>
        <v>0</v>
      </c>
      <c r="O203" s="350">
        <f t="shared" si="139"/>
        <v>0</v>
      </c>
      <c r="P203" s="350">
        <f t="shared" si="139"/>
        <v>0</v>
      </c>
      <c r="Q203" s="350">
        <f t="shared" si="139"/>
        <v>0</v>
      </c>
      <c r="R203" s="350">
        <f t="shared" si="139"/>
        <v>0</v>
      </c>
      <c r="S203" s="350">
        <f t="shared" si="139"/>
        <v>0</v>
      </c>
      <c r="T203" s="350">
        <f t="shared" si="139"/>
        <v>0</v>
      </c>
      <c r="U203" s="350">
        <f t="shared" si="139"/>
        <v>0</v>
      </c>
      <c r="V203" s="350">
        <f t="shared" si="139"/>
        <v>0</v>
      </c>
      <c r="W203" s="350">
        <f t="shared" si="139"/>
        <v>0</v>
      </c>
      <c r="X203" s="350">
        <f t="shared" si="139"/>
        <v>0</v>
      </c>
      <c r="Y203" s="350">
        <f t="shared" si="139"/>
        <v>0</v>
      </c>
      <c r="Z203" s="350">
        <f t="shared" si="139"/>
        <v>0</v>
      </c>
      <c r="AA203" s="350">
        <f t="shared" si="139"/>
        <v>0</v>
      </c>
      <c r="AB203" s="350">
        <f t="shared" si="139"/>
        <v>0</v>
      </c>
      <c r="AC203" s="350">
        <f t="shared" si="139"/>
        <v>0</v>
      </c>
      <c r="AD203" s="350">
        <f t="shared" si="139"/>
        <v>0</v>
      </c>
      <c r="AE203" s="350">
        <f t="shared" si="139"/>
        <v>0</v>
      </c>
      <c r="AF203" s="350">
        <f t="shared" si="139"/>
        <v>0</v>
      </c>
      <c r="AG203" s="350">
        <f t="shared" si="139"/>
        <v>0</v>
      </c>
      <c r="AH203" s="350">
        <f t="shared" si="139"/>
        <v>0</v>
      </c>
      <c r="AI203" s="350">
        <f t="shared" si="139"/>
        <v>0</v>
      </c>
      <c r="AJ203" s="350">
        <f t="shared" si="139"/>
        <v>0</v>
      </c>
      <c r="AK203" s="350">
        <f t="shared" si="139"/>
        <v>0</v>
      </c>
      <c r="AL203" s="350">
        <f t="shared" ref="AL203:BQ203" si="140">IF(AL194="","",AL202/VLOOKUP($B192,Promote_Structure_Monthly,8,FALSE)*VLOOKUP($B192,Promote_Structure_Monthly,7,FALSE))</f>
        <v>0</v>
      </c>
      <c r="AM203" s="350">
        <f t="shared" si="140"/>
        <v>0</v>
      </c>
      <c r="AN203" s="350">
        <f t="shared" si="140"/>
        <v>0</v>
      </c>
      <c r="AO203" s="350">
        <f t="shared" si="140"/>
        <v>0</v>
      </c>
      <c r="AP203" s="350">
        <f t="shared" si="140"/>
        <v>0</v>
      </c>
      <c r="AQ203" s="350">
        <f t="shared" si="140"/>
        <v>0</v>
      </c>
      <c r="AR203" s="350">
        <f t="shared" si="140"/>
        <v>0</v>
      </c>
      <c r="AS203" s="350">
        <f t="shared" si="140"/>
        <v>0</v>
      </c>
      <c r="AT203" s="350">
        <f t="shared" si="140"/>
        <v>0</v>
      </c>
      <c r="AU203" s="350">
        <f t="shared" si="140"/>
        <v>0</v>
      </c>
      <c r="AV203" s="350">
        <f t="shared" si="140"/>
        <v>0</v>
      </c>
      <c r="AW203" s="350">
        <f t="shared" si="140"/>
        <v>0</v>
      </c>
      <c r="AX203" s="350">
        <f t="shared" si="140"/>
        <v>0</v>
      </c>
      <c r="AY203" s="350">
        <f t="shared" si="140"/>
        <v>0</v>
      </c>
      <c r="AZ203" s="350">
        <f t="shared" si="140"/>
        <v>0</v>
      </c>
      <c r="BA203" s="350">
        <f t="shared" si="140"/>
        <v>0</v>
      </c>
      <c r="BB203" s="350">
        <f t="shared" si="140"/>
        <v>0</v>
      </c>
      <c r="BC203" s="350">
        <f t="shared" si="140"/>
        <v>0</v>
      </c>
      <c r="BD203" s="350">
        <f t="shared" si="140"/>
        <v>0</v>
      </c>
      <c r="BE203" s="350">
        <f t="shared" si="140"/>
        <v>0</v>
      </c>
      <c r="BF203" s="350">
        <f t="shared" si="140"/>
        <v>0</v>
      </c>
      <c r="BG203" s="350">
        <f t="shared" si="140"/>
        <v>0</v>
      </c>
      <c r="BH203" s="350">
        <f t="shared" si="140"/>
        <v>0</v>
      </c>
      <c r="BI203" s="350">
        <f t="shared" si="140"/>
        <v>0</v>
      </c>
      <c r="BJ203" s="350">
        <f t="shared" si="140"/>
        <v>0</v>
      </c>
      <c r="BK203" s="350">
        <f t="shared" si="140"/>
        <v>0</v>
      </c>
      <c r="BL203" s="350">
        <f t="shared" si="140"/>
        <v>0</v>
      </c>
      <c r="BM203" s="350">
        <f t="shared" si="140"/>
        <v>0</v>
      </c>
      <c r="BN203" s="350">
        <f t="shared" si="140"/>
        <v>0</v>
      </c>
      <c r="BO203" s="350">
        <f t="shared" si="140"/>
        <v>0</v>
      </c>
      <c r="BP203" s="350">
        <f t="shared" si="140"/>
        <v>0</v>
      </c>
      <c r="BQ203" s="350">
        <f t="shared" si="140"/>
        <v>0</v>
      </c>
      <c r="BR203" s="350">
        <f t="shared" ref="BR203:CW203" si="141">IF(BR194="","",BR202/VLOOKUP($B192,Promote_Structure_Monthly,8,FALSE)*VLOOKUP($B192,Promote_Structure_Monthly,7,FALSE))</f>
        <v>0</v>
      </c>
      <c r="BS203" s="350">
        <f t="shared" si="141"/>
        <v>0</v>
      </c>
      <c r="BT203" s="350">
        <f t="shared" si="141"/>
        <v>0</v>
      </c>
      <c r="BU203" s="350">
        <f t="shared" si="141"/>
        <v>0</v>
      </c>
      <c r="BV203" s="350">
        <f t="shared" si="141"/>
        <v>0</v>
      </c>
      <c r="BW203" s="350">
        <f t="shared" si="141"/>
        <v>0</v>
      </c>
      <c r="BX203" s="350">
        <f t="shared" si="141"/>
        <v>0</v>
      </c>
      <c r="BY203" s="350">
        <f t="shared" si="141"/>
        <v>0</v>
      </c>
      <c r="BZ203" s="350">
        <f t="shared" si="141"/>
        <v>0</v>
      </c>
      <c r="CA203" s="350">
        <f t="shared" si="141"/>
        <v>0</v>
      </c>
      <c r="CB203" s="350">
        <f t="shared" si="141"/>
        <v>0</v>
      </c>
      <c r="CC203" s="350">
        <f t="shared" si="141"/>
        <v>0</v>
      </c>
      <c r="CD203" s="350">
        <f t="shared" si="141"/>
        <v>0</v>
      </c>
      <c r="CE203" s="350">
        <f t="shared" si="141"/>
        <v>0</v>
      </c>
      <c r="CF203" s="350">
        <f t="shared" si="141"/>
        <v>0</v>
      </c>
      <c r="CG203" s="350">
        <f t="shared" si="141"/>
        <v>0</v>
      </c>
      <c r="CH203" s="350">
        <f t="shared" si="141"/>
        <v>0</v>
      </c>
      <c r="CI203" s="350">
        <f t="shared" si="141"/>
        <v>0</v>
      </c>
      <c r="CJ203" s="350">
        <f t="shared" si="141"/>
        <v>0</v>
      </c>
      <c r="CK203" s="350">
        <f t="shared" si="141"/>
        <v>0</v>
      </c>
      <c r="CL203" s="350">
        <f t="shared" si="141"/>
        <v>0</v>
      </c>
      <c r="CM203" s="350">
        <f t="shared" si="141"/>
        <v>0</v>
      </c>
      <c r="CN203" s="350">
        <f t="shared" si="141"/>
        <v>0</v>
      </c>
      <c r="CO203" s="350">
        <f t="shared" si="141"/>
        <v>0</v>
      </c>
      <c r="CP203" s="350">
        <f t="shared" si="141"/>
        <v>0</v>
      </c>
      <c r="CQ203" s="350">
        <f t="shared" si="141"/>
        <v>0</v>
      </c>
      <c r="CR203" s="350">
        <f t="shared" si="141"/>
        <v>0</v>
      </c>
      <c r="CS203" s="350">
        <f t="shared" si="141"/>
        <v>0</v>
      </c>
      <c r="CT203" s="350">
        <f t="shared" si="141"/>
        <v>0</v>
      </c>
      <c r="CU203" s="350">
        <f t="shared" si="141"/>
        <v>0</v>
      </c>
      <c r="CV203" s="350">
        <f t="shared" si="141"/>
        <v>0</v>
      </c>
      <c r="CW203" s="350">
        <f t="shared" si="141"/>
        <v>0</v>
      </c>
      <c r="CX203" s="350">
        <f t="shared" ref="CX203:DV203" si="142">IF(CX194="","",CX202/VLOOKUP($B192,Promote_Structure_Monthly,8,FALSE)*VLOOKUP($B192,Promote_Structure_Monthly,7,FALSE))</f>
        <v>0</v>
      </c>
      <c r="CY203" s="350">
        <f t="shared" si="142"/>
        <v>0</v>
      </c>
      <c r="CZ203" s="350">
        <f t="shared" si="142"/>
        <v>0</v>
      </c>
      <c r="DA203" s="350">
        <f t="shared" si="142"/>
        <v>0</v>
      </c>
      <c r="DB203" s="350">
        <f t="shared" si="142"/>
        <v>0</v>
      </c>
      <c r="DC203" s="350">
        <f t="shared" si="142"/>
        <v>0</v>
      </c>
      <c r="DD203" s="350">
        <f t="shared" si="142"/>
        <v>0</v>
      </c>
      <c r="DE203" s="350">
        <f t="shared" si="142"/>
        <v>0</v>
      </c>
      <c r="DF203" s="350">
        <f t="shared" si="142"/>
        <v>0</v>
      </c>
      <c r="DG203" s="350">
        <f t="shared" si="142"/>
        <v>0</v>
      </c>
      <c r="DH203" s="350">
        <f t="shared" si="142"/>
        <v>0</v>
      </c>
      <c r="DI203" s="350">
        <f t="shared" si="142"/>
        <v>0</v>
      </c>
      <c r="DJ203" s="350">
        <f t="shared" si="142"/>
        <v>0</v>
      </c>
      <c r="DK203" s="350">
        <f t="shared" si="142"/>
        <v>0</v>
      </c>
      <c r="DL203" s="350">
        <f t="shared" si="142"/>
        <v>0</v>
      </c>
      <c r="DM203" s="350">
        <f t="shared" si="142"/>
        <v>0</v>
      </c>
      <c r="DN203" s="350">
        <f t="shared" si="142"/>
        <v>0</v>
      </c>
      <c r="DO203" s="350">
        <f t="shared" si="142"/>
        <v>0</v>
      </c>
      <c r="DP203" s="350">
        <f t="shared" si="142"/>
        <v>0</v>
      </c>
      <c r="DQ203" s="350">
        <f t="shared" si="142"/>
        <v>0</v>
      </c>
      <c r="DR203" s="350">
        <f t="shared" si="142"/>
        <v>0</v>
      </c>
      <c r="DS203" s="350">
        <f t="shared" si="142"/>
        <v>0</v>
      </c>
      <c r="DT203" s="350">
        <f t="shared" si="142"/>
        <v>0</v>
      </c>
      <c r="DU203" s="350">
        <f t="shared" si="142"/>
        <v>0</v>
      </c>
      <c r="DV203" s="350">
        <f t="shared" si="142"/>
        <v>0</v>
      </c>
      <c r="DW203" s="6"/>
      <c r="DX203" s="6"/>
      <c r="DY203" s="6"/>
      <c r="DZ203" s="6"/>
    </row>
    <row r="204" spans="1:130" ht="12.75" customHeight="1" outlineLevel="1" x14ac:dyDescent="0.25">
      <c r="A204" s="6"/>
      <c r="B204" s="6" t="str">
        <f>"Total Distributions ("&amp;B192&amp;")"</f>
        <v>Total Distributions (Hurdle 3)</v>
      </c>
      <c r="C204" s="6"/>
      <c r="D204" s="6"/>
      <c r="E204" s="6"/>
      <c r="F204" s="350">
        <f t="shared" ref="F204:DV204" si="143">IF(F194="","",F202+F203)</f>
        <v>0</v>
      </c>
      <c r="G204" s="350">
        <f t="shared" si="143"/>
        <v>0</v>
      </c>
      <c r="H204" s="350">
        <f t="shared" si="143"/>
        <v>0</v>
      </c>
      <c r="I204" s="350">
        <f t="shared" si="143"/>
        <v>0</v>
      </c>
      <c r="J204" s="350">
        <f t="shared" si="143"/>
        <v>0</v>
      </c>
      <c r="K204" s="350">
        <f t="shared" si="143"/>
        <v>0</v>
      </c>
      <c r="L204" s="350">
        <f t="shared" si="143"/>
        <v>0</v>
      </c>
      <c r="M204" s="350">
        <f t="shared" si="143"/>
        <v>0</v>
      </c>
      <c r="N204" s="350">
        <f t="shared" si="143"/>
        <v>0</v>
      </c>
      <c r="O204" s="350">
        <f t="shared" si="143"/>
        <v>0</v>
      </c>
      <c r="P204" s="350">
        <f t="shared" si="143"/>
        <v>0</v>
      </c>
      <c r="Q204" s="350">
        <f t="shared" si="143"/>
        <v>0</v>
      </c>
      <c r="R204" s="350">
        <f t="shared" si="143"/>
        <v>0</v>
      </c>
      <c r="S204" s="350">
        <f t="shared" si="143"/>
        <v>0</v>
      </c>
      <c r="T204" s="350">
        <f t="shared" si="143"/>
        <v>0</v>
      </c>
      <c r="U204" s="350">
        <f t="shared" si="143"/>
        <v>0</v>
      </c>
      <c r="V204" s="350">
        <f t="shared" si="143"/>
        <v>0</v>
      </c>
      <c r="W204" s="350">
        <f t="shared" si="143"/>
        <v>0</v>
      </c>
      <c r="X204" s="350">
        <f t="shared" si="143"/>
        <v>0</v>
      </c>
      <c r="Y204" s="350">
        <f t="shared" si="143"/>
        <v>0</v>
      </c>
      <c r="Z204" s="350">
        <f t="shared" si="143"/>
        <v>0</v>
      </c>
      <c r="AA204" s="350">
        <f t="shared" si="143"/>
        <v>0</v>
      </c>
      <c r="AB204" s="350">
        <f t="shared" si="143"/>
        <v>0</v>
      </c>
      <c r="AC204" s="350">
        <f t="shared" si="143"/>
        <v>0</v>
      </c>
      <c r="AD204" s="350">
        <f t="shared" si="143"/>
        <v>0</v>
      </c>
      <c r="AE204" s="350">
        <f t="shared" si="143"/>
        <v>0</v>
      </c>
      <c r="AF204" s="350">
        <f t="shared" si="143"/>
        <v>0</v>
      </c>
      <c r="AG204" s="350">
        <f t="shared" si="143"/>
        <v>0</v>
      </c>
      <c r="AH204" s="350">
        <f t="shared" si="143"/>
        <v>0</v>
      </c>
      <c r="AI204" s="350">
        <f t="shared" si="143"/>
        <v>0</v>
      </c>
      <c r="AJ204" s="350">
        <f t="shared" si="143"/>
        <v>0</v>
      </c>
      <c r="AK204" s="350">
        <f t="shared" si="143"/>
        <v>0</v>
      </c>
      <c r="AL204" s="350">
        <f t="shared" si="143"/>
        <v>0</v>
      </c>
      <c r="AM204" s="350">
        <f t="shared" si="143"/>
        <v>0</v>
      </c>
      <c r="AN204" s="350">
        <f t="shared" si="143"/>
        <v>0</v>
      </c>
      <c r="AO204" s="350">
        <f t="shared" si="143"/>
        <v>0</v>
      </c>
      <c r="AP204" s="350">
        <f t="shared" si="143"/>
        <v>0</v>
      </c>
      <c r="AQ204" s="350">
        <f t="shared" si="143"/>
        <v>0</v>
      </c>
      <c r="AR204" s="350">
        <f t="shared" si="143"/>
        <v>0</v>
      </c>
      <c r="AS204" s="350">
        <f t="shared" si="143"/>
        <v>0</v>
      </c>
      <c r="AT204" s="350">
        <f t="shared" si="143"/>
        <v>0</v>
      </c>
      <c r="AU204" s="350">
        <f t="shared" si="143"/>
        <v>0</v>
      </c>
      <c r="AV204" s="350">
        <f t="shared" si="143"/>
        <v>0</v>
      </c>
      <c r="AW204" s="350">
        <f t="shared" si="143"/>
        <v>0</v>
      </c>
      <c r="AX204" s="350">
        <f t="shared" si="143"/>
        <v>0</v>
      </c>
      <c r="AY204" s="350">
        <f t="shared" si="143"/>
        <v>0</v>
      </c>
      <c r="AZ204" s="350">
        <f t="shared" si="143"/>
        <v>0</v>
      </c>
      <c r="BA204" s="350">
        <f t="shared" si="143"/>
        <v>0</v>
      </c>
      <c r="BB204" s="350">
        <f t="shared" si="143"/>
        <v>0</v>
      </c>
      <c r="BC204" s="350">
        <f t="shared" si="143"/>
        <v>0</v>
      </c>
      <c r="BD204" s="350">
        <f t="shared" si="143"/>
        <v>0</v>
      </c>
      <c r="BE204" s="350">
        <f t="shared" si="143"/>
        <v>0</v>
      </c>
      <c r="BF204" s="350">
        <f t="shared" si="143"/>
        <v>0</v>
      </c>
      <c r="BG204" s="350">
        <f t="shared" si="143"/>
        <v>0</v>
      </c>
      <c r="BH204" s="350">
        <f t="shared" si="143"/>
        <v>0</v>
      </c>
      <c r="BI204" s="350">
        <f t="shared" si="143"/>
        <v>0</v>
      </c>
      <c r="BJ204" s="350">
        <f t="shared" si="143"/>
        <v>0</v>
      </c>
      <c r="BK204" s="350">
        <f t="shared" si="143"/>
        <v>0</v>
      </c>
      <c r="BL204" s="350">
        <f t="shared" si="143"/>
        <v>0</v>
      </c>
      <c r="BM204" s="350">
        <f t="shared" si="143"/>
        <v>0</v>
      </c>
      <c r="BN204" s="350">
        <f t="shared" si="143"/>
        <v>0</v>
      </c>
      <c r="BO204" s="350">
        <f t="shared" si="143"/>
        <v>0</v>
      </c>
      <c r="BP204" s="350">
        <f t="shared" si="143"/>
        <v>0</v>
      </c>
      <c r="BQ204" s="350">
        <f t="shared" si="143"/>
        <v>0</v>
      </c>
      <c r="BR204" s="350">
        <f t="shared" si="143"/>
        <v>0</v>
      </c>
      <c r="BS204" s="350">
        <f t="shared" si="143"/>
        <v>0</v>
      </c>
      <c r="BT204" s="350">
        <f t="shared" si="143"/>
        <v>0</v>
      </c>
      <c r="BU204" s="350">
        <f t="shared" si="143"/>
        <v>0</v>
      </c>
      <c r="BV204" s="350">
        <f t="shared" si="143"/>
        <v>0</v>
      </c>
      <c r="BW204" s="350">
        <f t="shared" si="143"/>
        <v>0</v>
      </c>
      <c r="BX204" s="350">
        <f t="shared" si="143"/>
        <v>0</v>
      </c>
      <c r="BY204" s="350">
        <f t="shared" si="143"/>
        <v>0</v>
      </c>
      <c r="BZ204" s="350">
        <f t="shared" si="143"/>
        <v>0</v>
      </c>
      <c r="CA204" s="350">
        <f t="shared" si="143"/>
        <v>0</v>
      </c>
      <c r="CB204" s="350">
        <f t="shared" si="143"/>
        <v>0</v>
      </c>
      <c r="CC204" s="350">
        <f t="shared" si="143"/>
        <v>0</v>
      </c>
      <c r="CD204" s="350">
        <f t="shared" si="143"/>
        <v>0</v>
      </c>
      <c r="CE204" s="350">
        <f t="shared" si="143"/>
        <v>0</v>
      </c>
      <c r="CF204" s="350">
        <f t="shared" si="143"/>
        <v>0</v>
      </c>
      <c r="CG204" s="350">
        <f t="shared" si="143"/>
        <v>0</v>
      </c>
      <c r="CH204" s="350">
        <f t="shared" si="143"/>
        <v>0</v>
      </c>
      <c r="CI204" s="350">
        <f t="shared" si="143"/>
        <v>0</v>
      </c>
      <c r="CJ204" s="350">
        <f t="shared" si="143"/>
        <v>0</v>
      </c>
      <c r="CK204" s="350">
        <f t="shared" si="143"/>
        <v>0</v>
      </c>
      <c r="CL204" s="350">
        <f t="shared" si="143"/>
        <v>0</v>
      </c>
      <c r="CM204" s="350">
        <f t="shared" si="143"/>
        <v>0</v>
      </c>
      <c r="CN204" s="350">
        <f t="shared" si="143"/>
        <v>0</v>
      </c>
      <c r="CO204" s="350">
        <f t="shared" si="143"/>
        <v>0</v>
      </c>
      <c r="CP204" s="350">
        <f t="shared" si="143"/>
        <v>0</v>
      </c>
      <c r="CQ204" s="350">
        <f t="shared" si="143"/>
        <v>0</v>
      </c>
      <c r="CR204" s="350">
        <f t="shared" si="143"/>
        <v>0</v>
      </c>
      <c r="CS204" s="350">
        <f t="shared" si="143"/>
        <v>0</v>
      </c>
      <c r="CT204" s="350">
        <f t="shared" si="143"/>
        <v>0</v>
      </c>
      <c r="CU204" s="350">
        <f t="shared" si="143"/>
        <v>0</v>
      </c>
      <c r="CV204" s="350">
        <f t="shared" si="143"/>
        <v>0</v>
      </c>
      <c r="CW204" s="350">
        <f t="shared" si="143"/>
        <v>0</v>
      </c>
      <c r="CX204" s="350">
        <f t="shared" si="143"/>
        <v>0</v>
      </c>
      <c r="CY204" s="350">
        <f t="shared" si="143"/>
        <v>0</v>
      </c>
      <c r="CZ204" s="350">
        <f t="shared" si="143"/>
        <v>0</v>
      </c>
      <c r="DA204" s="350">
        <f t="shared" si="143"/>
        <v>0</v>
      </c>
      <c r="DB204" s="350">
        <f t="shared" si="143"/>
        <v>0</v>
      </c>
      <c r="DC204" s="350">
        <f t="shared" si="143"/>
        <v>0</v>
      </c>
      <c r="DD204" s="350">
        <f t="shared" si="143"/>
        <v>0</v>
      </c>
      <c r="DE204" s="350">
        <f t="shared" si="143"/>
        <v>0</v>
      </c>
      <c r="DF204" s="350">
        <f t="shared" si="143"/>
        <v>0</v>
      </c>
      <c r="DG204" s="350">
        <f t="shared" si="143"/>
        <v>0</v>
      </c>
      <c r="DH204" s="350">
        <f t="shared" si="143"/>
        <v>0</v>
      </c>
      <c r="DI204" s="350">
        <f t="shared" si="143"/>
        <v>0</v>
      </c>
      <c r="DJ204" s="350">
        <f t="shared" si="143"/>
        <v>0</v>
      </c>
      <c r="DK204" s="350">
        <f t="shared" si="143"/>
        <v>0</v>
      </c>
      <c r="DL204" s="350">
        <f t="shared" si="143"/>
        <v>0</v>
      </c>
      <c r="DM204" s="350">
        <f t="shared" si="143"/>
        <v>0</v>
      </c>
      <c r="DN204" s="350">
        <f t="shared" si="143"/>
        <v>0</v>
      </c>
      <c r="DO204" s="350">
        <f t="shared" si="143"/>
        <v>0</v>
      </c>
      <c r="DP204" s="350">
        <f t="shared" si="143"/>
        <v>0</v>
      </c>
      <c r="DQ204" s="350">
        <f t="shared" si="143"/>
        <v>0</v>
      </c>
      <c r="DR204" s="350">
        <f t="shared" si="143"/>
        <v>0</v>
      </c>
      <c r="DS204" s="350">
        <f t="shared" si="143"/>
        <v>0</v>
      </c>
      <c r="DT204" s="350">
        <f t="shared" si="143"/>
        <v>0</v>
      </c>
      <c r="DU204" s="350">
        <f t="shared" si="143"/>
        <v>0</v>
      </c>
      <c r="DV204" s="350">
        <f t="shared" si="143"/>
        <v>0</v>
      </c>
      <c r="DW204" s="6"/>
      <c r="DX204" s="6"/>
      <c r="DY204" s="6"/>
      <c r="DZ204" s="6"/>
    </row>
    <row r="205" spans="1:130" ht="12.75" customHeight="1" outlineLevel="1" x14ac:dyDescent="0.25">
      <c r="A205" s="6"/>
      <c r="B205" s="6" t="s">
        <v>444</v>
      </c>
      <c r="C205" s="6"/>
      <c r="D205" s="6"/>
      <c r="E205" s="6"/>
      <c r="F205" s="350">
        <f t="shared" ref="F205:DV205" si="144">IF(F194="","",MAX(F$160-F174-F189-F204,0))</f>
        <v>0</v>
      </c>
      <c r="G205" s="350">
        <f t="shared" si="144"/>
        <v>0</v>
      </c>
      <c r="H205" s="350">
        <f t="shared" si="144"/>
        <v>0</v>
      </c>
      <c r="I205" s="350">
        <f t="shared" si="144"/>
        <v>0</v>
      </c>
      <c r="J205" s="350">
        <f t="shared" si="144"/>
        <v>0</v>
      </c>
      <c r="K205" s="350">
        <f t="shared" si="144"/>
        <v>0</v>
      </c>
      <c r="L205" s="350">
        <f t="shared" si="144"/>
        <v>0</v>
      </c>
      <c r="M205" s="350">
        <f t="shared" si="144"/>
        <v>0</v>
      </c>
      <c r="N205" s="350">
        <f t="shared" si="144"/>
        <v>0</v>
      </c>
      <c r="O205" s="350">
        <f t="shared" si="144"/>
        <v>0</v>
      </c>
      <c r="P205" s="350">
        <f t="shared" si="144"/>
        <v>0</v>
      </c>
      <c r="Q205" s="350">
        <f t="shared" si="144"/>
        <v>0</v>
      </c>
      <c r="R205" s="350">
        <f t="shared" si="144"/>
        <v>0</v>
      </c>
      <c r="S205" s="350">
        <f t="shared" si="144"/>
        <v>0</v>
      </c>
      <c r="T205" s="350">
        <f t="shared" si="144"/>
        <v>0</v>
      </c>
      <c r="U205" s="350">
        <f t="shared" si="144"/>
        <v>0</v>
      </c>
      <c r="V205" s="350">
        <f t="shared" si="144"/>
        <v>0</v>
      </c>
      <c r="W205" s="350">
        <f t="shared" si="144"/>
        <v>0</v>
      </c>
      <c r="X205" s="350">
        <f t="shared" si="144"/>
        <v>0</v>
      </c>
      <c r="Y205" s="350">
        <f t="shared" si="144"/>
        <v>0</v>
      </c>
      <c r="Z205" s="350">
        <f t="shared" si="144"/>
        <v>0</v>
      </c>
      <c r="AA205" s="350">
        <f t="shared" si="144"/>
        <v>0</v>
      </c>
      <c r="AB205" s="350">
        <f t="shared" si="144"/>
        <v>0</v>
      </c>
      <c r="AC205" s="350">
        <f t="shared" si="144"/>
        <v>0</v>
      </c>
      <c r="AD205" s="350">
        <f t="shared" si="144"/>
        <v>0</v>
      </c>
      <c r="AE205" s="350">
        <f t="shared" si="144"/>
        <v>0</v>
      </c>
      <c r="AF205" s="350">
        <f t="shared" si="144"/>
        <v>0</v>
      </c>
      <c r="AG205" s="350">
        <f t="shared" si="144"/>
        <v>0</v>
      </c>
      <c r="AH205" s="350">
        <f t="shared" si="144"/>
        <v>0</v>
      </c>
      <c r="AI205" s="350">
        <f t="shared" si="144"/>
        <v>0</v>
      </c>
      <c r="AJ205" s="350">
        <f t="shared" si="144"/>
        <v>0</v>
      </c>
      <c r="AK205" s="350">
        <f t="shared" si="144"/>
        <v>0</v>
      </c>
      <c r="AL205" s="350">
        <f t="shared" si="144"/>
        <v>0</v>
      </c>
      <c r="AM205" s="350">
        <f t="shared" si="144"/>
        <v>0</v>
      </c>
      <c r="AN205" s="350">
        <f t="shared" si="144"/>
        <v>0</v>
      </c>
      <c r="AO205" s="350">
        <f t="shared" si="144"/>
        <v>0</v>
      </c>
      <c r="AP205" s="350">
        <f t="shared" si="144"/>
        <v>0</v>
      </c>
      <c r="AQ205" s="350">
        <f t="shared" si="144"/>
        <v>0</v>
      </c>
      <c r="AR205" s="350">
        <f t="shared" si="144"/>
        <v>0</v>
      </c>
      <c r="AS205" s="350">
        <f t="shared" si="144"/>
        <v>0</v>
      </c>
      <c r="AT205" s="350">
        <f t="shared" si="144"/>
        <v>0</v>
      </c>
      <c r="AU205" s="350">
        <f t="shared" si="144"/>
        <v>0</v>
      </c>
      <c r="AV205" s="350">
        <f t="shared" si="144"/>
        <v>0</v>
      </c>
      <c r="AW205" s="350">
        <f t="shared" si="144"/>
        <v>0</v>
      </c>
      <c r="AX205" s="350">
        <f t="shared" si="144"/>
        <v>0</v>
      </c>
      <c r="AY205" s="350">
        <f t="shared" si="144"/>
        <v>0</v>
      </c>
      <c r="AZ205" s="350">
        <f t="shared" si="144"/>
        <v>0</v>
      </c>
      <c r="BA205" s="350">
        <f t="shared" si="144"/>
        <v>0</v>
      </c>
      <c r="BB205" s="350">
        <f t="shared" si="144"/>
        <v>0</v>
      </c>
      <c r="BC205" s="350">
        <f t="shared" si="144"/>
        <v>0</v>
      </c>
      <c r="BD205" s="350">
        <f t="shared" si="144"/>
        <v>0</v>
      </c>
      <c r="BE205" s="350">
        <f t="shared" si="144"/>
        <v>0</v>
      </c>
      <c r="BF205" s="350">
        <f t="shared" si="144"/>
        <v>0</v>
      </c>
      <c r="BG205" s="350">
        <f t="shared" si="144"/>
        <v>0</v>
      </c>
      <c r="BH205" s="350">
        <f t="shared" si="144"/>
        <v>0</v>
      </c>
      <c r="BI205" s="350">
        <f t="shared" si="144"/>
        <v>0</v>
      </c>
      <c r="BJ205" s="350">
        <f t="shared" si="144"/>
        <v>0</v>
      </c>
      <c r="BK205" s="350">
        <f t="shared" si="144"/>
        <v>0</v>
      </c>
      <c r="BL205" s="350">
        <f t="shared" si="144"/>
        <v>0</v>
      </c>
      <c r="BM205" s="350">
        <f t="shared" si="144"/>
        <v>0</v>
      </c>
      <c r="BN205" s="350">
        <f t="shared" si="144"/>
        <v>0</v>
      </c>
      <c r="BO205" s="350">
        <f t="shared" si="144"/>
        <v>0</v>
      </c>
      <c r="BP205" s="350">
        <f t="shared" si="144"/>
        <v>0</v>
      </c>
      <c r="BQ205" s="350">
        <f t="shared" si="144"/>
        <v>0</v>
      </c>
      <c r="BR205" s="350">
        <f t="shared" si="144"/>
        <v>0</v>
      </c>
      <c r="BS205" s="350">
        <f t="shared" si="144"/>
        <v>0</v>
      </c>
      <c r="BT205" s="350">
        <f t="shared" si="144"/>
        <v>0</v>
      </c>
      <c r="BU205" s="350">
        <f t="shared" si="144"/>
        <v>0</v>
      </c>
      <c r="BV205" s="350">
        <f t="shared" si="144"/>
        <v>0</v>
      </c>
      <c r="BW205" s="350">
        <f t="shared" si="144"/>
        <v>0</v>
      </c>
      <c r="BX205" s="350">
        <f t="shared" si="144"/>
        <v>0</v>
      </c>
      <c r="BY205" s="350">
        <f t="shared" si="144"/>
        <v>0</v>
      </c>
      <c r="BZ205" s="350">
        <f t="shared" si="144"/>
        <v>0</v>
      </c>
      <c r="CA205" s="350">
        <f t="shared" si="144"/>
        <v>0</v>
      </c>
      <c r="CB205" s="350">
        <f t="shared" si="144"/>
        <v>0</v>
      </c>
      <c r="CC205" s="350">
        <f t="shared" si="144"/>
        <v>0</v>
      </c>
      <c r="CD205" s="350">
        <f t="shared" si="144"/>
        <v>0</v>
      </c>
      <c r="CE205" s="350">
        <f t="shared" si="144"/>
        <v>0</v>
      </c>
      <c r="CF205" s="350">
        <f t="shared" si="144"/>
        <v>0</v>
      </c>
      <c r="CG205" s="350">
        <f t="shared" si="144"/>
        <v>0</v>
      </c>
      <c r="CH205" s="350">
        <f t="shared" si="144"/>
        <v>0</v>
      </c>
      <c r="CI205" s="350">
        <f t="shared" si="144"/>
        <v>0</v>
      </c>
      <c r="CJ205" s="350">
        <f t="shared" si="144"/>
        <v>0</v>
      </c>
      <c r="CK205" s="350">
        <f t="shared" si="144"/>
        <v>0</v>
      </c>
      <c r="CL205" s="350">
        <f t="shared" si="144"/>
        <v>0</v>
      </c>
      <c r="CM205" s="350">
        <f t="shared" si="144"/>
        <v>0</v>
      </c>
      <c r="CN205" s="350">
        <f t="shared" si="144"/>
        <v>0</v>
      </c>
      <c r="CO205" s="350">
        <f t="shared" si="144"/>
        <v>0</v>
      </c>
      <c r="CP205" s="350">
        <f t="shared" si="144"/>
        <v>0</v>
      </c>
      <c r="CQ205" s="350">
        <f t="shared" si="144"/>
        <v>0</v>
      </c>
      <c r="CR205" s="350">
        <f t="shared" si="144"/>
        <v>0</v>
      </c>
      <c r="CS205" s="350">
        <f t="shared" si="144"/>
        <v>0</v>
      </c>
      <c r="CT205" s="350">
        <f t="shared" si="144"/>
        <v>0</v>
      </c>
      <c r="CU205" s="350">
        <f t="shared" si="144"/>
        <v>0</v>
      </c>
      <c r="CV205" s="350">
        <f t="shared" si="144"/>
        <v>0</v>
      </c>
      <c r="CW205" s="350">
        <f t="shared" si="144"/>
        <v>0</v>
      </c>
      <c r="CX205" s="350">
        <f t="shared" si="144"/>
        <v>0</v>
      </c>
      <c r="CY205" s="350">
        <f t="shared" si="144"/>
        <v>0</v>
      </c>
      <c r="CZ205" s="350">
        <f t="shared" si="144"/>
        <v>0</v>
      </c>
      <c r="DA205" s="350">
        <f t="shared" si="144"/>
        <v>0</v>
      </c>
      <c r="DB205" s="350">
        <f t="shared" si="144"/>
        <v>0</v>
      </c>
      <c r="DC205" s="350">
        <f t="shared" si="144"/>
        <v>0</v>
      </c>
      <c r="DD205" s="350">
        <f t="shared" si="144"/>
        <v>0</v>
      </c>
      <c r="DE205" s="350">
        <f t="shared" si="144"/>
        <v>0</v>
      </c>
      <c r="DF205" s="350">
        <f t="shared" si="144"/>
        <v>0</v>
      </c>
      <c r="DG205" s="350">
        <f t="shared" si="144"/>
        <v>0</v>
      </c>
      <c r="DH205" s="350">
        <f t="shared" si="144"/>
        <v>0</v>
      </c>
      <c r="DI205" s="350">
        <f t="shared" si="144"/>
        <v>0</v>
      </c>
      <c r="DJ205" s="350">
        <f t="shared" si="144"/>
        <v>0</v>
      </c>
      <c r="DK205" s="350">
        <f t="shared" si="144"/>
        <v>0</v>
      </c>
      <c r="DL205" s="350">
        <f t="shared" si="144"/>
        <v>0</v>
      </c>
      <c r="DM205" s="350">
        <f t="shared" si="144"/>
        <v>0</v>
      </c>
      <c r="DN205" s="350">
        <f t="shared" si="144"/>
        <v>0</v>
      </c>
      <c r="DO205" s="350">
        <f t="shared" si="144"/>
        <v>0</v>
      </c>
      <c r="DP205" s="350">
        <f t="shared" si="144"/>
        <v>0</v>
      </c>
      <c r="DQ205" s="350">
        <f t="shared" si="144"/>
        <v>0</v>
      </c>
      <c r="DR205" s="350">
        <f t="shared" si="144"/>
        <v>0</v>
      </c>
      <c r="DS205" s="350">
        <f t="shared" si="144"/>
        <v>0</v>
      </c>
      <c r="DT205" s="350">
        <f t="shared" si="144"/>
        <v>0</v>
      </c>
      <c r="DU205" s="350">
        <f t="shared" si="144"/>
        <v>0</v>
      </c>
      <c r="DV205" s="350">
        <f t="shared" si="144"/>
        <v>0</v>
      </c>
      <c r="DW205" s="6"/>
      <c r="DX205" s="6"/>
      <c r="DY205" s="6"/>
      <c r="DZ205" s="6"/>
    </row>
    <row r="206" spans="1:130" ht="12.75" customHeight="1" outlineLevel="1" x14ac:dyDescent="0.25">
      <c r="A206" s="6"/>
      <c r="B206" s="6"/>
      <c r="C206" s="6"/>
      <c r="D206" s="6"/>
      <c r="E206" s="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</row>
    <row r="207" spans="1:130" ht="12.75" customHeight="1" outlineLevel="1" x14ac:dyDescent="0.25">
      <c r="A207" s="6"/>
      <c r="B207" s="23" t="s">
        <v>394</v>
      </c>
      <c r="C207" s="6"/>
      <c r="D207" s="6"/>
      <c r="E207" s="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</row>
    <row r="208" spans="1:130" ht="12.75" customHeight="1" outlineLevel="1" x14ac:dyDescent="0.25">
      <c r="A208" s="6"/>
      <c r="B208" s="287" t="s">
        <v>458</v>
      </c>
      <c r="C208" s="296" t="s">
        <v>460</v>
      </c>
      <c r="D208" s="78"/>
      <c r="E208" s="78"/>
      <c r="F208" s="1194"/>
      <c r="G208" s="1194"/>
      <c r="H208" s="1194"/>
      <c r="I208" s="1194"/>
      <c r="J208" s="1194"/>
      <c r="K208" s="1194"/>
      <c r="L208" s="1194"/>
      <c r="M208" s="1194"/>
      <c r="N208" s="1194"/>
      <c r="O208" s="1194"/>
      <c r="P208" s="1194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78"/>
      <c r="CA208" s="78"/>
      <c r="CB208" s="78"/>
      <c r="CC208" s="78"/>
      <c r="CD208" s="78"/>
      <c r="CE208" s="78"/>
      <c r="CF208" s="78"/>
      <c r="CG208" s="78"/>
      <c r="CH208" s="78"/>
      <c r="CI208" s="78"/>
      <c r="CJ208" s="78"/>
      <c r="CK208" s="78"/>
      <c r="CL208" s="78"/>
      <c r="CM208" s="78"/>
      <c r="CN208" s="78"/>
      <c r="CO208" s="78"/>
      <c r="CP208" s="78"/>
      <c r="CQ208" s="78"/>
      <c r="CR208" s="78"/>
      <c r="CS208" s="78"/>
      <c r="CT208" s="78"/>
      <c r="CU208" s="78"/>
      <c r="CV208" s="78"/>
      <c r="CW208" s="78"/>
      <c r="CX208" s="78"/>
      <c r="CY208" s="78"/>
      <c r="CZ208" s="78"/>
      <c r="DA208" s="78"/>
      <c r="DB208" s="78"/>
      <c r="DC208" s="78"/>
      <c r="DD208" s="78"/>
      <c r="DE208" s="78"/>
      <c r="DF208" s="78"/>
      <c r="DG208" s="78"/>
      <c r="DH208" s="78"/>
      <c r="DI208" s="78"/>
      <c r="DJ208" s="78"/>
      <c r="DK208" s="78"/>
      <c r="DL208" s="78"/>
      <c r="DM208" s="78"/>
      <c r="DN208" s="78"/>
      <c r="DO208" s="78"/>
      <c r="DP208" s="78"/>
      <c r="DQ208" s="78"/>
      <c r="DR208" s="78"/>
      <c r="DS208" s="78"/>
      <c r="DT208" s="78"/>
      <c r="DU208" s="78"/>
      <c r="DV208" s="78"/>
      <c r="DW208" s="6"/>
      <c r="DX208" s="6"/>
      <c r="DY208" s="6"/>
      <c r="DZ208" s="6"/>
    </row>
    <row r="209" spans="1:130" ht="12.75" customHeight="1" outlineLevel="1" x14ac:dyDescent="0.25">
      <c r="A209" s="6"/>
      <c r="B209" s="6" t="s">
        <v>441</v>
      </c>
      <c r="C209" s="6"/>
      <c r="D209" s="6"/>
      <c r="E209" s="6"/>
      <c r="F209" s="350">
        <f t="shared" ref="F209:DV209" si="145">IF(F194="","",F205*$I$151)</f>
        <v>0</v>
      </c>
      <c r="G209" s="350">
        <f t="shared" si="145"/>
        <v>0</v>
      </c>
      <c r="H209" s="350">
        <f t="shared" si="145"/>
        <v>0</v>
      </c>
      <c r="I209" s="350">
        <f t="shared" si="145"/>
        <v>0</v>
      </c>
      <c r="J209" s="350">
        <f t="shared" si="145"/>
        <v>0</v>
      </c>
      <c r="K209" s="350">
        <f t="shared" si="145"/>
        <v>0</v>
      </c>
      <c r="L209" s="350">
        <f t="shared" si="145"/>
        <v>0</v>
      </c>
      <c r="M209" s="350">
        <f t="shared" si="145"/>
        <v>0</v>
      </c>
      <c r="N209" s="350">
        <f t="shared" si="145"/>
        <v>0</v>
      </c>
      <c r="O209" s="350">
        <f t="shared" si="145"/>
        <v>0</v>
      </c>
      <c r="P209" s="350">
        <f t="shared" si="145"/>
        <v>0</v>
      </c>
      <c r="Q209" s="350">
        <f t="shared" si="145"/>
        <v>0</v>
      </c>
      <c r="R209" s="350">
        <f t="shared" si="145"/>
        <v>0</v>
      </c>
      <c r="S209" s="350">
        <f t="shared" si="145"/>
        <v>0</v>
      </c>
      <c r="T209" s="350">
        <f t="shared" si="145"/>
        <v>0</v>
      </c>
      <c r="U209" s="350">
        <f t="shared" si="145"/>
        <v>0</v>
      </c>
      <c r="V209" s="350">
        <f t="shared" si="145"/>
        <v>0</v>
      </c>
      <c r="W209" s="350">
        <f t="shared" si="145"/>
        <v>0</v>
      </c>
      <c r="X209" s="350">
        <f t="shared" si="145"/>
        <v>0</v>
      </c>
      <c r="Y209" s="350">
        <f t="shared" si="145"/>
        <v>0</v>
      </c>
      <c r="Z209" s="350">
        <f t="shared" si="145"/>
        <v>0</v>
      </c>
      <c r="AA209" s="350">
        <f t="shared" si="145"/>
        <v>0</v>
      </c>
      <c r="AB209" s="350">
        <f t="shared" si="145"/>
        <v>0</v>
      </c>
      <c r="AC209" s="350">
        <f t="shared" si="145"/>
        <v>0</v>
      </c>
      <c r="AD209" s="350">
        <f t="shared" si="145"/>
        <v>0</v>
      </c>
      <c r="AE209" s="350">
        <f t="shared" si="145"/>
        <v>0</v>
      </c>
      <c r="AF209" s="350">
        <f t="shared" si="145"/>
        <v>0</v>
      </c>
      <c r="AG209" s="350">
        <f t="shared" si="145"/>
        <v>0</v>
      </c>
      <c r="AH209" s="350">
        <f t="shared" si="145"/>
        <v>0</v>
      </c>
      <c r="AI209" s="350">
        <f t="shared" si="145"/>
        <v>0</v>
      </c>
      <c r="AJ209" s="350">
        <f t="shared" si="145"/>
        <v>0</v>
      </c>
      <c r="AK209" s="350">
        <f t="shared" si="145"/>
        <v>0</v>
      </c>
      <c r="AL209" s="350">
        <f t="shared" si="145"/>
        <v>0</v>
      </c>
      <c r="AM209" s="350">
        <f t="shared" si="145"/>
        <v>0</v>
      </c>
      <c r="AN209" s="350">
        <f t="shared" si="145"/>
        <v>0</v>
      </c>
      <c r="AO209" s="350">
        <f t="shared" si="145"/>
        <v>0</v>
      </c>
      <c r="AP209" s="350">
        <f t="shared" si="145"/>
        <v>0</v>
      </c>
      <c r="AQ209" s="350">
        <f t="shared" si="145"/>
        <v>0</v>
      </c>
      <c r="AR209" s="350">
        <f t="shared" si="145"/>
        <v>0</v>
      </c>
      <c r="AS209" s="350">
        <f t="shared" si="145"/>
        <v>0</v>
      </c>
      <c r="AT209" s="350">
        <f t="shared" si="145"/>
        <v>0</v>
      </c>
      <c r="AU209" s="350">
        <f t="shared" si="145"/>
        <v>0</v>
      </c>
      <c r="AV209" s="350">
        <f t="shared" si="145"/>
        <v>0</v>
      </c>
      <c r="AW209" s="350">
        <f t="shared" si="145"/>
        <v>0</v>
      </c>
      <c r="AX209" s="350">
        <f t="shared" si="145"/>
        <v>0</v>
      </c>
      <c r="AY209" s="350">
        <f t="shared" si="145"/>
        <v>0</v>
      </c>
      <c r="AZ209" s="350">
        <f t="shared" si="145"/>
        <v>0</v>
      </c>
      <c r="BA209" s="350">
        <f t="shared" si="145"/>
        <v>0</v>
      </c>
      <c r="BB209" s="350">
        <f t="shared" si="145"/>
        <v>0</v>
      </c>
      <c r="BC209" s="350">
        <f t="shared" si="145"/>
        <v>0</v>
      </c>
      <c r="BD209" s="350">
        <f t="shared" si="145"/>
        <v>0</v>
      </c>
      <c r="BE209" s="350">
        <f t="shared" si="145"/>
        <v>0</v>
      </c>
      <c r="BF209" s="350">
        <f t="shared" si="145"/>
        <v>0</v>
      </c>
      <c r="BG209" s="350">
        <f t="shared" si="145"/>
        <v>0</v>
      </c>
      <c r="BH209" s="350">
        <f t="shared" si="145"/>
        <v>0</v>
      </c>
      <c r="BI209" s="350">
        <f t="shared" si="145"/>
        <v>0</v>
      </c>
      <c r="BJ209" s="350">
        <f t="shared" si="145"/>
        <v>0</v>
      </c>
      <c r="BK209" s="350">
        <f t="shared" si="145"/>
        <v>0</v>
      </c>
      <c r="BL209" s="350">
        <f t="shared" si="145"/>
        <v>0</v>
      </c>
      <c r="BM209" s="350">
        <f t="shared" si="145"/>
        <v>0</v>
      </c>
      <c r="BN209" s="350">
        <f t="shared" si="145"/>
        <v>0</v>
      </c>
      <c r="BO209" s="350">
        <f t="shared" si="145"/>
        <v>0</v>
      </c>
      <c r="BP209" s="350">
        <f t="shared" si="145"/>
        <v>0</v>
      </c>
      <c r="BQ209" s="350">
        <f t="shared" si="145"/>
        <v>0</v>
      </c>
      <c r="BR209" s="350">
        <f t="shared" si="145"/>
        <v>0</v>
      </c>
      <c r="BS209" s="350">
        <f t="shared" si="145"/>
        <v>0</v>
      </c>
      <c r="BT209" s="350">
        <f t="shared" si="145"/>
        <v>0</v>
      </c>
      <c r="BU209" s="350">
        <f t="shared" si="145"/>
        <v>0</v>
      </c>
      <c r="BV209" s="350">
        <f t="shared" si="145"/>
        <v>0</v>
      </c>
      <c r="BW209" s="350">
        <f t="shared" si="145"/>
        <v>0</v>
      </c>
      <c r="BX209" s="350">
        <f t="shared" si="145"/>
        <v>0</v>
      </c>
      <c r="BY209" s="350">
        <f t="shared" si="145"/>
        <v>0</v>
      </c>
      <c r="BZ209" s="350">
        <f t="shared" si="145"/>
        <v>0</v>
      </c>
      <c r="CA209" s="350">
        <f t="shared" si="145"/>
        <v>0</v>
      </c>
      <c r="CB209" s="350">
        <f t="shared" si="145"/>
        <v>0</v>
      </c>
      <c r="CC209" s="350">
        <f t="shared" si="145"/>
        <v>0</v>
      </c>
      <c r="CD209" s="350">
        <f t="shared" si="145"/>
        <v>0</v>
      </c>
      <c r="CE209" s="350">
        <f t="shared" si="145"/>
        <v>0</v>
      </c>
      <c r="CF209" s="350">
        <f t="shared" si="145"/>
        <v>0</v>
      </c>
      <c r="CG209" s="350">
        <f t="shared" si="145"/>
        <v>0</v>
      </c>
      <c r="CH209" s="350">
        <f t="shared" si="145"/>
        <v>0</v>
      </c>
      <c r="CI209" s="350">
        <f t="shared" si="145"/>
        <v>0</v>
      </c>
      <c r="CJ209" s="350">
        <f t="shared" si="145"/>
        <v>0</v>
      </c>
      <c r="CK209" s="350">
        <f t="shared" si="145"/>
        <v>0</v>
      </c>
      <c r="CL209" s="350">
        <f t="shared" si="145"/>
        <v>0</v>
      </c>
      <c r="CM209" s="350">
        <f t="shared" si="145"/>
        <v>0</v>
      </c>
      <c r="CN209" s="350">
        <f t="shared" si="145"/>
        <v>0</v>
      </c>
      <c r="CO209" s="350">
        <f t="shared" si="145"/>
        <v>0</v>
      </c>
      <c r="CP209" s="350">
        <f t="shared" si="145"/>
        <v>0</v>
      </c>
      <c r="CQ209" s="350">
        <f t="shared" si="145"/>
        <v>0</v>
      </c>
      <c r="CR209" s="350">
        <f t="shared" si="145"/>
        <v>0</v>
      </c>
      <c r="CS209" s="350">
        <f t="shared" si="145"/>
        <v>0</v>
      </c>
      <c r="CT209" s="350">
        <f t="shared" si="145"/>
        <v>0</v>
      </c>
      <c r="CU209" s="350">
        <f t="shared" si="145"/>
        <v>0</v>
      </c>
      <c r="CV209" s="350">
        <f t="shared" si="145"/>
        <v>0</v>
      </c>
      <c r="CW209" s="350">
        <f t="shared" si="145"/>
        <v>0</v>
      </c>
      <c r="CX209" s="350">
        <f t="shared" si="145"/>
        <v>0</v>
      </c>
      <c r="CY209" s="350">
        <f t="shared" si="145"/>
        <v>0</v>
      </c>
      <c r="CZ209" s="350">
        <f t="shared" si="145"/>
        <v>0</v>
      </c>
      <c r="DA209" s="350">
        <f t="shared" si="145"/>
        <v>0</v>
      </c>
      <c r="DB209" s="350">
        <f t="shared" si="145"/>
        <v>0</v>
      </c>
      <c r="DC209" s="350">
        <f t="shared" si="145"/>
        <v>0</v>
      </c>
      <c r="DD209" s="350">
        <f t="shared" si="145"/>
        <v>0</v>
      </c>
      <c r="DE209" s="350">
        <f t="shared" si="145"/>
        <v>0</v>
      </c>
      <c r="DF209" s="350">
        <f t="shared" si="145"/>
        <v>0</v>
      </c>
      <c r="DG209" s="350">
        <f t="shared" si="145"/>
        <v>0</v>
      </c>
      <c r="DH209" s="350">
        <f t="shared" si="145"/>
        <v>0</v>
      </c>
      <c r="DI209" s="350">
        <f t="shared" si="145"/>
        <v>0</v>
      </c>
      <c r="DJ209" s="350">
        <f t="shared" si="145"/>
        <v>0</v>
      </c>
      <c r="DK209" s="350">
        <f t="shared" si="145"/>
        <v>0</v>
      </c>
      <c r="DL209" s="350">
        <f t="shared" si="145"/>
        <v>0</v>
      </c>
      <c r="DM209" s="350">
        <f t="shared" si="145"/>
        <v>0</v>
      </c>
      <c r="DN209" s="350">
        <f t="shared" si="145"/>
        <v>0</v>
      </c>
      <c r="DO209" s="350">
        <f t="shared" si="145"/>
        <v>0</v>
      </c>
      <c r="DP209" s="350">
        <f t="shared" si="145"/>
        <v>0</v>
      </c>
      <c r="DQ209" s="350">
        <f t="shared" si="145"/>
        <v>0</v>
      </c>
      <c r="DR209" s="350">
        <f t="shared" si="145"/>
        <v>0</v>
      </c>
      <c r="DS209" s="350">
        <f t="shared" si="145"/>
        <v>0</v>
      </c>
      <c r="DT209" s="350">
        <f t="shared" si="145"/>
        <v>0</v>
      </c>
      <c r="DU209" s="350">
        <f t="shared" si="145"/>
        <v>0</v>
      </c>
      <c r="DV209" s="350">
        <f t="shared" si="145"/>
        <v>0</v>
      </c>
      <c r="DW209" s="6"/>
      <c r="DX209" s="6"/>
      <c r="DY209" s="6"/>
      <c r="DZ209" s="6"/>
    </row>
    <row r="210" spans="1:130" ht="12.75" customHeight="1" outlineLevel="1" x14ac:dyDescent="0.25">
      <c r="A210" s="6"/>
      <c r="B210" s="6" t="s">
        <v>443</v>
      </c>
      <c r="C210" s="6"/>
      <c r="D210" s="6"/>
      <c r="E210" s="6"/>
      <c r="F210" s="350">
        <f t="shared" ref="F210:DV210" si="146">IF(F209="","",F205-F209)</f>
        <v>0</v>
      </c>
      <c r="G210" s="350">
        <f t="shared" si="146"/>
        <v>0</v>
      </c>
      <c r="H210" s="350">
        <f t="shared" si="146"/>
        <v>0</v>
      </c>
      <c r="I210" s="350">
        <f t="shared" si="146"/>
        <v>0</v>
      </c>
      <c r="J210" s="350">
        <f t="shared" si="146"/>
        <v>0</v>
      </c>
      <c r="K210" s="350">
        <f t="shared" si="146"/>
        <v>0</v>
      </c>
      <c r="L210" s="350">
        <f t="shared" si="146"/>
        <v>0</v>
      </c>
      <c r="M210" s="350">
        <f t="shared" si="146"/>
        <v>0</v>
      </c>
      <c r="N210" s="350">
        <f t="shared" si="146"/>
        <v>0</v>
      </c>
      <c r="O210" s="350">
        <f t="shared" si="146"/>
        <v>0</v>
      </c>
      <c r="P210" s="350">
        <f t="shared" si="146"/>
        <v>0</v>
      </c>
      <c r="Q210" s="350">
        <f t="shared" si="146"/>
        <v>0</v>
      </c>
      <c r="R210" s="350">
        <f t="shared" si="146"/>
        <v>0</v>
      </c>
      <c r="S210" s="350">
        <f t="shared" si="146"/>
        <v>0</v>
      </c>
      <c r="T210" s="350">
        <f t="shared" si="146"/>
        <v>0</v>
      </c>
      <c r="U210" s="350">
        <f t="shared" si="146"/>
        <v>0</v>
      </c>
      <c r="V210" s="350">
        <f t="shared" si="146"/>
        <v>0</v>
      </c>
      <c r="W210" s="350">
        <f t="shared" si="146"/>
        <v>0</v>
      </c>
      <c r="X210" s="350">
        <f t="shared" si="146"/>
        <v>0</v>
      </c>
      <c r="Y210" s="350">
        <f t="shared" si="146"/>
        <v>0</v>
      </c>
      <c r="Z210" s="350">
        <f t="shared" si="146"/>
        <v>0</v>
      </c>
      <c r="AA210" s="350">
        <f t="shared" si="146"/>
        <v>0</v>
      </c>
      <c r="AB210" s="350">
        <f t="shared" si="146"/>
        <v>0</v>
      </c>
      <c r="AC210" s="350">
        <f t="shared" si="146"/>
        <v>0</v>
      </c>
      <c r="AD210" s="350">
        <f t="shared" si="146"/>
        <v>0</v>
      </c>
      <c r="AE210" s="350">
        <f t="shared" si="146"/>
        <v>0</v>
      </c>
      <c r="AF210" s="350">
        <f t="shared" si="146"/>
        <v>0</v>
      </c>
      <c r="AG210" s="350">
        <f t="shared" si="146"/>
        <v>0</v>
      </c>
      <c r="AH210" s="350">
        <f t="shared" si="146"/>
        <v>0</v>
      </c>
      <c r="AI210" s="350">
        <f t="shared" si="146"/>
        <v>0</v>
      </c>
      <c r="AJ210" s="350">
        <f t="shared" si="146"/>
        <v>0</v>
      </c>
      <c r="AK210" s="350">
        <f t="shared" si="146"/>
        <v>0</v>
      </c>
      <c r="AL210" s="350">
        <f t="shared" si="146"/>
        <v>0</v>
      </c>
      <c r="AM210" s="350">
        <f t="shared" si="146"/>
        <v>0</v>
      </c>
      <c r="AN210" s="350">
        <f t="shared" si="146"/>
        <v>0</v>
      </c>
      <c r="AO210" s="350">
        <f t="shared" si="146"/>
        <v>0</v>
      </c>
      <c r="AP210" s="350">
        <f t="shared" si="146"/>
        <v>0</v>
      </c>
      <c r="AQ210" s="350">
        <f t="shared" si="146"/>
        <v>0</v>
      </c>
      <c r="AR210" s="350">
        <f t="shared" si="146"/>
        <v>0</v>
      </c>
      <c r="AS210" s="350">
        <f t="shared" si="146"/>
        <v>0</v>
      </c>
      <c r="AT210" s="350">
        <f t="shared" si="146"/>
        <v>0</v>
      </c>
      <c r="AU210" s="350">
        <f t="shared" si="146"/>
        <v>0</v>
      </c>
      <c r="AV210" s="350">
        <f t="shared" si="146"/>
        <v>0</v>
      </c>
      <c r="AW210" s="350">
        <f t="shared" si="146"/>
        <v>0</v>
      </c>
      <c r="AX210" s="350">
        <f t="shared" si="146"/>
        <v>0</v>
      </c>
      <c r="AY210" s="350">
        <f t="shared" si="146"/>
        <v>0</v>
      </c>
      <c r="AZ210" s="350">
        <f t="shared" si="146"/>
        <v>0</v>
      </c>
      <c r="BA210" s="350">
        <f t="shared" si="146"/>
        <v>0</v>
      </c>
      <c r="BB210" s="350">
        <f t="shared" si="146"/>
        <v>0</v>
      </c>
      <c r="BC210" s="350">
        <f t="shared" si="146"/>
        <v>0</v>
      </c>
      <c r="BD210" s="350">
        <f t="shared" si="146"/>
        <v>0</v>
      </c>
      <c r="BE210" s="350">
        <f t="shared" si="146"/>
        <v>0</v>
      </c>
      <c r="BF210" s="350">
        <f t="shared" si="146"/>
        <v>0</v>
      </c>
      <c r="BG210" s="350">
        <f t="shared" si="146"/>
        <v>0</v>
      </c>
      <c r="BH210" s="350">
        <f t="shared" si="146"/>
        <v>0</v>
      </c>
      <c r="BI210" s="350">
        <f t="shared" si="146"/>
        <v>0</v>
      </c>
      <c r="BJ210" s="350">
        <f t="shared" si="146"/>
        <v>0</v>
      </c>
      <c r="BK210" s="350">
        <f t="shared" si="146"/>
        <v>0</v>
      </c>
      <c r="BL210" s="350">
        <f t="shared" si="146"/>
        <v>0</v>
      </c>
      <c r="BM210" s="350">
        <f t="shared" si="146"/>
        <v>0</v>
      </c>
      <c r="BN210" s="350">
        <f t="shared" si="146"/>
        <v>0</v>
      </c>
      <c r="BO210" s="350">
        <f t="shared" si="146"/>
        <v>0</v>
      </c>
      <c r="BP210" s="350">
        <f t="shared" si="146"/>
        <v>0</v>
      </c>
      <c r="BQ210" s="350">
        <f t="shared" si="146"/>
        <v>0</v>
      </c>
      <c r="BR210" s="350">
        <f t="shared" si="146"/>
        <v>0</v>
      </c>
      <c r="BS210" s="350">
        <f t="shared" si="146"/>
        <v>0</v>
      </c>
      <c r="BT210" s="350">
        <f t="shared" si="146"/>
        <v>0</v>
      </c>
      <c r="BU210" s="350">
        <f t="shared" si="146"/>
        <v>0</v>
      </c>
      <c r="BV210" s="350">
        <f t="shared" si="146"/>
        <v>0</v>
      </c>
      <c r="BW210" s="350">
        <f t="shared" si="146"/>
        <v>0</v>
      </c>
      <c r="BX210" s="350">
        <f t="shared" si="146"/>
        <v>0</v>
      </c>
      <c r="BY210" s="350">
        <f t="shared" si="146"/>
        <v>0</v>
      </c>
      <c r="BZ210" s="350">
        <f t="shared" si="146"/>
        <v>0</v>
      </c>
      <c r="CA210" s="350">
        <f t="shared" si="146"/>
        <v>0</v>
      </c>
      <c r="CB210" s="350">
        <f t="shared" si="146"/>
        <v>0</v>
      </c>
      <c r="CC210" s="350">
        <f t="shared" si="146"/>
        <v>0</v>
      </c>
      <c r="CD210" s="350">
        <f t="shared" si="146"/>
        <v>0</v>
      </c>
      <c r="CE210" s="350">
        <f t="shared" si="146"/>
        <v>0</v>
      </c>
      <c r="CF210" s="350">
        <f t="shared" si="146"/>
        <v>0</v>
      </c>
      <c r="CG210" s="350">
        <f t="shared" si="146"/>
        <v>0</v>
      </c>
      <c r="CH210" s="350">
        <f t="shared" si="146"/>
        <v>0</v>
      </c>
      <c r="CI210" s="350">
        <f t="shared" si="146"/>
        <v>0</v>
      </c>
      <c r="CJ210" s="350">
        <f t="shared" si="146"/>
        <v>0</v>
      </c>
      <c r="CK210" s="350">
        <f t="shared" si="146"/>
        <v>0</v>
      </c>
      <c r="CL210" s="350">
        <f t="shared" si="146"/>
        <v>0</v>
      </c>
      <c r="CM210" s="350">
        <f t="shared" si="146"/>
        <v>0</v>
      </c>
      <c r="CN210" s="350">
        <f t="shared" si="146"/>
        <v>0</v>
      </c>
      <c r="CO210" s="350">
        <f t="shared" si="146"/>
        <v>0</v>
      </c>
      <c r="CP210" s="350">
        <f t="shared" si="146"/>
        <v>0</v>
      </c>
      <c r="CQ210" s="350">
        <f t="shared" si="146"/>
        <v>0</v>
      </c>
      <c r="CR210" s="350">
        <f t="shared" si="146"/>
        <v>0</v>
      </c>
      <c r="CS210" s="350">
        <f t="shared" si="146"/>
        <v>0</v>
      </c>
      <c r="CT210" s="350">
        <f t="shared" si="146"/>
        <v>0</v>
      </c>
      <c r="CU210" s="350">
        <f t="shared" si="146"/>
        <v>0</v>
      </c>
      <c r="CV210" s="350">
        <f t="shared" si="146"/>
        <v>0</v>
      </c>
      <c r="CW210" s="350">
        <f t="shared" si="146"/>
        <v>0</v>
      </c>
      <c r="CX210" s="350">
        <f t="shared" si="146"/>
        <v>0</v>
      </c>
      <c r="CY210" s="350">
        <f t="shared" si="146"/>
        <v>0</v>
      </c>
      <c r="CZ210" s="350">
        <f t="shared" si="146"/>
        <v>0</v>
      </c>
      <c r="DA210" s="350">
        <f t="shared" si="146"/>
        <v>0</v>
      </c>
      <c r="DB210" s="350">
        <f t="shared" si="146"/>
        <v>0</v>
      </c>
      <c r="DC210" s="350">
        <f t="shared" si="146"/>
        <v>0</v>
      </c>
      <c r="DD210" s="350">
        <f t="shared" si="146"/>
        <v>0</v>
      </c>
      <c r="DE210" s="350">
        <f t="shared" si="146"/>
        <v>0</v>
      </c>
      <c r="DF210" s="350">
        <f t="shared" si="146"/>
        <v>0</v>
      </c>
      <c r="DG210" s="350">
        <f t="shared" si="146"/>
        <v>0</v>
      </c>
      <c r="DH210" s="350">
        <f t="shared" si="146"/>
        <v>0</v>
      </c>
      <c r="DI210" s="350">
        <f t="shared" si="146"/>
        <v>0</v>
      </c>
      <c r="DJ210" s="350">
        <f t="shared" si="146"/>
        <v>0</v>
      </c>
      <c r="DK210" s="350">
        <f t="shared" si="146"/>
        <v>0</v>
      </c>
      <c r="DL210" s="350">
        <f t="shared" si="146"/>
        <v>0</v>
      </c>
      <c r="DM210" s="350">
        <f t="shared" si="146"/>
        <v>0</v>
      </c>
      <c r="DN210" s="350">
        <f t="shared" si="146"/>
        <v>0</v>
      </c>
      <c r="DO210" s="350">
        <f t="shared" si="146"/>
        <v>0</v>
      </c>
      <c r="DP210" s="350">
        <f t="shared" si="146"/>
        <v>0</v>
      </c>
      <c r="DQ210" s="350">
        <f t="shared" si="146"/>
        <v>0</v>
      </c>
      <c r="DR210" s="350">
        <f t="shared" si="146"/>
        <v>0</v>
      </c>
      <c r="DS210" s="350">
        <f t="shared" si="146"/>
        <v>0</v>
      </c>
      <c r="DT210" s="350">
        <f t="shared" si="146"/>
        <v>0</v>
      </c>
      <c r="DU210" s="350">
        <f t="shared" si="146"/>
        <v>0</v>
      </c>
      <c r="DV210" s="350">
        <f t="shared" si="146"/>
        <v>0</v>
      </c>
      <c r="DW210" s="6"/>
      <c r="DX210" s="6"/>
      <c r="DY210" s="6"/>
      <c r="DZ210" s="6"/>
    </row>
    <row r="211" spans="1:130" ht="12.75" customHeight="1" outlineLevel="1" x14ac:dyDescent="0.25">
      <c r="A211" s="6"/>
      <c r="B211" s="6" t="str">
        <f>"Total Distributions ("&amp;B207&amp;")"</f>
        <v>Total Distributions (Hurdle 4)</v>
      </c>
      <c r="C211" s="6"/>
      <c r="D211" s="6"/>
      <c r="E211" s="6"/>
      <c r="F211" s="350">
        <f t="shared" ref="F211:DV211" si="147">IF(F209="","",F209+F210)</f>
        <v>0</v>
      </c>
      <c r="G211" s="350">
        <f t="shared" si="147"/>
        <v>0</v>
      </c>
      <c r="H211" s="350">
        <f t="shared" si="147"/>
        <v>0</v>
      </c>
      <c r="I211" s="350">
        <f t="shared" si="147"/>
        <v>0</v>
      </c>
      <c r="J211" s="350">
        <f t="shared" si="147"/>
        <v>0</v>
      </c>
      <c r="K211" s="350">
        <f t="shared" si="147"/>
        <v>0</v>
      </c>
      <c r="L211" s="350">
        <f t="shared" si="147"/>
        <v>0</v>
      </c>
      <c r="M211" s="350">
        <f t="shared" si="147"/>
        <v>0</v>
      </c>
      <c r="N211" s="350">
        <f t="shared" si="147"/>
        <v>0</v>
      </c>
      <c r="O211" s="350">
        <f t="shared" si="147"/>
        <v>0</v>
      </c>
      <c r="P211" s="350">
        <f t="shared" si="147"/>
        <v>0</v>
      </c>
      <c r="Q211" s="350">
        <f t="shared" si="147"/>
        <v>0</v>
      </c>
      <c r="R211" s="350">
        <f t="shared" si="147"/>
        <v>0</v>
      </c>
      <c r="S211" s="350">
        <f t="shared" si="147"/>
        <v>0</v>
      </c>
      <c r="T211" s="350">
        <f t="shared" si="147"/>
        <v>0</v>
      </c>
      <c r="U211" s="350">
        <f t="shared" si="147"/>
        <v>0</v>
      </c>
      <c r="V211" s="350">
        <f t="shared" si="147"/>
        <v>0</v>
      </c>
      <c r="W211" s="350">
        <f t="shared" si="147"/>
        <v>0</v>
      </c>
      <c r="X211" s="350">
        <f t="shared" si="147"/>
        <v>0</v>
      </c>
      <c r="Y211" s="350">
        <f t="shared" si="147"/>
        <v>0</v>
      </c>
      <c r="Z211" s="350">
        <f t="shared" si="147"/>
        <v>0</v>
      </c>
      <c r="AA211" s="350">
        <f t="shared" si="147"/>
        <v>0</v>
      </c>
      <c r="AB211" s="350">
        <f t="shared" si="147"/>
        <v>0</v>
      </c>
      <c r="AC211" s="350">
        <f t="shared" si="147"/>
        <v>0</v>
      </c>
      <c r="AD211" s="350">
        <f t="shared" si="147"/>
        <v>0</v>
      </c>
      <c r="AE211" s="350">
        <f t="shared" si="147"/>
        <v>0</v>
      </c>
      <c r="AF211" s="350">
        <f t="shared" si="147"/>
        <v>0</v>
      </c>
      <c r="AG211" s="350">
        <f t="shared" si="147"/>
        <v>0</v>
      </c>
      <c r="AH211" s="350">
        <f t="shared" si="147"/>
        <v>0</v>
      </c>
      <c r="AI211" s="350">
        <f t="shared" si="147"/>
        <v>0</v>
      </c>
      <c r="AJ211" s="350">
        <f t="shared" si="147"/>
        <v>0</v>
      </c>
      <c r="AK211" s="350">
        <f t="shared" si="147"/>
        <v>0</v>
      </c>
      <c r="AL211" s="350">
        <f t="shared" si="147"/>
        <v>0</v>
      </c>
      <c r="AM211" s="350">
        <f t="shared" si="147"/>
        <v>0</v>
      </c>
      <c r="AN211" s="350">
        <f t="shared" si="147"/>
        <v>0</v>
      </c>
      <c r="AO211" s="350">
        <f t="shared" si="147"/>
        <v>0</v>
      </c>
      <c r="AP211" s="350">
        <f t="shared" si="147"/>
        <v>0</v>
      </c>
      <c r="AQ211" s="350">
        <f t="shared" si="147"/>
        <v>0</v>
      </c>
      <c r="AR211" s="350">
        <f t="shared" si="147"/>
        <v>0</v>
      </c>
      <c r="AS211" s="350">
        <f t="shared" si="147"/>
        <v>0</v>
      </c>
      <c r="AT211" s="350">
        <f t="shared" si="147"/>
        <v>0</v>
      </c>
      <c r="AU211" s="350">
        <f t="shared" si="147"/>
        <v>0</v>
      </c>
      <c r="AV211" s="350">
        <f t="shared" si="147"/>
        <v>0</v>
      </c>
      <c r="AW211" s="350">
        <f t="shared" si="147"/>
        <v>0</v>
      </c>
      <c r="AX211" s="350">
        <f t="shared" si="147"/>
        <v>0</v>
      </c>
      <c r="AY211" s="350">
        <f t="shared" si="147"/>
        <v>0</v>
      </c>
      <c r="AZ211" s="350">
        <f t="shared" si="147"/>
        <v>0</v>
      </c>
      <c r="BA211" s="350">
        <f t="shared" si="147"/>
        <v>0</v>
      </c>
      <c r="BB211" s="350">
        <f t="shared" si="147"/>
        <v>0</v>
      </c>
      <c r="BC211" s="350">
        <f t="shared" si="147"/>
        <v>0</v>
      </c>
      <c r="BD211" s="350">
        <f t="shared" si="147"/>
        <v>0</v>
      </c>
      <c r="BE211" s="350">
        <f t="shared" si="147"/>
        <v>0</v>
      </c>
      <c r="BF211" s="350">
        <f t="shared" si="147"/>
        <v>0</v>
      </c>
      <c r="BG211" s="350">
        <f t="shared" si="147"/>
        <v>0</v>
      </c>
      <c r="BH211" s="350">
        <f t="shared" si="147"/>
        <v>0</v>
      </c>
      <c r="BI211" s="350">
        <f t="shared" si="147"/>
        <v>0</v>
      </c>
      <c r="BJ211" s="350">
        <f t="shared" si="147"/>
        <v>0</v>
      </c>
      <c r="BK211" s="350">
        <f t="shared" si="147"/>
        <v>0</v>
      </c>
      <c r="BL211" s="350">
        <f t="shared" si="147"/>
        <v>0</v>
      </c>
      <c r="BM211" s="350">
        <f t="shared" si="147"/>
        <v>0</v>
      </c>
      <c r="BN211" s="350">
        <f t="shared" si="147"/>
        <v>0</v>
      </c>
      <c r="BO211" s="350">
        <f t="shared" si="147"/>
        <v>0</v>
      </c>
      <c r="BP211" s="350">
        <f t="shared" si="147"/>
        <v>0</v>
      </c>
      <c r="BQ211" s="350">
        <f t="shared" si="147"/>
        <v>0</v>
      </c>
      <c r="BR211" s="350">
        <f t="shared" si="147"/>
        <v>0</v>
      </c>
      <c r="BS211" s="350">
        <f t="shared" si="147"/>
        <v>0</v>
      </c>
      <c r="BT211" s="350">
        <f t="shared" si="147"/>
        <v>0</v>
      </c>
      <c r="BU211" s="350">
        <f t="shared" si="147"/>
        <v>0</v>
      </c>
      <c r="BV211" s="350">
        <f t="shared" si="147"/>
        <v>0</v>
      </c>
      <c r="BW211" s="350">
        <f t="shared" si="147"/>
        <v>0</v>
      </c>
      <c r="BX211" s="350">
        <f t="shared" si="147"/>
        <v>0</v>
      </c>
      <c r="BY211" s="350">
        <f t="shared" si="147"/>
        <v>0</v>
      </c>
      <c r="BZ211" s="350">
        <f t="shared" si="147"/>
        <v>0</v>
      </c>
      <c r="CA211" s="350">
        <f t="shared" si="147"/>
        <v>0</v>
      </c>
      <c r="CB211" s="350">
        <f t="shared" si="147"/>
        <v>0</v>
      </c>
      <c r="CC211" s="350">
        <f t="shared" si="147"/>
        <v>0</v>
      </c>
      <c r="CD211" s="350">
        <f t="shared" si="147"/>
        <v>0</v>
      </c>
      <c r="CE211" s="350">
        <f t="shared" si="147"/>
        <v>0</v>
      </c>
      <c r="CF211" s="350">
        <f t="shared" si="147"/>
        <v>0</v>
      </c>
      <c r="CG211" s="350">
        <f t="shared" si="147"/>
        <v>0</v>
      </c>
      <c r="CH211" s="350">
        <f t="shared" si="147"/>
        <v>0</v>
      </c>
      <c r="CI211" s="350">
        <f t="shared" si="147"/>
        <v>0</v>
      </c>
      <c r="CJ211" s="350">
        <f t="shared" si="147"/>
        <v>0</v>
      </c>
      <c r="CK211" s="350">
        <f t="shared" si="147"/>
        <v>0</v>
      </c>
      <c r="CL211" s="350">
        <f t="shared" si="147"/>
        <v>0</v>
      </c>
      <c r="CM211" s="350">
        <f t="shared" si="147"/>
        <v>0</v>
      </c>
      <c r="CN211" s="350">
        <f t="shared" si="147"/>
        <v>0</v>
      </c>
      <c r="CO211" s="350">
        <f t="shared" si="147"/>
        <v>0</v>
      </c>
      <c r="CP211" s="350">
        <f t="shared" si="147"/>
        <v>0</v>
      </c>
      <c r="CQ211" s="350">
        <f t="shared" si="147"/>
        <v>0</v>
      </c>
      <c r="CR211" s="350">
        <f t="shared" si="147"/>
        <v>0</v>
      </c>
      <c r="CS211" s="350">
        <f t="shared" si="147"/>
        <v>0</v>
      </c>
      <c r="CT211" s="350">
        <f t="shared" si="147"/>
        <v>0</v>
      </c>
      <c r="CU211" s="350">
        <f t="shared" si="147"/>
        <v>0</v>
      </c>
      <c r="CV211" s="350">
        <f t="shared" si="147"/>
        <v>0</v>
      </c>
      <c r="CW211" s="350">
        <f t="shared" si="147"/>
        <v>0</v>
      </c>
      <c r="CX211" s="350">
        <f t="shared" si="147"/>
        <v>0</v>
      </c>
      <c r="CY211" s="350">
        <f t="shared" si="147"/>
        <v>0</v>
      </c>
      <c r="CZ211" s="350">
        <f t="shared" si="147"/>
        <v>0</v>
      </c>
      <c r="DA211" s="350">
        <f t="shared" si="147"/>
        <v>0</v>
      </c>
      <c r="DB211" s="350">
        <f t="shared" si="147"/>
        <v>0</v>
      </c>
      <c r="DC211" s="350">
        <f t="shared" si="147"/>
        <v>0</v>
      </c>
      <c r="DD211" s="350">
        <f t="shared" si="147"/>
        <v>0</v>
      </c>
      <c r="DE211" s="350">
        <f t="shared" si="147"/>
        <v>0</v>
      </c>
      <c r="DF211" s="350">
        <f t="shared" si="147"/>
        <v>0</v>
      </c>
      <c r="DG211" s="350">
        <f t="shared" si="147"/>
        <v>0</v>
      </c>
      <c r="DH211" s="350">
        <f t="shared" si="147"/>
        <v>0</v>
      </c>
      <c r="DI211" s="350">
        <f t="shared" si="147"/>
        <v>0</v>
      </c>
      <c r="DJ211" s="350">
        <f t="shared" si="147"/>
        <v>0</v>
      </c>
      <c r="DK211" s="350">
        <f t="shared" si="147"/>
        <v>0</v>
      </c>
      <c r="DL211" s="350">
        <f t="shared" si="147"/>
        <v>0</v>
      </c>
      <c r="DM211" s="350">
        <f t="shared" si="147"/>
        <v>0</v>
      </c>
      <c r="DN211" s="350">
        <f t="shared" si="147"/>
        <v>0</v>
      </c>
      <c r="DO211" s="350">
        <f t="shared" si="147"/>
        <v>0</v>
      </c>
      <c r="DP211" s="350">
        <f t="shared" si="147"/>
        <v>0</v>
      </c>
      <c r="DQ211" s="350">
        <f t="shared" si="147"/>
        <v>0</v>
      </c>
      <c r="DR211" s="350">
        <f t="shared" si="147"/>
        <v>0</v>
      </c>
      <c r="DS211" s="350">
        <f t="shared" si="147"/>
        <v>0</v>
      </c>
      <c r="DT211" s="350">
        <f t="shared" si="147"/>
        <v>0</v>
      </c>
      <c r="DU211" s="350">
        <f t="shared" si="147"/>
        <v>0</v>
      </c>
      <c r="DV211" s="350">
        <f t="shared" si="147"/>
        <v>0</v>
      </c>
      <c r="DW211" s="6"/>
      <c r="DX211" s="6"/>
      <c r="DY211" s="6"/>
      <c r="DZ211" s="6"/>
    </row>
    <row r="212" spans="1:130" ht="12.75" customHeight="1" outlineLevel="1" x14ac:dyDescent="0.25">
      <c r="A212" s="6"/>
      <c r="B212" s="6" t="s">
        <v>444</v>
      </c>
      <c r="C212" s="6"/>
      <c r="D212" s="6"/>
      <c r="E212" s="6"/>
      <c r="F212" s="350">
        <f t="shared" ref="F212:DV212" si="148">IF(F209="","",F205-F211)</f>
        <v>0</v>
      </c>
      <c r="G212" s="350">
        <f t="shared" si="148"/>
        <v>0</v>
      </c>
      <c r="H212" s="350">
        <f t="shared" si="148"/>
        <v>0</v>
      </c>
      <c r="I212" s="350">
        <f t="shared" si="148"/>
        <v>0</v>
      </c>
      <c r="J212" s="350">
        <f t="shared" si="148"/>
        <v>0</v>
      </c>
      <c r="K212" s="350">
        <f t="shared" si="148"/>
        <v>0</v>
      </c>
      <c r="L212" s="350">
        <f t="shared" si="148"/>
        <v>0</v>
      </c>
      <c r="M212" s="350">
        <f t="shared" si="148"/>
        <v>0</v>
      </c>
      <c r="N212" s="350">
        <f t="shared" si="148"/>
        <v>0</v>
      </c>
      <c r="O212" s="350">
        <f t="shared" si="148"/>
        <v>0</v>
      </c>
      <c r="P212" s="350">
        <f t="shared" si="148"/>
        <v>0</v>
      </c>
      <c r="Q212" s="350">
        <f t="shared" si="148"/>
        <v>0</v>
      </c>
      <c r="R212" s="350">
        <f t="shared" si="148"/>
        <v>0</v>
      </c>
      <c r="S212" s="350">
        <f t="shared" si="148"/>
        <v>0</v>
      </c>
      <c r="T212" s="350">
        <f t="shared" si="148"/>
        <v>0</v>
      </c>
      <c r="U212" s="350">
        <f t="shared" si="148"/>
        <v>0</v>
      </c>
      <c r="V212" s="350">
        <f t="shared" si="148"/>
        <v>0</v>
      </c>
      <c r="W212" s="350">
        <f t="shared" si="148"/>
        <v>0</v>
      </c>
      <c r="X212" s="350">
        <f t="shared" si="148"/>
        <v>0</v>
      </c>
      <c r="Y212" s="350">
        <f t="shared" si="148"/>
        <v>0</v>
      </c>
      <c r="Z212" s="350">
        <f t="shared" si="148"/>
        <v>0</v>
      </c>
      <c r="AA212" s="350">
        <f t="shared" si="148"/>
        <v>0</v>
      </c>
      <c r="AB212" s="350">
        <f t="shared" si="148"/>
        <v>0</v>
      </c>
      <c r="AC212" s="350">
        <f t="shared" si="148"/>
        <v>0</v>
      </c>
      <c r="AD212" s="350">
        <f t="shared" si="148"/>
        <v>0</v>
      </c>
      <c r="AE212" s="350">
        <f t="shared" si="148"/>
        <v>0</v>
      </c>
      <c r="AF212" s="350">
        <f t="shared" si="148"/>
        <v>0</v>
      </c>
      <c r="AG212" s="350">
        <f t="shared" si="148"/>
        <v>0</v>
      </c>
      <c r="AH212" s="350">
        <f t="shared" si="148"/>
        <v>0</v>
      </c>
      <c r="AI212" s="350">
        <f t="shared" si="148"/>
        <v>0</v>
      </c>
      <c r="AJ212" s="350">
        <f t="shared" si="148"/>
        <v>0</v>
      </c>
      <c r="AK212" s="350">
        <f t="shared" si="148"/>
        <v>0</v>
      </c>
      <c r="AL212" s="350">
        <f t="shared" si="148"/>
        <v>0</v>
      </c>
      <c r="AM212" s="350">
        <f t="shared" si="148"/>
        <v>0</v>
      </c>
      <c r="AN212" s="350">
        <f t="shared" si="148"/>
        <v>0</v>
      </c>
      <c r="AO212" s="350">
        <f t="shared" si="148"/>
        <v>0</v>
      </c>
      <c r="AP212" s="350">
        <f t="shared" si="148"/>
        <v>0</v>
      </c>
      <c r="AQ212" s="350">
        <f t="shared" si="148"/>
        <v>0</v>
      </c>
      <c r="AR212" s="350">
        <f t="shared" si="148"/>
        <v>0</v>
      </c>
      <c r="AS212" s="350">
        <f t="shared" si="148"/>
        <v>0</v>
      </c>
      <c r="AT212" s="350">
        <f t="shared" si="148"/>
        <v>0</v>
      </c>
      <c r="AU212" s="350">
        <f t="shared" si="148"/>
        <v>0</v>
      </c>
      <c r="AV212" s="350">
        <f t="shared" si="148"/>
        <v>0</v>
      </c>
      <c r="AW212" s="350">
        <f t="shared" si="148"/>
        <v>0</v>
      </c>
      <c r="AX212" s="350">
        <f t="shared" si="148"/>
        <v>0</v>
      </c>
      <c r="AY212" s="350">
        <f t="shared" si="148"/>
        <v>0</v>
      </c>
      <c r="AZ212" s="350">
        <f t="shared" si="148"/>
        <v>0</v>
      </c>
      <c r="BA212" s="350">
        <f t="shared" si="148"/>
        <v>0</v>
      </c>
      <c r="BB212" s="350">
        <f t="shared" si="148"/>
        <v>0</v>
      </c>
      <c r="BC212" s="350">
        <f t="shared" si="148"/>
        <v>0</v>
      </c>
      <c r="BD212" s="350">
        <f t="shared" si="148"/>
        <v>0</v>
      </c>
      <c r="BE212" s="350">
        <f t="shared" si="148"/>
        <v>0</v>
      </c>
      <c r="BF212" s="350">
        <f t="shared" si="148"/>
        <v>0</v>
      </c>
      <c r="BG212" s="350">
        <f t="shared" si="148"/>
        <v>0</v>
      </c>
      <c r="BH212" s="350">
        <f t="shared" si="148"/>
        <v>0</v>
      </c>
      <c r="BI212" s="350">
        <f t="shared" si="148"/>
        <v>0</v>
      </c>
      <c r="BJ212" s="350">
        <f t="shared" si="148"/>
        <v>0</v>
      </c>
      <c r="BK212" s="350">
        <f t="shared" si="148"/>
        <v>0</v>
      </c>
      <c r="BL212" s="350">
        <f t="shared" si="148"/>
        <v>0</v>
      </c>
      <c r="BM212" s="350">
        <f t="shared" si="148"/>
        <v>0</v>
      </c>
      <c r="BN212" s="350">
        <f t="shared" si="148"/>
        <v>0</v>
      </c>
      <c r="BO212" s="350">
        <f t="shared" si="148"/>
        <v>0</v>
      </c>
      <c r="BP212" s="350">
        <f t="shared" si="148"/>
        <v>0</v>
      </c>
      <c r="BQ212" s="350">
        <f t="shared" si="148"/>
        <v>0</v>
      </c>
      <c r="BR212" s="350">
        <f t="shared" si="148"/>
        <v>0</v>
      </c>
      <c r="BS212" s="350">
        <f t="shared" si="148"/>
        <v>0</v>
      </c>
      <c r="BT212" s="350">
        <f t="shared" si="148"/>
        <v>0</v>
      </c>
      <c r="BU212" s="350">
        <f t="shared" si="148"/>
        <v>0</v>
      </c>
      <c r="BV212" s="350">
        <f t="shared" si="148"/>
        <v>0</v>
      </c>
      <c r="BW212" s="350">
        <f t="shared" si="148"/>
        <v>0</v>
      </c>
      <c r="BX212" s="350">
        <f t="shared" si="148"/>
        <v>0</v>
      </c>
      <c r="BY212" s="350">
        <f t="shared" si="148"/>
        <v>0</v>
      </c>
      <c r="BZ212" s="350">
        <f t="shared" si="148"/>
        <v>0</v>
      </c>
      <c r="CA212" s="350">
        <f t="shared" si="148"/>
        <v>0</v>
      </c>
      <c r="CB212" s="350">
        <f t="shared" si="148"/>
        <v>0</v>
      </c>
      <c r="CC212" s="350">
        <f t="shared" si="148"/>
        <v>0</v>
      </c>
      <c r="CD212" s="350">
        <f t="shared" si="148"/>
        <v>0</v>
      </c>
      <c r="CE212" s="350">
        <f t="shared" si="148"/>
        <v>0</v>
      </c>
      <c r="CF212" s="350">
        <f t="shared" si="148"/>
        <v>0</v>
      </c>
      <c r="CG212" s="350">
        <f t="shared" si="148"/>
        <v>0</v>
      </c>
      <c r="CH212" s="350">
        <f t="shared" si="148"/>
        <v>0</v>
      </c>
      <c r="CI212" s="350">
        <f t="shared" si="148"/>
        <v>0</v>
      </c>
      <c r="CJ212" s="350">
        <f t="shared" si="148"/>
        <v>0</v>
      </c>
      <c r="CK212" s="350">
        <f t="shared" si="148"/>
        <v>0</v>
      </c>
      <c r="CL212" s="350">
        <f t="shared" si="148"/>
        <v>0</v>
      </c>
      <c r="CM212" s="350">
        <f t="shared" si="148"/>
        <v>0</v>
      </c>
      <c r="CN212" s="350">
        <f t="shared" si="148"/>
        <v>0</v>
      </c>
      <c r="CO212" s="350">
        <f t="shared" si="148"/>
        <v>0</v>
      </c>
      <c r="CP212" s="350">
        <f t="shared" si="148"/>
        <v>0</v>
      </c>
      <c r="CQ212" s="350">
        <f t="shared" si="148"/>
        <v>0</v>
      </c>
      <c r="CR212" s="350">
        <f t="shared" si="148"/>
        <v>0</v>
      </c>
      <c r="CS212" s="350">
        <f t="shared" si="148"/>
        <v>0</v>
      </c>
      <c r="CT212" s="350">
        <f t="shared" si="148"/>
        <v>0</v>
      </c>
      <c r="CU212" s="350">
        <f t="shared" si="148"/>
        <v>0</v>
      </c>
      <c r="CV212" s="350">
        <f t="shared" si="148"/>
        <v>0</v>
      </c>
      <c r="CW212" s="350">
        <f t="shared" si="148"/>
        <v>0</v>
      </c>
      <c r="CX212" s="350">
        <f t="shared" si="148"/>
        <v>0</v>
      </c>
      <c r="CY212" s="350">
        <f t="shared" si="148"/>
        <v>0</v>
      </c>
      <c r="CZ212" s="350">
        <f t="shared" si="148"/>
        <v>0</v>
      </c>
      <c r="DA212" s="350">
        <f t="shared" si="148"/>
        <v>0</v>
      </c>
      <c r="DB212" s="350">
        <f t="shared" si="148"/>
        <v>0</v>
      </c>
      <c r="DC212" s="350">
        <f t="shared" si="148"/>
        <v>0</v>
      </c>
      <c r="DD212" s="350">
        <f t="shared" si="148"/>
        <v>0</v>
      </c>
      <c r="DE212" s="350">
        <f t="shared" si="148"/>
        <v>0</v>
      </c>
      <c r="DF212" s="350">
        <f t="shared" si="148"/>
        <v>0</v>
      </c>
      <c r="DG212" s="350">
        <f t="shared" si="148"/>
        <v>0</v>
      </c>
      <c r="DH212" s="350">
        <f t="shared" si="148"/>
        <v>0</v>
      </c>
      <c r="DI212" s="350">
        <f t="shared" si="148"/>
        <v>0</v>
      </c>
      <c r="DJ212" s="350">
        <f t="shared" si="148"/>
        <v>0</v>
      </c>
      <c r="DK212" s="350">
        <f t="shared" si="148"/>
        <v>0</v>
      </c>
      <c r="DL212" s="350">
        <f t="shared" si="148"/>
        <v>0</v>
      </c>
      <c r="DM212" s="350">
        <f t="shared" si="148"/>
        <v>0</v>
      </c>
      <c r="DN212" s="350">
        <f t="shared" si="148"/>
        <v>0</v>
      </c>
      <c r="DO212" s="350">
        <f t="shared" si="148"/>
        <v>0</v>
      </c>
      <c r="DP212" s="350">
        <f t="shared" si="148"/>
        <v>0</v>
      </c>
      <c r="DQ212" s="350">
        <f t="shared" si="148"/>
        <v>0</v>
      </c>
      <c r="DR212" s="350">
        <f t="shared" si="148"/>
        <v>0</v>
      </c>
      <c r="DS212" s="350">
        <f t="shared" si="148"/>
        <v>0</v>
      </c>
      <c r="DT212" s="350">
        <f t="shared" si="148"/>
        <v>0</v>
      </c>
      <c r="DU212" s="350">
        <f t="shared" si="148"/>
        <v>0</v>
      </c>
      <c r="DV212" s="350">
        <f t="shared" si="148"/>
        <v>0</v>
      </c>
      <c r="DW212" s="6"/>
      <c r="DX212" s="6"/>
      <c r="DY212" s="6"/>
      <c r="DZ212" s="6"/>
    </row>
    <row r="213" spans="1:130" ht="12.75" customHeight="1" x14ac:dyDescent="0.25">
      <c r="A213" s="6"/>
      <c r="B213" s="6"/>
      <c r="C213" s="6"/>
      <c r="D213" s="6"/>
      <c r="E213" s="6"/>
      <c r="F213" s="1178"/>
      <c r="G213" s="1178"/>
      <c r="H213" s="1178"/>
      <c r="I213" s="1178"/>
      <c r="J213" s="1178"/>
      <c r="K213" s="1178"/>
      <c r="L213" s="1178"/>
      <c r="M213" s="1178"/>
      <c r="N213" s="1178"/>
      <c r="O213" s="1178"/>
      <c r="P213" s="1178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</row>
    <row r="214" spans="1:130" ht="12.75" customHeight="1" x14ac:dyDescent="0.25">
      <c r="A214" s="6"/>
      <c r="B214" s="6"/>
      <c r="C214" s="6"/>
      <c r="D214" s="6"/>
      <c r="E214" s="6"/>
      <c r="F214" s="1178"/>
      <c r="G214" s="1178"/>
      <c r="H214" s="1178"/>
      <c r="I214" s="1178"/>
      <c r="J214" s="1178"/>
      <c r="K214" s="1178"/>
      <c r="L214" s="1178"/>
      <c r="M214" s="1178"/>
      <c r="N214" s="1178"/>
      <c r="O214" s="1178"/>
      <c r="P214" s="1178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</row>
    <row r="215" spans="1:130" ht="12.75" customHeight="1" x14ac:dyDescent="0.25">
      <c r="A215" s="6"/>
      <c r="B215" s="6"/>
      <c r="C215" s="6"/>
      <c r="D215" s="6"/>
      <c r="E215" s="6"/>
      <c r="F215" s="1178"/>
      <c r="G215" s="1178"/>
      <c r="H215" s="1178"/>
      <c r="I215" s="1178"/>
      <c r="J215" s="1178"/>
      <c r="K215" s="1178"/>
      <c r="L215" s="1178"/>
      <c r="M215" s="1178"/>
      <c r="N215" s="1178"/>
      <c r="O215" s="1178"/>
      <c r="P215" s="1178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</row>
    <row r="216" spans="1:130" ht="12.75" customHeight="1" x14ac:dyDescent="0.25">
      <c r="A216" s="6"/>
      <c r="B216" s="6"/>
      <c r="C216" s="6"/>
      <c r="D216" s="6"/>
      <c r="E216" s="6"/>
      <c r="F216" s="1178"/>
      <c r="G216" s="1178"/>
      <c r="H216" s="1178"/>
      <c r="I216" s="1178"/>
      <c r="J216" s="1178"/>
      <c r="K216" s="1178"/>
      <c r="L216" s="1178"/>
      <c r="M216" s="1178"/>
      <c r="N216" s="1178"/>
      <c r="O216" s="1178"/>
      <c r="P216" s="1178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</row>
    <row r="217" spans="1:130" ht="12.75" customHeight="1" x14ac:dyDescent="0.25">
      <c r="A217" s="6"/>
      <c r="B217" s="6"/>
      <c r="C217" s="6"/>
      <c r="D217" s="6"/>
      <c r="E217" s="6"/>
      <c r="F217" s="1178"/>
      <c r="G217" s="1178"/>
      <c r="H217" s="1178"/>
      <c r="I217" s="1178"/>
      <c r="J217" s="1178"/>
      <c r="K217" s="1178"/>
      <c r="L217" s="1178"/>
      <c r="M217" s="1178"/>
      <c r="N217" s="1178"/>
      <c r="O217" s="1178"/>
      <c r="P217" s="1178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</row>
    <row r="218" spans="1:130" ht="12.75" customHeight="1" x14ac:dyDescent="0.25">
      <c r="A218" s="6"/>
      <c r="B218" s="6"/>
      <c r="C218" s="6"/>
      <c r="D218" s="6"/>
      <c r="E218" s="6"/>
      <c r="F218" s="1178"/>
      <c r="G218" s="1178"/>
      <c r="H218" s="1178"/>
      <c r="I218" s="1178"/>
      <c r="J218" s="1178"/>
      <c r="K218" s="1178"/>
      <c r="L218" s="1178"/>
      <c r="M218" s="1178"/>
      <c r="N218" s="1178"/>
      <c r="O218" s="1178"/>
      <c r="P218" s="1178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</row>
    <row r="219" spans="1:130" ht="12.75" customHeight="1" x14ac:dyDescent="0.25">
      <c r="A219" s="6"/>
      <c r="B219" s="6"/>
      <c r="C219" s="6"/>
      <c r="D219" s="6"/>
      <c r="E219" s="6"/>
      <c r="F219" s="1178"/>
      <c r="G219" s="1178"/>
      <c r="H219" s="1178"/>
      <c r="I219" s="1178"/>
      <c r="J219" s="1178"/>
      <c r="K219" s="1178"/>
      <c r="L219" s="1178"/>
      <c r="M219" s="1178"/>
      <c r="N219" s="1178"/>
      <c r="O219" s="1178"/>
      <c r="P219" s="1178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</row>
    <row r="220" spans="1:130" ht="12.75" customHeight="1" x14ac:dyDescent="0.25">
      <c r="A220" s="6"/>
      <c r="B220" s="6"/>
      <c r="C220" s="6"/>
      <c r="D220" s="6"/>
      <c r="E220" s="6"/>
      <c r="F220" s="1178"/>
      <c r="G220" s="1178"/>
      <c r="H220" s="1178"/>
      <c r="I220" s="1178"/>
      <c r="J220" s="1178"/>
      <c r="K220" s="1178"/>
      <c r="L220" s="1178"/>
      <c r="M220" s="1178"/>
      <c r="N220" s="1178"/>
      <c r="O220" s="1178"/>
      <c r="P220" s="1178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</row>
    <row r="221" spans="1:130" ht="12.75" customHeight="1" x14ac:dyDescent="0.25">
      <c r="A221" s="6"/>
      <c r="B221" s="6"/>
      <c r="C221" s="6"/>
      <c r="D221" s="6"/>
      <c r="E221" s="6"/>
      <c r="F221" s="1178"/>
      <c r="G221" s="1178"/>
      <c r="H221" s="1178"/>
      <c r="I221" s="1178"/>
      <c r="J221" s="1178"/>
      <c r="K221" s="1178"/>
      <c r="L221" s="1178"/>
      <c r="M221" s="1178"/>
      <c r="N221" s="1178"/>
      <c r="O221" s="1178"/>
      <c r="P221" s="1178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</row>
    <row r="222" spans="1:130" ht="12.75" customHeight="1" x14ac:dyDescent="0.25">
      <c r="A222" s="6"/>
      <c r="B222" s="6"/>
      <c r="C222" s="6"/>
      <c r="D222" s="6"/>
      <c r="E222" s="6"/>
      <c r="F222" s="1178"/>
      <c r="G222" s="1178"/>
      <c r="H222" s="1178"/>
      <c r="I222" s="1178"/>
      <c r="J222" s="1178"/>
      <c r="K222" s="1178"/>
      <c r="L222" s="1178"/>
      <c r="M222" s="1178"/>
      <c r="N222" s="1178"/>
      <c r="O222" s="1178"/>
      <c r="P222" s="1178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</row>
    <row r="223" spans="1:130" ht="12.75" customHeight="1" x14ac:dyDescent="0.25">
      <c r="A223" s="6"/>
      <c r="B223" s="6"/>
      <c r="C223" s="6"/>
      <c r="D223" s="6"/>
      <c r="E223" s="6"/>
      <c r="F223" s="1178"/>
      <c r="G223" s="1178"/>
      <c r="H223" s="1178"/>
      <c r="I223" s="1178"/>
      <c r="J223" s="1178"/>
      <c r="K223" s="1178"/>
      <c r="L223" s="1178"/>
      <c r="M223" s="1178"/>
      <c r="N223" s="1178"/>
      <c r="O223" s="1178"/>
      <c r="P223" s="1178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</row>
    <row r="224" spans="1:130" ht="12.75" customHeight="1" x14ac:dyDescent="0.25">
      <c r="A224" s="6"/>
      <c r="B224" s="6"/>
      <c r="C224" s="6"/>
      <c r="D224" s="6"/>
      <c r="E224" s="6"/>
      <c r="F224" s="1178"/>
      <c r="G224" s="1178"/>
      <c r="H224" s="1178"/>
      <c r="I224" s="1178"/>
      <c r="J224" s="1178"/>
      <c r="K224" s="1178"/>
      <c r="L224" s="1178"/>
      <c r="M224" s="1178"/>
      <c r="N224" s="1178"/>
      <c r="O224" s="1178"/>
      <c r="P224" s="1178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</row>
    <row r="225" spans="1:130" ht="12.75" customHeight="1" x14ac:dyDescent="0.25">
      <c r="A225" s="6"/>
      <c r="B225" s="6"/>
      <c r="C225" s="6"/>
      <c r="D225" s="6"/>
      <c r="E225" s="6"/>
      <c r="F225" s="1178"/>
      <c r="G225" s="1178"/>
      <c r="H225" s="1178"/>
      <c r="I225" s="1178"/>
      <c r="J225" s="1178"/>
      <c r="K225" s="1178"/>
      <c r="L225" s="1178"/>
      <c r="M225" s="1178"/>
      <c r="N225" s="1178"/>
      <c r="O225" s="1178"/>
      <c r="P225" s="1178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</row>
    <row r="226" spans="1:130" ht="12.75" customHeight="1" x14ac:dyDescent="0.25">
      <c r="A226" s="6"/>
      <c r="B226" s="6"/>
      <c r="C226" s="6"/>
      <c r="D226" s="6"/>
      <c r="E226" s="6"/>
      <c r="F226" s="1178"/>
      <c r="G226" s="1178"/>
      <c r="H226" s="1178"/>
      <c r="I226" s="1178"/>
      <c r="J226" s="1178"/>
      <c r="K226" s="1178"/>
      <c r="L226" s="1178"/>
      <c r="M226" s="1178"/>
      <c r="N226" s="1178"/>
      <c r="O226" s="1178"/>
      <c r="P226" s="1178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</row>
    <row r="227" spans="1:130" ht="12.75" customHeight="1" x14ac:dyDescent="0.25">
      <c r="A227" s="6"/>
      <c r="B227" s="6"/>
      <c r="C227" s="6"/>
      <c r="D227" s="6"/>
      <c r="E227" s="6"/>
      <c r="F227" s="1178"/>
      <c r="G227" s="1178"/>
      <c r="H227" s="1178"/>
      <c r="I227" s="1178"/>
      <c r="J227" s="1178"/>
      <c r="K227" s="1178"/>
      <c r="L227" s="1178"/>
      <c r="M227" s="1178"/>
      <c r="N227" s="1178"/>
      <c r="O227" s="1178"/>
      <c r="P227" s="1178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</row>
    <row r="228" spans="1:130" ht="12.75" customHeight="1" x14ac:dyDescent="0.25">
      <c r="A228" s="6"/>
      <c r="B228" s="6"/>
      <c r="C228" s="6"/>
      <c r="D228" s="6"/>
      <c r="E228" s="6"/>
      <c r="F228" s="1178"/>
      <c r="G228" s="1178"/>
      <c r="H228" s="1178"/>
      <c r="I228" s="1178"/>
      <c r="J228" s="1178"/>
      <c r="K228" s="1178"/>
      <c r="L228" s="1178"/>
      <c r="M228" s="1178"/>
      <c r="N228" s="1178"/>
      <c r="O228" s="1178"/>
      <c r="P228" s="1178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</row>
    <row r="229" spans="1:130" ht="12.75" customHeight="1" x14ac:dyDescent="0.25">
      <c r="A229" s="6"/>
      <c r="B229" s="6"/>
      <c r="C229" s="6"/>
      <c r="D229" s="6"/>
      <c r="E229" s="6"/>
      <c r="F229" s="1178"/>
      <c r="G229" s="1178"/>
      <c r="H229" s="1178"/>
      <c r="I229" s="1178"/>
      <c r="J229" s="1178"/>
      <c r="K229" s="1178"/>
      <c r="L229" s="1178"/>
      <c r="M229" s="1178"/>
      <c r="N229" s="1178"/>
      <c r="O229" s="1178"/>
      <c r="P229" s="1178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</row>
    <row r="230" spans="1:130" ht="12.75" customHeight="1" x14ac:dyDescent="0.25">
      <c r="A230" s="6"/>
      <c r="B230" s="6"/>
      <c r="C230" s="6"/>
      <c r="D230" s="6"/>
      <c r="E230" s="6"/>
      <c r="F230" s="1178"/>
      <c r="G230" s="1178"/>
      <c r="H230" s="1178"/>
      <c r="I230" s="1178"/>
      <c r="J230" s="1178"/>
      <c r="K230" s="1178"/>
      <c r="L230" s="1178"/>
      <c r="M230" s="1178"/>
      <c r="N230" s="1178"/>
      <c r="O230" s="1178"/>
      <c r="P230" s="1178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</row>
    <row r="231" spans="1:130" ht="12.75" customHeight="1" x14ac:dyDescent="0.25">
      <c r="A231" s="6"/>
      <c r="B231" s="6"/>
      <c r="C231" s="6"/>
      <c r="D231" s="6"/>
      <c r="E231" s="6"/>
      <c r="F231" s="1178"/>
      <c r="G231" s="1178"/>
      <c r="H231" s="1178"/>
      <c r="I231" s="1178"/>
      <c r="J231" s="1178"/>
      <c r="K231" s="1178"/>
      <c r="L231" s="1178"/>
      <c r="M231" s="1178"/>
      <c r="N231" s="1178"/>
      <c r="O231" s="1178"/>
      <c r="P231" s="1178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</row>
    <row r="232" spans="1:130" ht="12.75" customHeight="1" x14ac:dyDescent="0.25">
      <c r="A232" s="6"/>
      <c r="B232" s="6"/>
      <c r="C232" s="6"/>
      <c r="D232" s="6"/>
      <c r="E232" s="6"/>
      <c r="F232" s="1178"/>
      <c r="G232" s="1178"/>
      <c r="H232" s="1178"/>
      <c r="I232" s="1178"/>
      <c r="J232" s="1178"/>
      <c r="K232" s="1178"/>
      <c r="L232" s="1178"/>
      <c r="M232" s="1178"/>
      <c r="N232" s="1178"/>
      <c r="O232" s="1178"/>
      <c r="P232" s="1178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</row>
    <row r="233" spans="1:130" ht="12.75" customHeight="1" x14ac:dyDescent="0.25">
      <c r="A233" s="6"/>
      <c r="B233" s="6"/>
      <c r="C233" s="6"/>
      <c r="D233" s="6"/>
      <c r="E233" s="6"/>
      <c r="F233" s="1178"/>
      <c r="G233" s="1178"/>
      <c r="H233" s="1178"/>
      <c r="I233" s="1178"/>
      <c r="J233" s="1178"/>
      <c r="K233" s="1178"/>
      <c r="L233" s="1178"/>
      <c r="M233" s="1178"/>
      <c r="N233" s="1178"/>
      <c r="O233" s="1178"/>
      <c r="P233" s="1178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</row>
    <row r="234" spans="1:130" ht="12.75" customHeight="1" x14ac:dyDescent="0.25">
      <c r="A234" s="6"/>
      <c r="B234" s="6"/>
      <c r="C234" s="6"/>
      <c r="D234" s="6"/>
      <c r="E234" s="6"/>
      <c r="F234" s="1178"/>
      <c r="G234" s="1178"/>
      <c r="H234" s="1178"/>
      <c r="I234" s="1178"/>
      <c r="J234" s="1178"/>
      <c r="K234" s="1178"/>
      <c r="L234" s="1178"/>
      <c r="M234" s="1178"/>
      <c r="N234" s="1178"/>
      <c r="O234" s="1178"/>
      <c r="P234" s="1178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</row>
    <row r="235" spans="1:130" ht="12.75" customHeight="1" x14ac:dyDescent="0.25">
      <c r="A235" s="6"/>
      <c r="B235" s="6"/>
      <c r="C235" s="6"/>
      <c r="D235" s="6"/>
      <c r="E235" s="6"/>
      <c r="F235" s="1178"/>
      <c r="G235" s="1178"/>
      <c r="H235" s="1178"/>
      <c r="I235" s="1178"/>
      <c r="J235" s="1178"/>
      <c r="K235" s="1178"/>
      <c r="L235" s="1178"/>
      <c r="M235" s="1178"/>
      <c r="N235" s="1178"/>
      <c r="O235" s="1178"/>
      <c r="P235" s="1178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</row>
    <row r="236" spans="1:130" ht="12.75" customHeight="1" x14ac:dyDescent="0.25">
      <c r="A236" s="6"/>
      <c r="B236" s="6"/>
      <c r="C236" s="6"/>
      <c r="D236" s="6"/>
      <c r="E236" s="6"/>
      <c r="F236" s="1178"/>
      <c r="G236" s="1178"/>
      <c r="H236" s="1178"/>
      <c r="I236" s="1178"/>
      <c r="J236" s="1178"/>
      <c r="K236" s="1178"/>
      <c r="L236" s="1178"/>
      <c r="M236" s="1178"/>
      <c r="N236" s="1178"/>
      <c r="O236" s="1178"/>
      <c r="P236" s="1178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</row>
    <row r="237" spans="1:130" ht="12.75" customHeight="1" x14ac:dyDescent="0.25">
      <c r="A237" s="6"/>
      <c r="B237" s="6"/>
      <c r="C237" s="6"/>
      <c r="D237" s="6"/>
      <c r="E237" s="6"/>
      <c r="F237" s="1178"/>
      <c r="G237" s="1178"/>
      <c r="H237" s="1178"/>
      <c r="I237" s="1178"/>
      <c r="J237" s="1178"/>
      <c r="K237" s="1178"/>
      <c r="L237" s="1178"/>
      <c r="M237" s="1178"/>
      <c r="N237" s="1178"/>
      <c r="O237" s="1178"/>
      <c r="P237" s="1178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</row>
    <row r="238" spans="1:130" ht="12.75" customHeight="1" x14ac:dyDescent="0.25">
      <c r="A238" s="6"/>
      <c r="B238" s="6"/>
      <c r="C238" s="6"/>
      <c r="D238" s="6"/>
      <c r="E238" s="6"/>
      <c r="F238" s="1178"/>
      <c r="G238" s="1178"/>
      <c r="H238" s="1178"/>
      <c r="I238" s="1178"/>
      <c r="J238" s="1178"/>
      <c r="K238" s="1178"/>
      <c r="L238" s="1178"/>
      <c r="M238" s="1178"/>
      <c r="N238" s="1178"/>
      <c r="O238" s="1178"/>
      <c r="P238" s="1178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</row>
    <row r="239" spans="1:130" ht="12.75" customHeight="1" x14ac:dyDescent="0.25">
      <c r="A239" s="6"/>
      <c r="B239" s="6"/>
      <c r="C239" s="6"/>
      <c r="D239" s="6"/>
      <c r="E239" s="6"/>
      <c r="F239" s="1178"/>
      <c r="G239" s="1178"/>
      <c r="H239" s="1178"/>
      <c r="I239" s="1178"/>
      <c r="J239" s="1178"/>
      <c r="K239" s="1178"/>
      <c r="L239" s="1178"/>
      <c r="M239" s="1178"/>
      <c r="N239" s="1178"/>
      <c r="O239" s="1178"/>
      <c r="P239" s="1178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</row>
    <row r="240" spans="1:130" ht="12.75" customHeight="1" x14ac:dyDescent="0.25">
      <c r="A240" s="6"/>
      <c r="B240" s="6"/>
      <c r="C240" s="6"/>
      <c r="D240" s="6"/>
      <c r="E240" s="6"/>
      <c r="F240" s="1178"/>
      <c r="G240" s="1178"/>
      <c r="H240" s="1178"/>
      <c r="I240" s="1178"/>
      <c r="J240" s="1178"/>
      <c r="K240" s="1178"/>
      <c r="L240" s="1178"/>
      <c r="M240" s="1178"/>
      <c r="N240" s="1178"/>
      <c r="O240" s="1178"/>
      <c r="P240" s="1178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</row>
    <row r="241" spans="1:130" ht="12.75" customHeight="1" x14ac:dyDescent="0.25">
      <c r="A241" s="6"/>
      <c r="B241" s="6"/>
      <c r="C241" s="6"/>
      <c r="D241" s="6"/>
      <c r="E241" s="6"/>
      <c r="F241" s="1178"/>
      <c r="G241" s="1178"/>
      <c r="H241" s="1178"/>
      <c r="I241" s="1178"/>
      <c r="J241" s="1178"/>
      <c r="K241" s="1178"/>
      <c r="L241" s="1178"/>
      <c r="M241" s="1178"/>
      <c r="N241" s="1178"/>
      <c r="O241" s="1178"/>
      <c r="P241" s="1178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</row>
    <row r="242" spans="1:130" ht="12.75" customHeight="1" x14ac:dyDescent="0.25">
      <c r="A242" s="6"/>
      <c r="B242" s="6"/>
      <c r="C242" s="6"/>
      <c r="D242" s="6"/>
      <c r="E242" s="6"/>
      <c r="F242" s="1178"/>
      <c r="G242" s="1178"/>
      <c r="H242" s="1178"/>
      <c r="I242" s="1178"/>
      <c r="J242" s="1178"/>
      <c r="K242" s="1178"/>
      <c r="L242" s="1178"/>
      <c r="M242" s="1178"/>
      <c r="N242" s="1178"/>
      <c r="O242" s="1178"/>
      <c r="P242" s="1178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</row>
    <row r="243" spans="1:130" ht="12.75" customHeight="1" x14ac:dyDescent="0.25">
      <c r="A243" s="6"/>
      <c r="B243" s="6"/>
      <c r="C243" s="6"/>
      <c r="D243" s="6"/>
      <c r="E243" s="6"/>
      <c r="F243" s="1178"/>
      <c r="G243" s="1178"/>
      <c r="H243" s="1178"/>
      <c r="I243" s="1178"/>
      <c r="J243" s="1178"/>
      <c r="K243" s="1178"/>
      <c r="L243" s="1178"/>
      <c r="M243" s="1178"/>
      <c r="N243" s="1178"/>
      <c r="O243" s="1178"/>
      <c r="P243" s="1178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</row>
    <row r="244" spans="1:130" ht="12.75" customHeight="1" x14ac:dyDescent="0.25">
      <c r="A244" s="6"/>
      <c r="B244" s="6"/>
      <c r="C244" s="6"/>
      <c r="D244" s="6"/>
      <c r="E244" s="6"/>
      <c r="F244" s="1178"/>
      <c r="G244" s="1178"/>
      <c r="H244" s="1178"/>
      <c r="I244" s="1178"/>
      <c r="J244" s="1178"/>
      <c r="K244" s="1178"/>
      <c r="L244" s="1178"/>
      <c r="M244" s="1178"/>
      <c r="N244" s="1178"/>
      <c r="O244" s="1178"/>
      <c r="P244" s="1178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</row>
    <row r="245" spans="1:130" ht="12.75" customHeight="1" x14ac:dyDescent="0.25">
      <c r="A245" s="6"/>
      <c r="B245" s="6"/>
      <c r="C245" s="6"/>
      <c r="D245" s="6"/>
      <c r="E245" s="6"/>
      <c r="F245" s="1178"/>
      <c r="G245" s="1178"/>
      <c r="H245" s="1178"/>
      <c r="I245" s="1178"/>
      <c r="J245" s="1178"/>
      <c r="K245" s="1178"/>
      <c r="L245" s="1178"/>
      <c r="M245" s="1178"/>
      <c r="N245" s="1178"/>
      <c r="O245" s="1178"/>
      <c r="P245" s="1178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</row>
    <row r="246" spans="1:130" ht="12.75" customHeight="1" x14ac:dyDescent="0.25">
      <c r="A246" s="6"/>
      <c r="B246" s="6"/>
      <c r="C246" s="6"/>
      <c r="D246" s="6"/>
      <c r="E246" s="6"/>
      <c r="F246" s="1178"/>
      <c r="G246" s="1178"/>
      <c r="H246" s="1178"/>
      <c r="I246" s="1178"/>
      <c r="J246" s="1178"/>
      <c r="K246" s="1178"/>
      <c r="L246" s="1178"/>
      <c r="M246" s="1178"/>
      <c r="N246" s="1178"/>
      <c r="O246" s="1178"/>
      <c r="P246" s="1178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</row>
    <row r="247" spans="1:130" ht="12.75" customHeight="1" x14ac:dyDescent="0.25">
      <c r="A247" s="6"/>
      <c r="B247" s="6"/>
      <c r="C247" s="6"/>
      <c r="D247" s="6"/>
      <c r="E247" s="6"/>
      <c r="F247" s="1178"/>
      <c r="G247" s="1178"/>
      <c r="H247" s="1178"/>
      <c r="I247" s="1178"/>
      <c r="J247" s="1178"/>
      <c r="K247" s="1178"/>
      <c r="L247" s="1178"/>
      <c r="M247" s="1178"/>
      <c r="N247" s="1178"/>
      <c r="O247" s="1178"/>
      <c r="P247" s="1178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</row>
    <row r="248" spans="1:130" ht="12.75" customHeight="1" x14ac:dyDescent="0.25">
      <c r="A248" s="6"/>
      <c r="B248" s="6"/>
      <c r="C248" s="6"/>
      <c r="D248" s="6"/>
      <c r="E248" s="6"/>
      <c r="F248" s="1178"/>
      <c r="G248" s="1178"/>
      <c r="H248" s="1178"/>
      <c r="I248" s="1178"/>
      <c r="J248" s="1178"/>
      <c r="K248" s="1178"/>
      <c r="L248" s="1178"/>
      <c r="M248" s="1178"/>
      <c r="N248" s="1178"/>
      <c r="O248" s="1178"/>
      <c r="P248" s="1178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</row>
    <row r="249" spans="1:130" ht="12.75" customHeight="1" x14ac:dyDescent="0.25">
      <c r="A249" s="6"/>
      <c r="B249" s="6"/>
      <c r="C249" s="6"/>
      <c r="D249" s="6"/>
      <c r="E249" s="6"/>
      <c r="F249" s="1178"/>
      <c r="G249" s="1178"/>
      <c r="H249" s="1178"/>
      <c r="I249" s="1178"/>
      <c r="J249" s="1178"/>
      <c r="K249" s="1178"/>
      <c r="L249" s="1178"/>
      <c r="M249" s="1178"/>
      <c r="N249" s="1178"/>
      <c r="O249" s="1178"/>
      <c r="P249" s="1178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</row>
    <row r="250" spans="1:130" ht="12.75" customHeight="1" x14ac:dyDescent="0.25">
      <c r="A250" s="6"/>
      <c r="B250" s="6"/>
      <c r="C250" s="6"/>
      <c r="D250" s="6"/>
      <c r="E250" s="6"/>
      <c r="F250" s="1178"/>
      <c r="G250" s="1178"/>
      <c r="H250" s="1178"/>
      <c r="I250" s="1178"/>
      <c r="J250" s="1178"/>
      <c r="K250" s="1178"/>
      <c r="L250" s="1178"/>
      <c r="M250" s="1178"/>
      <c r="N250" s="1178"/>
      <c r="O250" s="1178"/>
      <c r="P250" s="1178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</row>
    <row r="251" spans="1:130" ht="12.75" customHeight="1" x14ac:dyDescent="0.25">
      <c r="A251" s="6"/>
      <c r="B251" s="6"/>
      <c r="C251" s="6"/>
      <c r="D251" s="6"/>
      <c r="E251" s="6"/>
      <c r="F251" s="1178"/>
      <c r="G251" s="1178"/>
      <c r="H251" s="1178"/>
      <c r="I251" s="1178"/>
      <c r="J251" s="1178"/>
      <c r="K251" s="1178"/>
      <c r="L251" s="1178"/>
      <c r="M251" s="1178"/>
      <c r="N251" s="1178"/>
      <c r="O251" s="1178"/>
      <c r="P251" s="1178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</row>
    <row r="252" spans="1:130" ht="12.75" customHeight="1" x14ac:dyDescent="0.25">
      <c r="A252" s="6"/>
      <c r="B252" s="6"/>
      <c r="C252" s="6"/>
      <c r="D252" s="6"/>
      <c r="E252" s="6"/>
      <c r="F252" s="1178"/>
      <c r="G252" s="1178"/>
      <c r="H252" s="1178"/>
      <c r="I252" s="1178"/>
      <c r="J252" s="1178"/>
      <c r="K252" s="1178"/>
      <c r="L252" s="1178"/>
      <c r="M252" s="1178"/>
      <c r="N252" s="1178"/>
      <c r="O252" s="1178"/>
      <c r="P252" s="1178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</row>
    <row r="253" spans="1:130" ht="12.75" customHeight="1" x14ac:dyDescent="0.25">
      <c r="A253" s="6"/>
      <c r="B253" s="6"/>
      <c r="C253" s="6"/>
      <c r="D253" s="6"/>
      <c r="E253" s="6"/>
      <c r="F253" s="1178"/>
      <c r="G253" s="1178"/>
      <c r="H253" s="1178"/>
      <c r="I253" s="1178"/>
      <c r="J253" s="1178"/>
      <c r="K253" s="1178"/>
      <c r="L253" s="1178"/>
      <c r="M253" s="1178"/>
      <c r="N253" s="1178"/>
      <c r="O253" s="1178"/>
      <c r="P253" s="1178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</row>
    <row r="254" spans="1:130" ht="12.75" customHeight="1" x14ac:dyDescent="0.25">
      <c r="A254" s="6"/>
      <c r="B254" s="6"/>
      <c r="C254" s="6"/>
      <c r="D254" s="6"/>
      <c r="E254" s="6"/>
      <c r="F254" s="1178"/>
      <c r="G254" s="1178"/>
      <c r="H254" s="1178"/>
      <c r="I254" s="1178"/>
      <c r="J254" s="1178"/>
      <c r="K254" s="1178"/>
      <c r="L254" s="1178"/>
      <c r="M254" s="1178"/>
      <c r="N254" s="1178"/>
      <c r="O254" s="1178"/>
      <c r="P254" s="1178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</row>
    <row r="255" spans="1:130" ht="12.75" customHeight="1" x14ac:dyDescent="0.25">
      <c r="A255" s="6"/>
      <c r="B255" s="6"/>
      <c r="C255" s="6"/>
      <c r="D255" s="6"/>
      <c r="E255" s="6"/>
      <c r="F255" s="1178"/>
      <c r="G255" s="1178"/>
      <c r="H255" s="1178"/>
      <c r="I255" s="1178"/>
      <c r="J255" s="1178"/>
      <c r="K255" s="1178"/>
      <c r="L255" s="1178"/>
      <c r="M255" s="1178"/>
      <c r="N255" s="1178"/>
      <c r="O255" s="1178"/>
      <c r="P255" s="1178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</row>
    <row r="256" spans="1:130" ht="12.75" customHeight="1" x14ac:dyDescent="0.25">
      <c r="A256" s="6"/>
      <c r="B256" s="6"/>
      <c r="C256" s="6"/>
      <c r="D256" s="6"/>
      <c r="E256" s="6"/>
      <c r="F256" s="1178"/>
      <c r="G256" s="1178"/>
      <c r="H256" s="1178"/>
      <c r="I256" s="1178"/>
      <c r="J256" s="1178"/>
      <c r="K256" s="1178"/>
      <c r="L256" s="1178"/>
      <c r="M256" s="1178"/>
      <c r="N256" s="1178"/>
      <c r="O256" s="1178"/>
      <c r="P256" s="1178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</row>
    <row r="257" spans="1:130" ht="12.75" customHeight="1" x14ac:dyDescent="0.25">
      <c r="A257" s="6"/>
      <c r="B257" s="6"/>
      <c r="C257" s="6"/>
      <c r="D257" s="6"/>
      <c r="E257" s="6"/>
      <c r="F257" s="1178"/>
      <c r="G257" s="1178"/>
      <c r="H257" s="1178"/>
      <c r="I257" s="1178"/>
      <c r="J257" s="1178"/>
      <c r="K257" s="1178"/>
      <c r="L257" s="1178"/>
      <c r="M257" s="1178"/>
      <c r="N257" s="1178"/>
      <c r="O257" s="1178"/>
      <c r="P257" s="1178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</row>
    <row r="258" spans="1:130" ht="12.75" customHeight="1" x14ac:dyDescent="0.25">
      <c r="A258" s="6"/>
      <c r="B258" s="6"/>
      <c r="C258" s="6"/>
      <c r="D258" s="6"/>
      <c r="E258" s="6"/>
      <c r="F258" s="1178"/>
      <c r="G258" s="1178"/>
      <c r="H258" s="1178"/>
      <c r="I258" s="1178"/>
      <c r="J258" s="1178"/>
      <c r="K258" s="1178"/>
      <c r="L258" s="1178"/>
      <c r="M258" s="1178"/>
      <c r="N258" s="1178"/>
      <c r="O258" s="1178"/>
      <c r="P258" s="1178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</row>
    <row r="259" spans="1:130" ht="12.75" customHeight="1" x14ac:dyDescent="0.25">
      <c r="A259" s="6"/>
      <c r="B259" s="6"/>
      <c r="C259" s="6"/>
      <c r="D259" s="6"/>
      <c r="E259" s="6"/>
      <c r="F259" s="1178"/>
      <c r="G259" s="1178"/>
      <c r="H259" s="1178"/>
      <c r="I259" s="1178"/>
      <c r="J259" s="1178"/>
      <c r="K259" s="1178"/>
      <c r="L259" s="1178"/>
      <c r="M259" s="1178"/>
      <c r="N259" s="1178"/>
      <c r="O259" s="1178"/>
      <c r="P259" s="1178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</row>
    <row r="260" spans="1:130" ht="12.75" customHeight="1" x14ac:dyDescent="0.25">
      <c r="A260" s="6"/>
      <c r="B260" s="6"/>
      <c r="C260" s="6"/>
      <c r="D260" s="6"/>
      <c r="E260" s="6"/>
      <c r="F260" s="1178"/>
      <c r="G260" s="1178"/>
      <c r="H260" s="1178"/>
      <c r="I260" s="1178"/>
      <c r="J260" s="1178"/>
      <c r="K260" s="1178"/>
      <c r="L260" s="1178"/>
      <c r="M260" s="1178"/>
      <c r="N260" s="1178"/>
      <c r="O260" s="1178"/>
      <c r="P260" s="1178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</row>
    <row r="261" spans="1:130" ht="12.75" customHeight="1" x14ac:dyDescent="0.25">
      <c r="A261" s="6"/>
      <c r="B261" s="6"/>
      <c r="C261" s="6"/>
      <c r="D261" s="6"/>
      <c r="E261" s="6"/>
      <c r="F261" s="1178"/>
      <c r="G261" s="1178"/>
      <c r="H261" s="1178"/>
      <c r="I261" s="1178"/>
      <c r="J261" s="1178"/>
      <c r="K261" s="1178"/>
      <c r="L261" s="1178"/>
      <c r="M261" s="1178"/>
      <c r="N261" s="1178"/>
      <c r="O261" s="1178"/>
      <c r="P261" s="1178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</row>
    <row r="262" spans="1:130" ht="12.75" customHeight="1" x14ac:dyDescent="0.25">
      <c r="A262" s="6"/>
      <c r="B262" s="6"/>
      <c r="C262" s="6"/>
      <c r="D262" s="6"/>
      <c r="E262" s="6"/>
      <c r="F262" s="1178"/>
      <c r="G262" s="1178"/>
      <c r="H262" s="1178"/>
      <c r="I262" s="1178"/>
      <c r="J262" s="1178"/>
      <c r="K262" s="1178"/>
      <c r="L262" s="1178"/>
      <c r="M262" s="1178"/>
      <c r="N262" s="1178"/>
      <c r="O262" s="1178"/>
      <c r="P262" s="1178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</row>
    <row r="263" spans="1:130" ht="12.75" customHeight="1" x14ac:dyDescent="0.25">
      <c r="A263" s="6"/>
      <c r="B263" s="6"/>
      <c r="C263" s="6"/>
      <c r="D263" s="6"/>
      <c r="E263" s="6"/>
      <c r="F263" s="1178"/>
      <c r="G263" s="1178"/>
      <c r="H263" s="1178"/>
      <c r="I263" s="1178"/>
      <c r="J263" s="1178"/>
      <c r="K263" s="1178"/>
      <c r="L263" s="1178"/>
      <c r="M263" s="1178"/>
      <c r="N263" s="1178"/>
      <c r="O263" s="1178"/>
      <c r="P263" s="1178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</row>
    <row r="264" spans="1:130" ht="12.75" customHeight="1" x14ac:dyDescent="0.25">
      <c r="A264" s="6"/>
      <c r="B264" s="6"/>
      <c r="C264" s="6"/>
      <c r="D264" s="6"/>
      <c r="E264" s="6"/>
      <c r="F264" s="1178"/>
      <c r="G264" s="1178"/>
      <c r="H264" s="1178"/>
      <c r="I264" s="1178"/>
      <c r="J264" s="1178"/>
      <c r="K264" s="1178"/>
      <c r="L264" s="1178"/>
      <c r="M264" s="1178"/>
      <c r="N264" s="1178"/>
      <c r="O264" s="1178"/>
      <c r="P264" s="1178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</row>
    <row r="265" spans="1:130" ht="12.75" customHeight="1" x14ac:dyDescent="0.25">
      <c r="A265" s="6"/>
      <c r="B265" s="6"/>
      <c r="C265" s="6"/>
      <c r="D265" s="6"/>
      <c r="E265" s="6"/>
      <c r="F265" s="1178"/>
      <c r="G265" s="1178"/>
      <c r="H265" s="1178"/>
      <c r="I265" s="1178"/>
      <c r="J265" s="1178"/>
      <c r="K265" s="1178"/>
      <c r="L265" s="1178"/>
      <c r="M265" s="1178"/>
      <c r="N265" s="1178"/>
      <c r="O265" s="1178"/>
      <c r="P265" s="1178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</row>
    <row r="266" spans="1:130" ht="12.75" customHeight="1" x14ac:dyDescent="0.25">
      <c r="A266" s="6"/>
      <c r="B266" s="6"/>
      <c r="C266" s="6"/>
      <c r="D266" s="6"/>
      <c r="E266" s="6"/>
      <c r="F266" s="1178"/>
      <c r="G266" s="1178"/>
      <c r="H266" s="1178"/>
      <c r="I266" s="1178"/>
      <c r="J266" s="1178"/>
      <c r="K266" s="1178"/>
      <c r="L266" s="1178"/>
      <c r="M266" s="1178"/>
      <c r="N266" s="1178"/>
      <c r="O266" s="1178"/>
      <c r="P266" s="1178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</row>
    <row r="267" spans="1:130" ht="12.75" customHeight="1" x14ac:dyDescent="0.25">
      <c r="A267" s="6"/>
      <c r="B267" s="6"/>
      <c r="C267" s="6"/>
      <c r="D267" s="6"/>
      <c r="E267" s="6"/>
      <c r="F267" s="1178"/>
      <c r="G267" s="1178"/>
      <c r="H267" s="1178"/>
      <c r="I267" s="1178"/>
      <c r="J267" s="1178"/>
      <c r="K267" s="1178"/>
      <c r="L267" s="1178"/>
      <c r="M267" s="1178"/>
      <c r="N267" s="1178"/>
      <c r="O267" s="1178"/>
      <c r="P267" s="1178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</row>
    <row r="268" spans="1:130" ht="12.75" customHeight="1" x14ac:dyDescent="0.25">
      <c r="A268" s="6"/>
      <c r="B268" s="6"/>
      <c r="C268" s="6"/>
      <c r="D268" s="6"/>
      <c r="E268" s="6"/>
      <c r="F268" s="1178"/>
      <c r="G268" s="1178"/>
      <c r="H268" s="1178"/>
      <c r="I268" s="1178"/>
      <c r="J268" s="1178"/>
      <c r="K268" s="1178"/>
      <c r="L268" s="1178"/>
      <c r="M268" s="1178"/>
      <c r="N268" s="1178"/>
      <c r="O268" s="1178"/>
      <c r="P268" s="1178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</row>
    <row r="269" spans="1:130" ht="12.75" customHeight="1" x14ac:dyDescent="0.25">
      <c r="A269" s="6"/>
      <c r="B269" s="6"/>
      <c r="C269" s="6"/>
      <c r="D269" s="6"/>
      <c r="E269" s="6"/>
      <c r="F269" s="1178"/>
      <c r="G269" s="1178"/>
      <c r="H269" s="1178"/>
      <c r="I269" s="1178"/>
      <c r="J269" s="1178"/>
      <c r="K269" s="1178"/>
      <c r="L269" s="1178"/>
      <c r="M269" s="1178"/>
      <c r="N269" s="1178"/>
      <c r="O269" s="1178"/>
      <c r="P269" s="1178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</row>
    <row r="270" spans="1:130" ht="12.75" customHeight="1" x14ac:dyDescent="0.25">
      <c r="A270" s="6"/>
      <c r="B270" s="6"/>
      <c r="C270" s="6"/>
      <c r="D270" s="6"/>
      <c r="E270" s="6"/>
      <c r="F270" s="1178"/>
      <c r="G270" s="1178"/>
      <c r="H270" s="1178"/>
      <c r="I270" s="1178"/>
      <c r="J270" s="1178"/>
      <c r="K270" s="1178"/>
      <c r="L270" s="1178"/>
      <c r="M270" s="1178"/>
      <c r="N270" s="1178"/>
      <c r="O270" s="1178"/>
      <c r="P270" s="1178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</row>
    <row r="271" spans="1:130" ht="12.75" customHeight="1" x14ac:dyDescent="0.25">
      <c r="A271" s="6"/>
      <c r="B271" s="6"/>
      <c r="C271" s="6"/>
      <c r="D271" s="6"/>
      <c r="E271" s="6"/>
      <c r="F271" s="1178"/>
      <c r="G271" s="1178"/>
      <c r="H271" s="1178"/>
      <c r="I271" s="1178"/>
      <c r="J271" s="1178"/>
      <c r="K271" s="1178"/>
      <c r="L271" s="1178"/>
      <c r="M271" s="1178"/>
      <c r="N271" s="1178"/>
      <c r="O271" s="1178"/>
      <c r="P271" s="1178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</row>
    <row r="272" spans="1:130" ht="12.75" customHeight="1" x14ac:dyDescent="0.25">
      <c r="A272" s="6"/>
      <c r="B272" s="6"/>
      <c r="C272" s="6"/>
      <c r="D272" s="6"/>
      <c r="E272" s="6"/>
      <c r="F272" s="1178"/>
      <c r="G272" s="1178"/>
      <c r="H272" s="1178"/>
      <c r="I272" s="1178"/>
      <c r="J272" s="1178"/>
      <c r="K272" s="1178"/>
      <c r="L272" s="1178"/>
      <c r="M272" s="1178"/>
      <c r="N272" s="1178"/>
      <c r="O272" s="1178"/>
      <c r="P272" s="1178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</row>
    <row r="273" spans="1:130" ht="12.75" customHeight="1" x14ac:dyDescent="0.25">
      <c r="A273" s="6"/>
      <c r="B273" s="6"/>
      <c r="C273" s="6"/>
      <c r="D273" s="6"/>
      <c r="E273" s="6"/>
      <c r="F273" s="1178"/>
      <c r="G273" s="1178"/>
      <c r="H273" s="1178"/>
      <c r="I273" s="1178"/>
      <c r="J273" s="1178"/>
      <c r="K273" s="1178"/>
      <c r="L273" s="1178"/>
      <c r="M273" s="1178"/>
      <c r="N273" s="1178"/>
      <c r="O273" s="1178"/>
      <c r="P273" s="1178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</row>
    <row r="274" spans="1:130" ht="12.75" customHeight="1" x14ac:dyDescent="0.25">
      <c r="A274" s="6"/>
      <c r="B274" s="6"/>
      <c r="C274" s="6"/>
      <c r="D274" s="6"/>
      <c r="E274" s="6"/>
      <c r="F274" s="1178"/>
      <c r="G274" s="1178"/>
      <c r="H274" s="1178"/>
      <c r="I274" s="1178"/>
      <c r="J274" s="1178"/>
      <c r="K274" s="1178"/>
      <c r="L274" s="1178"/>
      <c r="M274" s="1178"/>
      <c r="N274" s="1178"/>
      <c r="O274" s="1178"/>
      <c r="P274" s="1178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</row>
    <row r="275" spans="1:130" ht="12.75" customHeight="1" x14ac:dyDescent="0.25">
      <c r="A275" s="6"/>
      <c r="B275" s="6"/>
      <c r="C275" s="6"/>
      <c r="D275" s="6"/>
      <c r="E275" s="6"/>
      <c r="F275" s="1178"/>
      <c r="G275" s="1178"/>
      <c r="H275" s="1178"/>
      <c r="I275" s="1178"/>
      <c r="J275" s="1178"/>
      <c r="K275" s="1178"/>
      <c r="L275" s="1178"/>
      <c r="M275" s="1178"/>
      <c r="N275" s="1178"/>
      <c r="O275" s="1178"/>
      <c r="P275" s="1178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</row>
    <row r="276" spans="1:130" ht="12.75" customHeight="1" x14ac:dyDescent="0.25">
      <c r="A276" s="6"/>
      <c r="B276" s="6"/>
      <c r="C276" s="6"/>
      <c r="D276" s="6"/>
      <c r="E276" s="6"/>
      <c r="F276" s="1178"/>
      <c r="G276" s="1178"/>
      <c r="H276" s="1178"/>
      <c r="I276" s="1178"/>
      <c r="J276" s="1178"/>
      <c r="K276" s="1178"/>
      <c r="L276" s="1178"/>
      <c r="M276" s="1178"/>
      <c r="N276" s="1178"/>
      <c r="O276" s="1178"/>
      <c r="P276" s="1178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</row>
    <row r="277" spans="1:130" ht="12.75" customHeight="1" x14ac:dyDescent="0.25">
      <c r="A277" s="6"/>
      <c r="B277" s="6"/>
      <c r="C277" s="6"/>
      <c r="D277" s="6"/>
      <c r="E277" s="6"/>
      <c r="F277" s="1178"/>
      <c r="G277" s="1178"/>
      <c r="H277" s="1178"/>
      <c r="I277" s="1178"/>
      <c r="J277" s="1178"/>
      <c r="K277" s="1178"/>
      <c r="L277" s="1178"/>
      <c r="M277" s="1178"/>
      <c r="N277" s="1178"/>
      <c r="O277" s="1178"/>
      <c r="P277" s="1178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</row>
    <row r="278" spans="1:130" ht="12.75" customHeight="1" x14ac:dyDescent="0.25">
      <c r="A278" s="6"/>
      <c r="B278" s="6"/>
      <c r="C278" s="6"/>
      <c r="D278" s="6"/>
      <c r="E278" s="6"/>
      <c r="F278" s="1178"/>
      <c r="G278" s="1178"/>
      <c r="H278" s="1178"/>
      <c r="I278" s="1178"/>
      <c r="J278" s="1178"/>
      <c r="K278" s="1178"/>
      <c r="L278" s="1178"/>
      <c r="M278" s="1178"/>
      <c r="N278" s="1178"/>
      <c r="O278" s="1178"/>
      <c r="P278" s="1178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</row>
    <row r="279" spans="1:130" ht="12.75" customHeight="1" x14ac:dyDescent="0.25">
      <c r="A279" s="6"/>
      <c r="B279" s="6"/>
      <c r="C279" s="6"/>
      <c r="D279" s="6"/>
      <c r="E279" s="6"/>
      <c r="F279" s="1178"/>
      <c r="G279" s="1178"/>
      <c r="H279" s="1178"/>
      <c r="I279" s="1178"/>
      <c r="J279" s="1178"/>
      <c r="K279" s="1178"/>
      <c r="L279" s="1178"/>
      <c r="M279" s="1178"/>
      <c r="N279" s="1178"/>
      <c r="O279" s="1178"/>
      <c r="P279" s="1178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</row>
    <row r="280" spans="1:130" ht="12.75" customHeight="1" x14ac:dyDescent="0.25">
      <c r="A280" s="6"/>
      <c r="B280" s="6"/>
      <c r="C280" s="6"/>
      <c r="D280" s="6"/>
      <c r="E280" s="6"/>
      <c r="F280" s="1178"/>
      <c r="G280" s="1178"/>
      <c r="H280" s="1178"/>
      <c r="I280" s="1178"/>
      <c r="J280" s="1178"/>
      <c r="K280" s="1178"/>
      <c r="L280" s="1178"/>
      <c r="M280" s="1178"/>
      <c r="N280" s="1178"/>
      <c r="O280" s="1178"/>
      <c r="P280" s="1178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</row>
    <row r="281" spans="1:130" ht="12.75" customHeight="1" x14ac:dyDescent="0.25">
      <c r="A281" s="6"/>
      <c r="B281" s="6"/>
      <c r="C281" s="6"/>
      <c r="D281" s="6"/>
      <c r="E281" s="6"/>
      <c r="F281" s="1178"/>
      <c r="G281" s="1178"/>
      <c r="H281" s="1178"/>
      <c r="I281" s="1178"/>
      <c r="J281" s="1178"/>
      <c r="K281" s="1178"/>
      <c r="L281" s="1178"/>
      <c r="M281" s="1178"/>
      <c r="N281" s="1178"/>
      <c r="O281" s="1178"/>
      <c r="P281" s="1178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</row>
    <row r="282" spans="1:130" ht="12.75" customHeight="1" x14ac:dyDescent="0.25">
      <c r="A282" s="6"/>
      <c r="B282" s="6"/>
      <c r="C282" s="6"/>
      <c r="D282" s="6"/>
      <c r="E282" s="6"/>
      <c r="F282" s="1178"/>
      <c r="G282" s="1178"/>
      <c r="H282" s="1178"/>
      <c r="I282" s="1178"/>
      <c r="J282" s="1178"/>
      <c r="K282" s="1178"/>
      <c r="L282" s="1178"/>
      <c r="M282" s="1178"/>
      <c r="N282" s="1178"/>
      <c r="O282" s="1178"/>
      <c r="P282" s="1178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</row>
    <row r="283" spans="1:130" ht="12.75" customHeight="1" x14ac:dyDescent="0.25">
      <c r="A283" s="6"/>
      <c r="B283" s="6"/>
      <c r="C283" s="6"/>
      <c r="D283" s="6"/>
      <c r="E283" s="6"/>
      <c r="F283" s="1178"/>
      <c r="G283" s="1178"/>
      <c r="H283" s="1178"/>
      <c r="I283" s="1178"/>
      <c r="J283" s="1178"/>
      <c r="K283" s="1178"/>
      <c r="L283" s="1178"/>
      <c r="M283" s="1178"/>
      <c r="N283" s="1178"/>
      <c r="O283" s="1178"/>
      <c r="P283" s="1178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</row>
    <row r="284" spans="1:130" ht="12.75" customHeight="1" x14ac:dyDescent="0.25">
      <c r="A284" s="6"/>
      <c r="B284" s="6"/>
      <c r="C284" s="6"/>
      <c r="D284" s="6"/>
      <c r="E284" s="6"/>
      <c r="F284" s="1178"/>
      <c r="G284" s="1178"/>
      <c r="H284" s="1178"/>
      <c r="I284" s="1178"/>
      <c r="J284" s="1178"/>
      <c r="K284" s="1178"/>
      <c r="L284" s="1178"/>
      <c r="M284" s="1178"/>
      <c r="N284" s="1178"/>
      <c r="O284" s="1178"/>
      <c r="P284" s="1178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</row>
    <row r="285" spans="1:130" ht="12.75" customHeight="1" x14ac:dyDescent="0.25">
      <c r="A285" s="6"/>
      <c r="B285" s="6"/>
      <c r="C285" s="6"/>
      <c r="D285" s="6"/>
      <c r="E285" s="6"/>
      <c r="F285" s="1178"/>
      <c r="G285" s="1178"/>
      <c r="H285" s="1178"/>
      <c r="I285" s="1178"/>
      <c r="J285" s="1178"/>
      <c r="K285" s="1178"/>
      <c r="L285" s="1178"/>
      <c r="M285" s="1178"/>
      <c r="N285" s="1178"/>
      <c r="O285" s="1178"/>
      <c r="P285" s="1178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</row>
    <row r="286" spans="1:130" ht="12.75" customHeight="1" x14ac:dyDescent="0.25">
      <c r="A286" s="6"/>
      <c r="B286" s="6"/>
      <c r="C286" s="6"/>
      <c r="D286" s="6"/>
      <c r="E286" s="6"/>
      <c r="F286" s="1178"/>
      <c r="G286" s="1178"/>
      <c r="H286" s="1178"/>
      <c r="I286" s="1178"/>
      <c r="J286" s="1178"/>
      <c r="K286" s="1178"/>
      <c r="L286" s="1178"/>
      <c r="M286" s="1178"/>
      <c r="N286" s="1178"/>
      <c r="O286" s="1178"/>
      <c r="P286" s="1178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</row>
    <row r="287" spans="1:130" ht="12.75" customHeight="1" x14ac:dyDescent="0.25">
      <c r="A287" s="6"/>
      <c r="B287" s="6"/>
      <c r="C287" s="6"/>
      <c r="D287" s="6"/>
      <c r="E287" s="6"/>
      <c r="F287" s="1178"/>
      <c r="G287" s="1178"/>
      <c r="H287" s="1178"/>
      <c r="I287" s="1178"/>
      <c r="J287" s="1178"/>
      <c r="K287" s="1178"/>
      <c r="L287" s="1178"/>
      <c r="M287" s="1178"/>
      <c r="N287" s="1178"/>
      <c r="O287" s="1178"/>
      <c r="P287" s="1178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</row>
    <row r="288" spans="1:130" ht="12.75" customHeight="1" x14ac:dyDescent="0.25">
      <c r="A288" s="6"/>
      <c r="B288" s="6"/>
      <c r="C288" s="6"/>
      <c r="D288" s="6"/>
      <c r="E288" s="6"/>
      <c r="F288" s="1178"/>
      <c r="G288" s="1178"/>
      <c r="H288" s="1178"/>
      <c r="I288" s="1178"/>
      <c r="J288" s="1178"/>
      <c r="K288" s="1178"/>
      <c r="L288" s="1178"/>
      <c r="M288" s="1178"/>
      <c r="N288" s="1178"/>
      <c r="O288" s="1178"/>
      <c r="P288" s="1178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</row>
    <row r="289" spans="1:130" ht="12.75" customHeight="1" x14ac:dyDescent="0.25">
      <c r="A289" s="6"/>
      <c r="B289" s="6"/>
      <c r="C289" s="6"/>
      <c r="D289" s="6"/>
      <c r="E289" s="6"/>
      <c r="F289" s="1178"/>
      <c r="G289" s="1178"/>
      <c r="H289" s="1178"/>
      <c r="I289" s="1178"/>
      <c r="J289" s="1178"/>
      <c r="K289" s="1178"/>
      <c r="L289" s="1178"/>
      <c r="M289" s="1178"/>
      <c r="N289" s="1178"/>
      <c r="O289" s="1178"/>
      <c r="P289" s="1178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</row>
    <row r="290" spans="1:130" ht="12.75" customHeight="1" x14ac:dyDescent="0.25">
      <c r="A290" s="6"/>
      <c r="B290" s="6"/>
      <c r="C290" s="6"/>
      <c r="D290" s="6"/>
      <c r="E290" s="6"/>
      <c r="F290" s="1178"/>
      <c r="G290" s="1178"/>
      <c r="H290" s="1178"/>
      <c r="I290" s="1178"/>
      <c r="J290" s="1178"/>
      <c r="K290" s="1178"/>
      <c r="L290" s="1178"/>
      <c r="M290" s="1178"/>
      <c r="N290" s="1178"/>
      <c r="O290" s="1178"/>
      <c r="P290" s="1178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</row>
    <row r="291" spans="1:130" ht="12.75" customHeight="1" x14ac:dyDescent="0.25">
      <c r="A291" s="6"/>
      <c r="B291" s="6"/>
      <c r="C291" s="6"/>
      <c r="D291" s="6"/>
      <c r="E291" s="6"/>
      <c r="F291" s="1178"/>
      <c r="G291" s="1178"/>
      <c r="H291" s="1178"/>
      <c r="I291" s="1178"/>
      <c r="J291" s="1178"/>
      <c r="K291" s="1178"/>
      <c r="L291" s="1178"/>
      <c r="M291" s="1178"/>
      <c r="N291" s="1178"/>
      <c r="O291" s="1178"/>
      <c r="P291" s="1178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</row>
    <row r="292" spans="1:130" ht="12.75" customHeight="1" x14ac:dyDescent="0.25">
      <c r="A292" s="6"/>
      <c r="B292" s="6"/>
      <c r="C292" s="6"/>
      <c r="D292" s="6"/>
      <c r="E292" s="6"/>
      <c r="F292" s="1178"/>
      <c r="G292" s="1178"/>
      <c r="H292" s="1178"/>
      <c r="I292" s="1178"/>
      <c r="J292" s="1178"/>
      <c r="K292" s="1178"/>
      <c r="L292" s="1178"/>
      <c r="M292" s="1178"/>
      <c r="N292" s="1178"/>
      <c r="O292" s="1178"/>
      <c r="P292" s="1178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</row>
    <row r="293" spans="1:130" ht="12.75" customHeight="1" x14ac:dyDescent="0.25">
      <c r="A293" s="6"/>
      <c r="B293" s="6"/>
      <c r="C293" s="6"/>
      <c r="D293" s="6"/>
      <c r="E293" s="6"/>
      <c r="F293" s="1178"/>
      <c r="G293" s="1178"/>
      <c r="H293" s="1178"/>
      <c r="I293" s="1178"/>
      <c r="J293" s="1178"/>
      <c r="K293" s="1178"/>
      <c r="L293" s="1178"/>
      <c r="M293" s="1178"/>
      <c r="N293" s="1178"/>
      <c r="O293" s="1178"/>
      <c r="P293" s="1178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</row>
    <row r="294" spans="1:130" ht="12.75" customHeight="1" x14ac:dyDescent="0.25">
      <c r="A294" s="6"/>
      <c r="B294" s="6"/>
      <c r="C294" s="6"/>
      <c r="D294" s="6"/>
      <c r="E294" s="6"/>
      <c r="F294" s="1178"/>
      <c r="G294" s="1178"/>
      <c r="H294" s="1178"/>
      <c r="I294" s="1178"/>
      <c r="J294" s="1178"/>
      <c r="K294" s="1178"/>
      <c r="L294" s="1178"/>
      <c r="M294" s="1178"/>
      <c r="N294" s="1178"/>
      <c r="O294" s="1178"/>
      <c r="P294" s="1178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</row>
    <row r="295" spans="1:130" ht="12.75" customHeight="1" x14ac:dyDescent="0.25">
      <c r="A295" s="6"/>
      <c r="B295" s="6"/>
      <c r="C295" s="6"/>
      <c r="D295" s="6"/>
      <c r="E295" s="6"/>
      <c r="F295" s="1178"/>
      <c r="G295" s="1178"/>
      <c r="H295" s="1178"/>
      <c r="I295" s="1178"/>
      <c r="J295" s="1178"/>
      <c r="K295" s="1178"/>
      <c r="L295" s="1178"/>
      <c r="M295" s="1178"/>
      <c r="N295" s="1178"/>
      <c r="O295" s="1178"/>
      <c r="P295" s="1178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</row>
    <row r="296" spans="1:130" ht="12.75" customHeight="1" x14ac:dyDescent="0.25">
      <c r="A296" s="6"/>
      <c r="B296" s="6"/>
      <c r="C296" s="6"/>
      <c r="D296" s="6"/>
      <c r="E296" s="6"/>
      <c r="F296" s="1178"/>
      <c r="G296" s="1178"/>
      <c r="H296" s="1178"/>
      <c r="I296" s="1178"/>
      <c r="J296" s="1178"/>
      <c r="K296" s="1178"/>
      <c r="L296" s="1178"/>
      <c r="M296" s="1178"/>
      <c r="N296" s="1178"/>
      <c r="O296" s="1178"/>
      <c r="P296" s="1178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</row>
    <row r="297" spans="1:130" ht="12.75" customHeight="1" x14ac:dyDescent="0.25">
      <c r="A297" s="6"/>
      <c r="B297" s="6"/>
      <c r="C297" s="6"/>
      <c r="D297" s="6"/>
      <c r="E297" s="6"/>
      <c r="F297" s="1178"/>
      <c r="G297" s="1178"/>
      <c r="H297" s="1178"/>
      <c r="I297" s="1178"/>
      <c r="J297" s="1178"/>
      <c r="K297" s="1178"/>
      <c r="L297" s="1178"/>
      <c r="M297" s="1178"/>
      <c r="N297" s="1178"/>
      <c r="O297" s="1178"/>
      <c r="P297" s="1178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</row>
    <row r="298" spans="1:130" ht="12.75" customHeight="1" x14ac:dyDescent="0.25">
      <c r="A298" s="6"/>
      <c r="B298" s="6"/>
      <c r="C298" s="6"/>
      <c r="D298" s="6"/>
      <c r="E298" s="6"/>
      <c r="F298" s="1178"/>
      <c r="G298" s="1178"/>
      <c r="H298" s="1178"/>
      <c r="I298" s="1178"/>
      <c r="J298" s="1178"/>
      <c r="K298" s="1178"/>
      <c r="L298" s="1178"/>
      <c r="M298" s="1178"/>
      <c r="N298" s="1178"/>
      <c r="O298" s="1178"/>
      <c r="P298" s="1178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</row>
    <row r="299" spans="1:130" ht="12.75" customHeight="1" x14ac:dyDescent="0.25">
      <c r="A299" s="6"/>
      <c r="B299" s="6"/>
      <c r="C299" s="6"/>
      <c r="D299" s="6"/>
      <c r="E299" s="6"/>
      <c r="F299" s="1178"/>
      <c r="G299" s="1178"/>
      <c r="H299" s="1178"/>
      <c r="I299" s="1178"/>
      <c r="J299" s="1178"/>
      <c r="K299" s="1178"/>
      <c r="L299" s="1178"/>
      <c r="M299" s="1178"/>
      <c r="N299" s="1178"/>
      <c r="O299" s="1178"/>
      <c r="P299" s="1178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</row>
    <row r="300" spans="1:130" ht="12.75" customHeight="1" x14ac:dyDescent="0.25">
      <c r="A300" s="6"/>
      <c r="B300" s="6"/>
      <c r="C300" s="6"/>
      <c r="D300" s="6"/>
      <c r="E300" s="6"/>
      <c r="F300" s="1178"/>
      <c r="G300" s="1178"/>
      <c r="H300" s="1178"/>
      <c r="I300" s="1178"/>
      <c r="J300" s="1178"/>
      <c r="K300" s="1178"/>
      <c r="L300" s="1178"/>
      <c r="M300" s="1178"/>
      <c r="N300" s="1178"/>
      <c r="O300" s="1178"/>
      <c r="P300" s="1178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</row>
    <row r="301" spans="1:130" ht="12.75" customHeight="1" x14ac:dyDescent="0.25">
      <c r="A301" s="6"/>
      <c r="B301" s="6"/>
      <c r="C301" s="6"/>
      <c r="D301" s="6"/>
      <c r="E301" s="6"/>
      <c r="F301" s="1178"/>
      <c r="G301" s="1178"/>
      <c r="H301" s="1178"/>
      <c r="I301" s="1178"/>
      <c r="J301" s="1178"/>
      <c r="K301" s="1178"/>
      <c r="L301" s="1178"/>
      <c r="M301" s="1178"/>
      <c r="N301" s="1178"/>
      <c r="O301" s="1178"/>
      <c r="P301" s="1178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</row>
    <row r="302" spans="1:130" ht="12.75" customHeight="1" x14ac:dyDescent="0.25">
      <c r="A302" s="6"/>
      <c r="B302" s="6"/>
      <c r="C302" s="6"/>
      <c r="D302" s="6"/>
      <c r="E302" s="6"/>
      <c r="F302" s="1178"/>
      <c r="G302" s="1178"/>
      <c r="H302" s="1178"/>
      <c r="I302" s="1178"/>
      <c r="J302" s="1178"/>
      <c r="K302" s="1178"/>
      <c r="L302" s="1178"/>
      <c r="M302" s="1178"/>
      <c r="N302" s="1178"/>
      <c r="O302" s="1178"/>
      <c r="P302" s="1178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</row>
    <row r="303" spans="1:130" ht="12.75" customHeight="1" x14ac:dyDescent="0.25">
      <c r="A303" s="6"/>
      <c r="B303" s="6"/>
      <c r="C303" s="6"/>
      <c r="D303" s="6"/>
      <c r="E303" s="6"/>
      <c r="F303" s="1178"/>
      <c r="G303" s="1178"/>
      <c r="H303" s="1178"/>
      <c r="I303" s="1178"/>
      <c r="J303" s="1178"/>
      <c r="K303" s="1178"/>
      <c r="L303" s="1178"/>
      <c r="M303" s="1178"/>
      <c r="N303" s="1178"/>
      <c r="O303" s="1178"/>
      <c r="P303" s="1178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</row>
    <row r="304" spans="1:130" ht="12.75" customHeight="1" x14ac:dyDescent="0.25">
      <c r="A304" s="6"/>
      <c r="B304" s="6"/>
      <c r="C304" s="6"/>
      <c r="D304" s="6"/>
      <c r="E304" s="6"/>
      <c r="F304" s="1178"/>
      <c r="G304" s="1178"/>
      <c r="H304" s="1178"/>
      <c r="I304" s="1178"/>
      <c r="J304" s="1178"/>
      <c r="K304" s="1178"/>
      <c r="L304" s="1178"/>
      <c r="M304" s="1178"/>
      <c r="N304" s="1178"/>
      <c r="O304" s="1178"/>
      <c r="P304" s="1178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</row>
    <row r="305" spans="1:130" ht="12.75" customHeight="1" x14ac:dyDescent="0.25">
      <c r="A305" s="6"/>
      <c r="B305" s="6"/>
      <c r="C305" s="6"/>
      <c r="D305" s="6"/>
      <c r="E305" s="6"/>
      <c r="F305" s="1178"/>
      <c r="G305" s="1178"/>
      <c r="H305" s="1178"/>
      <c r="I305" s="1178"/>
      <c r="J305" s="1178"/>
      <c r="K305" s="1178"/>
      <c r="L305" s="1178"/>
      <c r="M305" s="1178"/>
      <c r="N305" s="1178"/>
      <c r="O305" s="1178"/>
      <c r="P305" s="1178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</row>
    <row r="306" spans="1:130" ht="12.75" customHeight="1" x14ac:dyDescent="0.25">
      <c r="A306" s="6"/>
      <c r="B306" s="6"/>
      <c r="C306" s="6"/>
      <c r="D306" s="6"/>
      <c r="E306" s="6"/>
      <c r="F306" s="1178"/>
      <c r="G306" s="1178"/>
      <c r="H306" s="1178"/>
      <c r="I306" s="1178"/>
      <c r="J306" s="1178"/>
      <c r="K306" s="1178"/>
      <c r="L306" s="1178"/>
      <c r="M306" s="1178"/>
      <c r="N306" s="1178"/>
      <c r="O306" s="1178"/>
      <c r="P306" s="1178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</row>
    <row r="307" spans="1:130" ht="12.75" customHeight="1" x14ac:dyDescent="0.25">
      <c r="A307" s="6"/>
      <c r="B307" s="6"/>
      <c r="C307" s="6"/>
      <c r="D307" s="6"/>
      <c r="E307" s="6"/>
      <c r="F307" s="1178"/>
      <c r="G307" s="1178"/>
      <c r="H307" s="1178"/>
      <c r="I307" s="1178"/>
      <c r="J307" s="1178"/>
      <c r="K307" s="1178"/>
      <c r="L307" s="1178"/>
      <c r="M307" s="1178"/>
      <c r="N307" s="1178"/>
      <c r="O307" s="1178"/>
      <c r="P307" s="1178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</row>
    <row r="308" spans="1:130" ht="12.75" customHeight="1" x14ac:dyDescent="0.25">
      <c r="A308" s="6"/>
      <c r="B308" s="6"/>
      <c r="C308" s="6"/>
      <c r="D308" s="6"/>
      <c r="E308" s="6"/>
      <c r="F308" s="1178"/>
      <c r="G308" s="1178"/>
      <c r="H308" s="1178"/>
      <c r="I308" s="1178"/>
      <c r="J308" s="1178"/>
      <c r="K308" s="1178"/>
      <c r="L308" s="1178"/>
      <c r="M308" s="1178"/>
      <c r="N308" s="1178"/>
      <c r="O308" s="1178"/>
      <c r="P308" s="1178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</row>
    <row r="309" spans="1:130" ht="12.75" customHeight="1" x14ac:dyDescent="0.25">
      <c r="A309" s="6"/>
      <c r="B309" s="6"/>
      <c r="C309" s="6"/>
      <c r="D309" s="6"/>
      <c r="E309" s="6"/>
      <c r="F309" s="1178"/>
      <c r="G309" s="1178"/>
      <c r="H309" s="1178"/>
      <c r="I309" s="1178"/>
      <c r="J309" s="1178"/>
      <c r="K309" s="1178"/>
      <c r="L309" s="1178"/>
      <c r="M309" s="1178"/>
      <c r="N309" s="1178"/>
      <c r="O309" s="1178"/>
      <c r="P309" s="1178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</row>
    <row r="310" spans="1:130" ht="12.75" customHeight="1" x14ac:dyDescent="0.25">
      <c r="A310" s="6"/>
      <c r="B310" s="6"/>
      <c r="C310" s="6"/>
      <c r="D310" s="6"/>
      <c r="E310" s="6"/>
      <c r="F310" s="1178"/>
      <c r="G310" s="1178"/>
      <c r="H310" s="1178"/>
      <c r="I310" s="1178"/>
      <c r="J310" s="1178"/>
      <c r="K310" s="1178"/>
      <c r="L310" s="1178"/>
      <c r="M310" s="1178"/>
      <c r="N310" s="1178"/>
      <c r="O310" s="1178"/>
      <c r="P310" s="1178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</row>
    <row r="311" spans="1:130" ht="12.75" customHeight="1" x14ac:dyDescent="0.25">
      <c r="A311" s="6"/>
      <c r="B311" s="6"/>
      <c r="C311" s="6"/>
      <c r="D311" s="6"/>
      <c r="E311" s="6"/>
      <c r="F311" s="1178"/>
      <c r="G311" s="1178"/>
      <c r="H311" s="1178"/>
      <c r="I311" s="1178"/>
      <c r="J311" s="1178"/>
      <c r="K311" s="1178"/>
      <c r="L311" s="1178"/>
      <c r="M311" s="1178"/>
      <c r="N311" s="1178"/>
      <c r="O311" s="1178"/>
      <c r="P311" s="1178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</row>
    <row r="312" spans="1:130" ht="12.75" customHeight="1" x14ac:dyDescent="0.25">
      <c r="A312" s="6"/>
      <c r="B312" s="6"/>
      <c r="C312" s="6"/>
      <c r="D312" s="6"/>
      <c r="E312" s="6"/>
      <c r="F312" s="1178"/>
      <c r="G312" s="1178"/>
      <c r="H312" s="1178"/>
      <c r="I312" s="1178"/>
      <c r="J312" s="1178"/>
      <c r="K312" s="1178"/>
      <c r="L312" s="1178"/>
      <c r="M312" s="1178"/>
      <c r="N312" s="1178"/>
      <c r="O312" s="1178"/>
      <c r="P312" s="1178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</row>
    <row r="313" spans="1:130" ht="12.75" customHeight="1" x14ac:dyDescent="0.25">
      <c r="A313" s="6"/>
      <c r="B313" s="6"/>
      <c r="C313" s="6"/>
      <c r="D313" s="6"/>
      <c r="E313" s="6"/>
      <c r="F313" s="1178"/>
      <c r="G313" s="1178"/>
      <c r="H313" s="1178"/>
      <c r="I313" s="1178"/>
      <c r="J313" s="1178"/>
      <c r="K313" s="1178"/>
      <c r="L313" s="1178"/>
      <c r="M313" s="1178"/>
      <c r="N313" s="1178"/>
      <c r="O313" s="1178"/>
      <c r="P313" s="1178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</row>
    <row r="314" spans="1:130" ht="12.75" customHeight="1" x14ac:dyDescent="0.25">
      <c r="A314" s="6"/>
      <c r="B314" s="6"/>
      <c r="C314" s="6"/>
      <c r="D314" s="6"/>
      <c r="E314" s="6"/>
      <c r="F314" s="1178"/>
      <c r="G314" s="1178"/>
      <c r="H314" s="1178"/>
      <c r="I314" s="1178"/>
      <c r="J314" s="1178"/>
      <c r="K314" s="1178"/>
      <c r="L314" s="1178"/>
      <c r="M314" s="1178"/>
      <c r="N314" s="1178"/>
      <c r="O314" s="1178"/>
      <c r="P314" s="1178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</row>
    <row r="315" spans="1:130" ht="12.75" customHeight="1" x14ac:dyDescent="0.25">
      <c r="A315" s="6"/>
      <c r="B315" s="6"/>
      <c r="C315" s="6"/>
      <c r="D315" s="6"/>
      <c r="E315" s="6"/>
      <c r="F315" s="1178"/>
      <c r="G315" s="1178"/>
      <c r="H315" s="1178"/>
      <c r="I315" s="1178"/>
      <c r="J315" s="1178"/>
      <c r="K315" s="1178"/>
      <c r="L315" s="1178"/>
      <c r="M315" s="1178"/>
      <c r="N315" s="1178"/>
      <c r="O315" s="1178"/>
      <c r="P315" s="1178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</row>
    <row r="316" spans="1:130" ht="12.75" customHeight="1" x14ac:dyDescent="0.25">
      <c r="A316" s="6"/>
      <c r="B316" s="6"/>
      <c r="C316" s="6"/>
      <c r="D316" s="6"/>
      <c r="E316" s="6"/>
      <c r="F316" s="1178"/>
      <c r="G316" s="1178"/>
      <c r="H316" s="1178"/>
      <c r="I316" s="1178"/>
      <c r="J316" s="1178"/>
      <c r="K316" s="1178"/>
      <c r="L316" s="1178"/>
      <c r="M316" s="1178"/>
      <c r="N316" s="1178"/>
      <c r="O316" s="1178"/>
      <c r="P316" s="1178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</row>
    <row r="317" spans="1:130" ht="12.75" customHeight="1" x14ac:dyDescent="0.25">
      <c r="A317" s="6"/>
      <c r="B317" s="6"/>
      <c r="C317" s="6"/>
      <c r="D317" s="6"/>
      <c r="E317" s="6"/>
      <c r="F317" s="1178"/>
      <c r="G317" s="1178"/>
      <c r="H317" s="1178"/>
      <c r="I317" s="1178"/>
      <c r="J317" s="1178"/>
      <c r="K317" s="1178"/>
      <c r="L317" s="1178"/>
      <c r="M317" s="1178"/>
      <c r="N317" s="1178"/>
      <c r="O317" s="1178"/>
      <c r="P317" s="1178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</row>
    <row r="318" spans="1:130" ht="12.75" customHeight="1" x14ac:dyDescent="0.25">
      <c r="A318" s="6"/>
      <c r="B318" s="6"/>
      <c r="C318" s="6"/>
      <c r="D318" s="6"/>
      <c r="E318" s="6"/>
      <c r="F318" s="1178"/>
      <c r="G318" s="1178"/>
      <c r="H318" s="1178"/>
      <c r="I318" s="1178"/>
      <c r="J318" s="1178"/>
      <c r="K318" s="1178"/>
      <c r="L318" s="1178"/>
      <c r="M318" s="1178"/>
      <c r="N318" s="1178"/>
      <c r="O318" s="1178"/>
      <c r="P318" s="1178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</row>
    <row r="319" spans="1:130" ht="12.75" customHeight="1" x14ac:dyDescent="0.25">
      <c r="A319" s="6"/>
      <c r="B319" s="6"/>
      <c r="C319" s="6"/>
      <c r="D319" s="6"/>
      <c r="E319" s="6"/>
      <c r="F319" s="1178"/>
      <c r="G319" s="1178"/>
      <c r="H319" s="1178"/>
      <c r="I319" s="1178"/>
      <c r="J319" s="1178"/>
      <c r="K319" s="1178"/>
      <c r="L319" s="1178"/>
      <c r="M319" s="1178"/>
      <c r="N319" s="1178"/>
      <c r="O319" s="1178"/>
      <c r="P319" s="1178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</row>
    <row r="320" spans="1:130" ht="12.75" customHeight="1" x14ac:dyDescent="0.25">
      <c r="A320" s="6"/>
      <c r="B320" s="6"/>
      <c r="C320" s="6"/>
      <c r="D320" s="6"/>
      <c r="E320" s="6"/>
      <c r="F320" s="1178"/>
      <c r="G320" s="1178"/>
      <c r="H320" s="1178"/>
      <c r="I320" s="1178"/>
      <c r="J320" s="1178"/>
      <c r="K320" s="1178"/>
      <c r="L320" s="1178"/>
      <c r="M320" s="1178"/>
      <c r="N320" s="1178"/>
      <c r="O320" s="1178"/>
      <c r="P320" s="1178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</row>
    <row r="321" spans="1:130" ht="12.75" customHeight="1" x14ac:dyDescent="0.25">
      <c r="A321" s="6"/>
      <c r="B321" s="6"/>
      <c r="C321" s="6"/>
      <c r="D321" s="6"/>
      <c r="E321" s="6"/>
      <c r="F321" s="1178"/>
      <c r="G321" s="1178"/>
      <c r="H321" s="1178"/>
      <c r="I321" s="1178"/>
      <c r="J321" s="1178"/>
      <c r="K321" s="1178"/>
      <c r="L321" s="1178"/>
      <c r="M321" s="1178"/>
      <c r="N321" s="1178"/>
      <c r="O321" s="1178"/>
      <c r="P321" s="1178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</row>
    <row r="322" spans="1:130" ht="12.75" customHeight="1" x14ac:dyDescent="0.25">
      <c r="A322" s="6"/>
      <c r="B322" s="6"/>
      <c r="C322" s="6"/>
      <c r="D322" s="6"/>
      <c r="E322" s="6"/>
      <c r="F322" s="1178"/>
      <c r="G322" s="1178"/>
      <c r="H322" s="1178"/>
      <c r="I322" s="1178"/>
      <c r="J322" s="1178"/>
      <c r="K322" s="1178"/>
      <c r="L322" s="1178"/>
      <c r="M322" s="1178"/>
      <c r="N322" s="1178"/>
      <c r="O322" s="1178"/>
      <c r="P322" s="1178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</row>
    <row r="323" spans="1:130" ht="12.75" customHeight="1" x14ac:dyDescent="0.25">
      <c r="A323" s="6"/>
      <c r="B323" s="6"/>
      <c r="C323" s="6"/>
      <c r="D323" s="6"/>
      <c r="E323" s="6"/>
      <c r="F323" s="1178"/>
      <c r="G323" s="1178"/>
      <c r="H323" s="1178"/>
      <c r="I323" s="1178"/>
      <c r="J323" s="1178"/>
      <c r="K323" s="1178"/>
      <c r="L323" s="1178"/>
      <c r="M323" s="1178"/>
      <c r="N323" s="1178"/>
      <c r="O323" s="1178"/>
      <c r="P323" s="1178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</row>
    <row r="324" spans="1:130" ht="12.75" customHeight="1" x14ac:dyDescent="0.25">
      <c r="A324" s="6"/>
      <c r="B324" s="6"/>
      <c r="C324" s="6"/>
      <c r="D324" s="6"/>
      <c r="E324" s="6"/>
      <c r="F324" s="1178"/>
      <c r="G324" s="1178"/>
      <c r="H324" s="1178"/>
      <c r="I324" s="1178"/>
      <c r="J324" s="1178"/>
      <c r="K324" s="1178"/>
      <c r="L324" s="1178"/>
      <c r="M324" s="1178"/>
      <c r="N324" s="1178"/>
      <c r="O324" s="1178"/>
      <c r="P324" s="1178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</row>
    <row r="325" spans="1:130" ht="12.75" customHeight="1" x14ac:dyDescent="0.25">
      <c r="A325" s="6"/>
      <c r="B325" s="6"/>
      <c r="C325" s="6"/>
      <c r="D325" s="6"/>
      <c r="E325" s="6"/>
      <c r="F325" s="1178"/>
      <c r="G325" s="1178"/>
      <c r="H325" s="1178"/>
      <c r="I325" s="1178"/>
      <c r="J325" s="1178"/>
      <c r="K325" s="1178"/>
      <c r="L325" s="1178"/>
      <c r="M325" s="1178"/>
      <c r="N325" s="1178"/>
      <c r="O325" s="1178"/>
      <c r="P325" s="1178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</row>
    <row r="326" spans="1:130" ht="12.75" customHeight="1" x14ac:dyDescent="0.25">
      <c r="A326" s="6"/>
      <c r="B326" s="6"/>
      <c r="C326" s="6"/>
      <c r="D326" s="6"/>
      <c r="E326" s="6"/>
      <c r="F326" s="1178"/>
      <c r="G326" s="1178"/>
      <c r="H326" s="1178"/>
      <c r="I326" s="1178"/>
      <c r="J326" s="1178"/>
      <c r="K326" s="1178"/>
      <c r="L326" s="1178"/>
      <c r="M326" s="1178"/>
      <c r="N326" s="1178"/>
      <c r="O326" s="1178"/>
      <c r="P326" s="1178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</row>
    <row r="327" spans="1:130" ht="12.75" customHeight="1" x14ac:dyDescent="0.25">
      <c r="A327" s="6"/>
      <c r="B327" s="6"/>
      <c r="C327" s="6"/>
      <c r="D327" s="6"/>
      <c r="E327" s="6"/>
      <c r="F327" s="1178"/>
      <c r="G327" s="1178"/>
      <c r="H327" s="1178"/>
      <c r="I327" s="1178"/>
      <c r="J327" s="1178"/>
      <c r="K327" s="1178"/>
      <c r="L327" s="1178"/>
      <c r="M327" s="1178"/>
      <c r="N327" s="1178"/>
      <c r="O327" s="1178"/>
      <c r="P327" s="1178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</row>
    <row r="328" spans="1:130" ht="12.75" customHeight="1" x14ac:dyDescent="0.25">
      <c r="A328" s="6"/>
      <c r="B328" s="6"/>
      <c r="C328" s="6"/>
      <c r="D328" s="6"/>
      <c r="E328" s="6"/>
      <c r="F328" s="1178"/>
      <c r="G328" s="1178"/>
      <c r="H328" s="1178"/>
      <c r="I328" s="1178"/>
      <c r="J328" s="1178"/>
      <c r="K328" s="1178"/>
      <c r="L328" s="1178"/>
      <c r="M328" s="1178"/>
      <c r="N328" s="1178"/>
      <c r="O328" s="1178"/>
      <c r="P328" s="1178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</row>
    <row r="329" spans="1:130" ht="12.75" customHeight="1" x14ac:dyDescent="0.25">
      <c r="A329" s="6"/>
      <c r="B329" s="6"/>
      <c r="C329" s="6"/>
      <c r="D329" s="6"/>
      <c r="E329" s="6"/>
      <c r="F329" s="1178"/>
      <c r="G329" s="1178"/>
      <c r="H329" s="1178"/>
      <c r="I329" s="1178"/>
      <c r="J329" s="1178"/>
      <c r="K329" s="1178"/>
      <c r="L329" s="1178"/>
      <c r="M329" s="1178"/>
      <c r="N329" s="1178"/>
      <c r="O329" s="1178"/>
      <c r="P329" s="1178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</row>
    <row r="330" spans="1:130" ht="12.75" customHeight="1" x14ac:dyDescent="0.25">
      <c r="A330" s="6"/>
      <c r="B330" s="6"/>
      <c r="C330" s="6"/>
      <c r="D330" s="6"/>
      <c r="E330" s="6"/>
      <c r="F330" s="1178"/>
      <c r="G330" s="1178"/>
      <c r="H330" s="1178"/>
      <c r="I330" s="1178"/>
      <c r="J330" s="1178"/>
      <c r="K330" s="1178"/>
      <c r="L330" s="1178"/>
      <c r="M330" s="1178"/>
      <c r="N330" s="1178"/>
      <c r="O330" s="1178"/>
      <c r="P330" s="1178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</row>
    <row r="331" spans="1:130" ht="12.75" customHeight="1" x14ac:dyDescent="0.25">
      <c r="A331" s="6"/>
      <c r="B331" s="6"/>
      <c r="C331" s="6"/>
      <c r="D331" s="6"/>
      <c r="E331" s="6"/>
      <c r="F331" s="1178"/>
      <c r="G331" s="1178"/>
      <c r="H331" s="1178"/>
      <c r="I331" s="1178"/>
      <c r="J331" s="1178"/>
      <c r="K331" s="1178"/>
      <c r="L331" s="1178"/>
      <c r="M331" s="1178"/>
      <c r="N331" s="1178"/>
      <c r="O331" s="1178"/>
      <c r="P331" s="1178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</row>
    <row r="332" spans="1:130" ht="12.75" customHeight="1" x14ac:dyDescent="0.25">
      <c r="A332" s="6"/>
      <c r="B332" s="6"/>
      <c r="C332" s="6"/>
      <c r="D332" s="6"/>
      <c r="E332" s="6"/>
      <c r="F332" s="1178"/>
      <c r="G332" s="1178"/>
      <c r="H332" s="1178"/>
      <c r="I332" s="1178"/>
      <c r="J332" s="1178"/>
      <c r="K332" s="1178"/>
      <c r="L332" s="1178"/>
      <c r="M332" s="1178"/>
      <c r="N332" s="1178"/>
      <c r="O332" s="1178"/>
      <c r="P332" s="1178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</row>
    <row r="333" spans="1:130" ht="12.75" customHeight="1" x14ac:dyDescent="0.25">
      <c r="A333" s="6"/>
      <c r="B333" s="6"/>
      <c r="C333" s="6"/>
      <c r="D333" s="6"/>
      <c r="E333" s="6"/>
      <c r="F333" s="1178"/>
      <c r="G333" s="1178"/>
      <c r="H333" s="1178"/>
      <c r="I333" s="1178"/>
      <c r="J333" s="1178"/>
      <c r="K333" s="1178"/>
      <c r="L333" s="1178"/>
      <c r="M333" s="1178"/>
      <c r="N333" s="1178"/>
      <c r="O333" s="1178"/>
      <c r="P333" s="1178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</row>
    <row r="334" spans="1:130" ht="12.75" customHeight="1" x14ac:dyDescent="0.25">
      <c r="A334" s="6"/>
      <c r="B334" s="6"/>
      <c r="C334" s="6"/>
      <c r="D334" s="6"/>
      <c r="E334" s="6"/>
      <c r="F334" s="1178"/>
      <c r="G334" s="1178"/>
      <c r="H334" s="1178"/>
      <c r="I334" s="1178"/>
      <c r="J334" s="1178"/>
      <c r="K334" s="1178"/>
      <c r="L334" s="1178"/>
      <c r="M334" s="1178"/>
      <c r="N334" s="1178"/>
      <c r="O334" s="1178"/>
      <c r="P334" s="1178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</row>
    <row r="335" spans="1:130" ht="12.75" customHeight="1" x14ac:dyDescent="0.25">
      <c r="A335" s="6"/>
      <c r="B335" s="6"/>
      <c r="C335" s="6"/>
      <c r="D335" s="6"/>
      <c r="E335" s="6"/>
      <c r="F335" s="1178"/>
      <c r="G335" s="1178"/>
      <c r="H335" s="1178"/>
      <c r="I335" s="1178"/>
      <c r="J335" s="1178"/>
      <c r="K335" s="1178"/>
      <c r="L335" s="1178"/>
      <c r="M335" s="1178"/>
      <c r="N335" s="1178"/>
      <c r="O335" s="1178"/>
      <c r="P335" s="1178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</row>
    <row r="336" spans="1:130" ht="12.75" customHeight="1" x14ac:dyDescent="0.25">
      <c r="A336" s="6"/>
      <c r="B336" s="6"/>
      <c r="C336" s="6"/>
      <c r="D336" s="6"/>
      <c r="E336" s="6"/>
      <c r="F336" s="1178"/>
      <c r="G336" s="1178"/>
      <c r="H336" s="1178"/>
      <c r="I336" s="1178"/>
      <c r="J336" s="1178"/>
      <c r="K336" s="1178"/>
      <c r="L336" s="1178"/>
      <c r="M336" s="1178"/>
      <c r="N336" s="1178"/>
      <c r="O336" s="1178"/>
      <c r="P336" s="1178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</row>
    <row r="337" spans="1:130" ht="12.75" customHeight="1" x14ac:dyDescent="0.25">
      <c r="A337" s="6"/>
      <c r="B337" s="6"/>
      <c r="C337" s="6"/>
      <c r="D337" s="6"/>
      <c r="E337" s="6"/>
      <c r="F337" s="1178"/>
      <c r="G337" s="1178"/>
      <c r="H337" s="1178"/>
      <c r="I337" s="1178"/>
      <c r="J337" s="1178"/>
      <c r="K337" s="1178"/>
      <c r="L337" s="1178"/>
      <c r="M337" s="1178"/>
      <c r="N337" s="1178"/>
      <c r="O337" s="1178"/>
      <c r="P337" s="1178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</row>
    <row r="338" spans="1:130" ht="12.75" customHeight="1" x14ac:dyDescent="0.25">
      <c r="A338" s="6"/>
      <c r="B338" s="6"/>
      <c r="C338" s="6"/>
      <c r="D338" s="6"/>
      <c r="E338" s="6"/>
      <c r="F338" s="1178"/>
      <c r="G338" s="1178"/>
      <c r="H338" s="1178"/>
      <c r="I338" s="1178"/>
      <c r="J338" s="1178"/>
      <c r="K338" s="1178"/>
      <c r="L338" s="1178"/>
      <c r="M338" s="1178"/>
      <c r="N338" s="1178"/>
      <c r="O338" s="1178"/>
      <c r="P338" s="1178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</row>
    <row r="339" spans="1:130" ht="12.75" customHeight="1" x14ac:dyDescent="0.25">
      <c r="A339" s="6"/>
      <c r="B339" s="6"/>
      <c r="C339" s="6"/>
      <c r="D339" s="6"/>
      <c r="E339" s="6"/>
      <c r="F339" s="1178"/>
      <c r="G339" s="1178"/>
      <c r="H339" s="1178"/>
      <c r="I339" s="1178"/>
      <c r="J339" s="1178"/>
      <c r="K339" s="1178"/>
      <c r="L339" s="1178"/>
      <c r="M339" s="1178"/>
      <c r="N339" s="1178"/>
      <c r="O339" s="1178"/>
      <c r="P339" s="1178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</row>
    <row r="340" spans="1:130" ht="12.75" customHeight="1" x14ac:dyDescent="0.25">
      <c r="A340" s="6"/>
      <c r="B340" s="6"/>
      <c r="C340" s="6"/>
      <c r="D340" s="6"/>
      <c r="E340" s="6"/>
      <c r="F340" s="1178"/>
      <c r="G340" s="1178"/>
      <c r="H340" s="1178"/>
      <c r="I340" s="1178"/>
      <c r="J340" s="1178"/>
      <c r="K340" s="1178"/>
      <c r="L340" s="1178"/>
      <c r="M340" s="1178"/>
      <c r="N340" s="1178"/>
      <c r="O340" s="1178"/>
      <c r="P340" s="1178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</row>
    <row r="341" spans="1:130" ht="12.75" customHeight="1" x14ac:dyDescent="0.25">
      <c r="A341" s="6"/>
      <c r="B341" s="6"/>
      <c r="C341" s="6"/>
      <c r="D341" s="6"/>
      <c r="E341" s="6"/>
      <c r="F341" s="1178"/>
      <c r="G341" s="1178"/>
      <c r="H341" s="1178"/>
      <c r="I341" s="1178"/>
      <c r="J341" s="1178"/>
      <c r="K341" s="1178"/>
      <c r="L341" s="1178"/>
      <c r="M341" s="1178"/>
      <c r="N341" s="1178"/>
      <c r="O341" s="1178"/>
      <c r="P341" s="1178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</row>
    <row r="342" spans="1:130" ht="12.75" customHeight="1" x14ac:dyDescent="0.25">
      <c r="A342" s="6"/>
      <c r="B342" s="6"/>
      <c r="C342" s="6"/>
      <c r="D342" s="6"/>
      <c r="E342" s="6"/>
      <c r="F342" s="1178"/>
      <c r="G342" s="1178"/>
      <c r="H342" s="1178"/>
      <c r="I342" s="1178"/>
      <c r="J342" s="1178"/>
      <c r="K342" s="1178"/>
      <c r="L342" s="1178"/>
      <c r="M342" s="1178"/>
      <c r="N342" s="1178"/>
      <c r="O342" s="1178"/>
      <c r="P342" s="1178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</row>
    <row r="343" spans="1:130" ht="12.75" customHeight="1" x14ac:dyDescent="0.25">
      <c r="A343" s="6"/>
      <c r="B343" s="6"/>
      <c r="C343" s="6"/>
      <c r="D343" s="6"/>
      <c r="E343" s="6"/>
      <c r="F343" s="1178"/>
      <c r="G343" s="1178"/>
      <c r="H343" s="1178"/>
      <c r="I343" s="1178"/>
      <c r="J343" s="1178"/>
      <c r="K343" s="1178"/>
      <c r="L343" s="1178"/>
      <c r="M343" s="1178"/>
      <c r="N343" s="1178"/>
      <c r="O343" s="1178"/>
      <c r="P343" s="1178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</row>
    <row r="344" spans="1:130" ht="12.75" customHeight="1" x14ac:dyDescent="0.25">
      <c r="A344" s="6"/>
      <c r="B344" s="6"/>
      <c r="C344" s="6"/>
      <c r="D344" s="6"/>
      <c r="E344" s="6"/>
      <c r="F344" s="1178"/>
      <c r="G344" s="1178"/>
      <c r="H344" s="1178"/>
      <c r="I344" s="1178"/>
      <c r="J344" s="1178"/>
      <c r="K344" s="1178"/>
      <c r="L344" s="1178"/>
      <c r="M344" s="1178"/>
      <c r="N344" s="1178"/>
      <c r="O344" s="1178"/>
      <c r="P344" s="1178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</row>
    <row r="345" spans="1:130" ht="12.75" customHeight="1" x14ac:dyDescent="0.25">
      <c r="A345" s="6"/>
      <c r="B345" s="6"/>
      <c r="C345" s="6"/>
      <c r="D345" s="6"/>
      <c r="E345" s="6"/>
      <c r="F345" s="1178"/>
      <c r="G345" s="1178"/>
      <c r="H345" s="1178"/>
      <c r="I345" s="1178"/>
      <c r="J345" s="1178"/>
      <c r="K345" s="1178"/>
      <c r="L345" s="1178"/>
      <c r="M345" s="1178"/>
      <c r="N345" s="1178"/>
      <c r="O345" s="1178"/>
      <c r="P345" s="1178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</row>
    <row r="346" spans="1:130" ht="12.75" customHeight="1" x14ac:dyDescent="0.25">
      <c r="A346" s="6"/>
      <c r="B346" s="6"/>
      <c r="C346" s="6"/>
      <c r="D346" s="6"/>
      <c r="E346" s="6"/>
      <c r="F346" s="1178"/>
      <c r="G346" s="1178"/>
      <c r="H346" s="1178"/>
      <c r="I346" s="1178"/>
      <c r="J346" s="1178"/>
      <c r="K346" s="1178"/>
      <c r="L346" s="1178"/>
      <c r="M346" s="1178"/>
      <c r="N346" s="1178"/>
      <c r="O346" s="1178"/>
      <c r="P346" s="1178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</row>
    <row r="347" spans="1:130" ht="12.75" customHeight="1" x14ac:dyDescent="0.25">
      <c r="A347" s="6"/>
      <c r="B347" s="6"/>
      <c r="C347" s="6"/>
      <c r="D347" s="6"/>
      <c r="E347" s="6"/>
      <c r="F347" s="1178"/>
      <c r="G347" s="1178"/>
      <c r="H347" s="1178"/>
      <c r="I347" s="1178"/>
      <c r="J347" s="1178"/>
      <c r="K347" s="1178"/>
      <c r="L347" s="1178"/>
      <c r="M347" s="1178"/>
      <c r="N347" s="1178"/>
      <c r="O347" s="1178"/>
      <c r="P347" s="1178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</row>
    <row r="348" spans="1:130" ht="12.75" customHeight="1" x14ac:dyDescent="0.25">
      <c r="A348" s="6"/>
      <c r="B348" s="6"/>
      <c r="C348" s="6"/>
      <c r="D348" s="6"/>
      <c r="E348" s="6"/>
      <c r="F348" s="1178"/>
      <c r="G348" s="1178"/>
      <c r="H348" s="1178"/>
      <c r="I348" s="1178"/>
      <c r="J348" s="1178"/>
      <c r="K348" s="1178"/>
      <c r="L348" s="1178"/>
      <c r="M348" s="1178"/>
      <c r="N348" s="1178"/>
      <c r="O348" s="1178"/>
      <c r="P348" s="1178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</row>
    <row r="349" spans="1:130" ht="12.75" customHeight="1" x14ac:dyDescent="0.25">
      <c r="A349" s="6"/>
      <c r="B349" s="6"/>
      <c r="C349" s="6"/>
      <c r="D349" s="6"/>
      <c r="E349" s="6"/>
      <c r="F349" s="1178"/>
      <c r="G349" s="1178"/>
      <c r="H349" s="1178"/>
      <c r="I349" s="1178"/>
      <c r="J349" s="1178"/>
      <c r="K349" s="1178"/>
      <c r="L349" s="1178"/>
      <c r="M349" s="1178"/>
      <c r="N349" s="1178"/>
      <c r="O349" s="1178"/>
      <c r="P349" s="1178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</row>
    <row r="350" spans="1:130" ht="12.75" customHeight="1" x14ac:dyDescent="0.25">
      <c r="A350" s="6"/>
      <c r="B350" s="6"/>
      <c r="C350" s="6"/>
      <c r="D350" s="6"/>
      <c r="E350" s="6"/>
      <c r="F350" s="1178"/>
      <c r="G350" s="1178"/>
      <c r="H350" s="1178"/>
      <c r="I350" s="1178"/>
      <c r="J350" s="1178"/>
      <c r="K350" s="1178"/>
      <c r="L350" s="1178"/>
      <c r="M350" s="1178"/>
      <c r="N350" s="1178"/>
      <c r="O350" s="1178"/>
      <c r="P350" s="1178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</row>
    <row r="351" spans="1:130" ht="12.75" customHeight="1" x14ac:dyDescent="0.25">
      <c r="A351" s="6"/>
      <c r="B351" s="6"/>
      <c r="C351" s="6"/>
      <c r="D351" s="6"/>
      <c r="E351" s="6"/>
      <c r="F351" s="1178"/>
      <c r="G351" s="1178"/>
      <c r="H351" s="1178"/>
      <c r="I351" s="1178"/>
      <c r="J351" s="1178"/>
      <c r="K351" s="1178"/>
      <c r="L351" s="1178"/>
      <c r="M351" s="1178"/>
      <c r="N351" s="1178"/>
      <c r="O351" s="1178"/>
      <c r="P351" s="1178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</row>
    <row r="352" spans="1:130" ht="12.75" customHeight="1" x14ac:dyDescent="0.25">
      <c r="A352" s="6"/>
      <c r="B352" s="6"/>
      <c r="C352" s="6"/>
      <c r="D352" s="6"/>
      <c r="E352" s="6"/>
      <c r="F352" s="1178"/>
      <c r="G352" s="1178"/>
      <c r="H352" s="1178"/>
      <c r="I352" s="1178"/>
      <c r="J352" s="1178"/>
      <c r="K352" s="1178"/>
      <c r="L352" s="1178"/>
      <c r="M352" s="1178"/>
      <c r="N352" s="1178"/>
      <c r="O352" s="1178"/>
      <c r="P352" s="1178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</row>
    <row r="353" spans="1:130" ht="12.75" customHeight="1" x14ac:dyDescent="0.25">
      <c r="A353" s="6"/>
      <c r="B353" s="6"/>
      <c r="C353" s="6"/>
      <c r="D353" s="6"/>
      <c r="E353" s="6"/>
      <c r="F353" s="1178"/>
      <c r="G353" s="1178"/>
      <c r="H353" s="1178"/>
      <c r="I353" s="1178"/>
      <c r="J353" s="1178"/>
      <c r="K353" s="1178"/>
      <c r="L353" s="1178"/>
      <c r="M353" s="1178"/>
      <c r="N353" s="1178"/>
      <c r="O353" s="1178"/>
      <c r="P353" s="1178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</row>
    <row r="354" spans="1:130" ht="12.75" customHeight="1" x14ac:dyDescent="0.25">
      <c r="A354" s="6"/>
      <c r="B354" s="6"/>
      <c r="C354" s="6"/>
      <c r="D354" s="6"/>
      <c r="E354" s="6"/>
      <c r="F354" s="1178"/>
      <c r="G354" s="1178"/>
      <c r="H354" s="1178"/>
      <c r="I354" s="1178"/>
      <c r="J354" s="1178"/>
      <c r="K354" s="1178"/>
      <c r="L354" s="1178"/>
      <c r="M354" s="1178"/>
      <c r="N354" s="1178"/>
      <c r="O354" s="1178"/>
      <c r="P354" s="1178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</row>
    <row r="355" spans="1:130" ht="12.75" customHeight="1" x14ac:dyDescent="0.25">
      <c r="A355" s="6"/>
      <c r="B355" s="6"/>
      <c r="C355" s="6"/>
      <c r="D355" s="6"/>
      <c r="E355" s="6"/>
      <c r="F355" s="1178"/>
      <c r="G355" s="1178"/>
      <c r="H355" s="1178"/>
      <c r="I355" s="1178"/>
      <c r="J355" s="1178"/>
      <c r="K355" s="1178"/>
      <c r="L355" s="1178"/>
      <c r="M355" s="1178"/>
      <c r="N355" s="1178"/>
      <c r="O355" s="1178"/>
      <c r="P355" s="1178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</row>
    <row r="356" spans="1:130" ht="12.75" customHeight="1" x14ac:dyDescent="0.25">
      <c r="A356" s="6"/>
      <c r="B356" s="6"/>
      <c r="C356" s="6"/>
      <c r="D356" s="6"/>
      <c r="E356" s="6"/>
      <c r="F356" s="1178"/>
      <c r="G356" s="1178"/>
      <c r="H356" s="1178"/>
      <c r="I356" s="1178"/>
      <c r="J356" s="1178"/>
      <c r="K356" s="1178"/>
      <c r="L356" s="1178"/>
      <c r="M356" s="1178"/>
      <c r="N356" s="1178"/>
      <c r="O356" s="1178"/>
      <c r="P356" s="1178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</row>
    <row r="357" spans="1:130" ht="12.75" customHeight="1" x14ac:dyDescent="0.25">
      <c r="A357" s="6"/>
      <c r="B357" s="6"/>
      <c r="C357" s="6"/>
      <c r="D357" s="6"/>
      <c r="E357" s="6"/>
      <c r="F357" s="1178"/>
      <c r="G357" s="1178"/>
      <c r="H357" s="1178"/>
      <c r="I357" s="1178"/>
      <c r="J357" s="1178"/>
      <c r="K357" s="1178"/>
      <c r="L357" s="1178"/>
      <c r="M357" s="1178"/>
      <c r="N357" s="1178"/>
      <c r="O357" s="1178"/>
      <c r="P357" s="1178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</row>
    <row r="358" spans="1:130" ht="12.75" customHeight="1" x14ac:dyDescent="0.25">
      <c r="A358" s="6"/>
      <c r="B358" s="6"/>
      <c r="C358" s="6"/>
      <c r="D358" s="6"/>
      <c r="E358" s="6"/>
      <c r="F358" s="1178"/>
      <c r="G358" s="1178"/>
      <c r="H358" s="1178"/>
      <c r="I358" s="1178"/>
      <c r="J358" s="1178"/>
      <c r="K358" s="1178"/>
      <c r="L358" s="1178"/>
      <c r="M358" s="1178"/>
      <c r="N358" s="1178"/>
      <c r="O358" s="1178"/>
      <c r="P358" s="1178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</row>
    <row r="359" spans="1:130" ht="12.75" customHeight="1" x14ac:dyDescent="0.25">
      <c r="A359" s="6"/>
      <c r="B359" s="6"/>
      <c r="C359" s="6"/>
      <c r="D359" s="6"/>
      <c r="E359" s="6"/>
      <c r="F359" s="1178"/>
      <c r="G359" s="1178"/>
      <c r="H359" s="1178"/>
      <c r="I359" s="1178"/>
      <c r="J359" s="1178"/>
      <c r="K359" s="1178"/>
      <c r="L359" s="1178"/>
      <c r="M359" s="1178"/>
      <c r="N359" s="1178"/>
      <c r="O359" s="1178"/>
      <c r="P359" s="1178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</row>
    <row r="360" spans="1:130" ht="12.75" customHeight="1" x14ac:dyDescent="0.25">
      <c r="A360" s="6"/>
      <c r="B360" s="6"/>
      <c r="C360" s="6"/>
      <c r="D360" s="6"/>
      <c r="E360" s="6"/>
      <c r="F360" s="1178"/>
      <c r="G360" s="1178"/>
      <c r="H360" s="1178"/>
      <c r="I360" s="1178"/>
      <c r="J360" s="1178"/>
      <c r="K360" s="1178"/>
      <c r="L360" s="1178"/>
      <c r="M360" s="1178"/>
      <c r="N360" s="1178"/>
      <c r="O360" s="1178"/>
      <c r="P360" s="1178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</row>
    <row r="361" spans="1:130" ht="12.75" customHeight="1" x14ac:dyDescent="0.25">
      <c r="A361" s="6"/>
      <c r="B361" s="6"/>
      <c r="C361" s="6"/>
      <c r="D361" s="6"/>
      <c r="E361" s="6"/>
      <c r="F361" s="1178"/>
      <c r="G361" s="1178"/>
      <c r="H361" s="1178"/>
      <c r="I361" s="1178"/>
      <c r="J361" s="1178"/>
      <c r="K361" s="1178"/>
      <c r="L361" s="1178"/>
      <c r="M361" s="1178"/>
      <c r="N361" s="1178"/>
      <c r="O361" s="1178"/>
      <c r="P361" s="1178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</row>
    <row r="362" spans="1:130" ht="12.75" customHeight="1" x14ac:dyDescent="0.25">
      <c r="A362" s="6"/>
      <c r="B362" s="6"/>
      <c r="C362" s="6"/>
      <c r="D362" s="6"/>
      <c r="E362" s="6"/>
      <c r="F362" s="1178"/>
      <c r="G362" s="1178"/>
      <c r="H362" s="1178"/>
      <c r="I362" s="1178"/>
      <c r="J362" s="1178"/>
      <c r="K362" s="1178"/>
      <c r="L362" s="1178"/>
      <c r="M362" s="1178"/>
      <c r="N362" s="1178"/>
      <c r="O362" s="1178"/>
      <c r="P362" s="1178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</row>
    <row r="363" spans="1:130" ht="12.75" customHeight="1" x14ac:dyDescent="0.25">
      <c r="A363" s="6"/>
      <c r="B363" s="6"/>
      <c r="C363" s="6"/>
      <c r="D363" s="6"/>
      <c r="E363" s="6"/>
      <c r="F363" s="1178"/>
      <c r="G363" s="1178"/>
      <c r="H363" s="1178"/>
      <c r="I363" s="1178"/>
      <c r="J363" s="1178"/>
      <c r="K363" s="1178"/>
      <c r="L363" s="1178"/>
      <c r="M363" s="1178"/>
      <c r="N363" s="1178"/>
      <c r="O363" s="1178"/>
      <c r="P363" s="1178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</row>
    <row r="364" spans="1:130" ht="12.75" customHeight="1" x14ac:dyDescent="0.25">
      <c r="A364" s="6"/>
      <c r="B364" s="6"/>
      <c r="C364" s="6"/>
      <c r="D364" s="6"/>
      <c r="E364" s="6"/>
      <c r="F364" s="1178"/>
      <c r="G364" s="1178"/>
      <c r="H364" s="1178"/>
      <c r="I364" s="1178"/>
      <c r="J364" s="1178"/>
      <c r="K364" s="1178"/>
      <c r="L364" s="1178"/>
      <c r="M364" s="1178"/>
      <c r="N364" s="1178"/>
      <c r="O364" s="1178"/>
      <c r="P364" s="1178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</row>
    <row r="365" spans="1:130" ht="12.75" customHeight="1" x14ac:dyDescent="0.25">
      <c r="A365" s="6"/>
      <c r="B365" s="6"/>
      <c r="C365" s="6"/>
      <c r="D365" s="6"/>
      <c r="E365" s="6"/>
      <c r="F365" s="1178"/>
      <c r="G365" s="1178"/>
      <c r="H365" s="1178"/>
      <c r="I365" s="1178"/>
      <c r="J365" s="1178"/>
      <c r="K365" s="1178"/>
      <c r="L365" s="1178"/>
      <c r="M365" s="1178"/>
      <c r="N365" s="1178"/>
      <c r="O365" s="1178"/>
      <c r="P365" s="1178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</row>
    <row r="366" spans="1:130" ht="12.75" customHeight="1" x14ac:dyDescent="0.25">
      <c r="A366" s="6"/>
      <c r="B366" s="6"/>
      <c r="C366" s="6"/>
      <c r="D366" s="6"/>
      <c r="E366" s="6"/>
      <c r="F366" s="1178"/>
      <c r="G366" s="1178"/>
      <c r="H366" s="1178"/>
      <c r="I366" s="1178"/>
      <c r="J366" s="1178"/>
      <c r="K366" s="1178"/>
      <c r="L366" s="1178"/>
      <c r="M366" s="1178"/>
      <c r="N366" s="1178"/>
      <c r="O366" s="1178"/>
      <c r="P366" s="1178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</row>
    <row r="367" spans="1:130" ht="12.75" customHeight="1" x14ac:dyDescent="0.25">
      <c r="A367" s="6"/>
      <c r="B367" s="6"/>
      <c r="C367" s="6"/>
      <c r="D367" s="6"/>
      <c r="E367" s="6"/>
      <c r="F367" s="1178"/>
      <c r="G367" s="1178"/>
      <c r="H367" s="1178"/>
      <c r="I367" s="1178"/>
      <c r="J367" s="1178"/>
      <c r="K367" s="1178"/>
      <c r="L367" s="1178"/>
      <c r="M367" s="1178"/>
      <c r="N367" s="1178"/>
      <c r="O367" s="1178"/>
      <c r="P367" s="1178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</row>
    <row r="368" spans="1:130" ht="12.75" customHeight="1" x14ac:dyDescent="0.25">
      <c r="A368" s="6"/>
      <c r="B368" s="6"/>
      <c r="C368" s="6"/>
      <c r="D368" s="6"/>
      <c r="E368" s="6"/>
      <c r="F368" s="1178"/>
      <c r="G368" s="1178"/>
      <c r="H368" s="1178"/>
      <c r="I368" s="1178"/>
      <c r="J368" s="1178"/>
      <c r="K368" s="1178"/>
      <c r="L368" s="1178"/>
      <c r="M368" s="1178"/>
      <c r="N368" s="1178"/>
      <c r="O368" s="1178"/>
      <c r="P368" s="1178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</row>
    <row r="369" spans="1:130" ht="12.75" customHeight="1" x14ac:dyDescent="0.25">
      <c r="A369" s="6"/>
      <c r="B369" s="6"/>
      <c r="C369" s="6"/>
      <c r="D369" s="6"/>
      <c r="E369" s="6"/>
      <c r="F369" s="1178"/>
      <c r="G369" s="1178"/>
      <c r="H369" s="1178"/>
      <c r="I369" s="1178"/>
      <c r="J369" s="1178"/>
      <c r="K369" s="1178"/>
      <c r="L369" s="1178"/>
      <c r="M369" s="1178"/>
      <c r="N369" s="1178"/>
      <c r="O369" s="1178"/>
      <c r="P369" s="1178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</row>
    <row r="370" spans="1:130" ht="12.75" customHeight="1" x14ac:dyDescent="0.25">
      <c r="A370" s="6"/>
      <c r="B370" s="6"/>
      <c r="C370" s="6"/>
      <c r="D370" s="6"/>
      <c r="E370" s="6"/>
      <c r="F370" s="1178"/>
      <c r="G370" s="1178"/>
      <c r="H370" s="1178"/>
      <c r="I370" s="1178"/>
      <c r="J370" s="1178"/>
      <c r="K370" s="1178"/>
      <c r="L370" s="1178"/>
      <c r="M370" s="1178"/>
      <c r="N370" s="1178"/>
      <c r="O370" s="1178"/>
      <c r="P370" s="1178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</row>
    <row r="371" spans="1:130" ht="12.75" customHeight="1" x14ac:dyDescent="0.25">
      <c r="A371" s="6"/>
      <c r="B371" s="6"/>
      <c r="C371" s="6"/>
      <c r="D371" s="6"/>
      <c r="E371" s="6"/>
      <c r="F371" s="1178"/>
      <c r="G371" s="1178"/>
      <c r="H371" s="1178"/>
      <c r="I371" s="1178"/>
      <c r="J371" s="1178"/>
      <c r="K371" s="1178"/>
      <c r="L371" s="1178"/>
      <c r="M371" s="1178"/>
      <c r="N371" s="1178"/>
      <c r="O371" s="1178"/>
      <c r="P371" s="1178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</row>
    <row r="372" spans="1:130" ht="12.75" customHeight="1" x14ac:dyDescent="0.25">
      <c r="A372" s="6"/>
      <c r="B372" s="6"/>
      <c r="C372" s="6"/>
      <c r="D372" s="6"/>
      <c r="E372" s="6"/>
      <c r="F372" s="1178"/>
      <c r="G372" s="1178"/>
      <c r="H372" s="1178"/>
      <c r="I372" s="1178"/>
      <c r="J372" s="1178"/>
      <c r="K372" s="1178"/>
      <c r="L372" s="1178"/>
      <c r="M372" s="1178"/>
      <c r="N372" s="1178"/>
      <c r="O372" s="1178"/>
      <c r="P372" s="1178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</row>
    <row r="373" spans="1:130" ht="12.75" customHeight="1" x14ac:dyDescent="0.25">
      <c r="A373" s="6"/>
      <c r="B373" s="6"/>
      <c r="C373" s="6"/>
      <c r="D373" s="6"/>
      <c r="E373" s="6"/>
      <c r="F373" s="1178"/>
      <c r="G373" s="1178"/>
      <c r="H373" s="1178"/>
      <c r="I373" s="1178"/>
      <c r="J373" s="1178"/>
      <c r="K373" s="1178"/>
      <c r="L373" s="1178"/>
      <c r="M373" s="1178"/>
      <c r="N373" s="1178"/>
      <c r="O373" s="1178"/>
      <c r="P373" s="1178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</row>
    <row r="374" spans="1:130" ht="12.75" customHeight="1" x14ac:dyDescent="0.25">
      <c r="A374" s="6"/>
      <c r="B374" s="6"/>
      <c r="C374" s="6"/>
      <c r="D374" s="6"/>
      <c r="E374" s="6"/>
      <c r="F374" s="1178"/>
      <c r="G374" s="1178"/>
      <c r="H374" s="1178"/>
      <c r="I374" s="1178"/>
      <c r="J374" s="1178"/>
      <c r="K374" s="1178"/>
      <c r="L374" s="1178"/>
      <c r="M374" s="1178"/>
      <c r="N374" s="1178"/>
      <c r="O374" s="1178"/>
      <c r="P374" s="1178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</row>
    <row r="375" spans="1:130" ht="12.75" customHeight="1" x14ac:dyDescent="0.25">
      <c r="A375" s="6"/>
      <c r="B375" s="6"/>
      <c r="C375" s="6"/>
      <c r="D375" s="6"/>
      <c r="E375" s="6"/>
      <c r="F375" s="1178"/>
      <c r="G375" s="1178"/>
      <c r="H375" s="1178"/>
      <c r="I375" s="1178"/>
      <c r="J375" s="1178"/>
      <c r="K375" s="1178"/>
      <c r="L375" s="1178"/>
      <c r="M375" s="1178"/>
      <c r="N375" s="1178"/>
      <c r="O375" s="1178"/>
      <c r="P375" s="1178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</row>
    <row r="376" spans="1:130" ht="12.75" customHeight="1" x14ac:dyDescent="0.25">
      <c r="A376" s="6"/>
      <c r="B376" s="6"/>
      <c r="C376" s="6"/>
      <c r="D376" s="6"/>
      <c r="E376" s="6"/>
      <c r="F376" s="1178"/>
      <c r="G376" s="1178"/>
      <c r="H376" s="1178"/>
      <c r="I376" s="1178"/>
      <c r="J376" s="1178"/>
      <c r="K376" s="1178"/>
      <c r="L376" s="1178"/>
      <c r="M376" s="1178"/>
      <c r="N376" s="1178"/>
      <c r="O376" s="1178"/>
      <c r="P376" s="1178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</row>
    <row r="377" spans="1:130" ht="12.75" customHeight="1" x14ac:dyDescent="0.25">
      <c r="A377" s="6"/>
      <c r="B377" s="6"/>
      <c r="C377" s="6"/>
      <c r="D377" s="6"/>
      <c r="E377" s="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</row>
    <row r="378" spans="1:130" ht="12.75" customHeight="1" x14ac:dyDescent="0.25">
      <c r="A378" s="6"/>
      <c r="B378" s="6"/>
      <c r="C378" s="6"/>
      <c r="D378" s="6"/>
      <c r="E378" s="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</row>
    <row r="379" spans="1:130" ht="12.75" customHeight="1" x14ac:dyDescent="0.25">
      <c r="A379" s="6"/>
      <c r="B379" s="6"/>
      <c r="C379" s="6"/>
      <c r="D379" s="6"/>
      <c r="E379" s="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</row>
    <row r="380" spans="1:130" ht="12.75" customHeight="1" x14ac:dyDescent="0.25">
      <c r="A380" s="6"/>
      <c r="B380" s="6"/>
      <c r="C380" s="6"/>
      <c r="D380" s="6"/>
      <c r="E380" s="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</row>
    <row r="381" spans="1:130" ht="12.75" customHeight="1" x14ac:dyDescent="0.25">
      <c r="A381" s="6"/>
      <c r="B381" s="6"/>
      <c r="C381" s="6"/>
      <c r="D381" s="6"/>
      <c r="E381" s="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</row>
    <row r="382" spans="1:130" ht="12.75" customHeight="1" x14ac:dyDescent="0.25">
      <c r="A382" s="6"/>
      <c r="B382" s="6"/>
      <c r="C382" s="6"/>
      <c r="D382" s="6"/>
      <c r="E382" s="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</row>
    <row r="383" spans="1:130" ht="12.75" customHeight="1" x14ac:dyDescent="0.25">
      <c r="A383" s="6"/>
      <c r="B383" s="6"/>
      <c r="C383" s="6"/>
      <c r="D383" s="6"/>
      <c r="E383" s="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</row>
    <row r="384" spans="1:130" ht="12.75" customHeight="1" x14ac:dyDescent="0.25">
      <c r="A384" s="6"/>
      <c r="B384" s="6"/>
      <c r="C384" s="6"/>
      <c r="D384" s="6"/>
      <c r="E384" s="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</row>
    <row r="385" spans="1:130" ht="12.75" customHeight="1" x14ac:dyDescent="0.25">
      <c r="A385" s="6"/>
      <c r="B385" s="6"/>
      <c r="C385" s="6"/>
      <c r="D385" s="6"/>
      <c r="E385" s="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</row>
    <row r="386" spans="1:130" ht="12.75" customHeight="1" x14ac:dyDescent="0.25">
      <c r="A386" s="6"/>
      <c r="B386" s="6"/>
      <c r="C386" s="6"/>
      <c r="D386" s="6"/>
      <c r="E386" s="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</row>
    <row r="387" spans="1:130" ht="12.75" customHeight="1" x14ac:dyDescent="0.25">
      <c r="A387" s="6"/>
      <c r="B387" s="6"/>
      <c r="C387" s="6"/>
      <c r="D387" s="6"/>
      <c r="E387" s="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</row>
    <row r="388" spans="1:130" ht="12.75" customHeight="1" x14ac:dyDescent="0.25">
      <c r="A388" s="6"/>
      <c r="B388" s="6"/>
      <c r="C388" s="6"/>
      <c r="D388" s="6"/>
      <c r="E388" s="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</row>
    <row r="389" spans="1:130" ht="12.75" customHeight="1" x14ac:dyDescent="0.25">
      <c r="A389" s="6"/>
      <c r="B389" s="6"/>
      <c r="C389" s="6"/>
      <c r="D389" s="6"/>
      <c r="E389" s="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</row>
    <row r="390" spans="1:130" ht="12.75" customHeight="1" x14ac:dyDescent="0.25">
      <c r="A390" s="6"/>
      <c r="B390" s="6"/>
      <c r="C390" s="6"/>
      <c r="D390" s="6"/>
      <c r="E390" s="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</row>
    <row r="391" spans="1:130" ht="12.75" customHeight="1" x14ac:dyDescent="0.25">
      <c r="A391" s="6"/>
      <c r="B391" s="6"/>
      <c r="C391" s="6"/>
      <c r="D391" s="6"/>
      <c r="E391" s="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</row>
    <row r="392" spans="1:130" ht="12.75" customHeight="1" x14ac:dyDescent="0.25">
      <c r="A392" s="6"/>
      <c r="B392" s="6"/>
      <c r="C392" s="6"/>
      <c r="D392" s="6"/>
      <c r="E392" s="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</row>
    <row r="393" spans="1:130" ht="12.75" customHeight="1" x14ac:dyDescent="0.25">
      <c r="A393" s="6"/>
      <c r="B393" s="6"/>
      <c r="C393" s="6"/>
      <c r="D393" s="6"/>
      <c r="E393" s="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</row>
    <row r="394" spans="1:130" ht="12.75" customHeight="1" x14ac:dyDescent="0.25">
      <c r="A394" s="6"/>
      <c r="B394" s="6"/>
      <c r="C394" s="6"/>
      <c r="D394" s="6"/>
      <c r="E394" s="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</row>
    <row r="395" spans="1:130" ht="12.75" customHeight="1" x14ac:dyDescent="0.25">
      <c r="A395" s="6"/>
      <c r="B395" s="6"/>
      <c r="C395" s="6"/>
      <c r="D395" s="6"/>
      <c r="E395" s="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</row>
    <row r="396" spans="1:130" ht="12.75" customHeight="1" x14ac:dyDescent="0.25">
      <c r="A396" s="6"/>
      <c r="B396" s="6"/>
      <c r="C396" s="6"/>
      <c r="D396" s="6"/>
      <c r="E396" s="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</row>
    <row r="397" spans="1:130" ht="12.75" customHeight="1" x14ac:dyDescent="0.25">
      <c r="A397" s="6"/>
      <c r="B397" s="6"/>
      <c r="C397" s="6"/>
      <c r="D397" s="6"/>
      <c r="E397" s="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</row>
    <row r="398" spans="1:130" ht="12.75" customHeight="1" x14ac:dyDescent="0.25">
      <c r="A398" s="6"/>
      <c r="B398" s="6"/>
      <c r="C398" s="6"/>
      <c r="D398" s="6"/>
      <c r="E398" s="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</row>
    <row r="399" spans="1:130" ht="12.75" customHeight="1" x14ac:dyDescent="0.25">
      <c r="A399" s="6"/>
      <c r="B399" s="6"/>
      <c r="C399" s="6"/>
      <c r="D399" s="6"/>
      <c r="E399" s="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</row>
    <row r="400" spans="1:130" ht="12.75" customHeight="1" x14ac:dyDescent="0.25">
      <c r="A400" s="6"/>
      <c r="B400" s="6"/>
      <c r="C400" s="6"/>
      <c r="D400" s="6"/>
      <c r="E400" s="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</row>
    <row r="401" spans="1:130" ht="12.75" customHeight="1" x14ac:dyDescent="0.25">
      <c r="A401" s="6"/>
      <c r="B401" s="6"/>
      <c r="C401" s="6"/>
      <c r="D401" s="6"/>
      <c r="E401" s="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</row>
  </sheetData>
  <mergeCells count="16">
    <mergeCell ref="B1:U1"/>
    <mergeCell ref="B2:U2"/>
    <mergeCell ref="F147:G147"/>
    <mergeCell ref="O3:P3"/>
    <mergeCell ref="F13:G14"/>
    <mergeCell ref="H13:I13"/>
    <mergeCell ref="F15:G15"/>
    <mergeCell ref="J15:N15"/>
    <mergeCell ref="F16:G16"/>
    <mergeCell ref="F17:G17"/>
    <mergeCell ref="J16:N16"/>
    <mergeCell ref="J17:N17"/>
    <mergeCell ref="F18:G18"/>
    <mergeCell ref="J18:N18"/>
    <mergeCell ref="F146:G146"/>
    <mergeCell ref="H146:I146"/>
  </mergeCells>
  <conditionalFormatting sqref="B69">
    <cfRule type="expression" dxfId="27" priority="1">
      <formula>$C$5="Equity Multiple"</formula>
    </cfRule>
  </conditionalFormatting>
  <conditionalFormatting sqref="B86">
    <cfRule type="expression" dxfId="26" priority="2">
      <formula>$C$5="Equity Multiple"</formula>
    </cfRule>
  </conditionalFormatting>
  <conditionalFormatting sqref="B101">
    <cfRule type="expression" dxfId="25" priority="3">
      <formula>$C$5="Equity Multiple"</formula>
    </cfRule>
  </conditionalFormatting>
  <conditionalFormatting sqref="B130:B133">
    <cfRule type="expression" dxfId="24" priority="5">
      <formula>Print_Mode="On"</formula>
    </cfRule>
  </conditionalFormatting>
  <conditionalFormatting sqref="B156:B160">
    <cfRule type="expression" dxfId="23" priority="6">
      <formula>Print_Mode="On"</formula>
    </cfRule>
  </conditionalFormatting>
  <conditionalFormatting sqref="B15:F18 H15:P18 B19:P20 B21:E22 G21:P25 B23:D25">
    <cfRule type="expression" dxfId="22" priority="7">
      <formula>Print_Mode="On"</formula>
    </cfRule>
  </conditionalFormatting>
  <conditionalFormatting sqref="B3:P14 B120:B122">
    <cfRule type="expression" dxfId="21" priority="4">
      <formula>Print_Mode="On"</formula>
    </cfRule>
  </conditionalFormatting>
  <conditionalFormatting sqref="B26:P57">
    <cfRule type="expression" dxfId="20" priority="8">
      <formula>Print_Mode="On"</formula>
    </cfRule>
  </conditionalFormatting>
  <conditionalFormatting sqref="C15:C18">
    <cfRule type="expression" dxfId="19" priority="9">
      <formula>$D$5&lt;&gt;"Equity Multiple"</formula>
    </cfRule>
  </conditionalFormatting>
  <conditionalFormatting sqref="C62">
    <cfRule type="expression" dxfId="18" priority="10">
      <formula>$C$5="Equity Multiple"</formula>
    </cfRule>
  </conditionalFormatting>
  <conditionalFormatting sqref="C79">
    <cfRule type="expression" dxfId="17" priority="11">
      <formula>$C$5="Equity Multiple"</formula>
    </cfRule>
  </conditionalFormatting>
  <conditionalFormatting sqref="C94">
    <cfRule type="expression" dxfId="16" priority="12">
      <formula>$C$5="Equity Multiple"</formula>
    </cfRule>
  </conditionalFormatting>
  <conditionalFormatting sqref="C109">
    <cfRule type="expression" dxfId="15" priority="13">
      <formula>$C$5="Equity Multiple"</formula>
    </cfRule>
  </conditionalFormatting>
  <conditionalFormatting sqref="D15:D18">
    <cfRule type="expression" dxfId="14" priority="14">
      <formula>$D$5="Equity Multiple"</formula>
    </cfRule>
  </conditionalFormatting>
  <conditionalFormatting sqref="D120:D123">
    <cfRule type="expression" dxfId="13" priority="15">
      <formula>Print_Mode="On"</formula>
    </cfRule>
  </conditionalFormatting>
  <conditionalFormatting sqref="D130:D134">
    <cfRule type="expression" dxfId="12" priority="16">
      <formula>Print_Mode="On"</formula>
    </cfRule>
  </conditionalFormatting>
  <conditionalFormatting sqref="D138">
    <cfRule type="expression" dxfId="11" priority="17">
      <formula>Print_Mode="On"</formula>
    </cfRule>
  </conditionalFormatting>
  <conditionalFormatting sqref="E5">
    <cfRule type="expression" dxfId="10" priority="18">
      <formula>Print_Mode="On"</formula>
    </cfRule>
  </conditionalFormatting>
  <conditionalFormatting sqref="E15:E17">
    <cfRule type="expression" dxfId="9" priority="19">
      <formula>$D$5="Equity Multiple"</formula>
    </cfRule>
  </conditionalFormatting>
  <conditionalFormatting sqref="E69">
    <cfRule type="expression" dxfId="8" priority="20">
      <formula>$C$5="Equity Multiple"</formula>
    </cfRule>
  </conditionalFormatting>
  <conditionalFormatting sqref="E86">
    <cfRule type="expression" dxfId="7" priority="21">
      <formula>$C$5="Equity Multiple"</formula>
    </cfRule>
  </conditionalFormatting>
  <conditionalFormatting sqref="E101">
    <cfRule type="expression" dxfId="6" priority="22">
      <formula>$C$5="Equity Multiple"</formula>
    </cfRule>
  </conditionalFormatting>
  <conditionalFormatting sqref="F22">
    <cfRule type="expression" dxfId="5" priority="23">
      <formula>Print_Mode="On"</formula>
    </cfRule>
  </conditionalFormatting>
  <conditionalFormatting sqref="F64">
    <cfRule type="expression" dxfId="4" priority="24">
      <formula>F64="Error"</formula>
    </cfRule>
  </conditionalFormatting>
  <conditionalFormatting sqref="L9">
    <cfRule type="expression" dxfId="3" priority="25">
      <formula>$L$9="OK"</formula>
    </cfRule>
  </conditionalFormatting>
  <conditionalFormatting sqref="L140">
    <cfRule type="expression" dxfId="2" priority="26">
      <formula>$L$140="OK"</formula>
    </cfRule>
  </conditionalFormatting>
  <dataValidations count="3">
    <dataValidation type="list" allowBlank="1" showErrorMessage="1" sqref="D5" xr:uid="{00000000-0002-0000-0D00-000000000000}">
      <formula1>"IRR,Equity Multiple"</formula1>
    </dataValidation>
    <dataValidation type="list" allowBlank="1" showErrorMessage="1" sqref="D20" xr:uid="{00000000-0002-0000-0D00-000001000000}">
      <formula1>"IRR*12,XIRR()"</formula1>
    </dataValidation>
    <dataValidation type="list" allowBlank="1" showErrorMessage="1" sqref="D6" xr:uid="{00000000-0002-0000-0D00-000002000000}">
      <formula1>"Pari Passu"</formula1>
    </dataValidation>
  </dataValidation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3D70-D364-4278-BFA3-5C2353F93F75}">
  <dimension ref="A1:AJ114"/>
  <sheetViews>
    <sheetView showGridLines="0" topLeftCell="A67" zoomScale="115" zoomScaleNormal="115" workbookViewId="0">
      <selection activeCell="M76" sqref="M76"/>
    </sheetView>
  </sheetViews>
  <sheetFormatPr defaultColWidth="9.140625" defaultRowHeight="15" x14ac:dyDescent="0.25"/>
  <cols>
    <col min="1" max="1" width="25.28515625" customWidth="1"/>
    <col min="2" max="2" width="27.5703125" customWidth="1"/>
    <col min="3" max="3" width="26.85546875" customWidth="1"/>
    <col min="4" max="4" width="21.42578125" bestFit="1" customWidth="1"/>
    <col min="5" max="7" width="16.28515625" customWidth="1"/>
    <col min="8" max="8" width="16.28515625" hidden="1" customWidth="1"/>
    <col min="9" max="10" width="28.7109375" hidden="1" customWidth="1"/>
    <col min="11" max="11" width="31.5703125" hidden="1" customWidth="1"/>
    <col min="12" max="12" width="14.5703125" customWidth="1"/>
    <col min="18" max="18" width="3.28515625" bestFit="1" customWidth="1"/>
    <col min="19" max="19" width="21.85546875" bestFit="1" customWidth="1"/>
    <col min="25" max="26" width="21.85546875" bestFit="1" customWidth="1"/>
    <col min="32" max="33" width="21.85546875" bestFit="1" customWidth="1"/>
  </cols>
  <sheetData>
    <row r="1" spans="1:18" ht="20.25" x14ac:dyDescent="0.3">
      <c r="B1" s="1902" t="str">
        <f>IF(NAME="","Insert Project Name on Prelim Page",NAME)</f>
        <v>Town Center</v>
      </c>
      <c r="C1" s="1902"/>
      <c r="D1" s="1902"/>
      <c r="E1" s="1902"/>
      <c r="F1" s="1902"/>
      <c r="G1" s="1902"/>
      <c r="H1" s="1902"/>
      <c r="I1" s="1902"/>
      <c r="J1" s="1902"/>
      <c r="K1" s="1902"/>
    </row>
    <row r="2" spans="1:18" x14ac:dyDescent="0.25">
      <c r="B2" s="2018" t="str">
        <f>CITY</f>
        <v>Santa Maria, CA 93454</v>
      </c>
      <c r="C2" s="2018"/>
      <c r="D2" s="2018"/>
      <c r="E2" s="2018"/>
      <c r="F2" s="2018"/>
      <c r="G2" s="2018"/>
      <c r="H2" s="2018"/>
      <c r="I2" s="2018"/>
      <c r="J2" s="2018"/>
      <c r="K2" s="2018"/>
    </row>
    <row r="3" spans="1:18" ht="19.5" thickBot="1" x14ac:dyDescent="0.35">
      <c r="B3" s="1052"/>
      <c r="C3" s="1052"/>
      <c r="D3" s="1052"/>
      <c r="E3" s="1052"/>
      <c r="F3" s="1052"/>
      <c r="G3" s="1052"/>
      <c r="H3" s="1052"/>
      <c r="I3" s="1052"/>
      <c r="J3" s="1052"/>
      <c r="K3" s="1655">
        <f ca="1">TRUNC(NOW())</f>
        <v>46271</v>
      </c>
    </row>
    <row r="4" spans="1:18" ht="19.5" customHeight="1" thickBot="1" x14ac:dyDescent="0.35">
      <c r="B4" s="673" t="s">
        <v>650</v>
      </c>
      <c r="E4" s="806" t="s">
        <v>461</v>
      </c>
      <c r="F4" s="807" t="s">
        <v>518</v>
      </c>
      <c r="G4" s="808" t="s">
        <v>519</v>
      </c>
      <c r="H4" s="1731" t="s">
        <v>520</v>
      </c>
      <c r="I4" s="674"/>
      <c r="J4" s="674"/>
    </row>
    <row r="5" spans="1:18" ht="30" customHeight="1" x14ac:dyDescent="0.25">
      <c r="B5" s="784" t="s">
        <v>473</v>
      </c>
      <c r="C5" s="785" t="s">
        <v>462</v>
      </c>
      <c r="D5" s="786" t="s">
        <v>521</v>
      </c>
      <c r="E5" s="809" t="s">
        <v>522</v>
      </c>
      <c r="F5" s="810" t="s">
        <v>522</v>
      </c>
      <c r="G5" s="811" t="s">
        <v>522</v>
      </c>
      <c r="H5" s="1732" t="s">
        <v>522</v>
      </c>
      <c r="I5" s="812"/>
      <c r="J5" s="813"/>
    </row>
    <row r="6" spans="1:18" ht="15" customHeight="1" x14ac:dyDescent="0.25">
      <c r="B6" s="787"/>
      <c r="C6" s="788" t="s">
        <v>480</v>
      </c>
      <c r="D6" s="789" t="s">
        <v>465</v>
      </c>
      <c r="E6" s="790" t="s">
        <v>1</v>
      </c>
      <c r="F6" s="791" t="s">
        <v>1</v>
      </c>
      <c r="G6" s="792" t="s">
        <v>1</v>
      </c>
      <c r="H6" s="1733" t="s">
        <v>1</v>
      </c>
      <c r="I6" s="812"/>
      <c r="J6" s="813"/>
      <c r="K6" s="675"/>
      <c r="L6" s="676"/>
    </row>
    <row r="7" spans="1:18" ht="16.5" customHeight="1" x14ac:dyDescent="0.25">
      <c r="B7" s="787"/>
      <c r="C7" s="788" t="s">
        <v>480</v>
      </c>
      <c r="D7" s="793" t="s">
        <v>523</v>
      </c>
      <c r="E7" s="790" t="s">
        <v>524</v>
      </c>
      <c r="F7" s="791" t="s">
        <v>524</v>
      </c>
      <c r="G7" s="792" t="s">
        <v>524</v>
      </c>
      <c r="H7" s="1733" t="s">
        <v>524</v>
      </c>
      <c r="I7" s="812"/>
      <c r="J7" s="813"/>
      <c r="K7" s="675"/>
      <c r="L7" s="676"/>
    </row>
    <row r="8" spans="1:18" ht="15" customHeight="1" thickBot="1" x14ac:dyDescent="0.3">
      <c r="B8" s="787"/>
      <c r="C8" s="794" t="s">
        <v>463</v>
      </c>
      <c r="D8" s="793" t="s">
        <v>466</v>
      </c>
      <c r="E8" s="790" t="s">
        <v>469</v>
      </c>
      <c r="F8" s="791" t="s">
        <v>469</v>
      </c>
      <c r="G8" s="792" t="s">
        <v>469</v>
      </c>
      <c r="H8" s="1733" t="s">
        <v>469</v>
      </c>
      <c r="I8" s="812"/>
      <c r="J8" s="813"/>
      <c r="K8" s="675"/>
      <c r="L8" s="676"/>
    </row>
    <row r="9" spans="1:18" ht="15.75" customHeight="1" x14ac:dyDescent="0.25">
      <c r="B9" s="787"/>
      <c r="C9" s="795" t="s">
        <v>525</v>
      </c>
      <c r="D9" s="793" t="s">
        <v>467</v>
      </c>
      <c r="E9" s="790" t="s">
        <v>698</v>
      </c>
      <c r="F9" s="791" t="s">
        <v>492</v>
      </c>
      <c r="G9" s="792" t="s">
        <v>492</v>
      </c>
      <c r="H9" s="1733" t="s">
        <v>526</v>
      </c>
      <c r="I9" s="2019" t="s">
        <v>527</v>
      </c>
      <c r="J9" s="796" t="s">
        <v>528</v>
      </c>
      <c r="K9" s="797"/>
      <c r="L9" s="676"/>
    </row>
    <row r="10" spans="1:18" ht="15.75" thickBot="1" x14ac:dyDescent="0.3">
      <c r="B10" s="798"/>
      <c r="C10" s="799" t="s">
        <v>475</v>
      </c>
      <c r="D10" s="800" t="s">
        <v>468</v>
      </c>
      <c r="E10" s="801" t="s">
        <v>529</v>
      </c>
      <c r="F10" s="802" t="s">
        <v>529</v>
      </c>
      <c r="G10" s="803" t="s">
        <v>529</v>
      </c>
      <c r="H10" s="1734" t="s">
        <v>529</v>
      </c>
      <c r="I10" s="2020"/>
      <c r="J10" s="804" t="s">
        <v>530</v>
      </c>
      <c r="K10" s="805" t="s">
        <v>464</v>
      </c>
      <c r="L10" s="676"/>
    </row>
    <row r="11" spans="1:18" s="678" customFormat="1" ht="15" customHeight="1" x14ac:dyDescent="0.25">
      <c r="A11" s="675"/>
      <c r="B11" s="2021" t="s">
        <v>493</v>
      </c>
      <c r="C11" s="814" t="str">
        <f>NAME</f>
        <v>Town Center</v>
      </c>
      <c r="D11" s="815">
        <f>Summary!F13</f>
        <v>0.56000000000000005</v>
      </c>
      <c r="E11" s="816">
        <f>'Unit Mix'!E7</f>
        <v>516</v>
      </c>
      <c r="F11" s="817">
        <f>'Unit Mix'!E8</f>
        <v>594.37</v>
      </c>
      <c r="G11" s="818">
        <f>'Unit Mix'!E9</f>
        <v>948.5</v>
      </c>
      <c r="H11" s="1735"/>
      <c r="I11" s="2024"/>
      <c r="J11" s="2026"/>
      <c r="K11" s="2028"/>
      <c r="L11" s="677"/>
      <c r="N11"/>
      <c r="O11"/>
    </row>
    <row r="12" spans="1:18" s="678" customFormat="1" ht="15" customHeight="1" x14ac:dyDescent="0.25">
      <c r="A12" s="675"/>
      <c r="B12" s="2022"/>
      <c r="C12" s="819" t="str">
        <f>STREET</f>
        <v>300 Town Center E</v>
      </c>
      <c r="D12" s="820">
        <f>IFERROR(D14/D11,0)</f>
        <v>146.42857142857142</v>
      </c>
      <c r="E12" s="821">
        <f>'Unit Mix'!D7</f>
        <v>5</v>
      </c>
      <c r="F12" s="822">
        <f>'Unit Mix'!D8</f>
        <v>67</v>
      </c>
      <c r="G12" s="823">
        <f>'Unit Mix'!D9</f>
        <v>10</v>
      </c>
      <c r="H12" s="1736"/>
      <c r="I12" s="2025"/>
      <c r="J12" s="2027"/>
      <c r="K12" s="2029"/>
      <c r="L12" s="677"/>
      <c r="N12"/>
      <c r="O12"/>
    </row>
    <row r="13" spans="1:18" s="678" customFormat="1" ht="15" customHeight="1" x14ac:dyDescent="0.25">
      <c r="A13" s="675"/>
      <c r="B13" s="2022"/>
      <c r="C13" s="824" t="str">
        <f>CITY</f>
        <v>Santa Maria, CA 93454</v>
      </c>
      <c r="D13" s="825">
        <v>2028</v>
      </c>
      <c r="E13" s="826">
        <f>'Unit Mix'!G7</f>
        <v>1985</v>
      </c>
      <c r="F13" s="827">
        <f>'Unit Mix'!G8</f>
        <v>2495</v>
      </c>
      <c r="G13" s="828">
        <f>'Unit Mix'!G9</f>
        <v>3295</v>
      </c>
      <c r="H13" s="1737"/>
      <c r="I13" s="2025"/>
      <c r="J13" s="2027"/>
      <c r="K13" s="2029"/>
      <c r="L13" s="677"/>
      <c r="N13"/>
      <c r="O13"/>
    </row>
    <row r="14" spans="1:18" s="678" customFormat="1" ht="15" customHeight="1" x14ac:dyDescent="0.25">
      <c r="A14" s="675"/>
      <c r="B14" s="2022"/>
      <c r="C14" s="829" t="s">
        <v>470</v>
      </c>
      <c r="D14" s="823">
        <f>UNITS</f>
        <v>82</v>
      </c>
      <c r="E14" s="830">
        <f>IFERROR(+E13/E11,0)</f>
        <v>3.8468992248062017</v>
      </c>
      <c r="F14" s="831">
        <f t="shared" ref="F14:H14" si="0">IFERROR(+F13/F11,0)</f>
        <v>4.1977219577031146</v>
      </c>
      <c r="G14" s="1729">
        <f t="shared" si="0"/>
        <v>3.4739061676331051</v>
      </c>
      <c r="H14" s="1729">
        <f t="shared" si="0"/>
        <v>0</v>
      </c>
      <c r="I14" s="2025"/>
      <c r="J14" s="2027"/>
      <c r="K14" s="2029"/>
      <c r="L14" s="677"/>
      <c r="N14"/>
      <c r="O14"/>
    </row>
    <row r="15" spans="1:18" s="678" customFormat="1" x14ac:dyDescent="0.25">
      <c r="A15" s="675"/>
      <c r="B15" s="2022"/>
      <c r="C15" s="819"/>
      <c r="D15" s="832">
        <f>Summary!F10</f>
        <v>3</v>
      </c>
      <c r="E15" s="826"/>
      <c r="F15" s="827"/>
      <c r="G15" s="828"/>
      <c r="H15" s="1737"/>
      <c r="I15" s="2025"/>
      <c r="J15" s="2027"/>
      <c r="K15" s="2029"/>
      <c r="L15" s="677"/>
      <c r="N15"/>
      <c r="O15"/>
      <c r="R15"/>
    </row>
    <row r="16" spans="1:18" s="678" customFormat="1" ht="15.75" thickBot="1" x14ac:dyDescent="0.3">
      <c r="A16" s="675"/>
      <c r="B16" s="2023"/>
      <c r="C16" s="1803"/>
      <c r="D16" s="1804"/>
      <c r="E16" s="1805">
        <f>IFERROR(E15/E$11,0)</f>
        <v>0</v>
      </c>
      <c r="F16" s="1806">
        <f>IFERROR(F15/F$11,0)</f>
        <v>0</v>
      </c>
      <c r="G16" s="1807">
        <f>IFERROR(G15/G$11,0)</f>
        <v>0</v>
      </c>
      <c r="H16" s="1729">
        <f>IFERROR(H15/H$11,0)</f>
        <v>0</v>
      </c>
      <c r="I16" s="2025"/>
      <c r="J16" s="2027"/>
      <c r="K16" s="2029"/>
      <c r="L16" s="677"/>
      <c r="N16"/>
      <c r="O16"/>
    </row>
    <row r="17" spans="1:34" ht="15" customHeight="1" x14ac:dyDescent="0.25">
      <c r="B17" s="1997">
        <v>-1</v>
      </c>
      <c r="C17" s="1798" t="s">
        <v>668</v>
      </c>
      <c r="D17" s="1799"/>
      <c r="E17" s="1800">
        <v>650</v>
      </c>
      <c r="F17" s="1801">
        <v>732</v>
      </c>
      <c r="G17" s="1802">
        <v>856</v>
      </c>
      <c r="H17" s="1738"/>
      <c r="I17" s="2015"/>
      <c r="J17" s="2016"/>
      <c r="K17" s="2017"/>
      <c r="L17" s="679"/>
      <c r="AH17" s="680"/>
    </row>
    <row r="18" spans="1:34" x14ac:dyDescent="0.25">
      <c r="B18" s="1997"/>
      <c r="C18" s="1744" t="s">
        <v>669</v>
      </c>
      <c r="D18" s="1751"/>
      <c r="E18" s="1761">
        <v>10</v>
      </c>
      <c r="F18" s="681">
        <v>18</v>
      </c>
      <c r="G18" s="1762">
        <v>40</v>
      </c>
      <c r="H18" s="1739"/>
      <c r="I18" s="2000"/>
      <c r="J18" s="2003"/>
      <c r="K18" s="2006"/>
    </row>
    <row r="19" spans="1:34" x14ac:dyDescent="0.25">
      <c r="B19" s="1997"/>
      <c r="C19" s="1745" t="s">
        <v>670</v>
      </c>
      <c r="D19" s="1752">
        <v>2021</v>
      </c>
      <c r="E19" s="1763"/>
      <c r="F19" s="1745"/>
      <c r="G19" s="1764"/>
      <c r="H19" s="1740"/>
      <c r="I19" s="2000"/>
      <c r="J19" s="2003"/>
      <c r="K19" s="2006"/>
    </row>
    <row r="20" spans="1:34" x14ac:dyDescent="0.25">
      <c r="B20" s="1997"/>
      <c r="C20" s="1745" t="s">
        <v>671</v>
      </c>
      <c r="D20" s="1753">
        <v>80</v>
      </c>
      <c r="E20" s="1765">
        <f>IFERROR(+E19/E17,0)</f>
        <v>0</v>
      </c>
      <c r="F20" s="1747">
        <f t="shared" ref="F20:H20" si="1">IFERROR(+F19/F17,0)</f>
        <v>0</v>
      </c>
      <c r="G20" s="1766">
        <f t="shared" si="1"/>
        <v>0</v>
      </c>
      <c r="H20" s="1730">
        <f t="shared" si="1"/>
        <v>0</v>
      </c>
      <c r="I20" s="2000"/>
      <c r="J20" s="2003"/>
      <c r="K20" s="2006"/>
    </row>
    <row r="21" spans="1:34" x14ac:dyDescent="0.25">
      <c r="B21" s="1997"/>
      <c r="C21" s="1744" t="s">
        <v>672</v>
      </c>
      <c r="D21" s="1754">
        <v>3</v>
      </c>
      <c r="E21" s="1767"/>
      <c r="F21" s="1745"/>
      <c r="G21" s="1768"/>
      <c r="H21" s="1741"/>
      <c r="I21" s="2000"/>
      <c r="J21" s="2003"/>
      <c r="K21" s="2006"/>
    </row>
    <row r="22" spans="1:34" x14ac:dyDescent="0.25">
      <c r="A22" s="683"/>
      <c r="B22" s="1998"/>
      <c r="C22" s="1746">
        <v>0.96199999999999997</v>
      </c>
      <c r="D22" s="1755">
        <v>814</v>
      </c>
      <c r="E22" s="1769">
        <f t="shared" ref="E22:H22" si="2">E20*(1-0.006)</f>
        <v>0</v>
      </c>
      <c r="F22" s="684">
        <f t="shared" si="2"/>
        <v>0</v>
      </c>
      <c r="G22" s="1770">
        <f t="shared" si="2"/>
        <v>0</v>
      </c>
      <c r="H22" s="1742">
        <f t="shared" si="2"/>
        <v>0</v>
      </c>
      <c r="I22" s="2001"/>
      <c r="J22" s="2004"/>
      <c r="K22" s="2007"/>
    </row>
    <row r="23" spans="1:34" ht="15" customHeight="1" x14ac:dyDescent="0.25">
      <c r="B23" s="1996">
        <f>B17-1</f>
        <v>-2</v>
      </c>
      <c r="C23" s="1748" t="s">
        <v>673</v>
      </c>
      <c r="D23" s="1756"/>
      <c r="E23" s="1771"/>
      <c r="F23" s="685"/>
      <c r="G23" s="1760">
        <v>940</v>
      </c>
      <c r="H23" s="1743"/>
      <c r="I23" s="1999"/>
      <c r="J23" s="2002"/>
      <c r="K23" s="2005"/>
    </row>
    <row r="24" spans="1:34" x14ac:dyDescent="0.25">
      <c r="B24" s="1997"/>
      <c r="C24" s="1744" t="s">
        <v>674</v>
      </c>
      <c r="D24" s="1751">
        <f>IFERROR(D26/D23,0)</f>
        <v>0</v>
      </c>
      <c r="E24" s="1761"/>
      <c r="F24" s="681"/>
      <c r="G24" s="1762">
        <v>17</v>
      </c>
      <c r="H24" s="1739"/>
      <c r="I24" s="2000"/>
      <c r="J24" s="2003"/>
      <c r="K24" s="2006"/>
    </row>
    <row r="25" spans="1:34" x14ac:dyDescent="0.25">
      <c r="B25" s="1997"/>
      <c r="C25" s="1745" t="s">
        <v>538</v>
      </c>
      <c r="D25" s="1752">
        <v>2024</v>
      </c>
      <c r="E25" s="1763"/>
      <c r="F25" s="1745"/>
      <c r="G25" s="1772">
        <v>2458</v>
      </c>
      <c r="H25" s="1740"/>
      <c r="I25" s="2000"/>
      <c r="J25" s="2003"/>
      <c r="K25" s="2006"/>
    </row>
    <row r="26" spans="1:34" x14ac:dyDescent="0.25">
      <c r="B26" s="1997"/>
      <c r="C26" s="1745" t="s">
        <v>671</v>
      </c>
      <c r="D26" s="1753">
        <v>17</v>
      </c>
      <c r="E26" s="1765">
        <f>IFERROR(+E25/E23,0)</f>
        <v>0</v>
      </c>
      <c r="F26" s="1747">
        <f t="shared" ref="F26:H26" si="3">IFERROR(+F25/F23,0)</f>
        <v>0</v>
      </c>
      <c r="G26" s="1766">
        <f t="shared" si="3"/>
        <v>2.6148936170212767</v>
      </c>
      <c r="H26" s="1730">
        <f t="shared" si="3"/>
        <v>0</v>
      </c>
      <c r="I26" s="2000"/>
      <c r="J26" s="2003"/>
      <c r="K26" s="2006"/>
    </row>
    <row r="27" spans="1:34" x14ac:dyDescent="0.25">
      <c r="B27" s="1997"/>
      <c r="C27" s="1744" t="s">
        <v>672</v>
      </c>
      <c r="D27" s="1754">
        <v>3</v>
      </c>
      <c r="E27" s="1767"/>
      <c r="F27" s="1745"/>
      <c r="G27" s="1773">
        <v>7.0000000000000001E-3</v>
      </c>
      <c r="H27" s="1740"/>
      <c r="I27" s="2000"/>
      <c r="J27" s="2003"/>
      <c r="K27" s="2006"/>
    </row>
    <row r="28" spans="1:34" x14ac:dyDescent="0.25">
      <c r="A28" s="683"/>
      <c r="B28" s="1998"/>
      <c r="C28" s="1746">
        <v>0.82399999999999995</v>
      </c>
      <c r="D28" s="1755"/>
      <c r="E28" s="1769">
        <f t="shared" ref="E28" si="4">E26*(1-0.006)</f>
        <v>0</v>
      </c>
      <c r="F28" s="684">
        <f>F26*(1-0.008)</f>
        <v>0</v>
      </c>
      <c r="G28" s="1770">
        <f>G26*(1-0.008)</f>
        <v>2.5939744680851065</v>
      </c>
      <c r="H28" s="1742">
        <f>H26*(1-0.008)</f>
        <v>0</v>
      </c>
      <c r="I28" s="2001"/>
      <c r="J28" s="2004"/>
      <c r="K28" s="2007"/>
    </row>
    <row r="29" spans="1:34" ht="14.45" customHeight="1" x14ac:dyDescent="0.25">
      <c r="B29" s="1996">
        <f>B23-1</f>
        <v>-3</v>
      </c>
      <c r="C29" s="1748" t="s">
        <v>676</v>
      </c>
      <c r="D29" s="1756"/>
      <c r="E29" s="1771"/>
      <c r="F29" s="685">
        <v>766</v>
      </c>
      <c r="G29" s="1760">
        <v>1064</v>
      </c>
      <c r="H29" s="1743"/>
      <c r="I29" s="1999"/>
      <c r="J29" s="2002"/>
      <c r="K29" s="2005"/>
    </row>
    <row r="30" spans="1:34" x14ac:dyDescent="0.25">
      <c r="B30" s="1997"/>
      <c r="C30" s="1744" t="s">
        <v>677</v>
      </c>
      <c r="D30" s="837">
        <f>IFERROR(D32/D29,0)</f>
        <v>0</v>
      </c>
      <c r="E30" s="1774"/>
      <c r="F30" s="681">
        <v>142</v>
      </c>
      <c r="G30" s="1762">
        <v>173</v>
      </c>
      <c r="H30" s="1739"/>
      <c r="I30" s="2000"/>
      <c r="J30" s="2003"/>
      <c r="K30" s="2006"/>
    </row>
    <row r="31" spans="1:34" x14ac:dyDescent="0.25">
      <c r="B31" s="1997"/>
      <c r="C31" s="1745" t="s">
        <v>678</v>
      </c>
      <c r="D31" s="1752">
        <v>2026</v>
      </c>
      <c r="E31" s="1763"/>
      <c r="F31" s="1749">
        <v>2547</v>
      </c>
      <c r="G31" s="1772">
        <v>3162</v>
      </c>
      <c r="H31" s="1740"/>
      <c r="I31" s="2000"/>
      <c r="J31" s="2003"/>
      <c r="K31" s="2006"/>
    </row>
    <row r="32" spans="1:34" ht="13.5" customHeight="1" x14ac:dyDescent="0.25">
      <c r="B32" s="1997"/>
      <c r="C32" s="1745" t="s">
        <v>679</v>
      </c>
      <c r="D32" s="1753">
        <v>340</v>
      </c>
      <c r="E32" s="1775">
        <f>IFERROR(+E31/E29,0)</f>
        <v>0</v>
      </c>
      <c r="F32" s="682">
        <f t="shared" ref="F32:H32" si="5">IFERROR(+F31/F29,0)</f>
        <v>3.3250652741514362</v>
      </c>
      <c r="G32" s="1766">
        <f t="shared" si="5"/>
        <v>2.9718045112781954</v>
      </c>
      <c r="H32" s="1730">
        <f t="shared" si="5"/>
        <v>0</v>
      </c>
      <c r="I32" s="2000"/>
      <c r="J32" s="2003"/>
      <c r="K32" s="2006"/>
    </row>
    <row r="33" spans="1:36" x14ac:dyDescent="0.25">
      <c r="B33" s="1997"/>
      <c r="C33" s="1744" t="s">
        <v>62</v>
      </c>
      <c r="D33" s="1754">
        <v>3</v>
      </c>
      <c r="E33" s="1767"/>
      <c r="F33" s="1750">
        <v>0.14299999999999999</v>
      </c>
      <c r="G33" s="1776">
        <v>0.14299999999999999</v>
      </c>
      <c r="H33" s="1740"/>
      <c r="I33" s="2000"/>
      <c r="J33" s="2003"/>
      <c r="K33" s="2006"/>
    </row>
    <row r="34" spans="1:36" x14ac:dyDescent="0.25">
      <c r="A34" s="683"/>
      <c r="B34" s="1998"/>
      <c r="C34" s="1746">
        <v>0.91200000000000003</v>
      </c>
      <c r="D34" s="1757"/>
      <c r="E34" s="1769">
        <f t="shared" ref="E34" si="6">E32*(1-0.006)</f>
        <v>0</v>
      </c>
      <c r="F34" s="684">
        <f>F32*(1-0.008)</f>
        <v>3.2984647519582246</v>
      </c>
      <c r="G34" s="1770">
        <f>G32*(1-0.008)</f>
        <v>2.9480300751879698</v>
      </c>
      <c r="H34" s="1742">
        <f>H32*(1-0.008)</f>
        <v>0</v>
      </c>
      <c r="I34" s="2001"/>
      <c r="J34" s="2004"/>
      <c r="K34" s="2007"/>
    </row>
    <row r="35" spans="1:36" ht="15" customHeight="1" x14ac:dyDescent="0.25">
      <c r="B35" s="1996">
        <f>B29-1</f>
        <v>-4</v>
      </c>
      <c r="C35" s="1748" t="s">
        <v>680</v>
      </c>
      <c r="D35" s="1756"/>
      <c r="E35" s="1771"/>
      <c r="F35" s="685"/>
      <c r="G35" s="1760">
        <v>1318</v>
      </c>
      <c r="H35" s="1743"/>
      <c r="I35" s="1999"/>
      <c r="J35" s="2002"/>
      <c r="K35" s="2005"/>
    </row>
    <row r="36" spans="1:36" ht="15" customHeight="1" x14ac:dyDescent="0.25">
      <c r="B36" s="1997"/>
      <c r="C36" s="1744" t="s">
        <v>681</v>
      </c>
      <c r="D36" s="837">
        <f>IFERROR(D38/D35,0)</f>
        <v>0</v>
      </c>
      <c r="E36" s="1774"/>
      <c r="F36" s="681"/>
      <c r="G36" s="1762">
        <v>120</v>
      </c>
      <c r="H36" s="1739"/>
      <c r="I36" s="2000"/>
      <c r="J36" s="2003"/>
      <c r="K36" s="2006"/>
    </row>
    <row r="37" spans="1:36" ht="15" customHeight="1" x14ac:dyDescent="0.25">
      <c r="B37" s="1997"/>
      <c r="C37" s="1745" t="s">
        <v>678</v>
      </c>
      <c r="D37" s="1758" t="s">
        <v>682</v>
      </c>
      <c r="E37" s="1763"/>
      <c r="F37" s="686"/>
      <c r="G37" s="1772">
        <v>3314</v>
      </c>
      <c r="H37" s="1740"/>
      <c r="I37" s="2000"/>
      <c r="J37" s="2003"/>
      <c r="K37" s="2006"/>
    </row>
    <row r="38" spans="1:36" ht="15" customHeight="1" x14ac:dyDescent="0.25">
      <c r="B38" s="1997"/>
      <c r="C38" s="1745" t="s">
        <v>679</v>
      </c>
      <c r="D38" s="1753">
        <v>208</v>
      </c>
      <c r="E38" s="1775">
        <f>IFERROR(+E37/E35,0)</f>
        <v>0</v>
      </c>
      <c r="F38" s="682">
        <f t="shared" ref="F38:H38" si="7">IFERROR(+F37/F35,0)</f>
        <v>0</v>
      </c>
      <c r="G38" s="1766">
        <f t="shared" si="7"/>
        <v>2.5144157814871018</v>
      </c>
      <c r="H38" s="1730">
        <f t="shared" si="7"/>
        <v>0</v>
      </c>
      <c r="I38" s="2000"/>
      <c r="J38" s="2003"/>
      <c r="K38" s="2006"/>
    </row>
    <row r="39" spans="1:36" x14ac:dyDescent="0.25">
      <c r="B39" s="1997"/>
      <c r="C39" s="1744" t="s">
        <v>62</v>
      </c>
      <c r="D39" s="1754">
        <v>2</v>
      </c>
      <c r="E39" s="1767"/>
      <c r="F39" s="686"/>
      <c r="G39" s="1776">
        <v>1.2999999999999999E-2</v>
      </c>
      <c r="H39" s="1740"/>
      <c r="I39" s="2000"/>
      <c r="J39" s="2003"/>
      <c r="K39" s="2006"/>
      <c r="Q39" s="2014"/>
      <c r="R39" s="2014"/>
      <c r="S39" s="2014"/>
      <c r="T39" s="2014"/>
      <c r="U39" s="2014"/>
      <c r="Y39" s="2014"/>
      <c r="Z39" s="2014"/>
      <c r="AA39" s="2014"/>
      <c r="AB39" s="2014"/>
      <c r="AC39" s="2014"/>
      <c r="AF39" s="2014"/>
      <c r="AG39" s="2014"/>
      <c r="AH39" s="2014"/>
      <c r="AI39" s="2014"/>
      <c r="AJ39" s="2014"/>
    </row>
    <row r="40" spans="1:36" x14ac:dyDescent="0.25">
      <c r="B40" s="1998"/>
      <c r="C40" s="1746">
        <v>0.91400000000000003</v>
      </c>
      <c r="D40" s="1757"/>
      <c r="E40" s="1769">
        <f t="shared" ref="E40" si="8">E38*(1-0.006)</f>
        <v>0</v>
      </c>
      <c r="F40" s="684">
        <f>F38*(1-0.008)</f>
        <v>0</v>
      </c>
      <c r="G40" s="1770">
        <f>G38*(1-0.008)</f>
        <v>2.494300455235205</v>
      </c>
      <c r="H40" s="1742">
        <f>H38*(1-0.008)</f>
        <v>0</v>
      </c>
      <c r="I40" s="2001"/>
      <c r="J40" s="2004"/>
      <c r="K40" s="2007"/>
    </row>
    <row r="41" spans="1:36" ht="15" customHeight="1" x14ac:dyDescent="0.25">
      <c r="B41" s="1996">
        <f>B35-1</f>
        <v>-5</v>
      </c>
      <c r="C41" s="1748" t="s">
        <v>683</v>
      </c>
      <c r="D41" s="1756"/>
      <c r="E41" s="1759">
        <v>512</v>
      </c>
      <c r="F41" s="685">
        <v>614</v>
      </c>
      <c r="G41" s="1760">
        <v>852</v>
      </c>
      <c r="H41" s="1743"/>
      <c r="I41" s="1999"/>
      <c r="J41" s="2002"/>
      <c r="K41" s="2005"/>
    </row>
    <row r="42" spans="1:36" ht="15" customHeight="1" x14ac:dyDescent="0.25">
      <c r="B42" s="1997"/>
      <c r="C42" s="1744" t="s">
        <v>684</v>
      </c>
      <c r="D42" s="837">
        <f>IFERROR(D44/D41,0)</f>
        <v>0</v>
      </c>
      <c r="E42" s="1761">
        <v>15</v>
      </c>
      <c r="F42" s="681">
        <v>19</v>
      </c>
      <c r="G42" s="1762">
        <v>52</v>
      </c>
      <c r="H42" s="1739"/>
      <c r="I42" s="2000"/>
      <c r="J42" s="2003"/>
      <c r="K42" s="2006"/>
    </row>
    <row r="43" spans="1:36" ht="15" customHeight="1" x14ac:dyDescent="0.25">
      <c r="B43" s="1997"/>
      <c r="C43" s="1745" t="s">
        <v>685</v>
      </c>
      <c r="D43" s="1752">
        <v>2018</v>
      </c>
      <c r="E43" s="1774">
        <v>1696</v>
      </c>
      <c r="F43" s="1749">
        <v>2834</v>
      </c>
      <c r="G43" s="1772">
        <v>2481</v>
      </c>
      <c r="H43" s="1740"/>
      <c r="I43" s="2000"/>
      <c r="J43" s="2003"/>
      <c r="K43" s="2006"/>
    </row>
    <row r="44" spans="1:36" ht="15" customHeight="1" x14ac:dyDescent="0.25">
      <c r="B44" s="1997"/>
      <c r="C44" s="1745" t="s">
        <v>688</v>
      </c>
      <c r="D44" s="1753">
        <v>86</v>
      </c>
      <c r="E44" s="1777">
        <f>IFERROR(+E43/E41,0)</f>
        <v>3.3125</v>
      </c>
      <c r="F44" s="682">
        <f t="shared" ref="F44:H44" si="9">IFERROR(+F43/F41,0)</f>
        <v>4.6156351791530943</v>
      </c>
      <c r="G44" s="1778">
        <f t="shared" si="9"/>
        <v>2.9119718309859155</v>
      </c>
      <c r="H44" s="1730">
        <f t="shared" si="9"/>
        <v>0</v>
      </c>
      <c r="I44" s="2000"/>
      <c r="J44" s="2003"/>
      <c r="K44" s="2006"/>
    </row>
    <row r="45" spans="1:36" x14ac:dyDescent="0.25">
      <c r="B45" s="1997"/>
      <c r="C45" s="1744" t="s">
        <v>62</v>
      </c>
      <c r="D45" s="1754">
        <v>4</v>
      </c>
      <c r="E45" s="1779">
        <v>6.0000000000000001E-3</v>
      </c>
      <c r="F45" s="1750">
        <v>6.0000000000000001E-3</v>
      </c>
      <c r="G45" s="1776">
        <v>6.0000000000000001E-3</v>
      </c>
      <c r="H45" s="1740"/>
      <c r="I45" s="2000"/>
      <c r="J45" s="2003"/>
      <c r="K45" s="2006"/>
    </row>
    <row r="46" spans="1:36" x14ac:dyDescent="0.25">
      <c r="B46" s="1998"/>
      <c r="C46" s="1746">
        <v>0.95299999999999996</v>
      </c>
      <c r="D46" s="1755"/>
      <c r="E46" s="1780">
        <f t="shared" ref="E46" si="10">E44*(1-0.006)</f>
        <v>3.2926250000000001</v>
      </c>
      <c r="F46" s="684">
        <f>F44*(1-0.008)</f>
        <v>4.5787100977198696</v>
      </c>
      <c r="G46" s="1770">
        <f>G44*(1-0.008)</f>
        <v>2.8886760563380283</v>
      </c>
      <c r="H46" s="1742">
        <f>H44*(1-0.008)</f>
        <v>0</v>
      </c>
      <c r="I46" s="2001"/>
      <c r="J46" s="2004"/>
      <c r="K46" s="2007"/>
      <c r="X46" s="678"/>
      <c r="Y46" s="678"/>
      <c r="Z46" s="678"/>
      <c r="AA46" s="678"/>
      <c r="AB46" s="678"/>
      <c r="AC46" s="678"/>
      <c r="AD46" s="678"/>
      <c r="AE46" s="678"/>
      <c r="AF46" s="678"/>
      <c r="AG46" s="678"/>
      <c r="AH46" s="678"/>
      <c r="AI46" s="678"/>
      <c r="AJ46" s="678"/>
    </row>
    <row r="47" spans="1:36" ht="14.45" customHeight="1" x14ac:dyDescent="0.25">
      <c r="B47" s="1996">
        <f>B41-1</f>
        <v>-6</v>
      </c>
      <c r="C47" s="1748" t="s">
        <v>686</v>
      </c>
      <c r="D47" s="1756"/>
      <c r="E47" s="1759" t="s">
        <v>460</v>
      </c>
      <c r="F47" s="685">
        <v>651</v>
      </c>
      <c r="G47" s="1760">
        <v>864</v>
      </c>
      <c r="H47" s="1743"/>
      <c r="I47" s="1999"/>
      <c r="J47" s="2002"/>
      <c r="K47" s="2005"/>
      <c r="X47" s="678"/>
      <c r="Y47" s="678"/>
      <c r="Z47" s="678"/>
      <c r="AA47" s="678"/>
      <c r="AB47" s="678"/>
      <c r="AC47" s="678"/>
      <c r="AD47" s="678"/>
      <c r="AE47" s="678"/>
      <c r="AF47" s="678"/>
      <c r="AG47" s="678"/>
      <c r="AH47" s="678"/>
      <c r="AI47" s="678"/>
      <c r="AJ47" s="678"/>
    </row>
    <row r="48" spans="1:36" x14ac:dyDescent="0.25">
      <c r="B48" s="1997"/>
      <c r="C48" s="1744" t="s">
        <v>687</v>
      </c>
      <c r="D48" s="837">
        <f>IFERROR(D50/D47,0)</f>
        <v>0</v>
      </c>
      <c r="E48" s="1761">
        <v>10</v>
      </c>
      <c r="F48" s="681">
        <v>36</v>
      </c>
      <c r="G48" s="1762">
        <v>62</v>
      </c>
      <c r="H48" s="1739"/>
      <c r="I48" s="2000"/>
      <c r="J48" s="2003"/>
      <c r="K48" s="2006"/>
      <c r="X48" s="678"/>
      <c r="Y48" s="678"/>
      <c r="Z48" s="678"/>
      <c r="AA48" s="678"/>
      <c r="AB48" s="678"/>
      <c r="AC48" s="678"/>
      <c r="AD48" s="678"/>
      <c r="AE48" s="678"/>
      <c r="AF48" s="678"/>
      <c r="AG48" s="678"/>
      <c r="AH48" s="678"/>
      <c r="AI48" s="678"/>
      <c r="AJ48" s="678"/>
    </row>
    <row r="49" spans="1:36" x14ac:dyDescent="0.25">
      <c r="B49" s="1997"/>
      <c r="C49" s="1745" t="s">
        <v>685</v>
      </c>
      <c r="D49" s="1752">
        <v>2020</v>
      </c>
      <c r="E49" s="1774">
        <v>2475</v>
      </c>
      <c r="F49" s="1749">
        <v>2480</v>
      </c>
      <c r="G49" s="1772">
        <v>2726</v>
      </c>
      <c r="H49" s="1740"/>
      <c r="I49" s="2000"/>
      <c r="J49" s="2003"/>
      <c r="K49" s="2006"/>
      <c r="X49" s="678"/>
      <c r="Y49" s="678"/>
      <c r="Z49" s="678"/>
      <c r="AA49" s="678"/>
      <c r="AB49" s="678"/>
      <c r="AC49" s="678"/>
      <c r="AD49" s="678"/>
      <c r="AE49" s="678"/>
      <c r="AF49" s="678"/>
      <c r="AG49" s="678"/>
      <c r="AH49" s="678"/>
      <c r="AI49" s="678"/>
      <c r="AJ49" s="678"/>
    </row>
    <row r="50" spans="1:36" x14ac:dyDescent="0.25">
      <c r="B50" s="1997"/>
      <c r="C50" s="1745" t="s">
        <v>688</v>
      </c>
      <c r="D50" s="1753">
        <v>128</v>
      </c>
      <c r="E50" s="1777">
        <f>IFERROR(+E49/E47,0)</f>
        <v>0</v>
      </c>
      <c r="F50" s="682">
        <f t="shared" ref="F50:H50" si="11">IFERROR(+F49/F47,0)</f>
        <v>3.8095238095238093</v>
      </c>
      <c r="G50" s="1778">
        <f t="shared" si="11"/>
        <v>3.1550925925925926</v>
      </c>
      <c r="H50" s="1730">
        <f t="shared" si="11"/>
        <v>0</v>
      </c>
      <c r="I50" s="2000"/>
      <c r="J50" s="2003"/>
      <c r="K50" s="2006"/>
      <c r="X50" s="678"/>
      <c r="Y50" s="678"/>
      <c r="Z50" s="678"/>
      <c r="AA50" s="678"/>
      <c r="AB50" s="678"/>
      <c r="AC50" s="678"/>
      <c r="AD50" s="678"/>
      <c r="AE50" s="678"/>
      <c r="AF50" s="678"/>
      <c r="AG50" s="678"/>
      <c r="AH50" s="678"/>
      <c r="AI50" s="678"/>
      <c r="AJ50" s="678"/>
    </row>
    <row r="51" spans="1:36" x14ac:dyDescent="0.25">
      <c r="B51" s="1997"/>
      <c r="C51" s="1744" t="s">
        <v>62</v>
      </c>
      <c r="D51" s="1754">
        <v>3</v>
      </c>
      <c r="E51" s="1779"/>
      <c r="F51" s="1750">
        <v>7.0000000000000001E-3</v>
      </c>
      <c r="G51" s="1776">
        <v>7.0000000000000001E-3</v>
      </c>
      <c r="H51" s="1740"/>
      <c r="I51" s="2000"/>
      <c r="J51" s="2003"/>
      <c r="K51" s="2006"/>
      <c r="Q51" s="2014"/>
      <c r="R51" s="2014"/>
      <c r="S51" s="2014"/>
      <c r="T51" s="2014"/>
      <c r="U51" s="2014"/>
    </row>
    <row r="52" spans="1:36" x14ac:dyDescent="0.25">
      <c r="A52" s="683"/>
      <c r="B52" s="1998"/>
      <c r="C52" s="1746">
        <v>0.93700000000000006</v>
      </c>
      <c r="D52" s="1755"/>
      <c r="E52" s="1780">
        <f t="shared" ref="E52" si="12">E50*(1-0.006)</f>
        <v>0</v>
      </c>
      <c r="F52" s="684">
        <f>F50*(1-0.008)</f>
        <v>3.7790476190476188</v>
      </c>
      <c r="G52" s="1770">
        <f>G50*(1-0.008)</f>
        <v>3.1298518518518517</v>
      </c>
      <c r="H52" s="1742">
        <f>H50*(1-0.008)</f>
        <v>0</v>
      </c>
      <c r="I52" s="2001"/>
      <c r="J52" s="2004"/>
      <c r="K52" s="2007"/>
    </row>
    <row r="53" spans="1:36" ht="14.25" customHeight="1" x14ac:dyDescent="0.25">
      <c r="B53" s="1996">
        <f>B47-1</f>
        <v>-7</v>
      </c>
      <c r="C53" s="1748" t="s">
        <v>689</v>
      </c>
      <c r="D53" s="1756"/>
      <c r="E53" s="1759">
        <v>406</v>
      </c>
      <c r="F53" s="685">
        <v>695</v>
      </c>
      <c r="G53" s="1760">
        <v>916</v>
      </c>
      <c r="H53" s="1743"/>
      <c r="I53" s="1999"/>
      <c r="J53" s="2002"/>
      <c r="K53" s="2005"/>
      <c r="S53" s="678"/>
      <c r="T53" s="687"/>
      <c r="Z53" s="678"/>
      <c r="AA53" s="687"/>
      <c r="AG53" s="678"/>
      <c r="AH53" s="687"/>
      <c r="AI53" s="687"/>
    </row>
    <row r="54" spans="1:36" x14ac:dyDescent="0.25">
      <c r="B54" s="1997"/>
      <c r="C54" s="1744" t="s">
        <v>690</v>
      </c>
      <c r="D54" s="837">
        <f>IFERROR(D56/D53,0)</f>
        <v>0</v>
      </c>
      <c r="E54" s="1761">
        <v>1</v>
      </c>
      <c r="F54" s="681">
        <v>110</v>
      </c>
      <c r="G54" s="1762">
        <v>131</v>
      </c>
      <c r="H54" s="1739"/>
      <c r="I54" s="2000"/>
      <c r="J54" s="2003"/>
      <c r="K54" s="2006"/>
      <c r="T54" s="687"/>
      <c r="AA54" s="687"/>
      <c r="AH54" s="687"/>
      <c r="AI54" s="687"/>
    </row>
    <row r="55" spans="1:36" x14ac:dyDescent="0.25">
      <c r="B55" s="1997"/>
      <c r="C55" s="1745" t="s">
        <v>538</v>
      </c>
      <c r="D55" s="1752">
        <v>2020</v>
      </c>
      <c r="E55" s="1774">
        <v>1925</v>
      </c>
      <c r="F55" s="1749">
        <v>2208</v>
      </c>
      <c r="G55" s="1772">
        <v>2602</v>
      </c>
      <c r="H55" s="1740"/>
      <c r="I55" s="2000"/>
      <c r="J55" s="2003"/>
      <c r="K55" s="2006"/>
      <c r="T55" s="687"/>
      <c r="AA55" s="687"/>
      <c r="AH55" s="687"/>
      <c r="AI55" s="687"/>
    </row>
    <row r="56" spans="1:36" x14ac:dyDescent="0.25">
      <c r="B56" s="1997"/>
      <c r="C56" s="1745" t="s">
        <v>679</v>
      </c>
      <c r="D56" s="1753">
        <v>318</v>
      </c>
      <c r="E56" s="1777">
        <f>IFERROR(+E55/E53,0)</f>
        <v>4.7413793103448274</v>
      </c>
      <c r="F56" s="682">
        <f t="shared" ref="F56:H56" si="13">IFERROR(+F55/F53,0)</f>
        <v>3.176978417266187</v>
      </c>
      <c r="G56" s="1778">
        <f t="shared" si="13"/>
        <v>2.8406113537117905</v>
      </c>
      <c r="H56" s="1730">
        <f t="shared" si="13"/>
        <v>0</v>
      </c>
      <c r="I56" s="2000"/>
      <c r="J56" s="2003"/>
      <c r="K56" s="2006"/>
      <c r="T56" s="687"/>
      <c r="AA56" s="687"/>
      <c r="AH56" s="687"/>
      <c r="AI56" s="687"/>
    </row>
    <row r="57" spans="1:36" x14ac:dyDescent="0.25">
      <c r="B57" s="1997"/>
      <c r="C57" s="1744" t="s">
        <v>672</v>
      </c>
      <c r="D57" s="1754">
        <v>3</v>
      </c>
      <c r="E57" s="1779">
        <v>8.9999999999999993E-3</v>
      </c>
      <c r="F57" s="1750">
        <v>8.9999999999999993E-3</v>
      </c>
      <c r="G57" s="1776">
        <v>8.9999999999999993E-3</v>
      </c>
      <c r="H57" s="1740"/>
      <c r="I57" s="2000"/>
      <c r="J57" s="2003"/>
      <c r="K57" s="2006"/>
      <c r="T57" s="687"/>
      <c r="AA57" s="687"/>
      <c r="AH57" s="687"/>
      <c r="AI57" s="687"/>
    </row>
    <row r="58" spans="1:36" x14ac:dyDescent="0.25">
      <c r="A58" s="683"/>
      <c r="B58" s="1998"/>
      <c r="C58" s="1746">
        <v>0.92100000000000004</v>
      </c>
      <c r="D58" s="1757"/>
      <c r="E58" s="1780">
        <f t="shared" ref="E58" si="14">E56*(1-0.006)</f>
        <v>4.7129310344827582</v>
      </c>
      <c r="F58" s="684">
        <f>F56*(1-0.008)</f>
        <v>3.1515625899280577</v>
      </c>
      <c r="G58" s="1770">
        <f>G56*(1-0.008)</f>
        <v>2.8178864628820963</v>
      </c>
      <c r="H58" s="1742">
        <f>H56*(1-0.008)</f>
        <v>0</v>
      </c>
      <c r="I58" s="2001"/>
      <c r="J58" s="2004"/>
      <c r="K58" s="2007"/>
      <c r="T58" s="687"/>
      <c r="AA58" s="687"/>
      <c r="AH58" s="687"/>
      <c r="AI58" s="687"/>
    </row>
    <row r="59" spans="1:36" ht="14.45" customHeight="1" x14ac:dyDescent="0.25">
      <c r="B59" s="1996">
        <f>B53-1</f>
        <v>-8</v>
      </c>
      <c r="C59" s="1748" t="s">
        <v>691</v>
      </c>
      <c r="D59" s="1756"/>
      <c r="E59" s="1759"/>
      <c r="F59" s="685">
        <v>753</v>
      </c>
      <c r="G59" s="1760">
        <v>999</v>
      </c>
      <c r="H59" s="1743"/>
      <c r="I59" s="1999"/>
      <c r="J59" s="2002"/>
      <c r="K59" s="2005"/>
      <c r="T59" s="687"/>
      <c r="AA59" s="687"/>
      <c r="AH59" s="687"/>
      <c r="AI59" s="687"/>
    </row>
    <row r="60" spans="1:36" x14ac:dyDescent="0.25">
      <c r="B60" s="1997"/>
      <c r="C60" s="1744" t="s">
        <v>692</v>
      </c>
      <c r="D60" s="837">
        <f>IFERROR(D62/D59,0)</f>
        <v>0</v>
      </c>
      <c r="E60" s="1761"/>
      <c r="F60" s="681">
        <v>65</v>
      </c>
      <c r="G60" s="1762">
        <v>85</v>
      </c>
      <c r="H60" s="1739"/>
      <c r="I60" s="2000"/>
      <c r="J60" s="2003"/>
      <c r="K60" s="2006"/>
      <c r="T60" s="687"/>
      <c r="AA60" s="687"/>
      <c r="AH60" s="687"/>
      <c r="AI60" s="687"/>
    </row>
    <row r="61" spans="1:36" x14ac:dyDescent="0.25">
      <c r="B61" s="1997"/>
      <c r="C61" s="1745" t="s">
        <v>538</v>
      </c>
      <c r="D61" s="1752">
        <v>2024</v>
      </c>
      <c r="E61" s="1774"/>
      <c r="F61" s="1749">
        <v>1985</v>
      </c>
      <c r="G61" s="1772">
        <v>2757</v>
      </c>
      <c r="H61" s="1740"/>
      <c r="I61" s="2000"/>
      <c r="J61" s="2003"/>
      <c r="K61" s="2006"/>
      <c r="T61" s="687"/>
      <c r="AA61" s="687"/>
      <c r="AH61" s="687"/>
    </row>
    <row r="62" spans="1:36" x14ac:dyDescent="0.25">
      <c r="B62" s="1997"/>
      <c r="C62" s="1745" t="s">
        <v>679</v>
      </c>
      <c r="D62" s="1753">
        <v>184</v>
      </c>
      <c r="E62" s="1777">
        <f>IFERROR(+E61/E59,0)</f>
        <v>0</v>
      </c>
      <c r="F62" s="682">
        <f t="shared" ref="F62:H62" si="15">IFERROR(+F61/F59,0)</f>
        <v>2.6361221779548472</v>
      </c>
      <c r="G62" s="1778">
        <f t="shared" si="15"/>
        <v>2.7597597597597598</v>
      </c>
      <c r="H62" s="1730">
        <f t="shared" si="15"/>
        <v>0</v>
      </c>
      <c r="I62" s="2000"/>
      <c r="J62" s="2003"/>
      <c r="K62" s="2006"/>
      <c r="T62" s="687"/>
      <c r="AA62" s="687"/>
      <c r="AH62" s="687"/>
    </row>
    <row r="63" spans="1:36" x14ac:dyDescent="0.25">
      <c r="B63" s="1997"/>
      <c r="C63" s="1744" t="s">
        <v>672</v>
      </c>
      <c r="D63" s="1754">
        <v>3</v>
      </c>
      <c r="E63" s="1779"/>
      <c r="F63" s="1750">
        <v>5.0000000000000001E-3</v>
      </c>
      <c r="G63" s="1776">
        <v>5.0000000000000001E-3</v>
      </c>
      <c r="H63" s="1740"/>
      <c r="I63" s="2000"/>
      <c r="J63" s="2003"/>
      <c r="K63" s="2006"/>
      <c r="T63" s="687"/>
      <c r="AA63" s="687"/>
      <c r="AH63" s="687"/>
    </row>
    <row r="64" spans="1:36" x14ac:dyDescent="0.25">
      <c r="A64" s="683"/>
      <c r="B64" s="1998"/>
      <c r="C64" s="1746">
        <v>0.96599999999999997</v>
      </c>
      <c r="D64" s="1757"/>
      <c r="E64" s="1780">
        <f t="shared" ref="E64" si="16">E62*(1-0.006)</f>
        <v>0</v>
      </c>
      <c r="F64" s="684">
        <f>F62*(1-0.008)</f>
        <v>2.6150332005312085</v>
      </c>
      <c r="G64" s="1770">
        <f>G62*(1-0.008)</f>
        <v>2.7376816816816816</v>
      </c>
      <c r="H64" s="1742">
        <f>H62*(1-0.008)</f>
        <v>0</v>
      </c>
      <c r="I64" s="2001"/>
      <c r="J64" s="2004"/>
      <c r="K64" s="2007"/>
      <c r="T64" s="687"/>
      <c r="AA64" s="687"/>
      <c r="AH64" s="687"/>
    </row>
    <row r="65" spans="1:34" ht="14.45" customHeight="1" x14ac:dyDescent="0.25">
      <c r="B65" s="1996">
        <f>B59-1</f>
        <v>-9</v>
      </c>
      <c r="C65" s="1748" t="s">
        <v>693</v>
      </c>
      <c r="D65" s="1756"/>
      <c r="E65" s="1759">
        <v>462</v>
      </c>
      <c r="F65" s="685">
        <v>656</v>
      </c>
      <c r="G65" s="1760">
        <v>948</v>
      </c>
      <c r="H65" s="1743"/>
      <c r="I65" s="1999"/>
      <c r="J65" s="2002"/>
      <c r="K65" s="2005"/>
      <c r="T65" s="687"/>
      <c r="AA65" s="687"/>
      <c r="AH65" s="687"/>
    </row>
    <row r="66" spans="1:34" x14ac:dyDescent="0.25">
      <c r="B66" s="1997"/>
      <c r="C66" s="1744" t="s">
        <v>694</v>
      </c>
      <c r="D66" s="837">
        <f>IFERROR(D68/D65,0)</f>
        <v>0</v>
      </c>
      <c r="E66" s="1761">
        <v>10</v>
      </c>
      <c r="F66" s="681">
        <v>28</v>
      </c>
      <c r="G66" s="1762">
        <v>10</v>
      </c>
      <c r="H66" s="1739"/>
      <c r="I66" s="2000"/>
      <c r="J66" s="2003"/>
      <c r="K66" s="2006"/>
      <c r="T66" s="687"/>
      <c r="AA66" s="687"/>
      <c r="AH66" s="687"/>
    </row>
    <row r="67" spans="1:34" x14ac:dyDescent="0.25">
      <c r="B67" s="1997"/>
      <c r="C67" s="1745" t="s">
        <v>678</v>
      </c>
      <c r="D67" s="1752">
        <v>2023</v>
      </c>
      <c r="E67" s="1774">
        <v>1795</v>
      </c>
      <c r="F67" s="1749">
        <v>2383</v>
      </c>
      <c r="G67" s="1772">
        <v>2750</v>
      </c>
      <c r="H67" s="1740"/>
      <c r="I67" s="2000"/>
      <c r="J67" s="2003"/>
      <c r="K67" s="2006"/>
      <c r="T67" s="687"/>
      <c r="AA67" s="687"/>
      <c r="AH67" s="687"/>
    </row>
    <row r="68" spans="1:34" x14ac:dyDescent="0.25">
      <c r="B68" s="1997"/>
      <c r="C68" s="1745" t="s">
        <v>695</v>
      </c>
      <c r="D68" s="1753">
        <v>167</v>
      </c>
      <c r="E68" s="1777">
        <f>IFERROR(+E67/E65,0)</f>
        <v>3.8852813852813854</v>
      </c>
      <c r="F68" s="682">
        <f t="shared" ref="F68:H68" si="17">IFERROR(+F67/F65,0)</f>
        <v>3.6326219512195124</v>
      </c>
      <c r="G68" s="1778">
        <f t="shared" si="17"/>
        <v>2.9008438818565403</v>
      </c>
      <c r="H68" s="1730">
        <f t="shared" si="17"/>
        <v>0</v>
      </c>
      <c r="I68" s="2000"/>
      <c r="J68" s="2003"/>
      <c r="K68" s="2006"/>
      <c r="T68" s="687"/>
      <c r="AA68" s="687"/>
      <c r="AH68" s="687"/>
    </row>
    <row r="69" spans="1:34" x14ac:dyDescent="0.25">
      <c r="B69" s="1997"/>
      <c r="C69" s="1744" t="s">
        <v>672</v>
      </c>
      <c r="D69" s="1754">
        <v>4</v>
      </c>
      <c r="E69" s="1779">
        <v>4.0000000000000001E-3</v>
      </c>
      <c r="F69" s="1750">
        <v>4.0000000000000001E-3</v>
      </c>
      <c r="G69" s="1776">
        <v>3.0000000000000001E-3</v>
      </c>
      <c r="H69" s="1740"/>
      <c r="I69" s="2000"/>
      <c r="J69" s="2003"/>
      <c r="K69" s="2006"/>
      <c r="T69" s="687"/>
      <c r="AA69" s="687"/>
      <c r="AH69" s="687"/>
    </row>
    <row r="70" spans="1:34" x14ac:dyDescent="0.25">
      <c r="B70" s="1998"/>
      <c r="C70" s="1746">
        <v>0.91600000000000004</v>
      </c>
      <c r="D70" s="1757"/>
      <c r="E70" s="1780">
        <f t="shared" ref="E70" si="18">E68*(1-0.006)</f>
        <v>3.8619696969696973</v>
      </c>
      <c r="F70" s="684">
        <f>F68*(1-0.008)</f>
        <v>3.6035609756097564</v>
      </c>
      <c r="G70" s="1770">
        <f>G68*(1-0.008)</f>
        <v>2.8776371308016881</v>
      </c>
      <c r="H70" s="1742">
        <f>H68*(1-0.008)</f>
        <v>0</v>
      </c>
      <c r="I70" s="2001"/>
      <c r="J70" s="2004"/>
      <c r="K70" s="2007"/>
      <c r="T70" s="687"/>
      <c r="AA70" s="687"/>
      <c r="AH70" s="687"/>
    </row>
    <row r="71" spans="1:34" ht="14.45" customHeight="1" x14ac:dyDescent="0.25">
      <c r="B71" s="1996">
        <f>B65-1</f>
        <v>-10</v>
      </c>
      <c r="C71" s="1748" t="s">
        <v>696</v>
      </c>
      <c r="D71" s="1756"/>
      <c r="E71" s="1759">
        <v>426</v>
      </c>
      <c r="F71" s="685"/>
      <c r="G71" s="1760"/>
      <c r="H71" s="1743"/>
      <c r="I71" s="1999"/>
      <c r="J71" s="2002"/>
      <c r="K71" s="2005"/>
      <c r="T71" s="687"/>
      <c r="AA71" s="687"/>
      <c r="AH71" s="687"/>
    </row>
    <row r="72" spans="1:34" x14ac:dyDescent="0.25">
      <c r="B72" s="1997"/>
      <c r="C72" s="1744" t="s">
        <v>697</v>
      </c>
      <c r="D72" s="837">
        <f>IFERROR(D74/D71,0)</f>
        <v>0</v>
      </c>
      <c r="E72" s="1761">
        <v>160</v>
      </c>
      <c r="F72" s="681"/>
      <c r="G72" s="1762"/>
      <c r="H72" s="1739"/>
      <c r="I72" s="2000"/>
      <c r="J72" s="2003"/>
      <c r="K72" s="2006"/>
      <c r="T72" s="687"/>
      <c r="AA72" s="687"/>
      <c r="AH72" s="687"/>
    </row>
    <row r="73" spans="1:34" x14ac:dyDescent="0.25">
      <c r="B73" s="1997"/>
      <c r="C73" s="1745" t="s">
        <v>678</v>
      </c>
      <c r="D73" s="1752">
        <v>2024</v>
      </c>
      <c r="E73" s="1774">
        <v>1208</v>
      </c>
      <c r="F73" s="1749"/>
      <c r="G73" s="1772"/>
      <c r="H73" s="1740"/>
      <c r="I73" s="2000"/>
      <c r="J73" s="2003"/>
      <c r="K73" s="2006"/>
      <c r="T73" s="687"/>
      <c r="AA73" s="687"/>
      <c r="AH73" s="687"/>
    </row>
    <row r="74" spans="1:34" x14ac:dyDescent="0.25">
      <c r="B74" s="1997"/>
      <c r="C74" s="1745" t="s">
        <v>695</v>
      </c>
      <c r="D74" s="1753">
        <v>160</v>
      </c>
      <c r="E74" s="1777">
        <f>IFERROR(+E73/E71,0)</f>
        <v>2.835680751173709</v>
      </c>
      <c r="F74" s="682">
        <f t="shared" ref="F74:H74" si="19">IFERROR(+F73/F71,0)</f>
        <v>0</v>
      </c>
      <c r="G74" s="1778">
        <f t="shared" si="19"/>
        <v>0</v>
      </c>
      <c r="H74" s="1730">
        <f t="shared" si="19"/>
        <v>0</v>
      </c>
      <c r="I74" s="2000"/>
      <c r="J74" s="2003"/>
      <c r="K74" s="2006"/>
      <c r="T74" s="687"/>
      <c r="AA74" s="687"/>
      <c r="AH74" s="687"/>
    </row>
    <row r="75" spans="1:34" x14ac:dyDescent="0.25">
      <c r="B75" s="1997"/>
      <c r="C75" s="1744" t="s">
        <v>672</v>
      </c>
      <c r="D75" s="1754">
        <v>5</v>
      </c>
      <c r="E75" s="1779">
        <v>3.0000000000000001E-3</v>
      </c>
      <c r="F75" s="1750"/>
      <c r="G75" s="1776"/>
      <c r="H75" s="1740"/>
      <c r="I75" s="2000"/>
      <c r="J75" s="2003"/>
      <c r="K75" s="2006"/>
      <c r="T75" s="687"/>
      <c r="AA75" s="687"/>
      <c r="AH75" s="687"/>
    </row>
    <row r="76" spans="1:34" ht="15.75" thickBot="1" x14ac:dyDescent="0.3">
      <c r="A76" s="683"/>
      <c r="B76" s="1998"/>
      <c r="C76" s="1797">
        <v>0.99399999999999999</v>
      </c>
      <c r="D76" s="1755"/>
      <c r="E76" s="1769">
        <f t="shared" ref="E76" si="20">E74*(1-0.006)</f>
        <v>2.8186666666666667</v>
      </c>
      <c r="F76" s="1784">
        <f>F74*(1-0.008)</f>
        <v>0</v>
      </c>
      <c r="G76" s="1785">
        <f>G74*(1-0.008)</f>
        <v>0</v>
      </c>
      <c r="H76" s="1786">
        <f>H74*(1-0.008)</f>
        <v>0</v>
      </c>
      <c r="I76" s="2011"/>
      <c r="J76" s="2012"/>
      <c r="K76" s="2013"/>
      <c r="T76" s="687"/>
      <c r="AA76" s="687"/>
      <c r="AH76" s="687"/>
    </row>
    <row r="77" spans="1:34" ht="12.95" customHeight="1" x14ac:dyDescent="0.25">
      <c r="B77" s="553"/>
      <c r="C77" s="835" t="s">
        <v>531</v>
      </c>
      <c r="D77" s="1796">
        <f>AVERAGE(C76,C70,C64,C58,C52,C46,C40,C34,C28,C22)</f>
        <v>0.92990000000000017</v>
      </c>
      <c r="E77" s="2008" t="s">
        <v>532</v>
      </c>
      <c r="F77" s="2009"/>
      <c r="G77" s="2010"/>
      <c r="H77" s="1788"/>
      <c r="I77" s="836"/>
      <c r="J77" s="836"/>
      <c r="K77" s="836"/>
    </row>
    <row r="78" spans="1:34" ht="15" customHeight="1" x14ac:dyDescent="0.25">
      <c r="C78" s="688" t="s">
        <v>533</v>
      </c>
      <c r="D78" s="690">
        <f>SUM(E79:G79)</f>
        <v>2159.4857142857145</v>
      </c>
      <c r="E78" s="833" t="str">
        <f>+E4</f>
        <v>STUDIO</v>
      </c>
      <c r="F78" s="834" t="str">
        <f>+F4</f>
        <v>1 beds</v>
      </c>
      <c r="G78" s="1789" t="str">
        <f>+G4</f>
        <v>2 beds</v>
      </c>
      <c r="H78" s="1789" t="str">
        <f>+H4</f>
        <v>3 beds</v>
      </c>
      <c r="I78" s="689"/>
      <c r="J78" s="689"/>
      <c r="K78" s="689"/>
    </row>
    <row r="79" spans="1:34" ht="15" customHeight="1" x14ac:dyDescent="0.25">
      <c r="B79" s="691"/>
      <c r="D79" s="692" t="s">
        <v>127</v>
      </c>
      <c r="E79" s="1781">
        <f>AVERAGE(E71,E65,E59,E53,E47,E41,E35,E29,E23,E17)</f>
        <v>491.2</v>
      </c>
      <c r="F79" s="1781">
        <f t="shared" ref="F79:G79" si="21">AVERAGE(F71,F65,F59,F53,F47,F41,F35,F29,F23,F17)</f>
        <v>695.28571428571433</v>
      </c>
      <c r="G79" s="1792">
        <f t="shared" si="21"/>
        <v>973</v>
      </c>
      <c r="H79" s="1790"/>
      <c r="I79" s="689"/>
      <c r="J79" s="689"/>
      <c r="K79" s="689"/>
    </row>
    <row r="80" spans="1:34" ht="16.149999999999999" customHeight="1" x14ac:dyDescent="0.25">
      <c r="D80" s="692" t="s">
        <v>1</v>
      </c>
      <c r="E80" s="1782">
        <f>SUM(E72,E66,E60,E54,E48,E42,E36,E30,E24,E18)</f>
        <v>206</v>
      </c>
      <c r="F80" s="1782">
        <f t="shared" ref="F80:G80" si="22">SUM(F72,F66,F60,F54,F48,F42,F36,F30,F24,F18)</f>
        <v>418</v>
      </c>
      <c r="G80" s="1793">
        <f t="shared" si="22"/>
        <v>690</v>
      </c>
      <c r="H80" s="1790"/>
      <c r="I80" s="689"/>
      <c r="J80" s="689"/>
      <c r="K80" s="689"/>
    </row>
    <row r="81" spans="3:11" ht="16.149999999999999" customHeight="1" x14ac:dyDescent="0.25">
      <c r="D81" s="692" t="s">
        <v>524</v>
      </c>
      <c r="E81" s="1783">
        <f>AVERAGE(E73,E67,E55,E49,E43,E37,E31,E25,E19)</f>
        <v>1819.8</v>
      </c>
      <c r="F81" s="1783">
        <f t="shared" ref="F81:G81" si="23">AVERAGE(F73,F67,F55,F49,F43,F37,F31,F25,F19)</f>
        <v>2490.4</v>
      </c>
      <c r="G81" s="1794">
        <f t="shared" si="23"/>
        <v>2784.7142857142858</v>
      </c>
      <c r="H81" s="1790"/>
      <c r="I81" s="689"/>
      <c r="J81" s="689"/>
      <c r="K81" s="689"/>
    </row>
    <row r="82" spans="3:11" ht="16.149999999999999" customHeight="1" thickBot="1" x14ac:dyDescent="0.3">
      <c r="D82" s="693" t="s">
        <v>469</v>
      </c>
      <c r="E82" s="1787">
        <f>E81/E79</f>
        <v>3.7048045602605861</v>
      </c>
      <c r="F82" s="1787">
        <f t="shared" ref="F82:G82" si="24">F81/F79</f>
        <v>3.5818368604890076</v>
      </c>
      <c r="G82" s="1795">
        <f t="shared" si="24"/>
        <v>2.8619879606518865</v>
      </c>
      <c r="H82" s="1791"/>
      <c r="I82" s="689"/>
      <c r="J82" s="689"/>
      <c r="K82" s="689"/>
    </row>
    <row r="83" spans="3:11" ht="16.149999999999999" customHeight="1" x14ac:dyDescent="0.25">
      <c r="I83" s="689"/>
      <c r="J83" s="689"/>
      <c r="K83" s="689"/>
    </row>
    <row r="84" spans="3:11" ht="16.149999999999999" hidden="1" customHeight="1" x14ac:dyDescent="0.25">
      <c r="I84" s="689"/>
      <c r="J84" s="689"/>
      <c r="K84" s="689"/>
    </row>
    <row r="85" spans="3:11" ht="16.149999999999999" hidden="1" customHeight="1" x14ac:dyDescent="0.25">
      <c r="E85" s="694"/>
      <c r="F85" s="674"/>
      <c r="G85" s="674"/>
      <c r="H85" s="695"/>
      <c r="I85" s="689"/>
      <c r="J85" s="689"/>
      <c r="K85" s="689"/>
    </row>
    <row r="86" spans="3:11" hidden="1" x14ac:dyDescent="0.25">
      <c r="E86" s="696" t="e">
        <f>AVERAGE(#REF!,#REF!,#REF!,#REF!,#REF!,E17)</f>
        <v>#REF!</v>
      </c>
      <c r="F86" s="697" t="e">
        <f>AVERAGE(#REF!,#REF!,#REF!,#REF!,#REF!,#REF!,#REF!,#REF!,#REF!,#REF!,#REF!,#REF!,F71,F59,F53,F47,F41,F35,F29,F23,F17,#REF!)</f>
        <v>#REF!</v>
      </c>
      <c r="G86" s="698" t="e">
        <f>AVERAGE(#REF!,#REF!,#REF!,#REF!,#REF!,#REF!,#REF!,#REF!,#REF!,#REF!,#REF!,G71,G59,G53,G47,G41,G35,G29,G23,G17,#REF!)</f>
        <v>#REF!</v>
      </c>
      <c r="H86" s="699" t="e">
        <f>AVERAGE(#REF!,#REF!,#REF!,#REF!,#REF!,#REF!,#REF!,#REF!,#REF!,#REF!,#REF!,H71,H59,H53,H47,H41,H35,H29,H23,H17,#REF!)</f>
        <v>#REF!</v>
      </c>
      <c r="I86" s="689"/>
      <c r="J86" s="689"/>
      <c r="K86" s="689"/>
    </row>
    <row r="87" spans="3:11" hidden="1" x14ac:dyDescent="0.25">
      <c r="D87" s="700"/>
      <c r="E87" s="701" t="e">
        <f>AVERAGE(#REF!,#REF!,#REF!,#REF!,#REF!,$E$19)</f>
        <v>#REF!</v>
      </c>
      <c r="F87" s="702" t="e">
        <f>AVERAGE(#REF!,#REF!,#REF!,#REF!,#REF!,#REF!,#REF!,#REF!,#REF!,#REF!,#REF!,F73,F61,F55,F49,F43,F37,F31,F25,F19,#REF!)</f>
        <v>#REF!</v>
      </c>
      <c r="G87" s="703" t="e">
        <f>AVERAGE(#REF!,#REF!,#REF!,#REF!,#REF!,#REF!,#REF!,#REF!,#REF!,#REF!,#REF!,G73,G61,G55,G49,G43,G37,G31,G25,G19,#REF!)</f>
        <v>#REF!</v>
      </c>
      <c r="H87" s="704" t="e">
        <f>AVERAGE(#REF!,#REF!,#REF!,#REF!,#REF!,#REF!,#REF!,#REF!,#REF!,#REF!,#REF!,H73,H61,H55,H49,H43,H37,H31,H25,H19,#REF!)</f>
        <v>#REF!</v>
      </c>
      <c r="I87" s="689"/>
      <c r="J87" s="689"/>
      <c r="K87" s="689"/>
    </row>
    <row r="88" spans="3:11" hidden="1" x14ac:dyDescent="0.25">
      <c r="D88" s="700"/>
      <c r="E88" s="705" t="e">
        <f>E87/E86</f>
        <v>#REF!</v>
      </c>
      <c r="F88" s="706" t="e">
        <f>F87/F86</f>
        <v>#REF!</v>
      </c>
      <c r="G88" s="707">
        <f>IFERROR(G87/G86,0)</f>
        <v>0</v>
      </c>
      <c r="H88" s="708">
        <f>IFERROR(H87/H86,0)</f>
        <v>0</v>
      </c>
      <c r="I88" s="689"/>
      <c r="J88" s="689"/>
      <c r="K88" s="689"/>
    </row>
    <row r="89" spans="3:11" hidden="1" x14ac:dyDescent="0.25">
      <c r="D89" s="700"/>
      <c r="E89" s="709" t="e">
        <f>AVERAGE(#REF!,$E$19)</f>
        <v>#REF!</v>
      </c>
      <c r="F89" s="710" t="e">
        <f>AVERAGE(F19,F25,#REF!,#REF!,#REF!,F73,F61,F55,F49,F43,F37,F31,#REF!,#REF!,#REF!)</f>
        <v>#REF!</v>
      </c>
      <c r="G89" s="711" t="e">
        <f>AVERAGE(#REF!,#REF!,#REF!,#REF!,#REF!,G73,G61,G55,G49,G43,G37,G31,G25,G19,#REF!)</f>
        <v>#REF!</v>
      </c>
      <c r="H89" s="712" t="e">
        <f>AVERAGE(#REF!,#REF!,#REF!,#REF!,#REF!,H73,H61,H55,H49,H43,H37,H31,H25,H19,#REF!)</f>
        <v>#REF!</v>
      </c>
      <c r="I89" s="689"/>
      <c r="J89" s="689"/>
      <c r="K89" s="689"/>
    </row>
    <row r="90" spans="3:11" hidden="1" x14ac:dyDescent="0.25">
      <c r="D90" s="700"/>
      <c r="E90" s="709" t="e">
        <f>AVERAGE(#REF!,#REF!,#REF!,#REF!)</f>
        <v>#REF!</v>
      </c>
      <c r="F90" s="710" t="e">
        <f>AVERAGE(#REF!,#REF!,#REF!,#REF!,#REF!,#REF!)</f>
        <v>#REF!</v>
      </c>
      <c r="G90" s="711" t="e">
        <f>AVERAGE(#REF!,#REF!,#REF!,#REF!,#REF!,#REF!)</f>
        <v>#REF!</v>
      </c>
      <c r="H90" s="712" t="e">
        <f>AVERAGE(#REF!,#REF!,#REF!,#REF!,#REF!,#REF!)</f>
        <v>#REF!</v>
      </c>
      <c r="I90" s="689"/>
      <c r="J90" s="689"/>
      <c r="K90" s="689"/>
    </row>
    <row r="91" spans="3:11" hidden="1" x14ac:dyDescent="0.25">
      <c r="D91" s="700"/>
      <c r="E91" s="713" t="e">
        <f>AVERAGE(E20,#REF!)</f>
        <v>#REF!</v>
      </c>
      <c r="F91" s="714" t="e">
        <f>AVERAGE(#REF!,#REF!,#REF!,#REF!,#REF!,F74,F62,F56,F50,F44,F38,F32,F26,F20,#REF!)</f>
        <v>#REF!</v>
      </c>
      <c r="G91" s="715" t="e">
        <f>AVERAGE(#REF!,#REF!,#REF!,#REF!,#REF!,#REF!,G74,G62,G56,G50,G44,G38,G32,G26,G20,#REF!)</f>
        <v>#REF!</v>
      </c>
      <c r="H91" s="716" t="e">
        <f>AVERAGE(#REF!,#REF!,#REF!,#REF!,#REF!,#REF!,H74,H62,H56,H50,H44,H38,H32,H26,H20,#REF!)</f>
        <v>#REF!</v>
      </c>
      <c r="I91" s="689"/>
      <c r="J91" s="689"/>
      <c r="K91" s="689"/>
    </row>
    <row r="92" spans="3:11" ht="15.75" hidden="1" thickBot="1" x14ac:dyDescent="0.3">
      <c r="C92" s="717"/>
      <c r="D92" s="700"/>
      <c r="E92" s="718" t="e">
        <f>AVERAGE(#REF!,#REF!,#REF!,#REF!)</f>
        <v>#REF!</v>
      </c>
      <c r="F92" s="719" t="e">
        <f>AVERAGE(#REF!,#REF!,#REF!,#REF!,#REF!,#REF!)</f>
        <v>#REF!</v>
      </c>
      <c r="G92" s="720" t="e">
        <f>AVERAGE(#REF!,#REF!,#REF!,#REF!,#REF!,#REF!)</f>
        <v>#REF!</v>
      </c>
      <c r="H92" s="721" t="e">
        <f>AVERAGE(#REF!,#REF!,#REF!,#REF!,#REF!,#REF!)</f>
        <v>#REF!</v>
      </c>
      <c r="I92" s="689"/>
      <c r="J92" s="689"/>
      <c r="K92" s="689"/>
    </row>
    <row r="93" spans="3:11" hidden="1" x14ac:dyDescent="0.25">
      <c r="D93" s="722"/>
      <c r="E93" s="722"/>
      <c r="F93" s="722"/>
      <c r="G93" s="723"/>
      <c r="H93" s="724"/>
      <c r="I93" s="689"/>
      <c r="J93" s="689"/>
      <c r="K93" s="689"/>
    </row>
    <row r="94" spans="3:11" hidden="1" x14ac:dyDescent="0.25">
      <c r="D94" s="725"/>
      <c r="E94" s="726" t="e">
        <f>AVERAGE(#REF!,E21)</f>
        <v>#REF!</v>
      </c>
      <c r="F94" s="727" t="e">
        <f>AVERAGE(#REF!,#REF!,#REF!,#REF!,#REF!,F75,F63,F57,F51,F45,F39,F33,F27,F21,#REF!)</f>
        <v>#REF!</v>
      </c>
      <c r="G94" s="728" t="e">
        <f>AVERAGE(#REF!,#REF!,#REF!,#REF!,#REF!,G75,G63,G57,G51,G44,G39,G33,G27,G21,#REF!)</f>
        <v>#REF!</v>
      </c>
      <c r="H94" s="729" t="e">
        <f>AVERAGE(#REF!,#REF!,#REF!,#REF!,#REF!,H75,H63,H57,H51,H44,H39,H33,H27,H21,#REF!)</f>
        <v>#REF!</v>
      </c>
      <c r="I94" s="689"/>
      <c r="J94" s="689"/>
      <c r="K94" s="689"/>
    </row>
    <row r="95" spans="3:11" hidden="1" x14ac:dyDescent="0.25">
      <c r="D95" s="725"/>
      <c r="E95" s="730" t="e">
        <f>AVERAGE(E22,#REF!)</f>
        <v>#REF!</v>
      </c>
      <c r="F95" s="731" t="e">
        <f>AVERAGE(#REF!,#REF!,#REF!,#REF!,#REF!,F76,F64,F58,F52,F46,F40,F34,F28,F22,#REF!)</f>
        <v>#REF!</v>
      </c>
      <c r="G95" s="732" t="e">
        <f>AVERAGE(#REF!,#REF!,#REF!,#REF!,#REF!,G76,G64,G58,G52,G46,G40,G34,G28,G22,#REF!)</f>
        <v>#REF!</v>
      </c>
      <c r="H95" s="733" t="e">
        <f>AVERAGE(#REF!,#REF!,#REF!,#REF!,#REF!,H76,H64,H58,H52,H46,H40,H34,H28,H22,#REF!)</f>
        <v>#REF!</v>
      </c>
      <c r="I95" s="689"/>
      <c r="J95" s="689"/>
      <c r="K95" s="689"/>
    </row>
    <row r="96" spans="3:11" hidden="1" x14ac:dyDescent="0.25">
      <c r="D96" s="725"/>
      <c r="E96" s="734" t="e">
        <f>AVERAGE(#REF!,#REF!,#REF!,#REF!)</f>
        <v>#REF!</v>
      </c>
      <c r="F96" s="735" t="e">
        <f>AVERAGE(#REF!,#REF!,#REF!,#REF!,#REF!,#REF!)</f>
        <v>#REF!</v>
      </c>
      <c r="G96" s="728" t="e">
        <f>AVERAGE(#REF!,#REF!,#REF!,#REF!,#REF!,#REF!)</f>
        <v>#REF!</v>
      </c>
      <c r="H96" s="729" t="e">
        <f>AVERAGE(#REF!,#REF!,#REF!,#REF!,#REF!,#REF!)</f>
        <v>#REF!</v>
      </c>
      <c r="I96" s="689"/>
      <c r="J96" s="689"/>
      <c r="K96" s="689"/>
    </row>
    <row r="97" spans="2:11" hidden="1" x14ac:dyDescent="0.25">
      <c r="C97" s="736"/>
      <c r="D97" s="725"/>
      <c r="E97" s="737" t="e">
        <f>AVERAGE(#REF!,#REF!,#REF!,#REF!)</f>
        <v>#REF!</v>
      </c>
      <c r="F97" s="738" t="e">
        <f>AVERAGE(#REF!,#REF!,#REF!,#REF!,#REF!,#REF!)</f>
        <v>#REF!</v>
      </c>
      <c r="G97" s="739" t="e">
        <f>AVERAGE(#REF!,#REF!,#REF!,#REF!,#REF!,#REF!)</f>
        <v>#REF!</v>
      </c>
      <c r="H97" s="740" t="e">
        <f>AVERAGE(#REF!,#REF!,#REF!,#REF!,#REF!,#REF!)</f>
        <v>#REF!</v>
      </c>
      <c r="I97" s="689"/>
      <c r="J97" s="689"/>
      <c r="K97" s="689"/>
    </row>
    <row r="98" spans="2:11" hidden="1" x14ac:dyDescent="0.25">
      <c r="B98" s="741"/>
      <c r="C98" s="736"/>
      <c r="D98" s="742">
        <f>D16</f>
        <v>0</v>
      </c>
      <c r="E98" s="743">
        <f>E11</f>
        <v>516</v>
      </c>
      <c r="F98" s="744">
        <f>F11</f>
        <v>594.37</v>
      </c>
      <c r="G98" s="745">
        <f>G11</f>
        <v>948.5</v>
      </c>
      <c r="H98" s="746">
        <f>H11</f>
        <v>0</v>
      </c>
      <c r="I98" s="689"/>
      <c r="J98" s="689"/>
      <c r="K98" s="689"/>
    </row>
    <row r="99" spans="2:11" hidden="1" x14ac:dyDescent="0.25">
      <c r="D99" s="700"/>
      <c r="E99" s="747">
        <f t="shared" ref="E99:H102" si="25">E13</f>
        <v>1985</v>
      </c>
      <c r="F99" s="748">
        <f t="shared" si="25"/>
        <v>2495</v>
      </c>
      <c r="G99" s="749">
        <f t="shared" si="25"/>
        <v>3295</v>
      </c>
      <c r="H99" s="750">
        <f t="shared" si="25"/>
        <v>0</v>
      </c>
    </row>
    <row r="100" spans="2:11" ht="15.75" hidden="1" thickBot="1" x14ac:dyDescent="0.3">
      <c r="B100" s="741"/>
      <c r="D100" s="751"/>
      <c r="E100" s="752">
        <f t="shared" si="25"/>
        <v>3.8468992248062017</v>
      </c>
      <c r="F100" s="753">
        <f t="shared" si="25"/>
        <v>4.1977219577031146</v>
      </c>
      <c r="G100" s="754">
        <f t="shared" si="25"/>
        <v>3.4739061676331051</v>
      </c>
      <c r="H100" s="755">
        <f t="shared" si="25"/>
        <v>0</v>
      </c>
      <c r="I100" s="756"/>
      <c r="J100" s="756"/>
    </row>
    <row r="101" spans="2:11" ht="15.75" hidden="1" thickBot="1" x14ac:dyDescent="0.3">
      <c r="D101" s="757"/>
      <c r="E101" s="758">
        <f t="shared" si="25"/>
        <v>0</v>
      </c>
      <c r="F101" s="758">
        <f t="shared" si="25"/>
        <v>0</v>
      </c>
      <c r="G101" s="758">
        <f t="shared" si="25"/>
        <v>0</v>
      </c>
      <c r="H101" s="759">
        <f t="shared" si="25"/>
        <v>0</v>
      </c>
    </row>
    <row r="102" spans="2:11" ht="15.75" hidden="1" thickBot="1" x14ac:dyDescent="0.3">
      <c r="B102" s="760"/>
      <c r="C102" s="760"/>
      <c r="D102" s="757"/>
      <c r="E102" s="761">
        <f t="shared" si="25"/>
        <v>0</v>
      </c>
      <c r="F102" s="761">
        <f t="shared" si="25"/>
        <v>0</v>
      </c>
      <c r="G102" s="754">
        <f t="shared" si="25"/>
        <v>0</v>
      </c>
      <c r="H102" s="755">
        <f t="shared" si="25"/>
        <v>0</v>
      </c>
      <c r="I102" s="760"/>
      <c r="J102" s="760"/>
      <c r="K102" s="760"/>
    </row>
    <row r="103" spans="2:11" hidden="1" x14ac:dyDescent="0.25">
      <c r="B103" s="760"/>
      <c r="C103" s="760"/>
      <c r="D103" s="762"/>
      <c r="E103" s="763" t="e">
        <f>E99-E94</f>
        <v>#REF!</v>
      </c>
      <c r="F103" s="763" t="e">
        <f>F99-F94</f>
        <v>#REF!</v>
      </c>
      <c r="G103" s="763" t="e">
        <f>G99-G94</f>
        <v>#REF!</v>
      </c>
      <c r="H103" s="764" t="e">
        <f>H99-H94</f>
        <v>#REF!</v>
      </c>
      <c r="I103" s="760"/>
      <c r="J103" s="760"/>
      <c r="K103" s="760"/>
    </row>
    <row r="104" spans="2:11" hidden="1" x14ac:dyDescent="0.25">
      <c r="D104" s="765"/>
      <c r="E104" s="766" t="e">
        <f>E101-E96</f>
        <v>#REF!</v>
      </c>
      <c r="F104" s="766" t="e">
        <f>F101-F96</f>
        <v>#REF!</v>
      </c>
      <c r="G104" s="766" t="e">
        <f>G101-G96</f>
        <v>#REF!</v>
      </c>
      <c r="H104" s="767" t="e">
        <f>H101-H96</f>
        <v>#REF!</v>
      </c>
    </row>
    <row r="105" spans="2:11" hidden="1" x14ac:dyDescent="0.25">
      <c r="D105" s="768"/>
      <c r="E105" s="766" t="e">
        <f>E99-E89</f>
        <v>#REF!</v>
      </c>
      <c r="F105" s="766" t="e">
        <f>F99-F89</f>
        <v>#REF!</v>
      </c>
      <c r="G105" s="766" t="e">
        <f>G99-G89</f>
        <v>#REF!</v>
      </c>
      <c r="H105" s="767" t="e">
        <f>H99-H89</f>
        <v>#REF!</v>
      </c>
    </row>
    <row r="106" spans="2:11" ht="15.75" hidden="1" thickBot="1" x14ac:dyDescent="0.3">
      <c r="D106" s="769"/>
      <c r="E106" s="770" t="e">
        <f>E99-E90</f>
        <v>#REF!</v>
      </c>
      <c r="F106" s="770" t="e">
        <f>F99-F90</f>
        <v>#REF!</v>
      </c>
      <c r="G106" s="770" t="e">
        <f>G99-G90</f>
        <v>#REF!</v>
      </c>
      <c r="H106" s="771" t="e">
        <f>H99-H90</f>
        <v>#REF!</v>
      </c>
    </row>
    <row r="107" spans="2:11" hidden="1" x14ac:dyDescent="0.25">
      <c r="B107" s="683">
        <v>-5</v>
      </c>
      <c r="C107" s="772" t="s">
        <v>534</v>
      </c>
      <c r="D107" s="773"/>
      <c r="E107" s="774">
        <v>512</v>
      </c>
      <c r="F107" s="774">
        <v>684</v>
      </c>
      <c r="G107" s="774">
        <v>864</v>
      </c>
      <c r="H107" s="774">
        <v>864</v>
      </c>
      <c r="I107" s="774"/>
      <c r="J107" s="774"/>
      <c r="K107" s="1993"/>
    </row>
    <row r="108" spans="2:11" hidden="1" x14ac:dyDescent="0.25">
      <c r="B108" s="683"/>
      <c r="C108" s="775" t="s">
        <v>535</v>
      </c>
      <c r="D108" s="776">
        <v>1983</v>
      </c>
      <c r="E108" s="774"/>
      <c r="F108" s="774"/>
      <c r="G108" s="774"/>
      <c r="H108" s="774"/>
      <c r="I108" s="777"/>
      <c r="J108" s="777"/>
      <c r="K108" s="1994"/>
    </row>
    <row r="109" spans="2:11" hidden="1" x14ac:dyDescent="0.25">
      <c r="B109" s="683"/>
      <c r="C109" s="772" t="s">
        <v>536</v>
      </c>
      <c r="D109" s="778">
        <v>248</v>
      </c>
      <c r="E109" s="777">
        <v>679</v>
      </c>
      <c r="F109" s="779">
        <f>(689+730)/2</f>
        <v>709.5</v>
      </c>
      <c r="G109" s="780">
        <f>(779+839)/2</f>
        <v>809</v>
      </c>
      <c r="H109" s="780">
        <f>(779+839)/2</f>
        <v>809</v>
      </c>
      <c r="I109" s="781"/>
      <c r="J109" s="781"/>
      <c r="K109" s="1994"/>
    </row>
    <row r="110" spans="2:11" hidden="1" x14ac:dyDescent="0.25">
      <c r="B110" s="683"/>
      <c r="C110" s="782"/>
      <c r="D110" s="783">
        <v>2</v>
      </c>
      <c r="E110" s="781">
        <f>IFERROR(E109/E107,0)</f>
        <v>1.326171875</v>
      </c>
      <c r="F110" s="781">
        <f>IFERROR(F109/F107,0)</f>
        <v>1.0372807017543859</v>
      </c>
      <c r="G110" s="781">
        <f>IFERROR(G109/G107,0)</f>
        <v>0.93634259259259256</v>
      </c>
      <c r="H110" s="781">
        <f>IFERROR(H109/H107,0)</f>
        <v>0.93634259259259256</v>
      </c>
      <c r="I110" s="777"/>
      <c r="J110" s="777"/>
      <c r="K110" s="1994"/>
    </row>
    <row r="111" spans="2:11" hidden="1" x14ac:dyDescent="0.25">
      <c r="B111" s="683"/>
      <c r="C111" s="782"/>
      <c r="D111" s="778"/>
      <c r="E111" s="777">
        <v>650</v>
      </c>
      <c r="F111" s="777">
        <v>675</v>
      </c>
      <c r="G111" s="777">
        <v>799</v>
      </c>
      <c r="H111" s="777">
        <v>799</v>
      </c>
      <c r="I111" s="777"/>
      <c r="J111" s="777"/>
      <c r="K111" s="1994"/>
    </row>
    <row r="112" spans="2:11" hidden="1" x14ac:dyDescent="0.25">
      <c r="B112" s="683"/>
      <c r="C112" s="782"/>
      <c r="D112" s="778"/>
      <c r="E112" s="777">
        <v>69</v>
      </c>
      <c r="F112" s="777">
        <v>69</v>
      </c>
      <c r="G112" s="777">
        <v>69</v>
      </c>
      <c r="H112" s="777">
        <v>69</v>
      </c>
      <c r="I112" s="777"/>
      <c r="J112" s="777"/>
      <c r="K112" s="1995"/>
    </row>
    <row r="113" hidden="1" x14ac:dyDescent="0.25"/>
    <row r="114" hidden="1" x14ac:dyDescent="0.25"/>
  </sheetData>
  <mergeCells count="53">
    <mergeCell ref="B1:K1"/>
    <mergeCell ref="B2:K2"/>
    <mergeCell ref="I9:I10"/>
    <mergeCell ref="B11:B16"/>
    <mergeCell ref="I11:I16"/>
    <mergeCell ref="J11:J16"/>
    <mergeCell ref="K11:K16"/>
    <mergeCell ref="B17:B22"/>
    <mergeCell ref="I17:I22"/>
    <mergeCell ref="J17:J22"/>
    <mergeCell ref="K17:K22"/>
    <mergeCell ref="B23:B28"/>
    <mergeCell ref="I23:I28"/>
    <mergeCell ref="J23:J28"/>
    <mergeCell ref="K23:K28"/>
    <mergeCell ref="B29:B34"/>
    <mergeCell ref="I29:I34"/>
    <mergeCell ref="J29:J34"/>
    <mergeCell ref="K29:K34"/>
    <mergeCell ref="B35:B40"/>
    <mergeCell ref="I35:I40"/>
    <mergeCell ref="J35:J40"/>
    <mergeCell ref="K35:K40"/>
    <mergeCell ref="Q51:U51"/>
    <mergeCell ref="Q39:U39"/>
    <mergeCell ref="Y39:AC39"/>
    <mergeCell ref="AF39:AJ39"/>
    <mergeCell ref="B41:B46"/>
    <mergeCell ref="I41:I46"/>
    <mergeCell ref="J41:J46"/>
    <mergeCell ref="K41:K46"/>
    <mergeCell ref="B53:B58"/>
    <mergeCell ref="I53:I58"/>
    <mergeCell ref="J53:J58"/>
    <mergeCell ref="K53:K58"/>
    <mergeCell ref="B47:B52"/>
    <mergeCell ref="I47:I52"/>
    <mergeCell ref="J47:J52"/>
    <mergeCell ref="K47:K52"/>
    <mergeCell ref="B59:B64"/>
    <mergeCell ref="I59:I64"/>
    <mergeCell ref="J59:J64"/>
    <mergeCell ref="K59:K64"/>
    <mergeCell ref="B71:B76"/>
    <mergeCell ref="I71:I76"/>
    <mergeCell ref="J71:J76"/>
    <mergeCell ref="K71:K76"/>
    <mergeCell ref="K107:K112"/>
    <mergeCell ref="B65:B70"/>
    <mergeCell ref="I65:I70"/>
    <mergeCell ref="J65:J70"/>
    <mergeCell ref="K65:K70"/>
    <mergeCell ref="E77:G77"/>
  </mergeCells>
  <conditionalFormatting sqref="B1:B3">
    <cfRule type="expression" dxfId="1" priority="1">
      <formula>_xludf.isformula()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2932-08AB-4F84-AFCD-FA570106E349}">
  <dimension ref="A1:U57"/>
  <sheetViews>
    <sheetView showGridLines="0" zoomScale="115" zoomScaleNormal="115" workbookViewId="0">
      <selection activeCell="R17" sqref="R17"/>
    </sheetView>
  </sheetViews>
  <sheetFormatPr defaultColWidth="9.140625" defaultRowHeight="15" x14ac:dyDescent="0.25"/>
  <cols>
    <col min="1" max="1" width="4.5703125" customWidth="1"/>
    <col min="2" max="2" width="3.85546875" customWidth="1"/>
    <col min="3" max="3" width="35.7109375" hidden="1" customWidth="1"/>
    <col min="4" max="4" width="28" customWidth="1"/>
    <col min="5" max="5" width="18.140625" bestFit="1" customWidth="1"/>
    <col min="6" max="6" width="24" customWidth="1"/>
    <col min="7" max="7" width="20.140625" hidden="1" customWidth="1"/>
    <col min="8" max="8" width="17.5703125" customWidth="1"/>
    <col min="9" max="9" width="19.5703125" hidden="1" customWidth="1"/>
    <col min="10" max="10" width="11.140625" hidden="1" customWidth="1"/>
    <col min="11" max="11" width="28.5703125" style="845" hidden="1" customWidth="1"/>
    <col min="12" max="12" width="57.140625" hidden="1" customWidth="1"/>
    <col min="18" max="18" width="24.140625" bestFit="1" customWidth="1"/>
    <col min="19" max="19" width="13.28515625" bestFit="1" customWidth="1"/>
    <col min="20" max="20" width="10.28515625" bestFit="1" customWidth="1"/>
  </cols>
  <sheetData>
    <row r="1" spans="1:21" ht="20.25" x14ac:dyDescent="0.3">
      <c r="C1" s="1902" t="str">
        <f>IF(NAME="","Insert Project Name on Prelim Page",NAME)</f>
        <v>Town Center</v>
      </c>
      <c r="D1" s="1902"/>
      <c r="E1" s="1902"/>
      <c r="F1" s="1902"/>
      <c r="G1" s="1902"/>
      <c r="H1" s="1902"/>
      <c r="I1" s="1902"/>
      <c r="J1" s="1902"/>
      <c r="K1" s="1902"/>
      <c r="L1" s="1902"/>
    </row>
    <row r="2" spans="1:21" x14ac:dyDescent="0.25">
      <c r="C2" s="1903" t="str">
        <f>CITY</f>
        <v>Santa Maria, CA 93454</v>
      </c>
      <c r="D2" s="1903"/>
      <c r="E2" s="1903"/>
      <c r="F2" s="1903"/>
      <c r="G2" s="1903"/>
      <c r="H2" s="1903"/>
      <c r="I2" s="1903"/>
      <c r="J2" s="1903"/>
      <c r="K2" s="1903"/>
      <c r="L2" s="1903"/>
    </row>
    <row r="3" spans="1:21" ht="18" x14ac:dyDescent="0.25">
      <c r="C3" s="1659" t="s">
        <v>472</v>
      </c>
      <c r="D3" s="1808" t="s">
        <v>699</v>
      </c>
      <c r="E3" s="1659"/>
      <c r="F3" s="1659"/>
      <c r="G3" s="1659"/>
      <c r="H3" s="1659"/>
      <c r="I3" s="1659"/>
      <c r="J3" s="1659"/>
      <c r="K3" s="1660"/>
      <c r="L3" s="1661">
        <f ca="1">TRUNC(NOW())</f>
        <v>46271</v>
      </c>
    </row>
    <row r="4" spans="1:21" ht="18.75" thickBot="1" x14ac:dyDescent="0.3">
      <c r="C4" s="1656"/>
      <c r="D4" s="1656"/>
      <c r="E4" s="1656"/>
      <c r="F4" s="1656"/>
      <c r="G4" s="1656"/>
      <c r="H4" s="1656"/>
      <c r="I4" s="1656"/>
      <c r="J4" s="1656"/>
      <c r="K4" s="1657"/>
      <c r="L4" s="1658"/>
    </row>
    <row r="5" spans="1:21" x14ac:dyDescent="0.25">
      <c r="C5" s="1904" t="s">
        <v>473</v>
      </c>
      <c r="D5" s="1827" t="s">
        <v>462</v>
      </c>
      <c r="E5" s="1828" t="s">
        <v>474</v>
      </c>
      <c r="F5" s="1829" t="s">
        <v>475</v>
      </c>
      <c r="G5" s="1829" t="s">
        <v>0</v>
      </c>
      <c r="H5" s="1830" t="s">
        <v>476</v>
      </c>
      <c r="I5" s="1815" t="s">
        <v>477</v>
      </c>
      <c r="J5" s="851"/>
      <c r="K5" s="850" t="s">
        <v>478</v>
      </c>
      <c r="L5" s="1907" t="s">
        <v>479</v>
      </c>
      <c r="M5" s="676"/>
    </row>
    <row r="6" spans="1:21" x14ac:dyDescent="0.25">
      <c r="C6" s="1905"/>
      <c r="D6" s="1831" t="s">
        <v>480</v>
      </c>
      <c r="E6" s="852" t="s">
        <v>484</v>
      </c>
      <c r="F6" s="852" t="s">
        <v>481</v>
      </c>
      <c r="G6" s="852" t="s">
        <v>70</v>
      </c>
      <c r="H6" s="1832" t="s">
        <v>482</v>
      </c>
      <c r="I6" s="1816" t="s">
        <v>140</v>
      </c>
      <c r="J6" s="853"/>
      <c r="K6" s="852" t="s">
        <v>483</v>
      </c>
      <c r="L6" s="1908"/>
      <c r="M6" s="676"/>
    </row>
    <row r="7" spans="1:21" x14ac:dyDescent="0.25">
      <c r="C7" s="1905"/>
      <c r="D7" s="1831" t="s">
        <v>480</v>
      </c>
      <c r="E7" s="852" t="s">
        <v>43</v>
      </c>
      <c r="F7" s="852" t="s">
        <v>466</v>
      </c>
      <c r="G7" s="852" t="s">
        <v>485</v>
      </c>
      <c r="H7" s="1832" t="s">
        <v>486</v>
      </c>
      <c r="I7" s="1816" t="s">
        <v>487</v>
      </c>
      <c r="J7" s="852" t="s">
        <v>488</v>
      </c>
      <c r="K7" s="854"/>
      <c r="L7" s="1908"/>
      <c r="M7" s="676"/>
    </row>
    <row r="8" spans="1:21" ht="15.75" thickBot="1" x14ac:dyDescent="0.3">
      <c r="C8" s="1906"/>
      <c r="D8" s="1831" t="s">
        <v>288</v>
      </c>
      <c r="E8" s="852" t="s">
        <v>703</v>
      </c>
      <c r="F8" s="856" t="s">
        <v>467</v>
      </c>
      <c r="G8" s="856" t="s">
        <v>489</v>
      </c>
      <c r="H8" s="1833" t="s">
        <v>490</v>
      </c>
      <c r="I8" s="1817" t="s">
        <v>491</v>
      </c>
      <c r="J8" s="856" t="s">
        <v>492</v>
      </c>
      <c r="K8" s="855"/>
      <c r="L8" s="1909"/>
      <c r="M8" s="676"/>
    </row>
    <row r="9" spans="1:21" s="678" customFormat="1" ht="15.75" customHeight="1" x14ac:dyDescent="0.25">
      <c r="A9" s="675"/>
      <c r="B9" s="675"/>
      <c r="C9" s="1809" t="s">
        <v>493</v>
      </c>
      <c r="D9" s="1834" t="str">
        <f>NAME</f>
        <v>Town Center</v>
      </c>
      <c r="E9" s="857" t="s">
        <v>470</v>
      </c>
      <c r="F9" s="858"/>
      <c r="G9" s="859">
        <f>NRSF</f>
        <v>51887.79</v>
      </c>
      <c r="H9" s="1835">
        <f>VALUE</f>
        <v>29518013.591298707</v>
      </c>
      <c r="I9" s="1818">
        <v>0</v>
      </c>
      <c r="J9" s="860"/>
      <c r="K9" s="859" t="s">
        <v>460</v>
      </c>
      <c r="L9" s="1910" t="s">
        <v>537</v>
      </c>
      <c r="M9" s="677"/>
      <c r="R9"/>
      <c r="S9"/>
      <c r="T9"/>
      <c r="U9"/>
    </row>
    <row r="10" spans="1:21" s="678" customFormat="1" ht="14.65" customHeight="1" x14ac:dyDescent="0.25">
      <c r="A10" s="675"/>
      <c r="B10" s="675"/>
      <c r="C10" s="1810"/>
      <c r="D10" s="1836" t="str">
        <f>STREET</f>
        <v>300 Town Center E</v>
      </c>
      <c r="E10" s="861"/>
      <c r="F10" s="862">
        <v>2028</v>
      </c>
      <c r="G10" s="863">
        <f>IFERROR(F11/G12,0)</f>
        <v>146.42857142857142</v>
      </c>
      <c r="H10" s="1837">
        <f>IFERROR(H9/F11,0)</f>
        <v>359975.77550364274</v>
      </c>
      <c r="I10" s="1819">
        <v>0</v>
      </c>
      <c r="J10" s="864"/>
      <c r="K10" s="865" t="s">
        <v>460</v>
      </c>
      <c r="L10" s="1911"/>
      <c r="M10" s="677"/>
      <c r="Q10" s="838"/>
      <c r="R10"/>
      <c r="S10" s="839"/>
      <c r="T10" s="840"/>
      <c r="U10" s="841"/>
    </row>
    <row r="11" spans="1:21" s="678" customFormat="1" ht="18" customHeight="1" x14ac:dyDescent="0.25">
      <c r="A11" s="675"/>
      <c r="B11" s="675"/>
      <c r="C11" s="1810"/>
      <c r="D11" s="1836" t="str">
        <f>CITY</f>
        <v>Santa Maria, CA 93454</v>
      </c>
      <c r="E11" s="861"/>
      <c r="F11" s="866">
        <f>UNITS</f>
        <v>82</v>
      </c>
      <c r="G11" s="867"/>
      <c r="H11" s="1838">
        <f>IFERROR(H9/G9,0)</f>
        <v>568.88168856871152</v>
      </c>
      <c r="I11" s="1819">
        <v>0</v>
      </c>
      <c r="J11" s="864"/>
      <c r="K11" s="868"/>
      <c r="L11" s="1911"/>
      <c r="M11" s="677"/>
      <c r="Q11" s="838"/>
      <c r="R11"/>
      <c r="S11"/>
      <c r="T11"/>
      <c r="U11"/>
    </row>
    <row r="12" spans="1:21" s="678" customFormat="1" ht="15.75" thickBot="1" x14ac:dyDescent="0.3">
      <c r="A12" s="675"/>
      <c r="B12" s="675"/>
      <c r="C12" s="1811"/>
      <c r="D12" s="1839"/>
      <c r="E12" s="869"/>
      <c r="F12" s="870">
        <f>Summary!F10</f>
        <v>3</v>
      </c>
      <c r="G12" s="871">
        <f>Summary!F13</f>
        <v>0.56000000000000005</v>
      </c>
      <c r="H12" s="1840">
        <f>CAP</f>
        <v>5.5E-2</v>
      </c>
      <c r="I12" s="1820">
        <v>0</v>
      </c>
      <c r="J12" s="872"/>
      <c r="K12" s="873"/>
      <c r="L12" s="1912"/>
      <c r="M12" s="677"/>
      <c r="Q12" s="838"/>
      <c r="R12"/>
      <c r="S12"/>
      <c r="T12"/>
      <c r="U12"/>
    </row>
    <row r="13" spans="1:21" x14ac:dyDescent="0.25">
      <c r="C13" s="1812">
        <v>-1</v>
      </c>
      <c r="D13" s="1850" t="s">
        <v>700</v>
      </c>
      <c r="E13" s="1852" t="s">
        <v>702</v>
      </c>
      <c r="F13" s="876">
        <v>0.97399999999999998</v>
      </c>
      <c r="G13" s="877"/>
      <c r="H13" s="1841">
        <v>75000000</v>
      </c>
      <c r="I13" s="1821"/>
      <c r="J13" s="878"/>
      <c r="K13" s="877"/>
      <c r="L13" s="1913"/>
      <c r="Q13" s="838"/>
    </row>
    <row r="14" spans="1:21" x14ac:dyDescent="0.25">
      <c r="C14" s="1813"/>
      <c r="D14" s="1851" t="s">
        <v>701</v>
      </c>
      <c r="E14" s="1853" t="s">
        <v>672</v>
      </c>
      <c r="F14" s="880">
        <v>2016</v>
      </c>
      <c r="G14" s="881">
        <f>IFERROR(F15/G16,0)</f>
        <v>0</v>
      </c>
      <c r="H14" s="1842">
        <f>IFERROR(H13/F15,0)</f>
        <v>275735.29411764705</v>
      </c>
      <c r="I14" s="1822"/>
      <c r="J14" s="882"/>
      <c r="K14" s="883"/>
      <c r="L14" s="1914"/>
      <c r="Q14" s="838"/>
      <c r="S14" s="839"/>
      <c r="T14" s="840"/>
      <c r="U14" s="841"/>
    </row>
    <row r="15" spans="1:21" x14ac:dyDescent="0.25">
      <c r="C15" s="1813"/>
      <c r="D15" s="1851" t="s">
        <v>538</v>
      </c>
      <c r="E15" s="885">
        <v>46065</v>
      </c>
      <c r="F15" s="884">
        <v>272</v>
      </c>
      <c r="G15" s="885"/>
      <c r="H15" s="1843">
        <f>IFERROR(H13/D16,0)</f>
        <v>351.25515174222556</v>
      </c>
      <c r="I15" s="1822"/>
      <c r="J15" s="882"/>
      <c r="K15" s="886"/>
      <c r="L15" s="1914"/>
      <c r="Q15" s="838"/>
      <c r="S15" s="839"/>
      <c r="T15" s="840"/>
      <c r="U15" s="841"/>
    </row>
    <row r="16" spans="1:21" x14ac:dyDescent="0.25">
      <c r="C16" s="1814"/>
      <c r="D16" s="1855">
        <v>213520</v>
      </c>
      <c r="E16" s="1854" t="s">
        <v>704</v>
      </c>
      <c r="F16" s="887">
        <v>3</v>
      </c>
      <c r="G16" s="888"/>
      <c r="H16" s="1845">
        <v>5.3999999999999999E-2</v>
      </c>
      <c r="I16" s="1823"/>
      <c r="J16" s="889"/>
      <c r="K16" s="894"/>
      <c r="L16" s="1915"/>
      <c r="Q16" s="838"/>
    </row>
    <row r="17" spans="3:21" x14ac:dyDescent="0.25">
      <c r="C17" s="1812">
        <v>-2</v>
      </c>
      <c r="D17" s="1850" t="s">
        <v>705</v>
      </c>
      <c r="E17" s="1856" t="s">
        <v>688</v>
      </c>
      <c r="F17" s="876">
        <v>0.91300000000000003</v>
      </c>
      <c r="G17" s="877"/>
      <c r="H17" s="1841">
        <v>116000000</v>
      </c>
      <c r="I17" s="1824"/>
      <c r="J17" s="890"/>
      <c r="K17" s="893"/>
      <c r="L17" s="842"/>
      <c r="Q17" s="838"/>
    </row>
    <row r="18" spans="3:21" x14ac:dyDescent="0.25">
      <c r="C18" s="1898"/>
      <c r="D18" s="1851" t="s">
        <v>706</v>
      </c>
      <c r="E18" s="1853" t="s">
        <v>672</v>
      </c>
      <c r="F18" s="1853" t="s">
        <v>708</v>
      </c>
      <c r="G18" s="881">
        <f>IFERROR(F19/G20,0)</f>
        <v>0</v>
      </c>
      <c r="H18" s="1842">
        <f>IFERROR(H17/F19,0)</f>
        <v>252173.91304347827</v>
      </c>
      <c r="I18" s="1824"/>
      <c r="J18" s="890"/>
      <c r="K18" s="883"/>
      <c r="L18" s="842"/>
      <c r="Q18" s="838"/>
    </row>
    <row r="19" spans="3:21" x14ac:dyDescent="0.25">
      <c r="C19" s="1899"/>
      <c r="D19" s="1851" t="s">
        <v>670</v>
      </c>
      <c r="E19" s="1853" t="s">
        <v>707</v>
      </c>
      <c r="F19" s="884">
        <v>460</v>
      </c>
      <c r="G19" s="885"/>
      <c r="H19" s="1843">
        <f>IFERROR(H17/D20,0)</f>
        <v>355.30507228620434</v>
      </c>
      <c r="I19" s="1824"/>
      <c r="J19" s="890"/>
      <c r="K19" s="891"/>
      <c r="L19" s="842"/>
      <c r="Q19" s="838"/>
    </row>
    <row r="20" spans="3:21" ht="32.25" customHeight="1" x14ac:dyDescent="0.25">
      <c r="C20" s="1900"/>
      <c r="D20" s="1855">
        <v>326480</v>
      </c>
      <c r="E20" s="1854" t="s">
        <v>105</v>
      </c>
      <c r="F20" s="887">
        <v>2</v>
      </c>
      <c r="G20" s="898"/>
      <c r="H20" s="1845"/>
      <c r="I20" s="1825"/>
      <c r="J20" s="899"/>
      <c r="K20" s="894"/>
      <c r="L20" s="900"/>
      <c r="Q20" s="838"/>
    </row>
    <row r="21" spans="3:21" x14ac:dyDescent="0.25">
      <c r="C21" s="1812">
        <v>-3</v>
      </c>
      <c r="D21" s="1850" t="s">
        <v>709</v>
      </c>
      <c r="E21" s="1856" t="s">
        <v>712</v>
      </c>
      <c r="F21" s="1857" t="s">
        <v>713</v>
      </c>
      <c r="G21" s="877"/>
      <c r="H21" s="1841">
        <v>44000000</v>
      </c>
      <c r="I21" s="1824"/>
      <c r="J21" s="890"/>
      <c r="K21" s="893"/>
      <c r="L21" s="842"/>
      <c r="Q21" s="838"/>
    </row>
    <row r="22" spans="3:21" x14ac:dyDescent="0.25">
      <c r="C22" s="1898"/>
      <c r="D22" s="1851" t="s">
        <v>710</v>
      </c>
      <c r="E22" s="1853" t="s">
        <v>672</v>
      </c>
      <c r="F22" s="880">
        <v>2023</v>
      </c>
      <c r="G22" s="881" t="s">
        <v>471</v>
      </c>
      <c r="H22" s="1842">
        <f>IFERROR(H21/F23,0)</f>
        <v>366666.66666666669</v>
      </c>
      <c r="I22" s="1824"/>
      <c r="J22" s="890"/>
      <c r="K22" s="883"/>
      <c r="L22" s="842"/>
      <c r="Q22" s="838"/>
      <c r="S22" s="839"/>
      <c r="T22" s="840"/>
      <c r="U22" s="841"/>
    </row>
    <row r="23" spans="3:21" x14ac:dyDescent="0.25">
      <c r="C23" s="1899"/>
      <c r="D23" s="1851" t="s">
        <v>711</v>
      </c>
      <c r="E23" s="885">
        <v>45569</v>
      </c>
      <c r="F23" s="884">
        <v>120</v>
      </c>
      <c r="G23" s="885"/>
      <c r="H23" s="1843">
        <f>IFERROR(H21/D24,0)</f>
        <v>403.92171262806153</v>
      </c>
      <c r="I23" s="1824"/>
      <c r="J23" s="890"/>
      <c r="K23" s="891"/>
      <c r="L23" s="842"/>
      <c r="Q23" s="838"/>
    </row>
    <row r="24" spans="3:21" ht="15.75" thickBot="1" x14ac:dyDescent="0.3">
      <c r="C24" s="1900"/>
      <c r="D24" s="1855">
        <v>108932</v>
      </c>
      <c r="E24" s="1854" t="s">
        <v>105</v>
      </c>
      <c r="F24" s="897">
        <v>3</v>
      </c>
      <c r="G24" s="898"/>
      <c r="H24" s="1845"/>
      <c r="I24" s="1825"/>
      <c r="J24" s="899"/>
      <c r="K24" s="894"/>
      <c r="L24" s="900"/>
      <c r="Q24" s="838"/>
    </row>
    <row r="25" spans="3:21" hidden="1" x14ac:dyDescent="0.25">
      <c r="C25" s="1812">
        <v>-4</v>
      </c>
      <c r="D25" s="1850"/>
      <c r="E25" s="895"/>
      <c r="F25" s="876"/>
      <c r="G25" s="877"/>
      <c r="H25" s="1841"/>
      <c r="I25" s="1824"/>
      <c r="J25" s="890"/>
      <c r="K25" s="893"/>
      <c r="L25" s="842"/>
      <c r="M25" s="843"/>
      <c r="Q25" s="838"/>
    </row>
    <row r="26" spans="3:21" hidden="1" x14ac:dyDescent="0.25">
      <c r="C26" s="1898"/>
      <c r="D26" s="1851"/>
      <c r="E26" s="879"/>
      <c r="F26" s="880"/>
      <c r="G26" s="881">
        <f>IFERROR(F27/G28,0)</f>
        <v>0</v>
      </c>
      <c r="H26" s="1842">
        <f>IFERROR(H25/F27,0)</f>
        <v>0</v>
      </c>
      <c r="I26" s="1824"/>
      <c r="J26" s="890"/>
      <c r="K26" s="883"/>
      <c r="L26" s="842"/>
      <c r="Q26" s="838"/>
      <c r="S26" s="839"/>
      <c r="T26" s="840"/>
      <c r="U26" s="841"/>
    </row>
    <row r="27" spans="3:21" hidden="1" x14ac:dyDescent="0.25">
      <c r="C27" s="1899"/>
      <c r="D27" s="1851"/>
      <c r="E27" s="879"/>
      <c r="F27" s="884"/>
      <c r="G27" s="885"/>
      <c r="H27" s="1843">
        <f>IFERROR(H25/D28,0)</f>
        <v>0</v>
      </c>
      <c r="I27" s="1824"/>
      <c r="J27" s="890"/>
      <c r="K27" s="891"/>
      <c r="L27" s="842"/>
      <c r="Q27" s="838"/>
    </row>
    <row r="28" spans="3:21" hidden="1" x14ac:dyDescent="0.25">
      <c r="C28" s="1900"/>
      <c r="D28" s="1855"/>
      <c r="E28" s="896"/>
      <c r="F28" s="897"/>
      <c r="G28" s="898"/>
      <c r="H28" s="1845">
        <v>5.3999999999999999E-2</v>
      </c>
      <c r="I28" s="1825"/>
      <c r="J28" s="899"/>
      <c r="K28" s="894"/>
      <c r="L28" s="900"/>
      <c r="Q28" s="838"/>
    </row>
    <row r="29" spans="3:21" hidden="1" x14ac:dyDescent="0.25">
      <c r="C29" s="1812">
        <v>-5</v>
      </c>
      <c r="D29" s="1850"/>
      <c r="E29" s="895"/>
      <c r="F29" s="876"/>
      <c r="G29" s="877"/>
      <c r="H29" s="1841">
        <v>75000000</v>
      </c>
      <c r="I29" s="1824"/>
      <c r="J29" s="890"/>
      <c r="K29" s="893"/>
      <c r="L29" s="842"/>
      <c r="Q29" s="838"/>
    </row>
    <row r="30" spans="3:21" hidden="1" x14ac:dyDescent="0.25">
      <c r="C30" s="1898"/>
      <c r="D30" s="1851"/>
      <c r="E30" s="879"/>
      <c r="F30" s="880"/>
      <c r="G30" s="881">
        <f>IFERROR(F31/G32,0)</f>
        <v>0</v>
      </c>
      <c r="H30" s="1842">
        <f>IFERROR(H29/F31,0)</f>
        <v>0</v>
      </c>
      <c r="I30" s="1824"/>
      <c r="J30" s="890"/>
      <c r="K30" s="883"/>
      <c r="L30" s="842"/>
      <c r="Q30" s="838"/>
      <c r="S30" s="839"/>
      <c r="T30" s="840"/>
      <c r="U30" s="841"/>
    </row>
    <row r="31" spans="3:21" hidden="1" x14ac:dyDescent="0.25">
      <c r="C31" s="1899"/>
      <c r="D31" s="1851"/>
      <c r="E31" s="879"/>
      <c r="F31" s="884"/>
      <c r="G31" s="885"/>
      <c r="H31" s="1843">
        <f>IFERROR(H29/D32,0)</f>
        <v>0</v>
      </c>
      <c r="I31" s="1824"/>
      <c r="J31" s="890"/>
      <c r="K31" s="891"/>
      <c r="L31" s="842"/>
      <c r="Q31" s="838"/>
    </row>
    <row r="32" spans="3:21" hidden="1" x14ac:dyDescent="0.25">
      <c r="C32" s="1900"/>
      <c r="D32" s="1855"/>
      <c r="E32" s="896"/>
      <c r="F32" s="897"/>
      <c r="G32" s="898"/>
      <c r="H32" s="1845">
        <v>5.3999999999999999E-2</v>
      </c>
      <c r="I32" s="1825"/>
      <c r="J32" s="899"/>
      <c r="K32" s="894"/>
      <c r="L32" s="900"/>
      <c r="Q32" s="838"/>
    </row>
    <row r="33" spans="3:21" hidden="1" x14ac:dyDescent="0.25">
      <c r="C33" s="1812">
        <v>-6</v>
      </c>
      <c r="D33" s="1850"/>
      <c r="E33" s="895"/>
      <c r="F33" s="876"/>
      <c r="G33" s="877"/>
      <c r="H33" s="1841"/>
      <c r="I33" s="1824"/>
      <c r="J33" s="890"/>
      <c r="K33" s="893"/>
      <c r="L33" s="842"/>
      <c r="Q33" s="838"/>
    </row>
    <row r="34" spans="3:21" hidden="1" x14ac:dyDescent="0.25">
      <c r="C34" s="1898"/>
      <c r="D34" s="1851"/>
      <c r="E34" s="879"/>
      <c r="F34" s="880"/>
      <c r="G34" s="881">
        <f>IFERROR(F35/G36,0)</f>
        <v>0</v>
      </c>
      <c r="H34" s="1842">
        <f>H33</f>
        <v>0</v>
      </c>
      <c r="I34" s="1824"/>
      <c r="J34" s="890"/>
      <c r="K34" s="883"/>
      <c r="L34" s="842"/>
      <c r="Q34" s="838"/>
      <c r="S34" s="839"/>
      <c r="T34" s="840"/>
      <c r="U34" s="841"/>
    </row>
    <row r="35" spans="3:21" hidden="1" x14ac:dyDescent="0.25">
      <c r="C35" s="1899"/>
      <c r="D35" s="1848"/>
      <c r="E35" s="879"/>
      <c r="F35" s="884"/>
      <c r="G35" s="885"/>
      <c r="H35" s="1843">
        <f>IFERROR(H33/G33,0)</f>
        <v>0</v>
      </c>
      <c r="I35" s="1824"/>
      <c r="J35" s="890"/>
      <c r="K35" s="891"/>
      <c r="L35" s="842"/>
      <c r="Q35" s="838"/>
    </row>
    <row r="36" spans="3:21" hidden="1" x14ac:dyDescent="0.25">
      <c r="C36" s="1900"/>
      <c r="D36" s="1844"/>
      <c r="E36" s="896"/>
      <c r="F36" s="897"/>
      <c r="G36" s="898"/>
      <c r="H36" s="1849"/>
      <c r="I36" s="1825"/>
      <c r="J36" s="899"/>
      <c r="K36" s="894"/>
      <c r="L36" s="900"/>
      <c r="Q36" s="838"/>
    </row>
    <row r="37" spans="3:21" hidden="1" x14ac:dyDescent="0.25">
      <c r="C37" s="1812">
        <v>-7</v>
      </c>
      <c r="D37" s="1846"/>
      <c r="E37" s="895"/>
      <c r="F37" s="876"/>
      <c r="G37" s="877"/>
      <c r="H37" s="1841"/>
      <c r="I37" s="1824"/>
      <c r="J37" s="890"/>
      <c r="K37" s="893"/>
      <c r="L37" s="842"/>
      <c r="Q37" s="838"/>
    </row>
    <row r="38" spans="3:21" hidden="1" x14ac:dyDescent="0.25">
      <c r="C38" s="1898"/>
      <c r="D38" s="1847"/>
      <c r="E38" s="879"/>
      <c r="F38" s="880"/>
      <c r="G38" s="881">
        <f>IFERROR(F39/G40,0)</f>
        <v>0</v>
      </c>
      <c r="H38" s="1842">
        <f>H37</f>
        <v>0</v>
      </c>
      <c r="I38" s="1824"/>
      <c r="J38" s="890"/>
      <c r="K38" s="883"/>
      <c r="L38" s="842"/>
      <c r="Q38" s="838"/>
      <c r="S38" s="839"/>
      <c r="T38" s="840"/>
      <c r="U38" s="841"/>
    </row>
    <row r="39" spans="3:21" hidden="1" x14ac:dyDescent="0.25">
      <c r="C39" s="1899"/>
      <c r="D39" s="1848"/>
      <c r="E39" s="879"/>
      <c r="F39" s="884"/>
      <c r="G39" s="885"/>
      <c r="H39" s="1843">
        <f>IFERROR(H37/G37,0)</f>
        <v>0</v>
      </c>
      <c r="I39" s="1824"/>
      <c r="J39" s="890"/>
      <c r="K39" s="891"/>
      <c r="L39" s="842"/>
      <c r="Q39" s="838"/>
    </row>
    <row r="40" spans="3:21" hidden="1" x14ac:dyDescent="0.25">
      <c r="C40" s="1900"/>
      <c r="D40" s="1844"/>
      <c r="E40" s="896"/>
      <c r="F40" s="897"/>
      <c r="G40" s="898"/>
      <c r="H40" s="1849"/>
      <c r="I40" s="1825"/>
      <c r="J40" s="899"/>
      <c r="K40" s="894"/>
      <c r="L40" s="900"/>
      <c r="Q40" s="838"/>
    </row>
    <row r="41" spans="3:21" hidden="1" x14ac:dyDescent="0.25">
      <c r="C41" s="1812">
        <v>-8</v>
      </c>
      <c r="D41" s="1846"/>
      <c r="E41" s="895"/>
      <c r="F41" s="876"/>
      <c r="G41" s="877"/>
      <c r="H41" s="1841"/>
      <c r="I41" s="1824"/>
      <c r="J41" s="890"/>
      <c r="K41" s="893"/>
      <c r="L41" s="842"/>
      <c r="Q41" s="838"/>
    </row>
    <row r="42" spans="3:21" hidden="1" x14ac:dyDescent="0.25">
      <c r="C42" s="1898"/>
      <c r="D42" s="1847"/>
      <c r="E42" s="879"/>
      <c r="F42" s="880"/>
      <c r="G42" s="881">
        <f>IFERROR(F43/G44,0)</f>
        <v>0</v>
      </c>
      <c r="H42" s="1842">
        <f>H41</f>
        <v>0</v>
      </c>
      <c r="I42" s="1824"/>
      <c r="J42" s="890"/>
      <c r="K42" s="883"/>
      <c r="L42" s="842"/>
      <c r="Q42" s="838"/>
      <c r="S42" s="839"/>
      <c r="T42" s="840"/>
      <c r="U42" s="841"/>
    </row>
    <row r="43" spans="3:21" hidden="1" x14ac:dyDescent="0.25">
      <c r="C43" s="1899"/>
      <c r="D43" s="1848"/>
      <c r="E43" s="879"/>
      <c r="F43" s="884"/>
      <c r="G43" s="885"/>
      <c r="H43" s="1843">
        <f>IFERROR(H41/G41,0)</f>
        <v>0</v>
      </c>
      <c r="I43" s="1824"/>
      <c r="J43" s="890"/>
      <c r="K43" s="891"/>
      <c r="L43" s="842"/>
      <c r="Q43" s="838"/>
    </row>
    <row r="44" spans="3:21" hidden="1" x14ac:dyDescent="0.25">
      <c r="C44" s="1900"/>
      <c r="D44" s="1844"/>
      <c r="E44" s="896"/>
      <c r="F44" s="897"/>
      <c r="G44" s="898"/>
      <c r="H44" s="1849"/>
      <c r="I44" s="1825"/>
      <c r="J44" s="899"/>
      <c r="K44" s="894"/>
      <c r="L44" s="900"/>
      <c r="Q44" s="838"/>
    </row>
    <row r="45" spans="3:21" hidden="1" x14ac:dyDescent="0.25">
      <c r="C45" s="1812">
        <v>-9</v>
      </c>
      <c r="D45" s="1846"/>
      <c r="E45" s="895"/>
      <c r="F45" s="876"/>
      <c r="G45" s="877"/>
      <c r="H45" s="1841"/>
      <c r="I45" s="1824"/>
      <c r="J45" s="890"/>
      <c r="K45" s="893"/>
      <c r="L45" s="842"/>
      <c r="Q45" s="838"/>
    </row>
    <row r="46" spans="3:21" hidden="1" x14ac:dyDescent="0.25">
      <c r="C46" s="1898"/>
      <c r="D46" s="1847"/>
      <c r="E46" s="879"/>
      <c r="F46" s="880"/>
      <c r="G46" s="881">
        <f>IFERROR(F47/G48,0)</f>
        <v>0</v>
      </c>
      <c r="H46" s="1842">
        <f>H45</f>
        <v>0</v>
      </c>
      <c r="I46" s="1824"/>
      <c r="J46" s="890"/>
      <c r="K46" s="883"/>
      <c r="L46" s="842"/>
      <c r="Q46" s="838"/>
      <c r="S46" s="839"/>
      <c r="T46" s="840"/>
      <c r="U46" s="841"/>
    </row>
    <row r="47" spans="3:21" hidden="1" x14ac:dyDescent="0.25">
      <c r="C47" s="1899"/>
      <c r="D47" s="1848"/>
      <c r="E47" s="879"/>
      <c r="F47" s="884"/>
      <c r="G47" s="885"/>
      <c r="H47" s="1843">
        <f>IFERROR(H45/G45,0)</f>
        <v>0</v>
      </c>
      <c r="I47" s="1824"/>
      <c r="J47" s="890"/>
      <c r="K47" s="891"/>
      <c r="L47" s="842"/>
      <c r="Q47" s="838"/>
    </row>
    <row r="48" spans="3:21" hidden="1" x14ac:dyDescent="0.25">
      <c r="C48" s="1900"/>
      <c r="D48" s="1844"/>
      <c r="E48" s="896"/>
      <c r="F48" s="897"/>
      <c r="G48" s="898"/>
      <c r="H48" s="1849"/>
      <c r="I48" s="1825"/>
      <c r="J48" s="899"/>
      <c r="K48" s="894"/>
      <c r="L48" s="900"/>
      <c r="Q48" s="838"/>
    </row>
    <row r="49" spans="3:21" hidden="1" x14ac:dyDescent="0.25">
      <c r="C49" s="1812">
        <v>-10</v>
      </c>
      <c r="D49" s="1846"/>
      <c r="E49" s="895"/>
      <c r="F49" s="876"/>
      <c r="G49" s="877"/>
      <c r="H49" s="1841"/>
      <c r="I49" s="1824"/>
      <c r="J49" s="890"/>
      <c r="K49" s="893"/>
      <c r="L49" s="842"/>
      <c r="Q49" s="838"/>
    </row>
    <row r="50" spans="3:21" hidden="1" x14ac:dyDescent="0.25">
      <c r="C50" s="1898"/>
      <c r="D50" s="1847"/>
      <c r="E50" s="879"/>
      <c r="F50" s="880"/>
      <c r="G50" s="881">
        <f>IFERROR(F51/G52,0)</f>
        <v>0</v>
      </c>
      <c r="H50" s="1842">
        <f>H49</f>
        <v>0</v>
      </c>
      <c r="I50" s="1824"/>
      <c r="J50" s="890"/>
      <c r="K50" s="883"/>
      <c r="L50" s="842"/>
      <c r="Q50" s="838"/>
      <c r="S50" s="839"/>
      <c r="T50" s="840"/>
      <c r="U50" s="841"/>
    </row>
    <row r="51" spans="3:21" hidden="1" x14ac:dyDescent="0.25">
      <c r="C51" s="1899"/>
      <c r="D51" s="1848"/>
      <c r="E51" s="879"/>
      <c r="F51" s="884"/>
      <c r="G51" s="885"/>
      <c r="H51" s="1843">
        <f>IFERROR(H49/G49,0)</f>
        <v>0</v>
      </c>
      <c r="I51" s="1824"/>
      <c r="J51" s="890"/>
      <c r="K51" s="891"/>
      <c r="L51" s="842"/>
      <c r="Q51" s="838"/>
    </row>
    <row r="52" spans="3:21" ht="15.75" hidden="1" thickBot="1" x14ac:dyDescent="0.3">
      <c r="C52" s="1901"/>
      <c r="D52" s="1844"/>
      <c r="E52" s="1858"/>
      <c r="F52" s="1859"/>
      <c r="G52" s="1860"/>
      <c r="H52" s="1861"/>
      <c r="I52" s="1826"/>
      <c r="J52" s="901"/>
      <c r="K52" s="892"/>
      <c r="L52" s="902"/>
      <c r="Q52" s="838"/>
    </row>
    <row r="53" spans="3:21" x14ac:dyDescent="0.25">
      <c r="C53" s="553"/>
      <c r="D53" s="553"/>
      <c r="E53" s="1862" t="s">
        <v>494</v>
      </c>
      <c r="F53" s="1865">
        <f>F27+F47+F31+F39+F23+F51+F43+F35+F19+F15</f>
        <v>852</v>
      </c>
      <c r="G53" s="698" t="s">
        <v>495</v>
      </c>
      <c r="H53" s="1866">
        <f>H13+H17+H21</f>
        <v>235000000</v>
      </c>
      <c r="I53" s="874" t="s">
        <v>249</v>
      </c>
      <c r="J53" s="874"/>
      <c r="K53" s="875"/>
      <c r="L53" s="553"/>
    </row>
    <row r="54" spans="3:21" x14ac:dyDescent="0.25">
      <c r="E54" s="692" t="s">
        <v>496</v>
      </c>
      <c r="F54" s="1867">
        <f>G25+G45+G29+G37+D24+G49+G41+G33+D20+D16</f>
        <v>648932</v>
      </c>
      <c r="G54" s="1868" t="s">
        <v>497</v>
      </c>
      <c r="H54" s="1869">
        <f>IFERROR(H53/F54,0)</f>
        <v>362.1334746938046</v>
      </c>
      <c r="I54" s="844">
        <v>0</v>
      </c>
      <c r="J54" s="844"/>
    </row>
    <row r="55" spans="3:21" ht="15.75" thickBot="1" x14ac:dyDescent="0.3">
      <c r="E55" s="693" t="s">
        <v>498</v>
      </c>
      <c r="F55" s="1870">
        <f>IFERROR(+F54/F53,0)</f>
        <v>761.65727699530521</v>
      </c>
      <c r="G55" s="1871" t="s">
        <v>499</v>
      </c>
      <c r="H55" s="1872">
        <f>IFERROR(H53/F53,0)</f>
        <v>275821.59624413145</v>
      </c>
      <c r="I55" s="846"/>
      <c r="J55" s="846"/>
      <c r="K55" s="847"/>
    </row>
    <row r="56" spans="3:21" ht="15.75" thickBot="1" x14ac:dyDescent="0.3">
      <c r="D56" s="736"/>
      <c r="F56" s="1864" t="s">
        <v>714</v>
      </c>
      <c r="G56" s="761"/>
      <c r="H56" s="1863">
        <f>H16</f>
        <v>5.3999999999999999E-2</v>
      </c>
      <c r="I56" s="849"/>
      <c r="J56" s="849"/>
    </row>
    <row r="57" spans="3:21" ht="18.75" customHeight="1" x14ac:dyDescent="0.25">
      <c r="C57" s="741"/>
      <c r="D57" s="736"/>
      <c r="E57" s="848"/>
    </row>
  </sheetData>
  <mergeCells count="15">
    <mergeCell ref="C42:C44"/>
    <mergeCell ref="C46:C48"/>
    <mergeCell ref="C50:C52"/>
    <mergeCell ref="C18:C20"/>
    <mergeCell ref="C1:L1"/>
    <mergeCell ref="C2:L2"/>
    <mergeCell ref="C5:C8"/>
    <mergeCell ref="L5:L8"/>
    <mergeCell ref="L9:L12"/>
    <mergeCell ref="L13:L16"/>
    <mergeCell ref="C22:C24"/>
    <mergeCell ref="C26:C28"/>
    <mergeCell ref="C30:C32"/>
    <mergeCell ref="C34:C36"/>
    <mergeCell ref="C38:C40"/>
  </mergeCells>
  <conditionalFormatting sqref="C1">
    <cfRule type="expression" dxfId="0" priority="1">
      <formula>_xludf.isformula()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M466"/>
  <sheetViews>
    <sheetView workbookViewId="0"/>
  </sheetViews>
  <sheetFormatPr defaultColWidth="14.42578125" defaultRowHeight="15" customHeight="1" x14ac:dyDescent="0.25"/>
  <cols>
    <col min="1" max="1" width="3" customWidth="1"/>
    <col min="2" max="2" width="10" customWidth="1"/>
    <col min="3" max="4" width="9.140625" customWidth="1"/>
    <col min="5" max="5" width="13.28515625" customWidth="1"/>
    <col min="6" max="8" width="8.28515625" customWidth="1"/>
    <col min="9" max="10" width="11" customWidth="1"/>
    <col min="11" max="11" width="12.140625" customWidth="1"/>
    <col min="12" max="12" width="5.7109375" customWidth="1"/>
    <col min="13" max="13" width="7.5703125" customWidth="1"/>
    <col min="14" max="14" width="3.28515625" customWidth="1"/>
    <col min="15" max="15" width="9.7109375" customWidth="1"/>
    <col min="16" max="25" width="18.28515625" customWidth="1"/>
    <col min="26" max="30" width="19.5703125" customWidth="1"/>
    <col min="31" max="57" width="18.28515625" customWidth="1"/>
    <col min="58" max="58" width="11.140625" customWidth="1"/>
    <col min="59" max="59" width="11.42578125" customWidth="1"/>
    <col min="60" max="65" width="11.140625" customWidth="1"/>
  </cols>
  <sheetData>
    <row r="1" spans="2:65" x14ac:dyDescent="0.25">
      <c r="C1" s="20" t="s">
        <v>353</v>
      </c>
      <c r="D1" s="20" t="s">
        <v>354</v>
      </c>
    </row>
    <row r="2" spans="2:65" x14ac:dyDescent="0.25">
      <c r="C2" s="20">
        <v>18</v>
      </c>
      <c r="D2" s="20">
        <v>2</v>
      </c>
      <c r="I2" s="523"/>
      <c r="J2" s="524"/>
      <c r="K2" s="524"/>
      <c r="L2" s="525"/>
      <c r="M2" s="525"/>
      <c r="N2" s="525"/>
      <c r="O2" s="526"/>
      <c r="P2" s="527">
        <f t="array" ref="P2">INDEX($J$6:$BM66,$C$2+(45*($D$2-1))-2,MATCH(P$6,$J$6:$BM$6,0))</f>
        <v>4.1565228615363319E-2</v>
      </c>
      <c r="Q2" s="527">
        <f t="shared" ref="Q2:AH2" si="0">INDEX($J$6:$BM66,$C$2+(45*($D$2-1))-2,MATCH(Q6,$J$6:$BM$6,0))</f>
        <v>4.5875345932010772E-2</v>
      </c>
      <c r="R2" s="527">
        <f t="shared" si="0"/>
        <v>5.0011788051204056E-2</v>
      </c>
      <c r="S2" s="527">
        <f t="shared" si="0"/>
        <v>5.3852920882026055E-2</v>
      </c>
      <c r="T2" s="527">
        <f t="shared" si="0"/>
        <v>5.7278283873250499E-2</v>
      </c>
      <c r="U2" s="527">
        <f t="shared" si="0"/>
        <v>6.0174790110332173E-2</v>
      </c>
      <c r="V2" s="527">
        <f t="shared" si="0"/>
        <v>6.2442894141717567E-2</v>
      </c>
      <c r="W2" s="527">
        <f t="shared" si="0"/>
        <v>6.400226103812974E-2</v>
      </c>
      <c r="X2" s="527">
        <f t="shared" si="0"/>
        <v>6.4796487355965784E-2</v>
      </c>
      <c r="Y2" s="527">
        <f t="shared" si="0"/>
        <v>6.4796487355965784E-2</v>
      </c>
      <c r="Z2" s="527">
        <f t="shared" si="0"/>
        <v>6.400226103812974E-2</v>
      </c>
      <c r="AA2" s="527">
        <f t="shared" si="0"/>
        <v>6.2442894141717643E-2</v>
      </c>
      <c r="AB2" s="527">
        <f t="shared" si="0"/>
        <v>6.017479011033209E-2</v>
      </c>
      <c r="AC2" s="527">
        <f t="shared" si="0"/>
        <v>5.7278283873250582E-2</v>
      </c>
      <c r="AD2" s="527">
        <f t="shared" si="0"/>
        <v>5.3852920882025979E-2</v>
      </c>
      <c r="AE2" s="527">
        <f t="shared" si="0"/>
        <v>5.001178805120398E-2</v>
      </c>
      <c r="AF2" s="527">
        <f t="shared" si="0"/>
        <v>4.5875345932010814E-2</v>
      </c>
      <c r="AG2" s="527">
        <f t="shared" si="0"/>
        <v>4.1565228615363402E-2</v>
      </c>
      <c r="AH2" s="527" t="str">
        <f t="shared" si="0"/>
        <v/>
      </c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528"/>
      <c r="BC2" s="528"/>
      <c r="BD2" s="528"/>
      <c r="BE2" s="528"/>
      <c r="BF2" s="528"/>
      <c r="BG2" s="528"/>
      <c r="BH2" s="528"/>
      <c r="BI2" s="528"/>
      <c r="BJ2" s="528"/>
      <c r="BK2" s="528"/>
      <c r="BL2" s="528"/>
      <c r="BM2" s="528"/>
    </row>
    <row r="3" spans="2:65" x14ac:dyDescent="0.25">
      <c r="B3" s="529" t="s">
        <v>355</v>
      </c>
      <c r="C3" s="530"/>
      <c r="D3" s="530"/>
      <c r="E3" s="530"/>
    </row>
    <row r="4" spans="2:65" x14ac:dyDescent="0.25">
      <c r="B4" s="531" t="s">
        <v>356</v>
      </c>
      <c r="C4" s="531"/>
      <c r="D4" s="531"/>
      <c r="E4" s="531"/>
      <c r="I4" s="73" t="s">
        <v>357</v>
      </c>
    </row>
    <row r="5" spans="2:65" x14ac:dyDescent="0.25">
      <c r="B5" s="20" t="s">
        <v>358</v>
      </c>
      <c r="F5" s="532"/>
      <c r="G5" s="532"/>
      <c r="H5" s="532"/>
      <c r="P5" s="533">
        <f>J7</f>
        <v>46418</v>
      </c>
      <c r="Q5" s="533">
        <f t="shared" ref="Q5:BM5" si="1">EOMONTH(P5,1)</f>
        <v>46446</v>
      </c>
      <c r="R5" s="533">
        <f t="shared" si="1"/>
        <v>46477</v>
      </c>
      <c r="S5" s="533">
        <f t="shared" si="1"/>
        <v>46507</v>
      </c>
      <c r="T5" s="533">
        <f t="shared" si="1"/>
        <v>46538</v>
      </c>
      <c r="U5" s="533">
        <f t="shared" si="1"/>
        <v>46568</v>
      </c>
      <c r="V5" s="533">
        <f t="shared" si="1"/>
        <v>46599</v>
      </c>
      <c r="W5" s="533">
        <f t="shared" si="1"/>
        <v>46630</v>
      </c>
      <c r="X5" s="533">
        <f t="shared" si="1"/>
        <v>46660</v>
      </c>
      <c r="Y5" s="533">
        <f t="shared" si="1"/>
        <v>46691</v>
      </c>
      <c r="Z5" s="533">
        <f t="shared" si="1"/>
        <v>46721</v>
      </c>
      <c r="AA5" s="533">
        <f t="shared" si="1"/>
        <v>46752</v>
      </c>
      <c r="AB5" s="533">
        <f t="shared" si="1"/>
        <v>46783</v>
      </c>
      <c r="AC5" s="533">
        <f t="shared" si="1"/>
        <v>46812</v>
      </c>
      <c r="AD5" s="533">
        <f t="shared" si="1"/>
        <v>46843</v>
      </c>
      <c r="AE5" s="533">
        <f t="shared" si="1"/>
        <v>46873</v>
      </c>
      <c r="AF5" s="533">
        <f t="shared" si="1"/>
        <v>46904</v>
      </c>
      <c r="AG5" s="533">
        <f t="shared" si="1"/>
        <v>46934</v>
      </c>
      <c r="AH5" s="533">
        <f t="shared" si="1"/>
        <v>46965</v>
      </c>
      <c r="AI5" s="533">
        <f t="shared" si="1"/>
        <v>46996</v>
      </c>
      <c r="AJ5" s="533">
        <f t="shared" si="1"/>
        <v>47026</v>
      </c>
      <c r="AK5" s="533">
        <f t="shared" si="1"/>
        <v>47057</v>
      </c>
      <c r="AL5" s="533">
        <f t="shared" si="1"/>
        <v>47087</v>
      </c>
      <c r="AM5" s="533">
        <f t="shared" si="1"/>
        <v>47118</v>
      </c>
      <c r="AN5" s="533">
        <f t="shared" si="1"/>
        <v>47149</v>
      </c>
      <c r="AO5" s="533">
        <f t="shared" si="1"/>
        <v>47177</v>
      </c>
      <c r="AP5" s="533">
        <f t="shared" si="1"/>
        <v>47208</v>
      </c>
      <c r="AQ5" s="533">
        <f t="shared" si="1"/>
        <v>47238</v>
      </c>
      <c r="AR5" s="533">
        <f t="shared" si="1"/>
        <v>47269</v>
      </c>
      <c r="AS5" s="533">
        <f t="shared" si="1"/>
        <v>47299</v>
      </c>
      <c r="AT5" s="533">
        <f t="shared" si="1"/>
        <v>47330</v>
      </c>
      <c r="AU5" s="533">
        <f t="shared" si="1"/>
        <v>47361</v>
      </c>
      <c r="AV5" s="533">
        <f t="shared" si="1"/>
        <v>47391</v>
      </c>
      <c r="AW5" s="533">
        <f t="shared" si="1"/>
        <v>47422</v>
      </c>
      <c r="AX5" s="533">
        <f t="shared" si="1"/>
        <v>47452</v>
      </c>
      <c r="AY5" s="533">
        <f t="shared" si="1"/>
        <v>47483</v>
      </c>
      <c r="AZ5" s="533">
        <f t="shared" si="1"/>
        <v>47514</v>
      </c>
      <c r="BA5" s="533">
        <f t="shared" si="1"/>
        <v>47542</v>
      </c>
      <c r="BB5" s="533">
        <f t="shared" si="1"/>
        <v>47573</v>
      </c>
      <c r="BC5" s="533">
        <f t="shared" si="1"/>
        <v>47603</v>
      </c>
      <c r="BD5" s="533">
        <f t="shared" si="1"/>
        <v>47634</v>
      </c>
      <c r="BE5" s="533">
        <f t="shared" si="1"/>
        <v>47664</v>
      </c>
      <c r="BF5" s="533">
        <f t="shared" si="1"/>
        <v>47695</v>
      </c>
      <c r="BG5" s="533">
        <f t="shared" si="1"/>
        <v>47726</v>
      </c>
      <c r="BH5" s="533">
        <f t="shared" si="1"/>
        <v>47756</v>
      </c>
      <c r="BI5" s="533">
        <f t="shared" si="1"/>
        <v>47787</v>
      </c>
      <c r="BJ5" s="533">
        <f t="shared" si="1"/>
        <v>47817</v>
      </c>
      <c r="BK5" s="533">
        <f t="shared" si="1"/>
        <v>47848</v>
      </c>
      <c r="BL5" s="533">
        <f t="shared" si="1"/>
        <v>47879</v>
      </c>
      <c r="BM5" s="533">
        <f t="shared" si="1"/>
        <v>47907</v>
      </c>
    </row>
    <row r="6" spans="2:65" x14ac:dyDescent="0.25">
      <c r="B6" s="534">
        <v>10</v>
      </c>
      <c r="C6" s="20">
        <v>10</v>
      </c>
      <c r="F6" s="25"/>
      <c r="G6" s="20" t="s">
        <v>359</v>
      </c>
      <c r="H6" s="25" t="s">
        <v>360</v>
      </c>
      <c r="I6" s="25" t="s">
        <v>211</v>
      </c>
      <c r="J6" s="25" t="s">
        <v>361</v>
      </c>
      <c r="K6" s="25" t="s">
        <v>362</v>
      </c>
      <c r="L6" s="535" t="s">
        <v>363</v>
      </c>
      <c r="M6" s="25" t="s">
        <v>364</v>
      </c>
      <c r="N6" s="25" t="s">
        <v>365</v>
      </c>
      <c r="O6" s="25" t="s">
        <v>302</v>
      </c>
      <c r="P6" s="25">
        <v>1</v>
      </c>
      <c r="Q6" s="25">
        <f t="shared" ref="Q6:BM6" si="2">P6+1</f>
        <v>2</v>
      </c>
      <c r="R6" s="25">
        <f t="shared" si="2"/>
        <v>3</v>
      </c>
      <c r="S6" s="25">
        <f t="shared" si="2"/>
        <v>4</v>
      </c>
      <c r="T6" s="25">
        <f t="shared" si="2"/>
        <v>5</v>
      </c>
      <c r="U6" s="25">
        <f t="shared" si="2"/>
        <v>6</v>
      </c>
      <c r="V6" s="25">
        <f t="shared" si="2"/>
        <v>7</v>
      </c>
      <c r="W6" s="25">
        <f t="shared" si="2"/>
        <v>8</v>
      </c>
      <c r="X6" s="25">
        <f t="shared" si="2"/>
        <v>9</v>
      </c>
      <c r="Y6" s="25">
        <f t="shared" si="2"/>
        <v>10</v>
      </c>
      <c r="Z6" s="25">
        <f t="shared" si="2"/>
        <v>11</v>
      </c>
      <c r="AA6" s="25">
        <f t="shared" si="2"/>
        <v>12</v>
      </c>
      <c r="AB6" s="25">
        <f t="shared" si="2"/>
        <v>13</v>
      </c>
      <c r="AC6" s="25">
        <f t="shared" si="2"/>
        <v>14</v>
      </c>
      <c r="AD6" s="25">
        <f t="shared" si="2"/>
        <v>15</v>
      </c>
      <c r="AE6" s="25">
        <f t="shared" si="2"/>
        <v>16</v>
      </c>
      <c r="AF6" s="25">
        <f t="shared" si="2"/>
        <v>17</v>
      </c>
      <c r="AG6" s="25">
        <f t="shared" si="2"/>
        <v>18</v>
      </c>
      <c r="AH6" s="25">
        <f t="shared" si="2"/>
        <v>19</v>
      </c>
      <c r="AI6" s="25">
        <f t="shared" si="2"/>
        <v>20</v>
      </c>
      <c r="AJ6" s="25">
        <f t="shared" si="2"/>
        <v>21</v>
      </c>
      <c r="AK6" s="25">
        <f t="shared" si="2"/>
        <v>22</v>
      </c>
      <c r="AL6" s="25">
        <f t="shared" si="2"/>
        <v>23</v>
      </c>
      <c r="AM6" s="25">
        <f t="shared" si="2"/>
        <v>24</v>
      </c>
      <c r="AN6" s="25">
        <f t="shared" si="2"/>
        <v>25</v>
      </c>
      <c r="AO6" s="25">
        <f t="shared" si="2"/>
        <v>26</v>
      </c>
      <c r="AP6" s="25">
        <f t="shared" si="2"/>
        <v>27</v>
      </c>
      <c r="AQ6" s="25">
        <f t="shared" si="2"/>
        <v>28</v>
      </c>
      <c r="AR6" s="25">
        <f t="shared" si="2"/>
        <v>29</v>
      </c>
      <c r="AS6" s="25">
        <f t="shared" si="2"/>
        <v>30</v>
      </c>
      <c r="AT6" s="25">
        <f t="shared" si="2"/>
        <v>31</v>
      </c>
      <c r="AU6" s="25">
        <f t="shared" si="2"/>
        <v>32</v>
      </c>
      <c r="AV6" s="25">
        <f t="shared" si="2"/>
        <v>33</v>
      </c>
      <c r="AW6" s="25">
        <f t="shared" si="2"/>
        <v>34</v>
      </c>
      <c r="AX6" s="25">
        <f t="shared" si="2"/>
        <v>35</v>
      </c>
      <c r="AY6" s="25">
        <f t="shared" si="2"/>
        <v>36</v>
      </c>
      <c r="AZ6" s="25">
        <f t="shared" si="2"/>
        <v>37</v>
      </c>
      <c r="BA6" s="25">
        <f t="shared" si="2"/>
        <v>38</v>
      </c>
      <c r="BB6" s="25">
        <f t="shared" si="2"/>
        <v>39</v>
      </c>
      <c r="BC6" s="25">
        <f t="shared" si="2"/>
        <v>40</v>
      </c>
      <c r="BD6" s="25">
        <f t="shared" si="2"/>
        <v>41</v>
      </c>
      <c r="BE6" s="25">
        <f t="shared" si="2"/>
        <v>42</v>
      </c>
      <c r="BF6" s="25">
        <f t="shared" si="2"/>
        <v>43</v>
      </c>
      <c r="BG6" s="25">
        <f t="shared" si="2"/>
        <v>44</v>
      </c>
      <c r="BH6" s="25">
        <f t="shared" si="2"/>
        <v>45</v>
      </c>
      <c r="BI6" s="25">
        <f t="shared" si="2"/>
        <v>46</v>
      </c>
      <c r="BJ6" s="25">
        <f t="shared" si="2"/>
        <v>47</v>
      </c>
      <c r="BK6" s="25">
        <f t="shared" si="2"/>
        <v>48</v>
      </c>
      <c r="BL6" s="25">
        <f t="shared" si="2"/>
        <v>49</v>
      </c>
      <c r="BM6" s="25">
        <f t="shared" si="2"/>
        <v>50</v>
      </c>
    </row>
    <row r="7" spans="2:65" x14ac:dyDescent="0.25">
      <c r="B7" s="9">
        <v>9</v>
      </c>
      <c r="C7" s="20">
        <v>9</v>
      </c>
      <c r="F7" s="197"/>
      <c r="G7" s="197">
        <f t="shared" ref="G7:G261" si="3">COUNTIFS($H$7:$H$466,H7)-1</f>
        <v>0</v>
      </c>
      <c r="H7" s="197">
        <f t="shared" ref="H7:H261" si="4">INT(CONCATENATE(L7,O7))</f>
        <v>51</v>
      </c>
      <c r="I7" s="523">
        <v>1</v>
      </c>
      <c r="J7" s="533">
        <f>'Monthly DCF'!$I$3</f>
        <v>46418</v>
      </c>
      <c r="K7" s="533">
        <f t="shared" ref="K7:K261" si="5">EOMONTH(J7,L7-1)</f>
        <v>46538</v>
      </c>
      <c r="L7" s="536">
        <v>5</v>
      </c>
      <c r="M7" s="20" t="s">
        <v>366</v>
      </c>
      <c r="N7" s="20">
        <f t="shared" ref="N7:N261" si="6">L7/O7</f>
        <v>5</v>
      </c>
      <c r="O7" s="537">
        <v>1</v>
      </c>
      <c r="P7" s="528">
        <f t="shared" ref="P7:BM7" si="7">IFERROR(+IF(AND($M7="Flat",P$5&gt;=$J7,P$5&lt;=$K7),$I7/$L7,0)+IF(AND($M7="S-Curve",P$5&gt;=$J7,P$5&lt;=$K7),(_xlfn.NORM.DIST((YEAR(P$5)-YEAR($J7))*12+MONTH(P$5)-MONTH($J7)+1,$L7/2,$N7,TRUE)-_xlfn.NORM.DIST((YEAR(P$5)-YEAR($J7))*12+MONTH(P$5)-MONTH($J7),$L7/2,$N7,TRUE))/(1-2*_xlfn.NORM.DIST(0,$L7/2,$N7,TRUE))*$I7," "),"")</f>
        <v>0.19207691835685026</v>
      </c>
      <c r="Q7" s="528">
        <f t="shared" si="7"/>
        <v>0.20391356193884322</v>
      </c>
      <c r="R7" s="528">
        <f t="shared" si="7"/>
        <v>0.20801903940861308</v>
      </c>
      <c r="S7" s="528">
        <f t="shared" si="7"/>
        <v>0.20391356193884322</v>
      </c>
      <c r="T7" s="528">
        <f t="shared" si="7"/>
        <v>0.19207691835685026</v>
      </c>
      <c r="U7" s="528" t="str">
        <f t="shared" si="7"/>
        <v/>
      </c>
      <c r="V7" s="528" t="str">
        <f t="shared" si="7"/>
        <v/>
      </c>
      <c r="W7" s="528" t="str">
        <f t="shared" si="7"/>
        <v/>
      </c>
      <c r="X7" s="528" t="str">
        <f t="shared" si="7"/>
        <v/>
      </c>
      <c r="Y7" s="528" t="str">
        <f t="shared" si="7"/>
        <v/>
      </c>
      <c r="Z7" s="528" t="str">
        <f t="shared" si="7"/>
        <v/>
      </c>
      <c r="AA7" s="528" t="str">
        <f t="shared" si="7"/>
        <v/>
      </c>
      <c r="AB7" s="528" t="str">
        <f t="shared" si="7"/>
        <v/>
      </c>
      <c r="AC7" s="528" t="str">
        <f t="shared" si="7"/>
        <v/>
      </c>
      <c r="AD7" s="528" t="str">
        <f t="shared" si="7"/>
        <v/>
      </c>
      <c r="AE7" s="528" t="str">
        <f t="shared" si="7"/>
        <v/>
      </c>
      <c r="AF7" s="528" t="str">
        <f t="shared" si="7"/>
        <v/>
      </c>
      <c r="AG7" s="528" t="str">
        <f t="shared" si="7"/>
        <v/>
      </c>
      <c r="AH7" s="528" t="str">
        <f t="shared" si="7"/>
        <v/>
      </c>
      <c r="AI7" s="528" t="str">
        <f t="shared" si="7"/>
        <v/>
      </c>
      <c r="AJ7" s="528" t="str">
        <f t="shared" si="7"/>
        <v/>
      </c>
      <c r="AK7" s="528" t="str">
        <f t="shared" si="7"/>
        <v/>
      </c>
      <c r="AL7" s="528" t="str">
        <f t="shared" si="7"/>
        <v/>
      </c>
      <c r="AM7" s="528" t="str">
        <f t="shared" si="7"/>
        <v/>
      </c>
      <c r="AN7" s="528" t="str">
        <f t="shared" si="7"/>
        <v/>
      </c>
      <c r="AO7" s="528" t="str">
        <f t="shared" si="7"/>
        <v/>
      </c>
      <c r="AP7" s="528" t="str">
        <f t="shared" si="7"/>
        <v/>
      </c>
      <c r="AQ7" s="528" t="str">
        <f t="shared" si="7"/>
        <v/>
      </c>
      <c r="AR7" s="528" t="str">
        <f t="shared" si="7"/>
        <v/>
      </c>
      <c r="AS7" s="528" t="str">
        <f t="shared" si="7"/>
        <v/>
      </c>
      <c r="AT7" s="528" t="str">
        <f t="shared" si="7"/>
        <v/>
      </c>
      <c r="AU7" s="528" t="str">
        <f t="shared" si="7"/>
        <v/>
      </c>
      <c r="AV7" s="528" t="str">
        <f t="shared" si="7"/>
        <v/>
      </c>
      <c r="AW7" s="528" t="str">
        <f t="shared" si="7"/>
        <v/>
      </c>
      <c r="AX7" s="528" t="str">
        <f t="shared" si="7"/>
        <v/>
      </c>
      <c r="AY7" s="528" t="str">
        <f t="shared" si="7"/>
        <v/>
      </c>
      <c r="AZ7" s="528" t="str">
        <f t="shared" si="7"/>
        <v/>
      </c>
      <c r="BA7" s="528" t="str">
        <f t="shared" si="7"/>
        <v/>
      </c>
      <c r="BB7" s="528" t="str">
        <f t="shared" si="7"/>
        <v/>
      </c>
      <c r="BC7" s="528" t="str">
        <f t="shared" si="7"/>
        <v/>
      </c>
      <c r="BD7" s="528" t="str">
        <f t="shared" si="7"/>
        <v/>
      </c>
      <c r="BE7" s="528" t="str">
        <f t="shared" si="7"/>
        <v/>
      </c>
      <c r="BF7" s="528" t="str">
        <f t="shared" si="7"/>
        <v/>
      </c>
      <c r="BG7" s="528" t="str">
        <f t="shared" si="7"/>
        <v/>
      </c>
      <c r="BH7" s="528" t="str">
        <f t="shared" si="7"/>
        <v/>
      </c>
      <c r="BI7" s="528" t="str">
        <f t="shared" si="7"/>
        <v/>
      </c>
      <c r="BJ7" s="528" t="str">
        <f t="shared" si="7"/>
        <v/>
      </c>
      <c r="BK7" s="528" t="str">
        <f t="shared" si="7"/>
        <v/>
      </c>
      <c r="BL7" s="528" t="str">
        <f t="shared" si="7"/>
        <v/>
      </c>
      <c r="BM7" s="528" t="str">
        <f t="shared" si="7"/>
        <v/>
      </c>
    </row>
    <row r="8" spans="2:65" x14ac:dyDescent="0.25">
      <c r="B8" s="9">
        <v>8</v>
      </c>
      <c r="C8" s="20">
        <v>8</v>
      </c>
      <c r="F8" s="197"/>
      <c r="G8" s="197">
        <f t="shared" si="3"/>
        <v>0</v>
      </c>
      <c r="H8" s="197">
        <f t="shared" si="4"/>
        <v>61</v>
      </c>
      <c r="I8" s="523">
        <v>1</v>
      </c>
      <c r="J8" s="533">
        <f>'Monthly DCF'!$I$3</f>
        <v>46418</v>
      </c>
      <c r="K8" s="533">
        <f t="shared" si="5"/>
        <v>46568</v>
      </c>
      <c r="L8" s="536">
        <f t="shared" ref="L8:L52" si="8">L7+1</f>
        <v>6</v>
      </c>
      <c r="M8" s="20" t="s">
        <v>366</v>
      </c>
      <c r="N8" s="20">
        <f t="shared" si="6"/>
        <v>6</v>
      </c>
      <c r="O8" s="537">
        <v>1</v>
      </c>
      <c r="P8" s="528">
        <f t="shared" ref="P8:BM8" si="9">IFERROR(+IF(AND($M8="Flat",P$5&gt;=$J8,P$5&lt;=$K8),$I8/$L8,0)+IF(AND($M8="S-Curve",P$5&gt;=$J8,P$5&lt;=$K8),(_xlfn.NORM.DIST((YEAR(P$5)-YEAR($J8))*12+MONTH(P$5)-MONTH($J8)+1,$L8/2,$N8,TRUE)-_xlfn.NORM.DIST((YEAR(P$5)-YEAR($J8))*12+MONTH(P$5)-MONTH($J8),$L8/2,$N8,TRUE))/(1-2*_xlfn.NORM.DIST(0,$L8/2,$N8,TRUE))*$I8," "),"")</f>
        <v>0.15904893588674215</v>
      </c>
      <c r="Q8" s="528">
        <f t="shared" si="9"/>
        <v>0.16811344317568902</v>
      </c>
      <c r="R8" s="528">
        <f t="shared" si="9"/>
        <v>0.17283762093756883</v>
      </c>
      <c r="S8" s="528">
        <f t="shared" si="9"/>
        <v>0.17283762093756883</v>
      </c>
      <c r="T8" s="528">
        <f t="shared" si="9"/>
        <v>0.16811344317568916</v>
      </c>
      <c r="U8" s="528">
        <f t="shared" si="9"/>
        <v>0.15904893588674202</v>
      </c>
      <c r="V8" s="528" t="str">
        <f t="shared" si="9"/>
        <v/>
      </c>
      <c r="W8" s="528" t="str">
        <f t="shared" si="9"/>
        <v/>
      </c>
      <c r="X8" s="528" t="str">
        <f t="shared" si="9"/>
        <v/>
      </c>
      <c r="Y8" s="528" t="str">
        <f t="shared" si="9"/>
        <v/>
      </c>
      <c r="Z8" s="528" t="str">
        <f t="shared" si="9"/>
        <v/>
      </c>
      <c r="AA8" s="528" t="str">
        <f t="shared" si="9"/>
        <v/>
      </c>
      <c r="AB8" s="528" t="str">
        <f t="shared" si="9"/>
        <v/>
      </c>
      <c r="AC8" s="528" t="str">
        <f t="shared" si="9"/>
        <v/>
      </c>
      <c r="AD8" s="528" t="str">
        <f t="shared" si="9"/>
        <v/>
      </c>
      <c r="AE8" s="528" t="str">
        <f t="shared" si="9"/>
        <v/>
      </c>
      <c r="AF8" s="528" t="str">
        <f t="shared" si="9"/>
        <v/>
      </c>
      <c r="AG8" s="528" t="str">
        <f t="shared" si="9"/>
        <v/>
      </c>
      <c r="AH8" s="528" t="str">
        <f t="shared" si="9"/>
        <v/>
      </c>
      <c r="AI8" s="528" t="str">
        <f t="shared" si="9"/>
        <v/>
      </c>
      <c r="AJ8" s="528" t="str">
        <f t="shared" si="9"/>
        <v/>
      </c>
      <c r="AK8" s="528" t="str">
        <f t="shared" si="9"/>
        <v/>
      </c>
      <c r="AL8" s="528" t="str">
        <f t="shared" si="9"/>
        <v/>
      </c>
      <c r="AM8" s="528" t="str">
        <f t="shared" si="9"/>
        <v/>
      </c>
      <c r="AN8" s="528" t="str">
        <f t="shared" si="9"/>
        <v/>
      </c>
      <c r="AO8" s="528" t="str">
        <f t="shared" si="9"/>
        <v/>
      </c>
      <c r="AP8" s="528" t="str">
        <f t="shared" si="9"/>
        <v/>
      </c>
      <c r="AQ8" s="528" t="str">
        <f t="shared" si="9"/>
        <v/>
      </c>
      <c r="AR8" s="528" t="str">
        <f t="shared" si="9"/>
        <v/>
      </c>
      <c r="AS8" s="528" t="str">
        <f t="shared" si="9"/>
        <v/>
      </c>
      <c r="AT8" s="528" t="str">
        <f t="shared" si="9"/>
        <v/>
      </c>
      <c r="AU8" s="528" t="str">
        <f t="shared" si="9"/>
        <v/>
      </c>
      <c r="AV8" s="528" t="str">
        <f t="shared" si="9"/>
        <v/>
      </c>
      <c r="AW8" s="528" t="str">
        <f t="shared" si="9"/>
        <v/>
      </c>
      <c r="AX8" s="528" t="str">
        <f t="shared" si="9"/>
        <v/>
      </c>
      <c r="AY8" s="528" t="str">
        <f t="shared" si="9"/>
        <v/>
      </c>
      <c r="AZ8" s="528" t="str">
        <f t="shared" si="9"/>
        <v/>
      </c>
      <c r="BA8" s="528" t="str">
        <f t="shared" si="9"/>
        <v/>
      </c>
      <c r="BB8" s="528" t="str">
        <f t="shared" si="9"/>
        <v/>
      </c>
      <c r="BC8" s="528" t="str">
        <f t="shared" si="9"/>
        <v/>
      </c>
      <c r="BD8" s="528" t="str">
        <f t="shared" si="9"/>
        <v/>
      </c>
      <c r="BE8" s="528" t="str">
        <f t="shared" si="9"/>
        <v/>
      </c>
      <c r="BF8" s="528" t="str">
        <f t="shared" si="9"/>
        <v/>
      </c>
      <c r="BG8" s="528" t="str">
        <f t="shared" si="9"/>
        <v/>
      </c>
      <c r="BH8" s="528" t="str">
        <f t="shared" si="9"/>
        <v/>
      </c>
      <c r="BI8" s="528" t="str">
        <f t="shared" si="9"/>
        <v/>
      </c>
      <c r="BJ8" s="528" t="str">
        <f t="shared" si="9"/>
        <v/>
      </c>
      <c r="BK8" s="528" t="str">
        <f t="shared" si="9"/>
        <v/>
      </c>
      <c r="BL8" s="528" t="str">
        <f t="shared" si="9"/>
        <v/>
      </c>
      <c r="BM8" s="528" t="str">
        <f t="shared" si="9"/>
        <v/>
      </c>
    </row>
    <row r="9" spans="2:65" x14ac:dyDescent="0.25">
      <c r="B9" s="9">
        <v>7</v>
      </c>
      <c r="C9" s="20">
        <v>7</v>
      </c>
      <c r="F9" s="197"/>
      <c r="G9" s="197">
        <f t="shared" si="3"/>
        <v>0</v>
      </c>
      <c r="H9" s="197">
        <f t="shared" si="4"/>
        <v>71</v>
      </c>
      <c r="I9" s="523">
        <v>1</v>
      </c>
      <c r="J9" s="533">
        <f>'Monthly DCF'!$I$3</f>
        <v>46418</v>
      </c>
      <c r="K9" s="533">
        <f t="shared" si="5"/>
        <v>46599</v>
      </c>
      <c r="L9" s="536">
        <f t="shared" si="8"/>
        <v>7</v>
      </c>
      <c r="M9" s="20" t="s">
        <v>366</v>
      </c>
      <c r="N9" s="20">
        <f t="shared" si="6"/>
        <v>7</v>
      </c>
      <c r="O9" s="537">
        <v>1</v>
      </c>
      <c r="P9" s="528">
        <f t="shared" ref="P9:BM9" si="10">IFERROR(+IF(AND($M9="Flat",P$5&gt;=$J9,P$5&lt;=$K9),$I9/$L9,0)+IF(AND($M9="S-Curve",P$5&gt;=$J9,P$5&lt;=$K9),(_xlfn.NORM.DIST((YEAR(P$5)-YEAR($J9))*12+MONTH(P$5)-MONTH($J9)+1,$L9/2,$N9,TRUE)-_xlfn.NORM.DIST((YEAR(P$5)-YEAR($J9))*12+MONTH(P$5)-MONTH($J9),$L9/2,$N9,TRUE))/(1-2*_xlfn.NORM.DIST(0,$L9/2,$N9,TRUE))*$I9," "),"")</f>
        <v>0.1356790565605776</v>
      </c>
      <c r="Q9" s="528">
        <f t="shared" si="10"/>
        <v>0.14276871171843256</v>
      </c>
      <c r="R9" s="528">
        <f t="shared" si="10"/>
        <v>0.1471991070222243</v>
      </c>
      <c r="S9" s="528">
        <f t="shared" si="10"/>
        <v>0.1487062493975311</v>
      </c>
      <c r="T9" s="528">
        <f t="shared" si="10"/>
        <v>0.1471991070222243</v>
      </c>
      <c r="U9" s="528">
        <f t="shared" si="10"/>
        <v>0.14276871171843269</v>
      </c>
      <c r="V9" s="528">
        <f t="shared" si="10"/>
        <v>0.13567905656057747</v>
      </c>
      <c r="W9" s="528" t="str">
        <f t="shared" si="10"/>
        <v/>
      </c>
      <c r="X9" s="528" t="str">
        <f t="shared" si="10"/>
        <v/>
      </c>
      <c r="Y9" s="528" t="str">
        <f t="shared" si="10"/>
        <v/>
      </c>
      <c r="Z9" s="528" t="str">
        <f t="shared" si="10"/>
        <v/>
      </c>
      <c r="AA9" s="528" t="str">
        <f t="shared" si="10"/>
        <v/>
      </c>
      <c r="AB9" s="528" t="str">
        <f t="shared" si="10"/>
        <v/>
      </c>
      <c r="AC9" s="528" t="str">
        <f t="shared" si="10"/>
        <v/>
      </c>
      <c r="AD9" s="528" t="str">
        <f t="shared" si="10"/>
        <v/>
      </c>
      <c r="AE9" s="528" t="str">
        <f t="shared" si="10"/>
        <v/>
      </c>
      <c r="AF9" s="528" t="str">
        <f t="shared" si="10"/>
        <v/>
      </c>
      <c r="AG9" s="528" t="str">
        <f t="shared" si="10"/>
        <v/>
      </c>
      <c r="AH9" s="528" t="str">
        <f t="shared" si="10"/>
        <v/>
      </c>
      <c r="AI9" s="528" t="str">
        <f t="shared" si="10"/>
        <v/>
      </c>
      <c r="AJ9" s="528" t="str">
        <f t="shared" si="10"/>
        <v/>
      </c>
      <c r="AK9" s="528" t="str">
        <f t="shared" si="10"/>
        <v/>
      </c>
      <c r="AL9" s="528" t="str">
        <f t="shared" si="10"/>
        <v/>
      </c>
      <c r="AM9" s="528" t="str">
        <f t="shared" si="10"/>
        <v/>
      </c>
      <c r="AN9" s="528" t="str">
        <f t="shared" si="10"/>
        <v/>
      </c>
      <c r="AO9" s="528" t="str">
        <f t="shared" si="10"/>
        <v/>
      </c>
      <c r="AP9" s="528" t="str">
        <f t="shared" si="10"/>
        <v/>
      </c>
      <c r="AQ9" s="528" t="str">
        <f t="shared" si="10"/>
        <v/>
      </c>
      <c r="AR9" s="528" t="str">
        <f t="shared" si="10"/>
        <v/>
      </c>
      <c r="AS9" s="528" t="str">
        <f t="shared" si="10"/>
        <v/>
      </c>
      <c r="AT9" s="528" t="str">
        <f t="shared" si="10"/>
        <v/>
      </c>
      <c r="AU9" s="528" t="str">
        <f t="shared" si="10"/>
        <v/>
      </c>
      <c r="AV9" s="528" t="str">
        <f t="shared" si="10"/>
        <v/>
      </c>
      <c r="AW9" s="528" t="str">
        <f t="shared" si="10"/>
        <v/>
      </c>
      <c r="AX9" s="528" t="str">
        <f t="shared" si="10"/>
        <v/>
      </c>
      <c r="AY9" s="528" t="str">
        <f t="shared" si="10"/>
        <v/>
      </c>
      <c r="AZ9" s="528" t="str">
        <f t="shared" si="10"/>
        <v/>
      </c>
      <c r="BA9" s="528" t="str">
        <f t="shared" si="10"/>
        <v/>
      </c>
      <c r="BB9" s="528" t="str">
        <f t="shared" si="10"/>
        <v/>
      </c>
      <c r="BC9" s="528" t="str">
        <f t="shared" si="10"/>
        <v/>
      </c>
      <c r="BD9" s="528" t="str">
        <f t="shared" si="10"/>
        <v/>
      </c>
      <c r="BE9" s="528" t="str">
        <f t="shared" si="10"/>
        <v/>
      </c>
      <c r="BF9" s="528" t="str">
        <f t="shared" si="10"/>
        <v/>
      </c>
      <c r="BG9" s="528" t="str">
        <f t="shared" si="10"/>
        <v/>
      </c>
      <c r="BH9" s="528" t="str">
        <f t="shared" si="10"/>
        <v/>
      </c>
      <c r="BI9" s="528" t="str">
        <f t="shared" si="10"/>
        <v/>
      </c>
      <c r="BJ9" s="528" t="str">
        <f t="shared" si="10"/>
        <v/>
      </c>
      <c r="BK9" s="528" t="str">
        <f t="shared" si="10"/>
        <v/>
      </c>
      <c r="BL9" s="528" t="str">
        <f t="shared" si="10"/>
        <v/>
      </c>
      <c r="BM9" s="528" t="str">
        <f t="shared" si="10"/>
        <v/>
      </c>
    </row>
    <row r="10" spans="2:65" x14ac:dyDescent="0.25">
      <c r="B10" s="9">
        <v>6</v>
      </c>
      <c r="C10" s="20">
        <v>6</v>
      </c>
      <c r="F10" s="197"/>
      <c r="G10" s="197">
        <f t="shared" si="3"/>
        <v>0</v>
      </c>
      <c r="H10" s="197">
        <f t="shared" si="4"/>
        <v>81</v>
      </c>
      <c r="I10" s="523">
        <v>1</v>
      </c>
      <c r="J10" s="533">
        <f>'Monthly DCF'!$I$3</f>
        <v>46418</v>
      </c>
      <c r="K10" s="533">
        <f t="shared" si="5"/>
        <v>46630</v>
      </c>
      <c r="L10" s="536">
        <f t="shared" si="8"/>
        <v>8</v>
      </c>
      <c r="M10" s="20" t="s">
        <v>366</v>
      </c>
      <c r="N10" s="20">
        <f t="shared" si="6"/>
        <v>8</v>
      </c>
      <c r="O10" s="537">
        <v>1</v>
      </c>
      <c r="P10" s="528">
        <f t="shared" ref="P10:BM10" si="11">IFERROR(+IF(AND($M10="Flat",P$5&gt;=$J10,P$5&lt;=$K10),$I10/$L10,0)+IF(AND($M10="S-Curve",P$5&gt;=$J10,P$5&lt;=$K10),(_xlfn.NORM.DIST((YEAR(P$5)-YEAR($J10))*12+MONTH(P$5)-MONTH($J10)+1,$L10/2,$N10,TRUE)-_xlfn.NORM.DIST((YEAR(P$5)-YEAR($J10))*12+MONTH(P$5)-MONTH($J10),$L10/2,$N10,TRUE))/(1-2*_xlfn.NORM.DIST(0,$L10/2,$N10,TRUE))*$I10," "),"")</f>
        <v>0.11828087422439493</v>
      </c>
      <c r="Q10" s="528">
        <f t="shared" si="11"/>
        <v>0.12394973059986011</v>
      </c>
      <c r="R10" s="528">
        <f t="shared" si="11"/>
        <v>0.12787911668682059</v>
      </c>
      <c r="S10" s="528">
        <f t="shared" si="11"/>
        <v>0.12989027848892437</v>
      </c>
      <c r="T10" s="528">
        <f t="shared" si="11"/>
        <v>0.12989027848892437</v>
      </c>
      <c r="U10" s="528">
        <f t="shared" si="11"/>
        <v>0.12787911668682059</v>
      </c>
      <c r="V10" s="528">
        <f t="shared" si="11"/>
        <v>0.12394973059986011</v>
      </c>
      <c r="W10" s="528">
        <f t="shared" si="11"/>
        <v>0.11828087422439493</v>
      </c>
      <c r="X10" s="528" t="str">
        <f t="shared" si="11"/>
        <v/>
      </c>
      <c r="Y10" s="528" t="str">
        <f t="shared" si="11"/>
        <v/>
      </c>
      <c r="Z10" s="528" t="str">
        <f t="shared" si="11"/>
        <v/>
      </c>
      <c r="AA10" s="528" t="str">
        <f t="shared" si="11"/>
        <v/>
      </c>
      <c r="AB10" s="528" t="str">
        <f t="shared" si="11"/>
        <v/>
      </c>
      <c r="AC10" s="528" t="str">
        <f t="shared" si="11"/>
        <v/>
      </c>
      <c r="AD10" s="528" t="str">
        <f t="shared" si="11"/>
        <v/>
      </c>
      <c r="AE10" s="528" t="str">
        <f t="shared" si="11"/>
        <v/>
      </c>
      <c r="AF10" s="528" t="str">
        <f t="shared" si="11"/>
        <v/>
      </c>
      <c r="AG10" s="528" t="str">
        <f t="shared" si="11"/>
        <v/>
      </c>
      <c r="AH10" s="528" t="str">
        <f t="shared" si="11"/>
        <v/>
      </c>
      <c r="AI10" s="528" t="str">
        <f t="shared" si="11"/>
        <v/>
      </c>
      <c r="AJ10" s="528" t="str">
        <f t="shared" si="11"/>
        <v/>
      </c>
      <c r="AK10" s="528" t="str">
        <f t="shared" si="11"/>
        <v/>
      </c>
      <c r="AL10" s="528" t="str">
        <f t="shared" si="11"/>
        <v/>
      </c>
      <c r="AM10" s="528" t="str">
        <f t="shared" si="11"/>
        <v/>
      </c>
      <c r="AN10" s="528" t="str">
        <f t="shared" si="11"/>
        <v/>
      </c>
      <c r="AO10" s="528" t="str">
        <f t="shared" si="11"/>
        <v/>
      </c>
      <c r="AP10" s="528" t="str">
        <f t="shared" si="11"/>
        <v/>
      </c>
      <c r="AQ10" s="528" t="str">
        <f t="shared" si="11"/>
        <v/>
      </c>
      <c r="AR10" s="528" t="str">
        <f t="shared" si="11"/>
        <v/>
      </c>
      <c r="AS10" s="528" t="str">
        <f t="shared" si="11"/>
        <v/>
      </c>
      <c r="AT10" s="528" t="str">
        <f t="shared" si="11"/>
        <v/>
      </c>
      <c r="AU10" s="528" t="str">
        <f t="shared" si="11"/>
        <v/>
      </c>
      <c r="AV10" s="528" t="str">
        <f t="shared" si="11"/>
        <v/>
      </c>
      <c r="AW10" s="528" t="str">
        <f t="shared" si="11"/>
        <v/>
      </c>
      <c r="AX10" s="528" t="str">
        <f t="shared" si="11"/>
        <v/>
      </c>
      <c r="AY10" s="528" t="str">
        <f t="shared" si="11"/>
        <v/>
      </c>
      <c r="AZ10" s="528" t="str">
        <f t="shared" si="11"/>
        <v/>
      </c>
      <c r="BA10" s="528" t="str">
        <f t="shared" si="11"/>
        <v/>
      </c>
      <c r="BB10" s="528" t="str">
        <f t="shared" si="11"/>
        <v/>
      </c>
      <c r="BC10" s="528" t="str">
        <f t="shared" si="11"/>
        <v/>
      </c>
      <c r="BD10" s="528" t="str">
        <f t="shared" si="11"/>
        <v/>
      </c>
      <c r="BE10" s="528" t="str">
        <f t="shared" si="11"/>
        <v/>
      </c>
      <c r="BF10" s="528" t="str">
        <f t="shared" si="11"/>
        <v/>
      </c>
      <c r="BG10" s="528" t="str">
        <f t="shared" si="11"/>
        <v/>
      </c>
      <c r="BH10" s="528" t="str">
        <f t="shared" si="11"/>
        <v/>
      </c>
      <c r="BI10" s="528" t="str">
        <f t="shared" si="11"/>
        <v/>
      </c>
      <c r="BJ10" s="528" t="str">
        <f t="shared" si="11"/>
        <v/>
      </c>
      <c r="BK10" s="528" t="str">
        <f t="shared" si="11"/>
        <v/>
      </c>
      <c r="BL10" s="528" t="str">
        <f t="shared" si="11"/>
        <v/>
      </c>
      <c r="BM10" s="528" t="str">
        <f t="shared" si="11"/>
        <v/>
      </c>
    </row>
    <row r="11" spans="2:65" x14ac:dyDescent="0.25">
      <c r="B11" s="9">
        <v>5</v>
      </c>
      <c r="C11" s="20">
        <v>5</v>
      </c>
      <c r="F11" s="197"/>
      <c r="G11" s="197">
        <f t="shared" si="3"/>
        <v>0</v>
      </c>
      <c r="H11" s="197">
        <f t="shared" si="4"/>
        <v>91</v>
      </c>
      <c r="I11" s="523">
        <v>1</v>
      </c>
      <c r="J11" s="533">
        <f>'Monthly DCF'!$I$3</f>
        <v>46418</v>
      </c>
      <c r="K11" s="533">
        <f t="shared" si="5"/>
        <v>46660</v>
      </c>
      <c r="L11" s="536">
        <f t="shared" si="8"/>
        <v>9</v>
      </c>
      <c r="M11" s="20" t="s">
        <v>366</v>
      </c>
      <c r="N11" s="20">
        <f t="shared" si="6"/>
        <v>9</v>
      </c>
      <c r="O11" s="537">
        <v>1</v>
      </c>
      <c r="P11" s="528">
        <f t="shared" ref="P11:BM11" si="12">IFERROR(+IF(AND($M11="Flat",P$5&gt;=$J11,P$5&lt;=$K11),$I11/$L11,0)+IF(AND($M11="S-Curve",P$5&gt;=$J11,P$5&lt;=$K11),(_xlfn.NORM.DIST((YEAR(P$5)-YEAR($J11))*12+MONTH(P$5)-MONTH($J11)+1,$L11/2,$N11,TRUE)-_xlfn.NORM.DIST((YEAR(P$5)-YEAR($J11))*12+MONTH(P$5)-MONTH($J11),$L11/2,$N11,TRUE))/(1-2*_xlfn.NORM.DIST(0,$L11/2,$N11,TRUE))*$I11," "),"")</f>
        <v>0.1048289882665354</v>
      </c>
      <c r="Q11" s="528">
        <f t="shared" si="12"/>
        <v>0.10945305992607586</v>
      </c>
      <c r="R11" s="528">
        <f t="shared" si="12"/>
        <v>0.11288033086981991</v>
      </c>
      <c r="S11" s="528">
        <f t="shared" si="12"/>
        <v>0.11498799288416395</v>
      </c>
      <c r="T11" s="528">
        <f t="shared" si="12"/>
        <v>0.11569925610680974</v>
      </c>
      <c r="U11" s="528">
        <f t="shared" si="12"/>
        <v>0.11498799288416395</v>
      </c>
      <c r="V11" s="528">
        <f t="shared" si="12"/>
        <v>0.11288033086981991</v>
      </c>
      <c r="W11" s="528">
        <f t="shared" si="12"/>
        <v>0.10945305992607586</v>
      </c>
      <c r="X11" s="528">
        <f t="shared" si="12"/>
        <v>0.1048289882665354</v>
      </c>
      <c r="Y11" s="528" t="str">
        <f t="shared" si="12"/>
        <v/>
      </c>
      <c r="Z11" s="528" t="str">
        <f t="shared" si="12"/>
        <v/>
      </c>
      <c r="AA11" s="528" t="str">
        <f t="shared" si="12"/>
        <v/>
      </c>
      <c r="AB11" s="528" t="str">
        <f t="shared" si="12"/>
        <v/>
      </c>
      <c r="AC11" s="528" t="str">
        <f t="shared" si="12"/>
        <v/>
      </c>
      <c r="AD11" s="528" t="str">
        <f t="shared" si="12"/>
        <v/>
      </c>
      <c r="AE11" s="528" t="str">
        <f t="shared" si="12"/>
        <v/>
      </c>
      <c r="AF11" s="528" t="str">
        <f t="shared" si="12"/>
        <v/>
      </c>
      <c r="AG11" s="528" t="str">
        <f t="shared" si="12"/>
        <v/>
      </c>
      <c r="AH11" s="528" t="str">
        <f t="shared" si="12"/>
        <v/>
      </c>
      <c r="AI11" s="528" t="str">
        <f t="shared" si="12"/>
        <v/>
      </c>
      <c r="AJ11" s="528" t="str">
        <f t="shared" si="12"/>
        <v/>
      </c>
      <c r="AK11" s="528" t="str">
        <f t="shared" si="12"/>
        <v/>
      </c>
      <c r="AL11" s="528" t="str">
        <f t="shared" si="12"/>
        <v/>
      </c>
      <c r="AM11" s="528" t="str">
        <f t="shared" si="12"/>
        <v/>
      </c>
      <c r="AN11" s="528" t="str">
        <f t="shared" si="12"/>
        <v/>
      </c>
      <c r="AO11" s="528" t="str">
        <f t="shared" si="12"/>
        <v/>
      </c>
      <c r="AP11" s="528" t="str">
        <f t="shared" si="12"/>
        <v/>
      </c>
      <c r="AQ11" s="528" t="str">
        <f t="shared" si="12"/>
        <v/>
      </c>
      <c r="AR11" s="528" t="str">
        <f t="shared" si="12"/>
        <v/>
      </c>
      <c r="AS11" s="528" t="str">
        <f t="shared" si="12"/>
        <v/>
      </c>
      <c r="AT11" s="528" t="str">
        <f t="shared" si="12"/>
        <v/>
      </c>
      <c r="AU11" s="528" t="str">
        <f t="shared" si="12"/>
        <v/>
      </c>
      <c r="AV11" s="528" t="str">
        <f t="shared" si="12"/>
        <v/>
      </c>
      <c r="AW11" s="528" t="str">
        <f t="shared" si="12"/>
        <v/>
      </c>
      <c r="AX11" s="528" t="str">
        <f t="shared" si="12"/>
        <v/>
      </c>
      <c r="AY11" s="528" t="str">
        <f t="shared" si="12"/>
        <v/>
      </c>
      <c r="AZ11" s="528" t="str">
        <f t="shared" si="12"/>
        <v/>
      </c>
      <c r="BA11" s="528" t="str">
        <f t="shared" si="12"/>
        <v/>
      </c>
      <c r="BB11" s="528" t="str">
        <f t="shared" si="12"/>
        <v/>
      </c>
      <c r="BC11" s="528" t="str">
        <f t="shared" si="12"/>
        <v/>
      </c>
      <c r="BD11" s="528" t="str">
        <f t="shared" si="12"/>
        <v/>
      </c>
      <c r="BE11" s="528" t="str">
        <f t="shared" si="12"/>
        <v/>
      </c>
      <c r="BF11" s="528" t="str">
        <f t="shared" si="12"/>
        <v/>
      </c>
      <c r="BG11" s="528" t="str">
        <f t="shared" si="12"/>
        <v/>
      </c>
      <c r="BH11" s="528" t="str">
        <f t="shared" si="12"/>
        <v/>
      </c>
      <c r="BI11" s="528" t="str">
        <f t="shared" si="12"/>
        <v/>
      </c>
      <c r="BJ11" s="528" t="str">
        <f t="shared" si="12"/>
        <v/>
      </c>
      <c r="BK11" s="528" t="str">
        <f t="shared" si="12"/>
        <v/>
      </c>
      <c r="BL11" s="528" t="str">
        <f t="shared" si="12"/>
        <v/>
      </c>
      <c r="BM11" s="528" t="str">
        <f t="shared" si="12"/>
        <v/>
      </c>
    </row>
    <row r="12" spans="2:65" x14ac:dyDescent="0.25">
      <c r="B12" s="9">
        <v>4</v>
      </c>
      <c r="C12" s="20">
        <v>4</v>
      </c>
      <c r="F12" s="197"/>
      <c r="G12" s="197">
        <f t="shared" si="3"/>
        <v>0</v>
      </c>
      <c r="H12" s="197">
        <f t="shared" si="4"/>
        <v>101</v>
      </c>
      <c r="I12" s="523">
        <v>1</v>
      </c>
      <c r="J12" s="533">
        <f>'Monthly DCF'!$I$3</f>
        <v>46418</v>
      </c>
      <c r="K12" s="533">
        <f t="shared" si="5"/>
        <v>46691</v>
      </c>
      <c r="L12" s="536">
        <f t="shared" si="8"/>
        <v>10</v>
      </c>
      <c r="M12" s="20" t="s">
        <v>366</v>
      </c>
      <c r="N12" s="20">
        <f t="shared" si="6"/>
        <v>10</v>
      </c>
      <c r="O12" s="537">
        <v>1</v>
      </c>
      <c r="P12" s="528">
        <f t="shared" ref="P12:BM12" si="13">IFERROR(+IF(AND($M12="Flat",P$5&gt;=$J12,P$5&lt;=$K12),$I12/$L12,0)+IF(AND($M12="S-Curve",P$5&gt;=$J12,P$5&lt;=$K12),(_xlfn.NORM.DIST((YEAR(P$5)-YEAR($J12))*12+MONTH(P$5)-MONTH($J12)+1,$L12/2,$N12,TRUE)-_xlfn.NORM.DIST((YEAR(P$5)-YEAR($J12))*12+MONTH(P$5)-MONTH($J12),$L12/2,$N12,TRUE))/(1-2*_xlfn.NORM.DIST(0,$L12/2,$N12,TRUE))*$I12," "),"")</f>
        <v>9.411954548131736E-2</v>
      </c>
      <c r="Q12" s="528">
        <f t="shared" si="13"/>
        <v>9.7957372875532897E-2</v>
      </c>
      <c r="R12" s="528">
        <f t="shared" si="13"/>
        <v>0.10093809640975238</v>
      </c>
      <c r="S12" s="528">
        <f t="shared" si="13"/>
        <v>0.10297546552909084</v>
      </c>
      <c r="T12" s="528">
        <f t="shared" si="13"/>
        <v>0.10400951970430654</v>
      </c>
      <c r="U12" s="528">
        <f t="shared" si="13"/>
        <v>0.10400951970430654</v>
      </c>
      <c r="V12" s="528">
        <f t="shared" si="13"/>
        <v>0.10297546552909069</v>
      </c>
      <c r="W12" s="528">
        <f t="shared" si="13"/>
        <v>0.10093809640975251</v>
      </c>
      <c r="X12" s="528">
        <f t="shared" si="13"/>
        <v>9.795737287553305E-2</v>
      </c>
      <c r="Y12" s="528">
        <f t="shared" si="13"/>
        <v>9.4119545481317207E-2</v>
      </c>
      <c r="Z12" s="528" t="str">
        <f t="shared" si="13"/>
        <v/>
      </c>
      <c r="AA12" s="528" t="str">
        <f t="shared" si="13"/>
        <v/>
      </c>
      <c r="AB12" s="528" t="str">
        <f t="shared" si="13"/>
        <v/>
      </c>
      <c r="AC12" s="528" t="str">
        <f t="shared" si="13"/>
        <v/>
      </c>
      <c r="AD12" s="528" t="str">
        <f t="shared" si="13"/>
        <v/>
      </c>
      <c r="AE12" s="528" t="str">
        <f t="shared" si="13"/>
        <v/>
      </c>
      <c r="AF12" s="528" t="str">
        <f t="shared" si="13"/>
        <v/>
      </c>
      <c r="AG12" s="528" t="str">
        <f t="shared" si="13"/>
        <v/>
      </c>
      <c r="AH12" s="528" t="str">
        <f t="shared" si="13"/>
        <v/>
      </c>
      <c r="AI12" s="528" t="str">
        <f t="shared" si="13"/>
        <v/>
      </c>
      <c r="AJ12" s="528" t="str">
        <f t="shared" si="13"/>
        <v/>
      </c>
      <c r="AK12" s="528" t="str">
        <f t="shared" si="13"/>
        <v/>
      </c>
      <c r="AL12" s="528" t="str">
        <f t="shared" si="13"/>
        <v/>
      </c>
      <c r="AM12" s="528" t="str">
        <f t="shared" si="13"/>
        <v/>
      </c>
      <c r="AN12" s="528" t="str">
        <f t="shared" si="13"/>
        <v/>
      </c>
      <c r="AO12" s="528" t="str">
        <f t="shared" si="13"/>
        <v/>
      </c>
      <c r="AP12" s="528" t="str">
        <f t="shared" si="13"/>
        <v/>
      </c>
      <c r="AQ12" s="528" t="str">
        <f t="shared" si="13"/>
        <v/>
      </c>
      <c r="AR12" s="528" t="str">
        <f t="shared" si="13"/>
        <v/>
      </c>
      <c r="AS12" s="528" t="str">
        <f t="shared" si="13"/>
        <v/>
      </c>
      <c r="AT12" s="528" t="str">
        <f t="shared" si="13"/>
        <v/>
      </c>
      <c r="AU12" s="528" t="str">
        <f t="shared" si="13"/>
        <v/>
      </c>
      <c r="AV12" s="528" t="str">
        <f t="shared" si="13"/>
        <v/>
      </c>
      <c r="AW12" s="528" t="str">
        <f t="shared" si="13"/>
        <v/>
      </c>
      <c r="AX12" s="528" t="str">
        <f t="shared" si="13"/>
        <v/>
      </c>
      <c r="AY12" s="528" t="str">
        <f t="shared" si="13"/>
        <v/>
      </c>
      <c r="AZ12" s="528" t="str">
        <f t="shared" si="13"/>
        <v/>
      </c>
      <c r="BA12" s="528" t="str">
        <f t="shared" si="13"/>
        <v/>
      </c>
      <c r="BB12" s="528" t="str">
        <f t="shared" si="13"/>
        <v/>
      </c>
      <c r="BC12" s="528" t="str">
        <f t="shared" si="13"/>
        <v/>
      </c>
      <c r="BD12" s="528" t="str">
        <f t="shared" si="13"/>
        <v/>
      </c>
      <c r="BE12" s="528" t="str">
        <f t="shared" si="13"/>
        <v/>
      </c>
      <c r="BF12" s="528" t="str">
        <f t="shared" si="13"/>
        <v/>
      </c>
      <c r="BG12" s="528" t="str">
        <f t="shared" si="13"/>
        <v/>
      </c>
      <c r="BH12" s="528" t="str">
        <f t="shared" si="13"/>
        <v/>
      </c>
      <c r="BI12" s="528" t="str">
        <f t="shared" si="13"/>
        <v/>
      </c>
      <c r="BJ12" s="528" t="str">
        <f t="shared" si="13"/>
        <v/>
      </c>
      <c r="BK12" s="528" t="str">
        <f t="shared" si="13"/>
        <v/>
      </c>
      <c r="BL12" s="528" t="str">
        <f t="shared" si="13"/>
        <v/>
      </c>
      <c r="BM12" s="528" t="str">
        <f t="shared" si="13"/>
        <v/>
      </c>
    </row>
    <row r="13" spans="2:65" x14ac:dyDescent="0.25">
      <c r="B13" s="9">
        <v>3</v>
      </c>
      <c r="C13" s="20">
        <v>3</v>
      </c>
      <c r="F13" s="197"/>
      <c r="G13" s="197">
        <f t="shared" si="3"/>
        <v>0</v>
      </c>
      <c r="H13" s="197">
        <f t="shared" si="4"/>
        <v>111</v>
      </c>
      <c r="I13" s="523">
        <v>1</v>
      </c>
      <c r="J13" s="533">
        <f>'Monthly DCF'!$I$3</f>
        <v>46418</v>
      </c>
      <c r="K13" s="533">
        <f t="shared" si="5"/>
        <v>46721</v>
      </c>
      <c r="L13" s="536">
        <f t="shared" si="8"/>
        <v>11</v>
      </c>
      <c r="M13" s="20" t="s">
        <v>366</v>
      </c>
      <c r="N13" s="20">
        <f t="shared" si="6"/>
        <v>11</v>
      </c>
      <c r="O13" s="537">
        <v>1</v>
      </c>
      <c r="P13" s="528">
        <f t="shared" ref="P13:BM13" si="14">IFERROR(+IF(AND($M13="Flat",P$5&gt;=$J13,P$5&lt;=$K13),$I13/$L13,0)+IF(AND($M13="S-Curve",P$5&gt;=$J13,P$5&lt;=$K13),(_xlfn.NORM.DIST((YEAR(P$5)-YEAR($J13))*12+MONTH(P$5)-MONTH($J13)+1,$L13/2,$N13,TRUE)-_xlfn.NORM.DIST((YEAR(P$5)-YEAR($J13))*12+MONTH(P$5)-MONTH($J13),$L13/2,$N13,TRUE))/(1-2*_xlfn.NORM.DIST(0,$L13/2,$N13,TRUE))*$I13," "),"")</f>
        <v>8.5392548508390301E-2</v>
      </c>
      <c r="Q13" s="528">
        <f t="shared" si="14"/>
        <v>8.8625827356148115E-2</v>
      </c>
      <c r="R13" s="528">
        <f t="shared" si="14"/>
        <v>9.1225003862203918E-2</v>
      </c>
      <c r="S13" s="528">
        <f t="shared" si="14"/>
        <v>9.3128099210826959E-2</v>
      </c>
      <c r="T13" s="528">
        <f t="shared" si="14"/>
        <v>9.4288960525174298E-2</v>
      </c>
      <c r="U13" s="528">
        <f t="shared" si="14"/>
        <v>9.467912107451297E-2</v>
      </c>
      <c r="V13" s="528">
        <f t="shared" si="14"/>
        <v>9.4288960525174006E-2</v>
      </c>
      <c r="W13" s="528">
        <f t="shared" si="14"/>
        <v>9.3128099210827112E-2</v>
      </c>
      <c r="X13" s="528">
        <f t="shared" si="14"/>
        <v>9.1225003862203918E-2</v>
      </c>
      <c r="Y13" s="528">
        <f t="shared" si="14"/>
        <v>8.8625827356147976E-2</v>
      </c>
      <c r="Z13" s="528">
        <f t="shared" si="14"/>
        <v>8.539254850839044E-2</v>
      </c>
      <c r="AA13" s="528" t="str">
        <f t="shared" si="14"/>
        <v/>
      </c>
      <c r="AB13" s="528" t="str">
        <f t="shared" si="14"/>
        <v/>
      </c>
      <c r="AC13" s="528" t="str">
        <f t="shared" si="14"/>
        <v/>
      </c>
      <c r="AD13" s="528" t="str">
        <f t="shared" si="14"/>
        <v/>
      </c>
      <c r="AE13" s="528" t="str">
        <f t="shared" si="14"/>
        <v/>
      </c>
      <c r="AF13" s="528" t="str">
        <f t="shared" si="14"/>
        <v/>
      </c>
      <c r="AG13" s="528" t="str">
        <f t="shared" si="14"/>
        <v/>
      </c>
      <c r="AH13" s="528" t="str">
        <f t="shared" si="14"/>
        <v/>
      </c>
      <c r="AI13" s="528" t="str">
        <f t="shared" si="14"/>
        <v/>
      </c>
      <c r="AJ13" s="528" t="str">
        <f t="shared" si="14"/>
        <v/>
      </c>
      <c r="AK13" s="528" t="str">
        <f t="shared" si="14"/>
        <v/>
      </c>
      <c r="AL13" s="528" t="str">
        <f t="shared" si="14"/>
        <v/>
      </c>
      <c r="AM13" s="528" t="str">
        <f t="shared" si="14"/>
        <v/>
      </c>
      <c r="AN13" s="528" t="str">
        <f t="shared" si="14"/>
        <v/>
      </c>
      <c r="AO13" s="528" t="str">
        <f t="shared" si="14"/>
        <v/>
      </c>
      <c r="AP13" s="528" t="str">
        <f t="shared" si="14"/>
        <v/>
      </c>
      <c r="AQ13" s="528" t="str">
        <f t="shared" si="14"/>
        <v/>
      </c>
      <c r="AR13" s="528" t="str">
        <f t="shared" si="14"/>
        <v/>
      </c>
      <c r="AS13" s="528" t="str">
        <f t="shared" si="14"/>
        <v/>
      </c>
      <c r="AT13" s="528" t="str">
        <f t="shared" si="14"/>
        <v/>
      </c>
      <c r="AU13" s="528" t="str">
        <f t="shared" si="14"/>
        <v/>
      </c>
      <c r="AV13" s="528" t="str">
        <f t="shared" si="14"/>
        <v/>
      </c>
      <c r="AW13" s="528" t="str">
        <f t="shared" si="14"/>
        <v/>
      </c>
      <c r="AX13" s="528" t="str">
        <f t="shared" si="14"/>
        <v/>
      </c>
      <c r="AY13" s="528" t="str">
        <f t="shared" si="14"/>
        <v/>
      </c>
      <c r="AZ13" s="528" t="str">
        <f t="shared" si="14"/>
        <v/>
      </c>
      <c r="BA13" s="528" t="str">
        <f t="shared" si="14"/>
        <v/>
      </c>
      <c r="BB13" s="528" t="str">
        <f t="shared" si="14"/>
        <v/>
      </c>
      <c r="BC13" s="528" t="str">
        <f t="shared" si="14"/>
        <v/>
      </c>
      <c r="BD13" s="528" t="str">
        <f t="shared" si="14"/>
        <v/>
      </c>
      <c r="BE13" s="528" t="str">
        <f t="shared" si="14"/>
        <v/>
      </c>
      <c r="BF13" s="528" t="str">
        <f t="shared" si="14"/>
        <v/>
      </c>
      <c r="BG13" s="528" t="str">
        <f t="shared" si="14"/>
        <v/>
      </c>
      <c r="BH13" s="528" t="str">
        <f t="shared" si="14"/>
        <v/>
      </c>
      <c r="BI13" s="528" t="str">
        <f t="shared" si="14"/>
        <v/>
      </c>
      <c r="BJ13" s="528" t="str">
        <f t="shared" si="14"/>
        <v/>
      </c>
      <c r="BK13" s="528" t="str">
        <f t="shared" si="14"/>
        <v/>
      </c>
      <c r="BL13" s="528" t="str">
        <f t="shared" si="14"/>
        <v/>
      </c>
      <c r="BM13" s="528" t="str">
        <f t="shared" si="14"/>
        <v/>
      </c>
    </row>
    <row r="14" spans="2:65" x14ac:dyDescent="0.25">
      <c r="B14" s="9">
        <v>2</v>
      </c>
      <c r="C14" s="20">
        <v>2</v>
      </c>
      <c r="F14" s="197"/>
      <c r="G14" s="197">
        <f t="shared" si="3"/>
        <v>0</v>
      </c>
      <c r="H14" s="197">
        <f t="shared" si="4"/>
        <v>121</v>
      </c>
      <c r="I14" s="523">
        <v>1</v>
      </c>
      <c r="J14" s="533">
        <f>'Monthly DCF'!$I$3</f>
        <v>46418</v>
      </c>
      <c r="K14" s="533">
        <f t="shared" si="5"/>
        <v>46752</v>
      </c>
      <c r="L14" s="536">
        <f t="shared" si="8"/>
        <v>12</v>
      </c>
      <c r="M14" s="20" t="s">
        <v>366</v>
      </c>
      <c r="N14" s="20">
        <f t="shared" si="6"/>
        <v>12</v>
      </c>
      <c r="O14" s="537">
        <v>1</v>
      </c>
      <c r="P14" s="528">
        <f t="shared" ref="P14:BM14" si="15">IFERROR(+IF(AND($M14="Flat",P$5&gt;=$J14,P$5&lt;=$K14),$I14/$L14,0)+IF(AND($M14="S-Curve",P$5&gt;=$J14,P$5&lt;=$K14),(_xlfn.NORM.DIST((YEAR(P$5)-YEAR($J14))*12+MONTH(P$5)-MONTH($J14)+1,$L14/2,$N14,TRUE)-_xlfn.NORM.DIST((YEAR(P$5)-YEAR($J14))*12+MONTH(P$5)-MONTH($J14),$L14/2,$N14,TRUE))/(1-2*_xlfn.NORM.DIST(0,$L14/2,$N14,TRUE))*$I14," "),"")</f>
        <v>7.8144772049799791E-2</v>
      </c>
      <c r="Q14" s="528">
        <f t="shared" si="15"/>
        <v>8.090416383694235E-2</v>
      </c>
      <c r="R14" s="528">
        <f t="shared" si="15"/>
        <v>8.3181668937512901E-2</v>
      </c>
      <c r="S14" s="528">
        <f t="shared" si="15"/>
        <v>8.4931774238176119E-2</v>
      </c>
      <c r="T14" s="528">
        <f t="shared" si="15"/>
        <v>8.6118919966995375E-2</v>
      </c>
      <c r="U14" s="528">
        <f t="shared" si="15"/>
        <v>8.6718700970573451E-2</v>
      </c>
      <c r="V14" s="528">
        <f t="shared" si="15"/>
        <v>8.6718700970573298E-2</v>
      </c>
      <c r="W14" s="528">
        <f t="shared" si="15"/>
        <v>8.6118919966995514E-2</v>
      </c>
      <c r="X14" s="528">
        <f t="shared" si="15"/>
        <v>8.4931774238176119E-2</v>
      </c>
      <c r="Y14" s="528">
        <f t="shared" si="15"/>
        <v>8.318166893751304E-2</v>
      </c>
      <c r="Z14" s="528">
        <f t="shared" si="15"/>
        <v>8.0904163836942072E-2</v>
      </c>
      <c r="AA14" s="528">
        <f t="shared" si="15"/>
        <v>7.8144772049799943E-2</v>
      </c>
      <c r="AB14" s="528" t="str">
        <f t="shared" si="15"/>
        <v/>
      </c>
      <c r="AC14" s="528" t="str">
        <f t="shared" si="15"/>
        <v/>
      </c>
      <c r="AD14" s="528" t="str">
        <f t="shared" si="15"/>
        <v/>
      </c>
      <c r="AE14" s="528" t="str">
        <f t="shared" si="15"/>
        <v/>
      </c>
      <c r="AF14" s="528" t="str">
        <f t="shared" si="15"/>
        <v/>
      </c>
      <c r="AG14" s="528" t="str">
        <f t="shared" si="15"/>
        <v/>
      </c>
      <c r="AH14" s="528" t="str">
        <f t="shared" si="15"/>
        <v/>
      </c>
      <c r="AI14" s="528" t="str">
        <f t="shared" si="15"/>
        <v/>
      </c>
      <c r="AJ14" s="528" t="str">
        <f t="shared" si="15"/>
        <v/>
      </c>
      <c r="AK14" s="528" t="str">
        <f t="shared" si="15"/>
        <v/>
      </c>
      <c r="AL14" s="528" t="str">
        <f t="shared" si="15"/>
        <v/>
      </c>
      <c r="AM14" s="528" t="str">
        <f t="shared" si="15"/>
        <v/>
      </c>
      <c r="AN14" s="528" t="str">
        <f t="shared" si="15"/>
        <v/>
      </c>
      <c r="AO14" s="528" t="str">
        <f t="shared" si="15"/>
        <v/>
      </c>
      <c r="AP14" s="528" t="str">
        <f t="shared" si="15"/>
        <v/>
      </c>
      <c r="AQ14" s="528" t="str">
        <f t="shared" si="15"/>
        <v/>
      </c>
      <c r="AR14" s="528" t="str">
        <f t="shared" si="15"/>
        <v/>
      </c>
      <c r="AS14" s="528" t="str">
        <f t="shared" si="15"/>
        <v/>
      </c>
      <c r="AT14" s="528" t="str">
        <f t="shared" si="15"/>
        <v/>
      </c>
      <c r="AU14" s="528" t="str">
        <f t="shared" si="15"/>
        <v/>
      </c>
      <c r="AV14" s="528" t="str">
        <f t="shared" si="15"/>
        <v/>
      </c>
      <c r="AW14" s="528" t="str">
        <f t="shared" si="15"/>
        <v/>
      </c>
      <c r="AX14" s="528" t="str">
        <f t="shared" si="15"/>
        <v/>
      </c>
      <c r="AY14" s="528" t="str">
        <f t="shared" si="15"/>
        <v/>
      </c>
      <c r="AZ14" s="528" t="str">
        <f t="shared" si="15"/>
        <v/>
      </c>
      <c r="BA14" s="528" t="str">
        <f t="shared" si="15"/>
        <v/>
      </c>
      <c r="BB14" s="528" t="str">
        <f t="shared" si="15"/>
        <v/>
      </c>
      <c r="BC14" s="528" t="str">
        <f t="shared" si="15"/>
        <v/>
      </c>
      <c r="BD14" s="528" t="str">
        <f t="shared" si="15"/>
        <v/>
      </c>
      <c r="BE14" s="528" t="str">
        <f t="shared" si="15"/>
        <v/>
      </c>
      <c r="BF14" s="528" t="str">
        <f t="shared" si="15"/>
        <v/>
      </c>
      <c r="BG14" s="528" t="str">
        <f t="shared" si="15"/>
        <v/>
      </c>
      <c r="BH14" s="528" t="str">
        <f t="shared" si="15"/>
        <v/>
      </c>
      <c r="BI14" s="528" t="str">
        <f t="shared" si="15"/>
        <v/>
      </c>
      <c r="BJ14" s="528" t="str">
        <f t="shared" si="15"/>
        <v/>
      </c>
      <c r="BK14" s="528" t="str">
        <f t="shared" si="15"/>
        <v/>
      </c>
      <c r="BL14" s="528" t="str">
        <f t="shared" si="15"/>
        <v/>
      </c>
      <c r="BM14" s="528" t="str">
        <f t="shared" si="15"/>
        <v/>
      </c>
    </row>
    <row r="15" spans="2:65" x14ac:dyDescent="0.25">
      <c r="B15" s="538" t="s">
        <v>367</v>
      </c>
      <c r="C15" s="20">
        <v>1</v>
      </c>
      <c r="F15" s="197"/>
      <c r="G15" s="197">
        <f t="shared" si="3"/>
        <v>0</v>
      </c>
      <c r="H15" s="197">
        <f t="shared" si="4"/>
        <v>131</v>
      </c>
      <c r="I15" s="523">
        <v>1</v>
      </c>
      <c r="J15" s="533">
        <f>'Monthly DCF'!$I$3</f>
        <v>46418</v>
      </c>
      <c r="K15" s="533">
        <f t="shared" si="5"/>
        <v>46783</v>
      </c>
      <c r="L15" s="536">
        <f t="shared" si="8"/>
        <v>13</v>
      </c>
      <c r="M15" s="20" t="s">
        <v>366</v>
      </c>
      <c r="N15" s="20">
        <f t="shared" si="6"/>
        <v>13</v>
      </c>
      <c r="O15" s="537">
        <v>1</v>
      </c>
      <c r="P15" s="528">
        <f t="shared" ref="P15:BM15" si="16">IFERROR(+IF(AND($M15="Flat",P$5&gt;=$J15,P$5&lt;=$K15),$I15/$L15,0)+IF(AND($M15="S-Curve",P$5&gt;=$J15,P$5&lt;=$K15),(_xlfn.NORM.DIST((YEAR(P$5)-YEAR($J15))*12+MONTH(P$5)-MONTH($J15)+1,$L15/2,$N15,TRUE)-_xlfn.NORM.DIST((YEAR(P$5)-YEAR($J15))*12+MONTH(P$5)-MONTH($J15),$L15/2,$N15,TRUE))/(1-2*_xlfn.NORM.DIST(0,$L15/2,$N15,TRUE))*$I15," "),"")</f>
        <v>7.2029865420752931E-2</v>
      </c>
      <c r="Q15" s="528">
        <f t="shared" si="16"/>
        <v>7.441140068747297E-2</v>
      </c>
      <c r="R15" s="528">
        <f t="shared" si="16"/>
        <v>7.6418381060726265E-2</v>
      </c>
      <c r="S15" s="528">
        <f t="shared" si="16"/>
        <v>7.8016715595371169E-2</v>
      </c>
      <c r="T15" s="528">
        <f t="shared" si="16"/>
        <v>7.9178810020824497E-2</v>
      </c>
      <c r="U15" s="528">
        <f t="shared" si="16"/>
        <v>7.9884359022734094E-2</v>
      </c>
      <c r="V15" s="528">
        <f t="shared" si="16"/>
        <v>8.012093638423616E-2</v>
      </c>
      <c r="W15" s="528">
        <f t="shared" si="16"/>
        <v>7.9884359022734233E-2</v>
      </c>
      <c r="X15" s="528">
        <f t="shared" si="16"/>
        <v>7.9178810020824358E-2</v>
      </c>
      <c r="Y15" s="528">
        <f t="shared" si="16"/>
        <v>7.8016715595371031E-2</v>
      </c>
      <c r="Z15" s="528">
        <f t="shared" si="16"/>
        <v>7.6418381060726265E-2</v>
      </c>
      <c r="AA15" s="528">
        <f t="shared" si="16"/>
        <v>7.4411400687473248E-2</v>
      </c>
      <c r="AB15" s="528">
        <f t="shared" si="16"/>
        <v>7.2029865420752778E-2</v>
      </c>
      <c r="AC15" s="528" t="str">
        <f t="shared" si="16"/>
        <v/>
      </c>
      <c r="AD15" s="528" t="str">
        <f t="shared" si="16"/>
        <v/>
      </c>
      <c r="AE15" s="528" t="str">
        <f t="shared" si="16"/>
        <v/>
      </c>
      <c r="AF15" s="528" t="str">
        <f t="shared" si="16"/>
        <v/>
      </c>
      <c r="AG15" s="528" t="str">
        <f t="shared" si="16"/>
        <v/>
      </c>
      <c r="AH15" s="528" t="str">
        <f t="shared" si="16"/>
        <v/>
      </c>
      <c r="AI15" s="528" t="str">
        <f t="shared" si="16"/>
        <v/>
      </c>
      <c r="AJ15" s="528" t="str">
        <f t="shared" si="16"/>
        <v/>
      </c>
      <c r="AK15" s="528" t="str">
        <f t="shared" si="16"/>
        <v/>
      </c>
      <c r="AL15" s="528" t="str">
        <f t="shared" si="16"/>
        <v/>
      </c>
      <c r="AM15" s="528" t="str">
        <f t="shared" si="16"/>
        <v/>
      </c>
      <c r="AN15" s="528" t="str">
        <f t="shared" si="16"/>
        <v/>
      </c>
      <c r="AO15" s="528" t="str">
        <f t="shared" si="16"/>
        <v/>
      </c>
      <c r="AP15" s="528" t="str">
        <f t="shared" si="16"/>
        <v/>
      </c>
      <c r="AQ15" s="528" t="str">
        <f t="shared" si="16"/>
        <v/>
      </c>
      <c r="AR15" s="528" t="str">
        <f t="shared" si="16"/>
        <v/>
      </c>
      <c r="AS15" s="528" t="str">
        <f t="shared" si="16"/>
        <v/>
      </c>
      <c r="AT15" s="528" t="str">
        <f t="shared" si="16"/>
        <v/>
      </c>
      <c r="AU15" s="528" t="str">
        <f t="shared" si="16"/>
        <v/>
      </c>
      <c r="AV15" s="528" t="str">
        <f t="shared" si="16"/>
        <v/>
      </c>
      <c r="AW15" s="528" t="str">
        <f t="shared" si="16"/>
        <v/>
      </c>
      <c r="AX15" s="528" t="str">
        <f t="shared" si="16"/>
        <v/>
      </c>
      <c r="AY15" s="528" t="str">
        <f t="shared" si="16"/>
        <v/>
      </c>
      <c r="AZ15" s="528" t="str">
        <f t="shared" si="16"/>
        <v/>
      </c>
      <c r="BA15" s="528" t="str">
        <f t="shared" si="16"/>
        <v/>
      </c>
      <c r="BB15" s="528" t="str">
        <f t="shared" si="16"/>
        <v/>
      </c>
      <c r="BC15" s="528" t="str">
        <f t="shared" si="16"/>
        <v/>
      </c>
      <c r="BD15" s="528" t="str">
        <f t="shared" si="16"/>
        <v/>
      </c>
      <c r="BE15" s="528" t="str">
        <f t="shared" si="16"/>
        <v/>
      </c>
      <c r="BF15" s="528" t="str">
        <f t="shared" si="16"/>
        <v/>
      </c>
      <c r="BG15" s="528" t="str">
        <f t="shared" si="16"/>
        <v/>
      </c>
      <c r="BH15" s="528" t="str">
        <f t="shared" si="16"/>
        <v/>
      </c>
      <c r="BI15" s="528" t="str">
        <f t="shared" si="16"/>
        <v/>
      </c>
      <c r="BJ15" s="528" t="str">
        <f t="shared" si="16"/>
        <v/>
      </c>
      <c r="BK15" s="528" t="str">
        <f t="shared" si="16"/>
        <v/>
      </c>
      <c r="BL15" s="528" t="str">
        <f t="shared" si="16"/>
        <v/>
      </c>
      <c r="BM15" s="528" t="str">
        <f t="shared" si="16"/>
        <v/>
      </c>
    </row>
    <row r="16" spans="2:65" x14ac:dyDescent="0.25">
      <c r="F16" s="197"/>
      <c r="G16" s="197">
        <f t="shared" si="3"/>
        <v>0</v>
      </c>
      <c r="H16" s="197">
        <f t="shared" si="4"/>
        <v>141</v>
      </c>
      <c r="I16" s="523">
        <v>1</v>
      </c>
      <c r="J16" s="533">
        <f>'Monthly DCF'!$I$3</f>
        <v>46418</v>
      </c>
      <c r="K16" s="533">
        <f t="shared" si="5"/>
        <v>46812</v>
      </c>
      <c r="L16" s="536">
        <f t="shared" si="8"/>
        <v>14</v>
      </c>
      <c r="M16" s="20" t="s">
        <v>366</v>
      </c>
      <c r="N16" s="20">
        <f t="shared" si="6"/>
        <v>14</v>
      </c>
      <c r="O16" s="537">
        <v>1</v>
      </c>
      <c r="P16" s="528">
        <f t="shared" ref="P16:BM16" si="17">IFERROR(+IF(AND($M16="Flat",P$5&gt;=$J16,P$5&lt;=$K16),$I16/$L16,0)+IF(AND($M16="S-Curve",P$5&gt;=$J16,P$5&lt;=$K16),(_xlfn.NORM.DIST((YEAR(P$5)-YEAR($J16))*12+MONTH(P$5)-MONTH($J16)+1,$L16/2,$N16,TRUE)-_xlfn.NORM.DIST((YEAR(P$5)-YEAR($J16))*12+MONTH(P$5)-MONTH($J16),$L16/2,$N16,TRUE))/(1-2*_xlfn.NORM.DIST(0,$L16/2,$N16,TRUE))*$I16," "),"")</f>
        <v>6.6801690528329349E-2</v>
      </c>
      <c r="Q16" s="528">
        <f t="shared" si="17"/>
        <v>6.8877366032248255E-2</v>
      </c>
      <c r="R16" s="528">
        <f t="shared" si="17"/>
        <v>7.0656278957041907E-2</v>
      </c>
      <c r="S16" s="528">
        <f t="shared" si="17"/>
        <v>7.2112432761390649E-2</v>
      </c>
      <c r="T16" s="528">
        <f t="shared" si="17"/>
        <v>7.322420846639334E-2</v>
      </c>
      <c r="U16" s="528">
        <f t="shared" si="17"/>
        <v>7.3974898555830962E-2</v>
      </c>
      <c r="V16" s="528">
        <f t="shared" si="17"/>
        <v>7.4353124698765552E-2</v>
      </c>
      <c r="W16" s="528">
        <f t="shared" si="17"/>
        <v>7.4353124698765552E-2</v>
      </c>
      <c r="X16" s="528">
        <f t="shared" si="17"/>
        <v>7.3974898555830962E-2</v>
      </c>
      <c r="Y16" s="528">
        <f t="shared" si="17"/>
        <v>7.322420846639334E-2</v>
      </c>
      <c r="Z16" s="528">
        <f t="shared" si="17"/>
        <v>7.2112432761390649E-2</v>
      </c>
      <c r="AA16" s="528">
        <f t="shared" si="17"/>
        <v>7.0656278957042046E-2</v>
      </c>
      <c r="AB16" s="528">
        <f t="shared" si="17"/>
        <v>6.8877366032248102E-2</v>
      </c>
      <c r="AC16" s="528">
        <f t="shared" si="17"/>
        <v>6.6801690528329349E-2</v>
      </c>
      <c r="AD16" s="528" t="str">
        <f t="shared" si="17"/>
        <v/>
      </c>
      <c r="AE16" s="528" t="str">
        <f t="shared" si="17"/>
        <v/>
      </c>
      <c r="AF16" s="528" t="str">
        <f t="shared" si="17"/>
        <v/>
      </c>
      <c r="AG16" s="528" t="str">
        <f t="shared" si="17"/>
        <v/>
      </c>
      <c r="AH16" s="528" t="str">
        <f t="shared" si="17"/>
        <v/>
      </c>
      <c r="AI16" s="528" t="str">
        <f t="shared" si="17"/>
        <v/>
      </c>
      <c r="AJ16" s="528" t="str">
        <f t="shared" si="17"/>
        <v/>
      </c>
      <c r="AK16" s="528" t="str">
        <f t="shared" si="17"/>
        <v/>
      </c>
      <c r="AL16" s="528" t="str">
        <f t="shared" si="17"/>
        <v/>
      </c>
      <c r="AM16" s="528" t="str">
        <f t="shared" si="17"/>
        <v/>
      </c>
      <c r="AN16" s="528" t="str">
        <f t="shared" si="17"/>
        <v/>
      </c>
      <c r="AO16" s="528" t="str">
        <f t="shared" si="17"/>
        <v/>
      </c>
      <c r="AP16" s="528" t="str">
        <f t="shared" si="17"/>
        <v/>
      </c>
      <c r="AQ16" s="528" t="str">
        <f t="shared" si="17"/>
        <v/>
      </c>
      <c r="AR16" s="528" t="str">
        <f t="shared" si="17"/>
        <v/>
      </c>
      <c r="AS16" s="528" t="str">
        <f t="shared" si="17"/>
        <v/>
      </c>
      <c r="AT16" s="528" t="str">
        <f t="shared" si="17"/>
        <v/>
      </c>
      <c r="AU16" s="528" t="str">
        <f t="shared" si="17"/>
        <v/>
      </c>
      <c r="AV16" s="528" t="str">
        <f t="shared" si="17"/>
        <v/>
      </c>
      <c r="AW16" s="528" t="str">
        <f t="shared" si="17"/>
        <v/>
      </c>
      <c r="AX16" s="528" t="str">
        <f t="shared" si="17"/>
        <v/>
      </c>
      <c r="AY16" s="528" t="str">
        <f t="shared" si="17"/>
        <v/>
      </c>
      <c r="AZ16" s="528" t="str">
        <f t="shared" si="17"/>
        <v/>
      </c>
      <c r="BA16" s="528" t="str">
        <f t="shared" si="17"/>
        <v/>
      </c>
      <c r="BB16" s="528" t="str">
        <f t="shared" si="17"/>
        <v/>
      </c>
      <c r="BC16" s="528" t="str">
        <f t="shared" si="17"/>
        <v/>
      </c>
      <c r="BD16" s="528" t="str">
        <f t="shared" si="17"/>
        <v/>
      </c>
      <c r="BE16" s="528" t="str">
        <f t="shared" si="17"/>
        <v/>
      </c>
      <c r="BF16" s="528" t="str">
        <f t="shared" si="17"/>
        <v/>
      </c>
      <c r="BG16" s="528" t="str">
        <f t="shared" si="17"/>
        <v/>
      </c>
      <c r="BH16" s="528" t="str">
        <f t="shared" si="17"/>
        <v/>
      </c>
      <c r="BI16" s="528" t="str">
        <f t="shared" si="17"/>
        <v/>
      </c>
      <c r="BJ16" s="528" t="str">
        <f t="shared" si="17"/>
        <v/>
      </c>
      <c r="BK16" s="528" t="str">
        <f t="shared" si="17"/>
        <v/>
      </c>
      <c r="BL16" s="528" t="str">
        <f t="shared" si="17"/>
        <v/>
      </c>
      <c r="BM16" s="528" t="str">
        <f t="shared" si="17"/>
        <v/>
      </c>
    </row>
    <row r="17" spans="2:65" x14ac:dyDescent="0.25">
      <c r="F17" s="197"/>
      <c r="G17" s="197">
        <f t="shared" si="3"/>
        <v>0</v>
      </c>
      <c r="H17" s="197">
        <f t="shared" si="4"/>
        <v>151</v>
      </c>
      <c r="I17" s="523">
        <v>1</v>
      </c>
      <c r="J17" s="533">
        <f>'Monthly DCF'!$I$3</f>
        <v>46418</v>
      </c>
      <c r="K17" s="533">
        <f t="shared" si="5"/>
        <v>46843</v>
      </c>
      <c r="L17" s="536">
        <f t="shared" si="8"/>
        <v>15</v>
      </c>
      <c r="M17" s="20" t="s">
        <v>366</v>
      </c>
      <c r="N17" s="20">
        <f t="shared" si="6"/>
        <v>15</v>
      </c>
      <c r="O17" s="537">
        <v>1</v>
      </c>
      <c r="P17" s="528">
        <f t="shared" ref="P17:BM17" si="18">IFERROR(+IF(AND($M17="Flat",P$5&gt;=$J17,P$5&lt;=$K17),$I17/$L17,0)+IF(AND($M17="S-Curve",P$5&gt;=$J17,P$5&lt;=$K17),(_xlfn.NORM.DIST((YEAR(P$5)-YEAR($J17))*12+MONTH(P$5)-MONTH($J17)+1,$L17/2,$N17,TRUE)-_xlfn.NORM.DIST((YEAR(P$5)-YEAR($J17))*12+MONTH(P$5)-MONTH($J17),$L17/2,$N17,TRUE))/(1-2*_xlfn.NORM.DIST(0,$L17/2,$N17,TRUE))*$I17," "),"")</f>
        <v>6.2280547690643145E-2</v>
      </c>
      <c r="Q17" s="528">
        <f t="shared" si="18"/>
        <v>6.4105318472042691E-2</v>
      </c>
      <c r="R17" s="528">
        <f t="shared" si="18"/>
        <v>6.569105219416442E-2</v>
      </c>
      <c r="S17" s="528">
        <f t="shared" si="18"/>
        <v>6.7017603124616021E-2</v>
      </c>
      <c r="T17" s="528">
        <f t="shared" si="18"/>
        <v>6.8067857580964897E-2</v>
      </c>
      <c r="U17" s="528">
        <f t="shared" si="18"/>
        <v>6.8828101233262287E-2</v>
      </c>
      <c r="V17" s="528">
        <f t="shared" si="18"/>
        <v>6.9288317102445138E-2</v>
      </c>
      <c r="W17" s="528">
        <f t="shared" si="18"/>
        <v>6.9442405203722787E-2</v>
      </c>
      <c r="X17" s="528">
        <f t="shared" si="18"/>
        <v>6.9288317102445138E-2</v>
      </c>
      <c r="Y17" s="528">
        <f t="shared" si="18"/>
        <v>6.8828101233262287E-2</v>
      </c>
      <c r="Z17" s="528">
        <f t="shared" si="18"/>
        <v>6.8067857580965049E-2</v>
      </c>
      <c r="AA17" s="528">
        <f t="shared" si="18"/>
        <v>6.7017603124615868E-2</v>
      </c>
      <c r="AB17" s="528">
        <f t="shared" si="18"/>
        <v>6.569105219416442E-2</v>
      </c>
      <c r="AC17" s="528">
        <f t="shared" si="18"/>
        <v>6.4105318472042691E-2</v>
      </c>
      <c r="AD17" s="528">
        <f t="shared" si="18"/>
        <v>6.2280547690643145E-2</v>
      </c>
      <c r="AE17" s="528" t="str">
        <f t="shared" si="18"/>
        <v/>
      </c>
      <c r="AF17" s="528" t="str">
        <f t="shared" si="18"/>
        <v/>
      </c>
      <c r="AG17" s="528" t="str">
        <f t="shared" si="18"/>
        <v/>
      </c>
      <c r="AH17" s="528" t="str">
        <f t="shared" si="18"/>
        <v/>
      </c>
      <c r="AI17" s="528" t="str">
        <f t="shared" si="18"/>
        <v/>
      </c>
      <c r="AJ17" s="528" t="str">
        <f t="shared" si="18"/>
        <v/>
      </c>
      <c r="AK17" s="528" t="str">
        <f t="shared" si="18"/>
        <v/>
      </c>
      <c r="AL17" s="528" t="str">
        <f t="shared" si="18"/>
        <v/>
      </c>
      <c r="AM17" s="528" t="str">
        <f t="shared" si="18"/>
        <v/>
      </c>
      <c r="AN17" s="528" t="str">
        <f t="shared" si="18"/>
        <v/>
      </c>
      <c r="AO17" s="528" t="str">
        <f t="shared" si="18"/>
        <v/>
      </c>
      <c r="AP17" s="528" t="str">
        <f t="shared" si="18"/>
        <v/>
      </c>
      <c r="AQ17" s="528" t="str">
        <f t="shared" si="18"/>
        <v/>
      </c>
      <c r="AR17" s="528" t="str">
        <f t="shared" si="18"/>
        <v/>
      </c>
      <c r="AS17" s="528" t="str">
        <f t="shared" si="18"/>
        <v/>
      </c>
      <c r="AT17" s="528" t="str">
        <f t="shared" si="18"/>
        <v/>
      </c>
      <c r="AU17" s="528" t="str">
        <f t="shared" si="18"/>
        <v/>
      </c>
      <c r="AV17" s="528" t="str">
        <f t="shared" si="18"/>
        <v/>
      </c>
      <c r="AW17" s="528" t="str">
        <f t="shared" si="18"/>
        <v/>
      </c>
      <c r="AX17" s="528" t="str">
        <f t="shared" si="18"/>
        <v/>
      </c>
      <c r="AY17" s="528" t="str">
        <f t="shared" si="18"/>
        <v/>
      </c>
      <c r="AZ17" s="528" t="str">
        <f t="shared" si="18"/>
        <v/>
      </c>
      <c r="BA17" s="528" t="str">
        <f t="shared" si="18"/>
        <v/>
      </c>
      <c r="BB17" s="528" t="str">
        <f t="shared" si="18"/>
        <v/>
      </c>
      <c r="BC17" s="528" t="str">
        <f t="shared" si="18"/>
        <v/>
      </c>
      <c r="BD17" s="528" t="str">
        <f t="shared" si="18"/>
        <v/>
      </c>
      <c r="BE17" s="528" t="str">
        <f t="shared" si="18"/>
        <v/>
      </c>
      <c r="BF17" s="528" t="str">
        <f t="shared" si="18"/>
        <v/>
      </c>
      <c r="BG17" s="528" t="str">
        <f t="shared" si="18"/>
        <v/>
      </c>
      <c r="BH17" s="528" t="str">
        <f t="shared" si="18"/>
        <v/>
      </c>
      <c r="BI17" s="528" t="str">
        <f t="shared" si="18"/>
        <v/>
      </c>
      <c r="BJ17" s="528" t="str">
        <f t="shared" si="18"/>
        <v/>
      </c>
      <c r="BK17" s="528" t="str">
        <f t="shared" si="18"/>
        <v/>
      </c>
      <c r="BL17" s="528" t="str">
        <f t="shared" si="18"/>
        <v/>
      </c>
      <c r="BM17" s="528" t="str">
        <f t="shared" si="18"/>
        <v/>
      </c>
    </row>
    <row r="18" spans="2:65" x14ac:dyDescent="0.25">
      <c r="B18" s="25" t="s">
        <v>368</v>
      </c>
      <c r="F18" s="197"/>
      <c r="G18" s="197">
        <f t="shared" si="3"/>
        <v>0</v>
      </c>
      <c r="H18" s="197">
        <f t="shared" si="4"/>
        <v>161</v>
      </c>
      <c r="I18" s="523">
        <v>1</v>
      </c>
      <c r="J18" s="533">
        <f>'Monthly DCF'!$I$3</f>
        <v>46418</v>
      </c>
      <c r="K18" s="533">
        <f t="shared" si="5"/>
        <v>46873</v>
      </c>
      <c r="L18" s="536">
        <f t="shared" si="8"/>
        <v>16</v>
      </c>
      <c r="M18" s="20" t="s">
        <v>366</v>
      </c>
      <c r="N18" s="20">
        <f t="shared" si="6"/>
        <v>16</v>
      </c>
      <c r="O18" s="537">
        <v>1</v>
      </c>
      <c r="P18" s="528">
        <f t="shared" ref="P18:BM18" si="19">IFERROR(+IF(AND($M18="Flat",P$5&gt;=$J18,P$5&lt;=$K18),$I18/$L18,0)+IF(AND($M18="S-Curve",P$5&gt;=$J18,P$5&lt;=$K18),(_xlfn.NORM.DIST((YEAR(P$5)-YEAR($J18))*12+MONTH(P$5)-MONTH($J18)+1,$L18/2,$N18,TRUE)-_xlfn.NORM.DIST((YEAR(P$5)-YEAR($J18))*12+MONTH(P$5)-MONTH($J18),$L18/2,$N18,TRUE))/(1-2*_xlfn.NORM.DIST(0,$L18/2,$N18,TRUE))*$I18," "),"")</f>
        <v>5.8332189940159485E-2</v>
      </c>
      <c r="Q18" s="528">
        <f t="shared" si="19"/>
        <v>5.994868428423545E-2</v>
      </c>
      <c r="R18" s="528">
        <f t="shared" si="19"/>
        <v>6.1369858211878008E-2</v>
      </c>
      <c r="S18" s="528">
        <f t="shared" si="19"/>
        <v>6.2579872387982113E-2</v>
      </c>
      <c r="T18" s="528">
        <f t="shared" si="19"/>
        <v>6.3565038715843014E-2</v>
      </c>
      <c r="U18" s="528">
        <f t="shared" si="19"/>
        <v>6.431407797097756E-2</v>
      </c>
      <c r="V18" s="528">
        <f t="shared" si="19"/>
        <v>6.4818334716128828E-2</v>
      </c>
      <c r="W18" s="528">
        <f t="shared" si="19"/>
        <v>6.5071943772795529E-2</v>
      </c>
      <c r="X18" s="528">
        <f t="shared" si="19"/>
        <v>6.507194377279539E-2</v>
      </c>
      <c r="Y18" s="528">
        <f t="shared" si="19"/>
        <v>6.4818334716128981E-2</v>
      </c>
      <c r="Z18" s="528">
        <f t="shared" si="19"/>
        <v>6.4314077970977421E-2</v>
      </c>
      <c r="AA18" s="528">
        <f t="shared" si="19"/>
        <v>6.3565038715843167E-2</v>
      </c>
      <c r="AB18" s="528">
        <f t="shared" si="19"/>
        <v>6.2579872387981975E-2</v>
      </c>
      <c r="AC18" s="528">
        <f t="shared" si="19"/>
        <v>6.1369858211878146E-2</v>
      </c>
      <c r="AD18" s="528">
        <f t="shared" si="19"/>
        <v>5.994868428423545E-2</v>
      </c>
      <c r="AE18" s="528">
        <f t="shared" si="19"/>
        <v>5.8332189940159485E-2</v>
      </c>
      <c r="AF18" s="528" t="str">
        <f t="shared" si="19"/>
        <v/>
      </c>
      <c r="AG18" s="528" t="str">
        <f t="shared" si="19"/>
        <v/>
      </c>
      <c r="AH18" s="528" t="str">
        <f t="shared" si="19"/>
        <v/>
      </c>
      <c r="AI18" s="528" t="str">
        <f t="shared" si="19"/>
        <v/>
      </c>
      <c r="AJ18" s="528" t="str">
        <f t="shared" si="19"/>
        <v/>
      </c>
      <c r="AK18" s="528" t="str">
        <f t="shared" si="19"/>
        <v/>
      </c>
      <c r="AL18" s="528" t="str">
        <f t="shared" si="19"/>
        <v/>
      </c>
      <c r="AM18" s="528" t="str">
        <f t="shared" si="19"/>
        <v/>
      </c>
      <c r="AN18" s="528" t="str">
        <f t="shared" si="19"/>
        <v/>
      </c>
      <c r="AO18" s="528" t="str">
        <f t="shared" si="19"/>
        <v/>
      </c>
      <c r="AP18" s="528" t="str">
        <f t="shared" si="19"/>
        <v/>
      </c>
      <c r="AQ18" s="528" t="str">
        <f t="shared" si="19"/>
        <v/>
      </c>
      <c r="AR18" s="528" t="str">
        <f t="shared" si="19"/>
        <v/>
      </c>
      <c r="AS18" s="528" t="str">
        <f t="shared" si="19"/>
        <v/>
      </c>
      <c r="AT18" s="528" t="str">
        <f t="shared" si="19"/>
        <v/>
      </c>
      <c r="AU18" s="528" t="str">
        <f t="shared" si="19"/>
        <v/>
      </c>
      <c r="AV18" s="528" t="str">
        <f t="shared" si="19"/>
        <v/>
      </c>
      <c r="AW18" s="528" t="str">
        <f t="shared" si="19"/>
        <v/>
      </c>
      <c r="AX18" s="528" t="str">
        <f t="shared" si="19"/>
        <v/>
      </c>
      <c r="AY18" s="528" t="str">
        <f t="shared" si="19"/>
        <v/>
      </c>
      <c r="AZ18" s="528" t="str">
        <f t="shared" si="19"/>
        <v/>
      </c>
      <c r="BA18" s="528" t="str">
        <f t="shared" si="19"/>
        <v/>
      </c>
      <c r="BB18" s="528" t="str">
        <f t="shared" si="19"/>
        <v/>
      </c>
      <c r="BC18" s="528" t="str">
        <f t="shared" si="19"/>
        <v/>
      </c>
      <c r="BD18" s="528" t="str">
        <f t="shared" si="19"/>
        <v/>
      </c>
      <c r="BE18" s="528" t="str">
        <f t="shared" si="19"/>
        <v/>
      </c>
      <c r="BF18" s="528" t="str">
        <f t="shared" si="19"/>
        <v/>
      </c>
      <c r="BG18" s="528" t="str">
        <f t="shared" si="19"/>
        <v/>
      </c>
      <c r="BH18" s="528" t="str">
        <f t="shared" si="19"/>
        <v/>
      </c>
      <c r="BI18" s="528" t="str">
        <f t="shared" si="19"/>
        <v/>
      </c>
      <c r="BJ18" s="528" t="str">
        <f t="shared" si="19"/>
        <v/>
      </c>
      <c r="BK18" s="528" t="str">
        <f t="shared" si="19"/>
        <v/>
      </c>
      <c r="BL18" s="528" t="str">
        <f t="shared" si="19"/>
        <v/>
      </c>
      <c r="BM18" s="528" t="str">
        <f t="shared" si="19"/>
        <v/>
      </c>
    </row>
    <row r="19" spans="2:65" x14ac:dyDescent="0.25">
      <c r="B19" s="20" t="s">
        <v>107</v>
      </c>
      <c r="F19" s="197"/>
      <c r="G19" s="197">
        <f t="shared" si="3"/>
        <v>0</v>
      </c>
      <c r="H19" s="197">
        <f t="shared" si="4"/>
        <v>171</v>
      </c>
      <c r="I19" s="523">
        <v>1</v>
      </c>
      <c r="J19" s="533">
        <f>'Monthly DCF'!$I$3</f>
        <v>46418</v>
      </c>
      <c r="K19" s="533">
        <f t="shared" si="5"/>
        <v>46904</v>
      </c>
      <c r="L19" s="536">
        <f t="shared" si="8"/>
        <v>17</v>
      </c>
      <c r="M19" s="20" t="s">
        <v>366</v>
      </c>
      <c r="N19" s="20">
        <f t="shared" si="6"/>
        <v>17</v>
      </c>
      <c r="O19" s="537">
        <v>1</v>
      </c>
      <c r="P19" s="528">
        <f t="shared" ref="P19:BM19" si="20">IFERROR(+IF(AND($M19="Flat",P$5&gt;=$J19,P$5&lt;=$K19),$I19/$L19,0)+IF(AND($M19="S-Curve",P$5&gt;=$J19,P$5&lt;=$K19),(_xlfn.NORM.DIST((YEAR(P$5)-YEAR($J19))*12+MONTH(P$5)-MONTH($J19)+1,$L19/2,$N19,TRUE)-_xlfn.NORM.DIST((YEAR(P$5)-YEAR($J19))*12+MONTH(P$5)-MONTH($J19),$L19/2,$N19,TRUE))/(1-2*_xlfn.NORM.DIST(0,$L19/2,$N19,TRUE))*$I19," "),"")</f>
        <v>5.4854314797181003E-2</v>
      </c>
      <c r="Q19" s="528">
        <f t="shared" si="20"/>
        <v>5.6296081024400743E-2</v>
      </c>
      <c r="R19" s="528">
        <f t="shared" si="20"/>
        <v>5.7576228842229411E-2</v>
      </c>
      <c r="S19" s="528">
        <f t="shared" si="20"/>
        <v>5.8682141297340437E-2</v>
      </c>
      <c r="T19" s="528">
        <f t="shared" si="20"/>
        <v>5.9602760410163734E-2</v>
      </c>
      <c r="U19" s="528">
        <f t="shared" si="20"/>
        <v>6.0328771155103281E-2</v>
      </c>
      <c r="V19" s="528">
        <f t="shared" si="20"/>
        <v>6.0852758334039185E-2</v>
      </c>
      <c r="W19" s="528">
        <f t="shared" si="20"/>
        <v>6.1169332649480289E-2</v>
      </c>
      <c r="X19" s="528">
        <f t="shared" si="20"/>
        <v>6.1275222980123827E-2</v>
      </c>
      <c r="Y19" s="528">
        <f t="shared" si="20"/>
        <v>6.1169332649480143E-2</v>
      </c>
      <c r="Z19" s="528">
        <f t="shared" si="20"/>
        <v>6.0852758334039324E-2</v>
      </c>
      <c r="AA19" s="528">
        <f t="shared" si="20"/>
        <v>6.0328771155103281E-2</v>
      </c>
      <c r="AB19" s="528">
        <f t="shared" si="20"/>
        <v>5.9602760410163734E-2</v>
      </c>
      <c r="AC19" s="528">
        <f t="shared" si="20"/>
        <v>5.8682141297340437E-2</v>
      </c>
      <c r="AD19" s="528">
        <f t="shared" si="20"/>
        <v>5.7576228842229411E-2</v>
      </c>
      <c r="AE19" s="528">
        <f t="shared" si="20"/>
        <v>5.6296081024400743E-2</v>
      </c>
      <c r="AF19" s="528">
        <f t="shared" si="20"/>
        <v>5.4854314797181003E-2</v>
      </c>
      <c r="AG19" s="528" t="str">
        <f t="shared" si="20"/>
        <v/>
      </c>
      <c r="AH19" s="528" t="str">
        <f t="shared" si="20"/>
        <v/>
      </c>
      <c r="AI19" s="528" t="str">
        <f t="shared" si="20"/>
        <v/>
      </c>
      <c r="AJ19" s="528" t="str">
        <f t="shared" si="20"/>
        <v/>
      </c>
      <c r="AK19" s="528" t="str">
        <f t="shared" si="20"/>
        <v/>
      </c>
      <c r="AL19" s="528" t="str">
        <f t="shared" si="20"/>
        <v/>
      </c>
      <c r="AM19" s="528" t="str">
        <f t="shared" si="20"/>
        <v/>
      </c>
      <c r="AN19" s="528" t="str">
        <f t="shared" si="20"/>
        <v/>
      </c>
      <c r="AO19" s="528" t="str">
        <f t="shared" si="20"/>
        <v/>
      </c>
      <c r="AP19" s="528" t="str">
        <f t="shared" si="20"/>
        <v/>
      </c>
      <c r="AQ19" s="528" t="str">
        <f t="shared" si="20"/>
        <v/>
      </c>
      <c r="AR19" s="528" t="str">
        <f t="shared" si="20"/>
        <v/>
      </c>
      <c r="AS19" s="528" t="str">
        <f t="shared" si="20"/>
        <v/>
      </c>
      <c r="AT19" s="528" t="str">
        <f t="shared" si="20"/>
        <v/>
      </c>
      <c r="AU19" s="528" t="str">
        <f t="shared" si="20"/>
        <v/>
      </c>
      <c r="AV19" s="528" t="str">
        <f t="shared" si="20"/>
        <v/>
      </c>
      <c r="AW19" s="528" t="str">
        <f t="shared" si="20"/>
        <v/>
      </c>
      <c r="AX19" s="528" t="str">
        <f t="shared" si="20"/>
        <v/>
      </c>
      <c r="AY19" s="528" t="str">
        <f t="shared" si="20"/>
        <v/>
      </c>
      <c r="AZ19" s="528" t="str">
        <f t="shared" si="20"/>
        <v/>
      </c>
      <c r="BA19" s="528" t="str">
        <f t="shared" si="20"/>
        <v/>
      </c>
      <c r="BB19" s="528" t="str">
        <f t="shared" si="20"/>
        <v/>
      </c>
      <c r="BC19" s="528" t="str">
        <f t="shared" si="20"/>
        <v/>
      </c>
      <c r="BD19" s="528" t="str">
        <f t="shared" si="20"/>
        <v/>
      </c>
      <c r="BE19" s="528" t="str">
        <f t="shared" si="20"/>
        <v/>
      </c>
      <c r="BF19" s="528" t="str">
        <f t="shared" si="20"/>
        <v/>
      </c>
      <c r="BG19" s="528" t="str">
        <f t="shared" si="20"/>
        <v/>
      </c>
      <c r="BH19" s="528" t="str">
        <f t="shared" si="20"/>
        <v/>
      </c>
      <c r="BI19" s="528" t="str">
        <f t="shared" si="20"/>
        <v/>
      </c>
      <c r="BJ19" s="528" t="str">
        <f t="shared" si="20"/>
        <v/>
      </c>
      <c r="BK19" s="528" t="str">
        <f t="shared" si="20"/>
        <v/>
      </c>
      <c r="BL19" s="528" t="str">
        <f t="shared" si="20"/>
        <v/>
      </c>
      <c r="BM19" s="528" t="str">
        <f t="shared" si="20"/>
        <v/>
      </c>
    </row>
    <row r="20" spans="2:65" x14ac:dyDescent="0.25">
      <c r="B20" s="20" t="s">
        <v>330</v>
      </c>
      <c r="F20" s="197"/>
      <c r="G20" s="197">
        <f t="shared" si="3"/>
        <v>0</v>
      </c>
      <c r="H20" s="197">
        <f t="shared" si="4"/>
        <v>181</v>
      </c>
      <c r="I20" s="523">
        <v>1</v>
      </c>
      <c r="J20" s="533">
        <f>'Monthly DCF'!$I$3</f>
        <v>46418</v>
      </c>
      <c r="K20" s="533">
        <f t="shared" si="5"/>
        <v>46934</v>
      </c>
      <c r="L20" s="536">
        <f t="shared" si="8"/>
        <v>18</v>
      </c>
      <c r="M20" s="20" t="s">
        <v>366</v>
      </c>
      <c r="N20" s="20">
        <f t="shared" si="6"/>
        <v>18</v>
      </c>
      <c r="O20" s="537">
        <v>1</v>
      </c>
      <c r="P20" s="528">
        <f t="shared" ref="P20:BM20" si="21">IFERROR(+IF(AND($M20="Flat",P$5&gt;=$J20,P$5&lt;=$K20),$I20/$L20,0)+IF(AND($M20="S-Curve",P$5&gt;=$J20,P$5&lt;=$K20),(_xlfn.NORM.DIST((YEAR(P$5)-YEAR($J20))*12+MONTH(P$5)-MONTH($J20)+1,$L20/2,$N20,TRUE)-_xlfn.NORM.DIST((YEAR(P$5)-YEAR($J20))*12+MONTH(P$5)-MONTH($J20),$L20/2,$N20,TRUE))/(1-2*_xlfn.NORM.DIST(0,$L20/2,$N20,TRUE))*$I20," "),"")</f>
        <v>5.1767600875892598E-2</v>
      </c>
      <c r="Q20" s="528">
        <f t="shared" si="21"/>
        <v>5.3061387390642811E-2</v>
      </c>
      <c r="R20" s="528">
        <f t="shared" si="21"/>
        <v>5.4219947620206745E-2</v>
      </c>
      <c r="S20" s="528">
        <f t="shared" si="21"/>
        <v>5.5233112305869109E-2</v>
      </c>
      <c r="T20" s="528">
        <f t="shared" si="21"/>
        <v>5.6091863372182957E-2</v>
      </c>
      <c r="U20" s="528">
        <f t="shared" si="21"/>
        <v>5.6788467497636962E-2</v>
      </c>
      <c r="V20" s="528">
        <f t="shared" si="21"/>
        <v>5.7316592034668518E-2</v>
      </c>
      <c r="W20" s="528">
        <f t="shared" si="21"/>
        <v>5.767140084949543E-2</v>
      </c>
      <c r="X20" s="528">
        <f t="shared" si="21"/>
        <v>5.7849628053404871E-2</v>
      </c>
      <c r="Y20" s="528">
        <f t="shared" si="21"/>
        <v>5.7849628053404871E-2</v>
      </c>
      <c r="Z20" s="528">
        <f t="shared" si="21"/>
        <v>5.767140084949543E-2</v>
      </c>
      <c r="AA20" s="528">
        <f t="shared" si="21"/>
        <v>5.7316592034668518E-2</v>
      </c>
      <c r="AB20" s="528">
        <f t="shared" si="21"/>
        <v>5.6788467497636962E-2</v>
      </c>
      <c r="AC20" s="528">
        <f t="shared" si="21"/>
        <v>5.6091863372182957E-2</v>
      </c>
      <c r="AD20" s="528">
        <f t="shared" si="21"/>
        <v>5.5233112305869254E-2</v>
      </c>
      <c r="AE20" s="528">
        <f t="shared" si="21"/>
        <v>5.4219947620206599E-2</v>
      </c>
      <c r="AF20" s="528">
        <f t="shared" si="21"/>
        <v>5.3061387390642811E-2</v>
      </c>
      <c r="AG20" s="528">
        <f t="shared" si="21"/>
        <v>5.1767600875892598E-2</v>
      </c>
      <c r="AH20" s="528" t="str">
        <f t="shared" si="21"/>
        <v/>
      </c>
      <c r="AI20" s="528" t="str">
        <f t="shared" si="21"/>
        <v/>
      </c>
      <c r="AJ20" s="528" t="str">
        <f t="shared" si="21"/>
        <v/>
      </c>
      <c r="AK20" s="528" t="str">
        <f t="shared" si="21"/>
        <v/>
      </c>
      <c r="AL20" s="528" t="str">
        <f t="shared" si="21"/>
        <v/>
      </c>
      <c r="AM20" s="528" t="str">
        <f t="shared" si="21"/>
        <v/>
      </c>
      <c r="AN20" s="528" t="str">
        <f t="shared" si="21"/>
        <v/>
      </c>
      <c r="AO20" s="528" t="str">
        <f t="shared" si="21"/>
        <v/>
      </c>
      <c r="AP20" s="528" t="str">
        <f t="shared" si="21"/>
        <v/>
      </c>
      <c r="AQ20" s="528" t="str">
        <f t="shared" si="21"/>
        <v/>
      </c>
      <c r="AR20" s="528" t="str">
        <f t="shared" si="21"/>
        <v/>
      </c>
      <c r="AS20" s="528" t="str">
        <f t="shared" si="21"/>
        <v/>
      </c>
      <c r="AT20" s="528" t="str">
        <f t="shared" si="21"/>
        <v/>
      </c>
      <c r="AU20" s="528" t="str">
        <f t="shared" si="21"/>
        <v/>
      </c>
      <c r="AV20" s="528" t="str">
        <f t="shared" si="21"/>
        <v/>
      </c>
      <c r="AW20" s="528" t="str">
        <f t="shared" si="21"/>
        <v/>
      </c>
      <c r="AX20" s="528" t="str">
        <f t="shared" si="21"/>
        <v/>
      </c>
      <c r="AY20" s="528" t="str">
        <f t="shared" si="21"/>
        <v/>
      </c>
      <c r="AZ20" s="528" t="str">
        <f t="shared" si="21"/>
        <v/>
      </c>
      <c r="BA20" s="528" t="str">
        <f t="shared" si="21"/>
        <v/>
      </c>
      <c r="BB20" s="528" t="str">
        <f t="shared" si="21"/>
        <v/>
      </c>
      <c r="BC20" s="528" t="str">
        <f t="shared" si="21"/>
        <v/>
      </c>
      <c r="BD20" s="528" t="str">
        <f t="shared" si="21"/>
        <v/>
      </c>
      <c r="BE20" s="528" t="str">
        <f t="shared" si="21"/>
        <v/>
      </c>
      <c r="BF20" s="528" t="str">
        <f t="shared" si="21"/>
        <v/>
      </c>
      <c r="BG20" s="528" t="str">
        <f t="shared" si="21"/>
        <v/>
      </c>
      <c r="BH20" s="528" t="str">
        <f t="shared" si="21"/>
        <v/>
      </c>
      <c r="BI20" s="528" t="str">
        <f t="shared" si="21"/>
        <v/>
      </c>
      <c r="BJ20" s="528" t="str">
        <f t="shared" si="21"/>
        <v/>
      </c>
      <c r="BK20" s="528" t="str">
        <f t="shared" si="21"/>
        <v/>
      </c>
      <c r="BL20" s="528" t="str">
        <f t="shared" si="21"/>
        <v/>
      </c>
      <c r="BM20" s="528" t="str">
        <f t="shared" si="21"/>
        <v/>
      </c>
    </row>
    <row r="21" spans="2:65" ht="15.75" customHeight="1" x14ac:dyDescent="0.25">
      <c r="B21" s="20" t="s">
        <v>369</v>
      </c>
      <c r="F21" s="197"/>
      <c r="G21" s="197">
        <f t="shared" si="3"/>
        <v>0</v>
      </c>
      <c r="H21" s="197">
        <f t="shared" si="4"/>
        <v>191</v>
      </c>
      <c r="I21" s="523">
        <v>1</v>
      </c>
      <c r="J21" s="533">
        <f>'Monthly DCF'!$I$3</f>
        <v>46418</v>
      </c>
      <c r="K21" s="533">
        <f t="shared" si="5"/>
        <v>46965</v>
      </c>
      <c r="L21" s="536">
        <f t="shared" si="8"/>
        <v>19</v>
      </c>
      <c r="M21" s="20" t="s">
        <v>366</v>
      </c>
      <c r="N21" s="20">
        <f t="shared" si="6"/>
        <v>19</v>
      </c>
      <c r="O21" s="537">
        <v>1</v>
      </c>
      <c r="P21" s="528">
        <f t="shared" ref="P21:BM21" si="22">IFERROR(+IF(AND($M21="Flat",P$5&gt;=$J21,P$5&lt;=$K21),$I21/$L21,0)+IF(AND($M21="S-Curve",P$5&gt;=$J21,P$5&lt;=$K21),(_xlfn.NORM.DIST((YEAR(P$5)-YEAR($J21))*12+MONTH(P$5)-MONTH($J21)+1,$L21/2,$N21,TRUE)-_xlfn.NORM.DIST((YEAR(P$5)-YEAR($J21))*12+MONTH(P$5)-MONTH($J21),$L21/2,$N21,TRUE))/(1-2*_xlfn.NORM.DIST(0,$L21/2,$N21,TRUE))*$I21," "),"")</f>
        <v>4.9009600864164803E-2</v>
      </c>
      <c r="Q21" s="528">
        <f t="shared" si="22"/>
        <v>5.0176986561158168E-2</v>
      </c>
      <c r="R21" s="528">
        <f t="shared" si="22"/>
        <v>5.1230103305005839E-2</v>
      </c>
      <c r="S21" s="528">
        <f t="shared" si="22"/>
        <v>5.2160666660910224E-2</v>
      </c>
      <c r="T21" s="528">
        <f t="shared" si="22"/>
        <v>5.2961256619548334E-2</v>
      </c>
      <c r="U21" s="528">
        <f t="shared" si="22"/>
        <v>5.362541605299341E-2</v>
      </c>
      <c r="V21" s="528">
        <f t="shared" si="22"/>
        <v>5.4147737407962797E-2</v>
      </c>
      <c r="W21" s="528">
        <f t="shared" si="22"/>
        <v>5.4523936008893041E-2</v>
      </c>
      <c r="X21" s="528">
        <f t="shared" si="22"/>
        <v>5.47509085811572E-2</v>
      </c>
      <c r="Y21" s="528">
        <f t="shared" si="22"/>
        <v>5.4826775876412222E-2</v>
      </c>
      <c r="Z21" s="528">
        <f t="shared" si="22"/>
        <v>5.4750908581157345E-2</v>
      </c>
      <c r="AA21" s="528">
        <f t="shared" si="22"/>
        <v>5.4523936008893041E-2</v>
      </c>
      <c r="AB21" s="528">
        <f t="shared" si="22"/>
        <v>5.4147737407962797E-2</v>
      </c>
      <c r="AC21" s="528">
        <f t="shared" si="22"/>
        <v>5.362541605299341E-2</v>
      </c>
      <c r="AD21" s="528">
        <f t="shared" si="22"/>
        <v>5.2961256619548334E-2</v>
      </c>
      <c r="AE21" s="528">
        <f t="shared" si="22"/>
        <v>5.2160666660910224E-2</v>
      </c>
      <c r="AF21" s="528">
        <f t="shared" si="22"/>
        <v>5.1230103305005839E-2</v>
      </c>
      <c r="AG21" s="528">
        <f t="shared" si="22"/>
        <v>5.0176986561158168E-2</v>
      </c>
      <c r="AH21" s="528">
        <f t="shared" si="22"/>
        <v>4.9009600864164803E-2</v>
      </c>
      <c r="AI21" s="528" t="str">
        <f t="shared" si="22"/>
        <v/>
      </c>
      <c r="AJ21" s="528" t="str">
        <f t="shared" si="22"/>
        <v/>
      </c>
      <c r="AK21" s="528" t="str">
        <f t="shared" si="22"/>
        <v/>
      </c>
      <c r="AL21" s="528" t="str">
        <f t="shared" si="22"/>
        <v/>
      </c>
      <c r="AM21" s="528" t="str">
        <f t="shared" si="22"/>
        <v/>
      </c>
      <c r="AN21" s="528" t="str">
        <f t="shared" si="22"/>
        <v/>
      </c>
      <c r="AO21" s="528" t="str">
        <f t="shared" si="22"/>
        <v/>
      </c>
      <c r="AP21" s="528" t="str">
        <f t="shared" si="22"/>
        <v/>
      </c>
      <c r="AQ21" s="528" t="str">
        <f t="shared" si="22"/>
        <v/>
      </c>
      <c r="AR21" s="528" t="str">
        <f t="shared" si="22"/>
        <v/>
      </c>
      <c r="AS21" s="528" t="str">
        <f t="shared" si="22"/>
        <v/>
      </c>
      <c r="AT21" s="528" t="str">
        <f t="shared" si="22"/>
        <v/>
      </c>
      <c r="AU21" s="528" t="str">
        <f t="shared" si="22"/>
        <v/>
      </c>
      <c r="AV21" s="528" t="str">
        <f t="shared" si="22"/>
        <v/>
      </c>
      <c r="AW21" s="528" t="str">
        <f t="shared" si="22"/>
        <v/>
      </c>
      <c r="AX21" s="528" t="str">
        <f t="shared" si="22"/>
        <v/>
      </c>
      <c r="AY21" s="528" t="str">
        <f t="shared" si="22"/>
        <v/>
      </c>
      <c r="AZ21" s="528" t="str">
        <f t="shared" si="22"/>
        <v/>
      </c>
      <c r="BA21" s="528" t="str">
        <f t="shared" si="22"/>
        <v/>
      </c>
      <c r="BB21" s="528" t="str">
        <f t="shared" si="22"/>
        <v/>
      </c>
      <c r="BC21" s="528" t="str">
        <f t="shared" si="22"/>
        <v/>
      </c>
      <c r="BD21" s="528" t="str">
        <f t="shared" si="22"/>
        <v/>
      </c>
      <c r="BE21" s="528" t="str">
        <f t="shared" si="22"/>
        <v/>
      </c>
      <c r="BF21" s="528" t="str">
        <f t="shared" si="22"/>
        <v/>
      </c>
      <c r="BG21" s="528" t="str">
        <f t="shared" si="22"/>
        <v/>
      </c>
      <c r="BH21" s="528" t="str">
        <f t="shared" si="22"/>
        <v/>
      </c>
      <c r="BI21" s="528" t="str">
        <f t="shared" si="22"/>
        <v/>
      </c>
      <c r="BJ21" s="528" t="str">
        <f t="shared" si="22"/>
        <v/>
      </c>
      <c r="BK21" s="528" t="str">
        <f t="shared" si="22"/>
        <v/>
      </c>
      <c r="BL21" s="528" t="str">
        <f t="shared" si="22"/>
        <v/>
      </c>
      <c r="BM21" s="528" t="str">
        <f t="shared" si="22"/>
        <v/>
      </c>
    </row>
    <row r="22" spans="2:65" ht="15.75" customHeight="1" x14ac:dyDescent="0.25">
      <c r="B22" s="20" t="s">
        <v>370</v>
      </c>
      <c r="F22" s="197"/>
      <c r="G22" s="197">
        <f t="shared" si="3"/>
        <v>0</v>
      </c>
      <c r="H22" s="197">
        <f t="shared" si="4"/>
        <v>201</v>
      </c>
      <c r="I22" s="523">
        <v>1</v>
      </c>
      <c r="J22" s="533">
        <f>'Monthly DCF'!$I$3</f>
        <v>46418</v>
      </c>
      <c r="K22" s="533">
        <f t="shared" si="5"/>
        <v>46996</v>
      </c>
      <c r="L22" s="536">
        <f t="shared" si="8"/>
        <v>20</v>
      </c>
      <c r="M22" s="20" t="s">
        <v>366</v>
      </c>
      <c r="N22" s="20">
        <f t="shared" si="6"/>
        <v>20</v>
      </c>
      <c r="O22" s="537">
        <v>1</v>
      </c>
      <c r="P22" s="528">
        <f t="shared" ref="P22:BM22" si="23">IFERROR(+IF(AND($M22="Flat",P$5&gt;=$J22,P$5&lt;=$K22),$I22/$L22,0)+IF(AND($M22="S-Curve",P$5&gt;=$J22,P$5&lt;=$K22),(_xlfn.NORM.DIST((YEAR(P$5)-YEAR($J22))*12+MONTH(P$5)-MONTH($J22)+1,$L22/2,$N22,TRUE)-_xlfn.NORM.DIST((YEAR(P$5)-YEAR($J22))*12+MONTH(P$5)-MONTH($J22),$L22/2,$N22,TRUE))/(1-2*_xlfn.NORM.DIST(0,$L22/2,$N22,TRUE))*$I22," "),"")</f>
        <v>4.6530482903468895E-2</v>
      </c>
      <c r="Q22" s="528">
        <f t="shared" si="23"/>
        <v>4.7589062577848458E-2</v>
      </c>
      <c r="R22" s="528">
        <f t="shared" si="23"/>
        <v>4.8550223137731267E-2</v>
      </c>
      <c r="S22" s="528">
        <f t="shared" si="23"/>
        <v>4.9407149737801637E-2</v>
      </c>
      <c r="T22" s="528">
        <f t="shared" si="23"/>
        <v>5.0153686467404798E-2</v>
      </c>
      <c r="U22" s="528">
        <f t="shared" si="23"/>
        <v>5.0784409942347571E-2</v>
      </c>
      <c r="V22" s="528">
        <f t="shared" si="23"/>
        <v>5.1294694892566176E-2</v>
      </c>
      <c r="W22" s="528">
        <f t="shared" si="23"/>
        <v>5.168077063652466E-2</v>
      </c>
      <c r="X22" s="528">
        <f t="shared" si="23"/>
        <v>5.1939767477950018E-2</v>
      </c>
      <c r="Y22" s="528">
        <f t="shared" si="23"/>
        <v>5.2069752226356521E-2</v>
      </c>
      <c r="Z22" s="528">
        <f t="shared" si="23"/>
        <v>5.2069752226356521E-2</v>
      </c>
      <c r="AA22" s="528">
        <f t="shared" si="23"/>
        <v>5.1939767477950018E-2</v>
      </c>
      <c r="AB22" s="528">
        <f t="shared" si="23"/>
        <v>5.168077063652466E-2</v>
      </c>
      <c r="AC22" s="528">
        <f t="shared" si="23"/>
        <v>5.129469489256603E-2</v>
      </c>
      <c r="AD22" s="528">
        <f t="shared" si="23"/>
        <v>5.0784409942347716E-2</v>
      </c>
      <c r="AE22" s="528">
        <f t="shared" si="23"/>
        <v>5.0153686467404798E-2</v>
      </c>
      <c r="AF22" s="528">
        <f t="shared" si="23"/>
        <v>4.9407149737801637E-2</v>
      </c>
      <c r="AG22" s="528">
        <f t="shared" si="23"/>
        <v>4.8550223137731413E-2</v>
      </c>
      <c r="AH22" s="528">
        <f t="shared" si="23"/>
        <v>4.7589062577848312E-2</v>
      </c>
      <c r="AI22" s="528">
        <f t="shared" si="23"/>
        <v>4.6530482903468895E-2</v>
      </c>
      <c r="AJ22" s="528" t="str">
        <f t="shared" si="23"/>
        <v/>
      </c>
      <c r="AK22" s="528" t="str">
        <f t="shared" si="23"/>
        <v/>
      </c>
      <c r="AL22" s="528" t="str">
        <f t="shared" si="23"/>
        <v/>
      </c>
      <c r="AM22" s="528" t="str">
        <f t="shared" si="23"/>
        <v/>
      </c>
      <c r="AN22" s="528" t="str">
        <f t="shared" si="23"/>
        <v/>
      </c>
      <c r="AO22" s="528" t="str">
        <f t="shared" si="23"/>
        <v/>
      </c>
      <c r="AP22" s="528" t="str">
        <f t="shared" si="23"/>
        <v/>
      </c>
      <c r="AQ22" s="528" t="str">
        <f t="shared" si="23"/>
        <v/>
      </c>
      <c r="AR22" s="528" t="str">
        <f t="shared" si="23"/>
        <v/>
      </c>
      <c r="AS22" s="528" t="str">
        <f t="shared" si="23"/>
        <v/>
      </c>
      <c r="AT22" s="528" t="str">
        <f t="shared" si="23"/>
        <v/>
      </c>
      <c r="AU22" s="528" t="str">
        <f t="shared" si="23"/>
        <v/>
      </c>
      <c r="AV22" s="528" t="str">
        <f t="shared" si="23"/>
        <v/>
      </c>
      <c r="AW22" s="528" t="str">
        <f t="shared" si="23"/>
        <v/>
      </c>
      <c r="AX22" s="528" t="str">
        <f t="shared" si="23"/>
        <v/>
      </c>
      <c r="AY22" s="528" t="str">
        <f t="shared" si="23"/>
        <v/>
      </c>
      <c r="AZ22" s="528" t="str">
        <f t="shared" si="23"/>
        <v/>
      </c>
      <c r="BA22" s="528" t="str">
        <f t="shared" si="23"/>
        <v/>
      </c>
      <c r="BB22" s="528" t="str">
        <f t="shared" si="23"/>
        <v/>
      </c>
      <c r="BC22" s="528" t="str">
        <f t="shared" si="23"/>
        <v/>
      </c>
      <c r="BD22" s="528" t="str">
        <f t="shared" si="23"/>
        <v/>
      </c>
      <c r="BE22" s="528" t="str">
        <f t="shared" si="23"/>
        <v/>
      </c>
      <c r="BF22" s="528" t="str">
        <f t="shared" si="23"/>
        <v/>
      </c>
      <c r="BG22" s="528" t="str">
        <f t="shared" si="23"/>
        <v/>
      </c>
      <c r="BH22" s="528" t="str">
        <f t="shared" si="23"/>
        <v/>
      </c>
      <c r="BI22" s="528" t="str">
        <f t="shared" si="23"/>
        <v/>
      </c>
      <c r="BJ22" s="528" t="str">
        <f t="shared" si="23"/>
        <v/>
      </c>
      <c r="BK22" s="528" t="str">
        <f t="shared" si="23"/>
        <v/>
      </c>
      <c r="BL22" s="528" t="str">
        <f t="shared" si="23"/>
        <v/>
      </c>
      <c r="BM22" s="528" t="str">
        <f t="shared" si="23"/>
        <v/>
      </c>
    </row>
    <row r="23" spans="2:65" ht="15.75" customHeight="1" x14ac:dyDescent="0.25">
      <c r="F23" s="197"/>
      <c r="G23" s="197">
        <f t="shared" si="3"/>
        <v>0</v>
      </c>
      <c r="H23" s="197">
        <f t="shared" si="4"/>
        <v>211</v>
      </c>
      <c r="I23" s="523">
        <v>1</v>
      </c>
      <c r="J23" s="533">
        <f>'Monthly DCF'!$I$3</f>
        <v>46418</v>
      </c>
      <c r="K23" s="533">
        <f t="shared" si="5"/>
        <v>47026</v>
      </c>
      <c r="L23" s="536">
        <f t="shared" si="8"/>
        <v>21</v>
      </c>
      <c r="M23" s="20" t="s">
        <v>366</v>
      </c>
      <c r="N23" s="20">
        <f t="shared" si="6"/>
        <v>21</v>
      </c>
      <c r="O23" s="537">
        <v>1</v>
      </c>
      <c r="P23" s="528">
        <f t="shared" ref="P23:BM23" si="24">IFERROR(+IF(AND($M23="Flat",P$5&gt;=$J23,P$5&lt;=$K23),$I23/$L23,0)+IF(AND($M23="S-Curve",P$5&gt;=$J23,P$5&lt;=$K23),(_xlfn.NORM.DIST((YEAR(P$5)-YEAR($J23))*12+MONTH(P$5)-MONTH($J23)+1,$L23/2,$N23,TRUE)-_xlfn.NORM.DIST((YEAR(P$5)-YEAR($J23))*12+MONTH(P$5)-MONTH($J23),$L23/2,$N23,TRUE))/(1-2*_xlfn.NORM.DIST(0,$L23/2,$N23,TRUE))*$I23," "),"")</f>
        <v>4.4289999254738269E-2</v>
      </c>
      <c r="Q23" s="528">
        <f t="shared" si="24"/>
        <v>4.5254258711903979E-2</v>
      </c>
      <c r="R23" s="528">
        <f t="shared" si="24"/>
        <v>4.613479859393535E-2</v>
      </c>
      <c r="S23" s="528">
        <f t="shared" si="24"/>
        <v>4.6925963017201651E-2</v>
      </c>
      <c r="T23" s="528">
        <f t="shared" si="24"/>
        <v>4.7622605253581453E-2</v>
      </c>
      <c r="U23" s="528">
        <f t="shared" si="24"/>
        <v>4.8220143447649452E-2</v>
      </c>
      <c r="V23" s="528">
        <f t="shared" si="24"/>
        <v>4.8714610783421021E-2</v>
      </c>
      <c r="W23" s="528">
        <f t="shared" si="24"/>
        <v>4.9102699332572261E-2</v>
      </c>
      <c r="X23" s="528">
        <f t="shared" si="24"/>
        <v>4.9381796906231012E-2</v>
      </c>
      <c r="Y23" s="528">
        <f t="shared" si="24"/>
        <v>4.9550016336052091E-2</v>
      </c>
      <c r="Z23" s="528">
        <f t="shared" si="24"/>
        <v>4.9606216725426762E-2</v>
      </c>
      <c r="AA23" s="528">
        <f t="shared" si="24"/>
        <v>4.9550016336052237E-2</v>
      </c>
      <c r="AB23" s="528">
        <f t="shared" si="24"/>
        <v>4.9381796906230867E-2</v>
      </c>
      <c r="AC23" s="528">
        <f t="shared" si="24"/>
        <v>4.9102699332572407E-2</v>
      </c>
      <c r="AD23" s="528">
        <f t="shared" si="24"/>
        <v>4.8714610783421021E-2</v>
      </c>
      <c r="AE23" s="528">
        <f t="shared" si="24"/>
        <v>4.8220143447649598E-2</v>
      </c>
      <c r="AF23" s="528">
        <f t="shared" si="24"/>
        <v>4.7622605253581453E-2</v>
      </c>
      <c r="AG23" s="528">
        <f t="shared" si="24"/>
        <v>4.6925963017201651E-2</v>
      </c>
      <c r="AH23" s="528">
        <f t="shared" si="24"/>
        <v>4.6134798593935204E-2</v>
      </c>
      <c r="AI23" s="528">
        <f t="shared" si="24"/>
        <v>4.5254258711904125E-2</v>
      </c>
      <c r="AJ23" s="528">
        <f t="shared" si="24"/>
        <v>4.4289999254738123E-2</v>
      </c>
      <c r="AK23" s="528" t="str">
        <f t="shared" si="24"/>
        <v/>
      </c>
      <c r="AL23" s="528" t="str">
        <f t="shared" si="24"/>
        <v/>
      </c>
      <c r="AM23" s="528" t="str">
        <f t="shared" si="24"/>
        <v/>
      </c>
      <c r="AN23" s="528" t="str">
        <f t="shared" si="24"/>
        <v/>
      </c>
      <c r="AO23" s="528" t="str">
        <f t="shared" si="24"/>
        <v/>
      </c>
      <c r="AP23" s="528" t="str">
        <f t="shared" si="24"/>
        <v/>
      </c>
      <c r="AQ23" s="528" t="str">
        <f t="shared" si="24"/>
        <v/>
      </c>
      <c r="AR23" s="528" t="str">
        <f t="shared" si="24"/>
        <v/>
      </c>
      <c r="AS23" s="528" t="str">
        <f t="shared" si="24"/>
        <v/>
      </c>
      <c r="AT23" s="528" t="str">
        <f t="shared" si="24"/>
        <v/>
      </c>
      <c r="AU23" s="528" t="str">
        <f t="shared" si="24"/>
        <v/>
      </c>
      <c r="AV23" s="528" t="str">
        <f t="shared" si="24"/>
        <v/>
      </c>
      <c r="AW23" s="528" t="str">
        <f t="shared" si="24"/>
        <v/>
      </c>
      <c r="AX23" s="528" t="str">
        <f t="shared" si="24"/>
        <v/>
      </c>
      <c r="AY23" s="528" t="str">
        <f t="shared" si="24"/>
        <v/>
      </c>
      <c r="AZ23" s="528" t="str">
        <f t="shared" si="24"/>
        <v/>
      </c>
      <c r="BA23" s="528" t="str">
        <f t="shared" si="24"/>
        <v/>
      </c>
      <c r="BB23" s="528" t="str">
        <f t="shared" si="24"/>
        <v/>
      </c>
      <c r="BC23" s="528" t="str">
        <f t="shared" si="24"/>
        <v/>
      </c>
      <c r="BD23" s="528" t="str">
        <f t="shared" si="24"/>
        <v/>
      </c>
      <c r="BE23" s="528" t="str">
        <f t="shared" si="24"/>
        <v/>
      </c>
      <c r="BF23" s="528" t="str">
        <f t="shared" si="24"/>
        <v/>
      </c>
      <c r="BG23" s="528" t="str">
        <f t="shared" si="24"/>
        <v/>
      </c>
      <c r="BH23" s="528" t="str">
        <f t="shared" si="24"/>
        <v/>
      </c>
      <c r="BI23" s="528" t="str">
        <f t="shared" si="24"/>
        <v/>
      </c>
      <c r="BJ23" s="528" t="str">
        <f t="shared" si="24"/>
        <v/>
      </c>
      <c r="BK23" s="528" t="str">
        <f t="shared" si="24"/>
        <v/>
      </c>
      <c r="BL23" s="528" t="str">
        <f t="shared" si="24"/>
        <v/>
      </c>
      <c r="BM23" s="528" t="str">
        <f t="shared" si="24"/>
        <v/>
      </c>
    </row>
    <row r="24" spans="2:65" ht="15.75" customHeight="1" x14ac:dyDescent="0.25">
      <c r="F24" s="197"/>
      <c r="G24" s="197">
        <f t="shared" si="3"/>
        <v>0</v>
      </c>
      <c r="H24" s="197">
        <f t="shared" si="4"/>
        <v>221</v>
      </c>
      <c r="I24" s="523">
        <v>1</v>
      </c>
      <c r="J24" s="533">
        <f>'Monthly DCF'!$I$3</f>
        <v>46418</v>
      </c>
      <c r="K24" s="533">
        <f t="shared" si="5"/>
        <v>47057</v>
      </c>
      <c r="L24" s="536">
        <f t="shared" si="8"/>
        <v>22</v>
      </c>
      <c r="M24" s="20" t="s">
        <v>366</v>
      </c>
      <c r="N24" s="20">
        <f t="shared" si="6"/>
        <v>22</v>
      </c>
      <c r="O24" s="537">
        <v>1</v>
      </c>
      <c r="P24" s="528">
        <f t="shared" ref="P24:BM24" si="25">IFERROR(+IF(AND($M24="Flat",P$5&gt;=$J24,P$5&lt;=$K24),$I24/$L24,0)+IF(AND($M24="S-Curve",P$5&gt;=$J24,P$5&lt;=$K24),(_xlfn.NORM.DIST((YEAR(P$5)-YEAR($J24))*12+MONTH(P$5)-MONTH($J24)+1,$L24/2,$N24,TRUE)-_xlfn.NORM.DIST((YEAR(P$5)-YEAR($J24))*12+MONTH(P$5)-MONTH($J24),$L24/2,$N24,TRUE))/(1-2*_xlfn.NORM.DIST(0,$L24/2,$N24,TRUE))*$I24," "),"")</f>
        <v>4.2255288660040365E-2</v>
      </c>
      <c r="Q24" s="528">
        <f t="shared" si="25"/>
        <v>4.3137259848349929E-2</v>
      </c>
      <c r="R24" s="528">
        <f t="shared" si="25"/>
        <v>4.3946762634472454E-2</v>
      </c>
      <c r="S24" s="528">
        <f t="shared" si="25"/>
        <v>4.4679064721675661E-2</v>
      </c>
      <c r="T24" s="528">
        <f t="shared" si="25"/>
        <v>4.5329832105023372E-2</v>
      </c>
      <c r="U24" s="528">
        <f t="shared" si="25"/>
        <v>4.5895171757180546E-2</v>
      </c>
      <c r="V24" s="528">
        <f t="shared" si="25"/>
        <v>4.6371670398607449E-2</v>
      </c>
      <c r="W24" s="528">
        <f t="shared" si="25"/>
        <v>4.6756428812219517E-2</v>
      </c>
      <c r="X24" s="528">
        <f t="shared" si="25"/>
        <v>4.7047091219999893E-2</v>
      </c>
      <c r="Y24" s="528">
        <f t="shared" si="25"/>
        <v>4.7241869305174405E-2</v>
      </c>
      <c r="Z24" s="528">
        <f t="shared" si="25"/>
        <v>4.7339560537256416E-2</v>
      </c>
      <c r="AA24" s="528">
        <f t="shared" si="25"/>
        <v>4.7339560537256554E-2</v>
      </c>
      <c r="AB24" s="528">
        <f t="shared" si="25"/>
        <v>4.7241869305174121E-2</v>
      </c>
      <c r="AC24" s="528">
        <f t="shared" si="25"/>
        <v>4.7047091219999893E-2</v>
      </c>
      <c r="AD24" s="528">
        <f t="shared" si="25"/>
        <v>4.6756428812219655E-2</v>
      </c>
      <c r="AE24" s="528">
        <f t="shared" si="25"/>
        <v>4.6371670398607449E-2</v>
      </c>
      <c r="AF24" s="528">
        <f t="shared" si="25"/>
        <v>4.5895171757180546E-2</v>
      </c>
      <c r="AG24" s="528">
        <f t="shared" si="25"/>
        <v>4.5329832105023372E-2</v>
      </c>
      <c r="AH24" s="528">
        <f t="shared" si="25"/>
        <v>4.4679064721675661E-2</v>
      </c>
      <c r="AI24" s="528">
        <f t="shared" si="25"/>
        <v>4.3946762634472308E-2</v>
      </c>
      <c r="AJ24" s="528">
        <f t="shared" si="25"/>
        <v>4.3137259848350075E-2</v>
      </c>
      <c r="AK24" s="528">
        <f t="shared" si="25"/>
        <v>4.2255288660040365E-2</v>
      </c>
      <c r="AL24" s="528" t="str">
        <f t="shared" si="25"/>
        <v/>
      </c>
      <c r="AM24" s="528" t="str">
        <f t="shared" si="25"/>
        <v/>
      </c>
      <c r="AN24" s="528" t="str">
        <f t="shared" si="25"/>
        <v/>
      </c>
      <c r="AO24" s="528" t="str">
        <f t="shared" si="25"/>
        <v/>
      </c>
      <c r="AP24" s="528" t="str">
        <f t="shared" si="25"/>
        <v/>
      </c>
      <c r="AQ24" s="528" t="str">
        <f t="shared" si="25"/>
        <v/>
      </c>
      <c r="AR24" s="528" t="str">
        <f t="shared" si="25"/>
        <v/>
      </c>
      <c r="AS24" s="528" t="str">
        <f t="shared" si="25"/>
        <v/>
      </c>
      <c r="AT24" s="528" t="str">
        <f t="shared" si="25"/>
        <v/>
      </c>
      <c r="AU24" s="528" t="str">
        <f t="shared" si="25"/>
        <v/>
      </c>
      <c r="AV24" s="528" t="str">
        <f t="shared" si="25"/>
        <v/>
      </c>
      <c r="AW24" s="528" t="str">
        <f t="shared" si="25"/>
        <v/>
      </c>
      <c r="AX24" s="528" t="str">
        <f t="shared" si="25"/>
        <v/>
      </c>
      <c r="AY24" s="528" t="str">
        <f t="shared" si="25"/>
        <v/>
      </c>
      <c r="AZ24" s="528" t="str">
        <f t="shared" si="25"/>
        <v/>
      </c>
      <c r="BA24" s="528" t="str">
        <f t="shared" si="25"/>
        <v/>
      </c>
      <c r="BB24" s="528" t="str">
        <f t="shared" si="25"/>
        <v/>
      </c>
      <c r="BC24" s="528" t="str">
        <f t="shared" si="25"/>
        <v/>
      </c>
      <c r="BD24" s="528" t="str">
        <f t="shared" si="25"/>
        <v/>
      </c>
      <c r="BE24" s="528" t="str">
        <f t="shared" si="25"/>
        <v/>
      </c>
      <c r="BF24" s="528" t="str">
        <f t="shared" si="25"/>
        <v/>
      </c>
      <c r="BG24" s="528" t="str">
        <f t="shared" si="25"/>
        <v/>
      </c>
      <c r="BH24" s="528" t="str">
        <f t="shared" si="25"/>
        <v/>
      </c>
      <c r="BI24" s="528" t="str">
        <f t="shared" si="25"/>
        <v/>
      </c>
      <c r="BJ24" s="528" t="str">
        <f t="shared" si="25"/>
        <v/>
      </c>
      <c r="BK24" s="528" t="str">
        <f t="shared" si="25"/>
        <v/>
      </c>
      <c r="BL24" s="528" t="str">
        <f t="shared" si="25"/>
        <v/>
      </c>
      <c r="BM24" s="528" t="str">
        <f t="shared" si="25"/>
        <v/>
      </c>
    </row>
    <row r="25" spans="2:65" ht="15.75" customHeight="1" x14ac:dyDescent="0.25">
      <c r="F25" s="197"/>
      <c r="G25" s="197">
        <f t="shared" si="3"/>
        <v>0</v>
      </c>
      <c r="H25" s="197">
        <f t="shared" si="4"/>
        <v>231</v>
      </c>
      <c r="I25" s="523">
        <v>1</v>
      </c>
      <c r="J25" s="533">
        <f>'Monthly DCF'!$I$3</f>
        <v>46418</v>
      </c>
      <c r="K25" s="533">
        <f t="shared" si="5"/>
        <v>47087</v>
      </c>
      <c r="L25" s="536">
        <f t="shared" si="8"/>
        <v>23</v>
      </c>
      <c r="M25" s="20" t="s">
        <v>366</v>
      </c>
      <c r="N25" s="20">
        <f t="shared" si="6"/>
        <v>23</v>
      </c>
      <c r="O25" s="537">
        <v>1</v>
      </c>
      <c r="P25" s="528">
        <f t="shared" ref="P25:BM25" si="26">IFERROR(+IF(AND($M25="Flat",P$5&gt;=$J25,P$5&lt;=$K25),$I25/$L25,0)+IF(AND($M25="S-Curve",P$5&gt;=$J25,P$5&lt;=$K25),(_xlfn.NORM.DIST((YEAR(P$5)-YEAR($J25))*12+MONTH(P$5)-MONTH($J25)+1,$L25/2,$N25,TRUE)-_xlfn.NORM.DIST((YEAR(P$5)-YEAR($J25))*12+MONTH(P$5)-MONTH($J25),$L25/2,$N25,TRUE))/(1-2*_xlfn.NORM.DIST(0,$L25/2,$N25,TRUE))*$I25," "),"")</f>
        <v>4.0399256703287437E-2</v>
      </c>
      <c r="Q25" s="528">
        <f t="shared" si="26"/>
        <v>4.1209014504396083E-2</v>
      </c>
      <c r="R25" s="528">
        <f t="shared" si="26"/>
        <v>4.1955629290084624E-2</v>
      </c>
      <c r="S25" s="528">
        <f t="shared" si="26"/>
        <v>4.26351118779906E-2</v>
      </c>
      <c r="T25" s="528">
        <f t="shared" si="26"/>
        <v>4.3243788163166604E-2</v>
      </c>
      <c r="U25" s="528">
        <f t="shared" si="26"/>
        <v>4.3778332179267729E-2</v>
      </c>
      <c r="V25" s="528">
        <f t="shared" si="26"/>
        <v>4.4235796353784634E-2</v>
      </c>
      <c r="W25" s="528">
        <f t="shared" si="26"/>
        <v>4.4613638572454629E-2</v>
      </c>
      <c r="X25" s="528">
        <f t="shared" si="26"/>
        <v>4.4909745705266915E-2</v>
      </c>
      <c r="Y25" s="528">
        <f t="shared" si="26"/>
        <v>4.5122453289486102E-2</v>
      </c>
      <c r="Z25" s="528">
        <f t="shared" si="26"/>
        <v>4.5250561113196724E-2</v>
      </c>
      <c r="AA25" s="528">
        <f t="shared" si="26"/>
        <v>4.5293344495235838E-2</v>
      </c>
      <c r="AB25" s="528">
        <f t="shared" si="26"/>
        <v>4.5250561113196724E-2</v>
      </c>
      <c r="AC25" s="528">
        <f t="shared" si="26"/>
        <v>4.5122453289486247E-2</v>
      </c>
      <c r="AD25" s="528">
        <f t="shared" si="26"/>
        <v>4.490974570526677E-2</v>
      </c>
      <c r="AE25" s="528">
        <f t="shared" si="26"/>
        <v>4.4613638572454629E-2</v>
      </c>
      <c r="AF25" s="528">
        <f t="shared" si="26"/>
        <v>4.4235796353784634E-2</v>
      </c>
      <c r="AG25" s="528">
        <f t="shared" si="26"/>
        <v>4.3778332179267729E-2</v>
      </c>
      <c r="AH25" s="528">
        <f t="shared" si="26"/>
        <v>4.3243788163166604E-2</v>
      </c>
      <c r="AI25" s="528">
        <f t="shared" si="26"/>
        <v>4.26351118779906E-2</v>
      </c>
      <c r="AJ25" s="528">
        <f t="shared" si="26"/>
        <v>4.1955629290084624E-2</v>
      </c>
      <c r="AK25" s="528">
        <f t="shared" si="26"/>
        <v>4.1209014504396083E-2</v>
      </c>
      <c r="AL25" s="528">
        <f t="shared" si="26"/>
        <v>4.0399256703287437E-2</v>
      </c>
      <c r="AM25" s="528" t="str">
        <f t="shared" si="26"/>
        <v/>
      </c>
      <c r="AN25" s="528" t="str">
        <f t="shared" si="26"/>
        <v/>
      </c>
      <c r="AO25" s="528" t="str">
        <f t="shared" si="26"/>
        <v/>
      </c>
      <c r="AP25" s="528" t="str">
        <f t="shared" si="26"/>
        <v/>
      </c>
      <c r="AQ25" s="528" t="str">
        <f t="shared" si="26"/>
        <v/>
      </c>
      <c r="AR25" s="528" t="str">
        <f t="shared" si="26"/>
        <v/>
      </c>
      <c r="AS25" s="528" t="str">
        <f t="shared" si="26"/>
        <v/>
      </c>
      <c r="AT25" s="528" t="str">
        <f t="shared" si="26"/>
        <v/>
      </c>
      <c r="AU25" s="528" t="str">
        <f t="shared" si="26"/>
        <v/>
      </c>
      <c r="AV25" s="528" t="str">
        <f t="shared" si="26"/>
        <v/>
      </c>
      <c r="AW25" s="528" t="str">
        <f t="shared" si="26"/>
        <v/>
      </c>
      <c r="AX25" s="528" t="str">
        <f t="shared" si="26"/>
        <v/>
      </c>
      <c r="AY25" s="528" t="str">
        <f t="shared" si="26"/>
        <v/>
      </c>
      <c r="AZ25" s="528" t="str">
        <f t="shared" si="26"/>
        <v/>
      </c>
      <c r="BA25" s="528" t="str">
        <f t="shared" si="26"/>
        <v/>
      </c>
      <c r="BB25" s="528" t="str">
        <f t="shared" si="26"/>
        <v/>
      </c>
      <c r="BC25" s="528" t="str">
        <f t="shared" si="26"/>
        <v/>
      </c>
      <c r="BD25" s="528" t="str">
        <f t="shared" si="26"/>
        <v/>
      </c>
      <c r="BE25" s="528" t="str">
        <f t="shared" si="26"/>
        <v/>
      </c>
      <c r="BF25" s="528" t="str">
        <f t="shared" si="26"/>
        <v/>
      </c>
      <c r="BG25" s="528" t="str">
        <f t="shared" si="26"/>
        <v/>
      </c>
      <c r="BH25" s="528" t="str">
        <f t="shared" si="26"/>
        <v/>
      </c>
      <c r="BI25" s="528" t="str">
        <f t="shared" si="26"/>
        <v/>
      </c>
      <c r="BJ25" s="528" t="str">
        <f t="shared" si="26"/>
        <v/>
      </c>
      <c r="BK25" s="528" t="str">
        <f t="shared" si="26"/>
        <v/>
      </c>
      <c r="BL25" s="528" t="str">
        <f t="shared" si="26"/>
        <v/>
      </c>
      <c r="BM25" s="528" t="str">
        <f t="shared" si="26"/>
        <v/>
      </c>
    </row>
    <row r="26" spans="2:65" ht="15.75" customHeight="1" x14ac:dyDescent="0.25">
      <c r="F26" s="197"/>
      <c r="G26" s="197">
        <f t="shared" si="3"/>
        <v>0</v>
      </c>
      <c r="H26" s="197">
        <f t="shared" si="4"/>
        <v>241</v>
      </c>
      <c r="I26" s="523">
        <v>1</v>
      </c>
      <c r="J26" s="533">
        <f>'Monthly DCF'!$I$3</f>
        <v>46418</v>
      </c>
      <c r="K26" s="533">
        <f t="shared" si="5"/>
        <v>47118</v>
      </c>
      <c r="L26" s="536">
        <f t="shared" si="8"/>
        <v>24</v>
      </c>
      <c r="M26" s="20" t="s">
        <v>366</v>
      </c>
      <c r="N26" s="20">
        <f t="shared" si="6"/>
        <v>24</v>
      </c>
      <c r="O26" s="537">
        <v>1</v>
      </c>
      <c r="P26" s="528">
        <f t="shared" ref="P26:BM26" si="27">IFERROR(+IF(AND($M26="Flat",P$5&gt;=$J26,P$5&lt;=$K26),$I26/$L26,0)+IF(AND($M26="S-Curve",P$5&gt;=$J26,P$5&lt;=$K26),(_xlfn.NORM.DIST((YEAR(P$5)-YEAR($J26))*12+MONTH(P$5)-MONTH($J26)+1,$L26/2,$N26,TRUE)-_xlfn.NORM.DIST((YEAR(P$5)-YEAR($J26))*12+MONTH(P$5)-MONTH($J26),$L26/2,$N26,TRUE))/(1-2*_xlfn.NORM.DIST(0,$L26/2,$N26,TRUE))*$I26," "),"")</f>
        <v>3.8699364312346482E-2</v>
      </c>
      <c r="Q26" s="528">
        <f t="shared" si="27"/>
        <v>3.9445407737453315E-2</v>
      </c>
      <c r="R26" s="528">
        <f t="shared" si="27"/>
        <v>4.0136102174595137E-2</v>
      </c>
      <c r="S26" s="528">
        <f t="shared" si="27"/>
        <v>4.076806166234722E-2</v>
      </c>
      <c r="T26" s="528">
        <f t="shared" si="27"/>
        <v>4.1338152053887786E-2</v>
      </c>
      <c r="U26" s="528">
        <f t="shared" si="27"/>
        <v>4.1843516883625115E-2</v>
      </c>
      <c r="V26" s="528">
        <f t="shared" si="27"/>
        <v>4.2281601193953612E-2</v>
      </c>
      <c r="W26" s="528">
        <f t="shared" si="27"/>
        <v>4.2650173044222514E-2</v>
      </c>
      <c r="X26" s="528">
        <f t="shared" si="27"/>
        <v>4.2947342448644461E-2</v>
      </c>
      <c r="Y26" s="528">
        <f t="shared" si="27"/>
        <v>4.3171577518350913E-2</v>
      </c>
      <c r="Z26" s="528">
        <f t="shared" si="27"/>
        <v>4.3321717614706372E-2</v>
      </c>
      <c r="AA26" s="528">
        <f t="shared" si="27"/>
        <v>4.3396983355867079E-2</v>
      </c>
      <c r="AB26" s="528">
        <f t="shared" si="27"/>
        <v>4.3396983355867079E-2</v>
      </c>
      <c r="AC26" s="528">
        <f t="shared" si="27"/>
        <v>4.3321717614706226E-2</v>
      </c>
      <c r="AD26" s="528">
        <f t="shared" si="27"/>
        <v>4.3171577518351059E-2</v>
      </c>
      <c r="AE26" s="528">
        <f t="shared" si="27"/>
        <v>4.2947342448644461E-2</v>
      </c>
      <c r="AF26" s="528">
        <f t="shared" si="27"/>
        <v>4.2650173044222514E-2</v>
      </c>
      <c r="AG26" s="528">
        <f t="shared" si="27"/>
        <v>4.2281601193953612E-2</v>
      </c>
      <c r="AH26" s="528">
        <f t="shared" si="27"/>
        <v>4.1843516883625115E-2</v>
      </c>
      <c r="AI26" s="528">
        <f t="shared" si="27"/>
        <v>4.1338152053887932E-2</v>
      </c>
      <c r="AJ26" s="528">
        <f t="shared" si="27"/>
        <v>4.0768061662347074E-2</v>
      </c>
      <c r="AK26" s="528">
        <f t="shared" si="27"/>
        <v>4.0136102174594991E-2</v>
      </c>
      <c r="AL26" s="528">
        <f t="shared" si="27"/>
        <v>3.94454077374536E-2</v>
      </c>
      <c r="AM26" s="528">
        <f t="shared" si="27"/>
        <v>3.8699364312346336E-2</v>
      </c>
      <c r="AN26" s="528" t="str">
        <f t="shared" si="27"/>
        <v/>
      </c>
      <c r="AO26" s="528" t="str">
        <f t="shared" si="27"/>
        <v/>
      </c>
      <c r="AP26" s="528" t="str">
        <f t="shared" si="27"/>
        <v/>
      </c>
      <c r="AQ26" s="528" t="str">
        <f t="shared" si="27"/>
        <v/>
      </c>
      <c r="AR26" s="528" t="str">
        <f t="shared" si="27"/>
        <v/>
      </c>
      <c r="AS26" s="528" t="str">
        <f t="shared" si="27"/>
        <v/>
      </c>
      <c r="AT26" s="528" t="str">
        <f t="shared" si="27"/>
        <v/>
      </c>
      <c r="AU26" s="528" t="str">
        <f t="shared" si="27"/>
        <v/>
      </c>
      <c r="AV26" s="528" t="str">
        <f t="shared" si="27"/>
        <v/>
      </c>
      <c r="AW26" s="528" t="str">
        <f t="shared" si="27"/>
        <v/>
      </c>
      <c r="AX26" s="528" t="str">
        <f t="shared" si="27"/>
        <v/>
      </c>
      <c r="AY26" s="528" t="str">
        <f t="shared" si="27"/>
        <v/>
      </c>
      <c r="AZ26" s="528" t="str">
        <f t="shared" si="27"/>
        <v/>
      </c>
      <c r="BA26" s="528" t="str">
        <f t="shared" si="27"/>
        <v/>
      </c>
      <c r="BB26" s="528" t="str">
        <f t="shared" si="27"/>
        <v/>
      </c>
      <c r="BC26" s="528" t="str">
        <f t="shared" si="27"/>
        <v/>
      </c>
      <c r="BD26" s="528" t="str">
        <f t="shared" si="27"/>
        <v/>
      </c>
      <c r="BE26" s="528" t="str">
        <f t="shared" si="27"/>
        <v/>
      </c>
      <c r="BF26" s="528" t="str">
        <f t="shared" si="27"/>
        <v/>
      </c>
      <c r="BG26" s="528" t="str">
        <f t="shared" si="27"/>
        <v/>
      </c>
      <c r="BH26" s="528" t="str">
        <f t="shared" si="27"/>
        <v/>
      </c>
      <c r="BI26" s="528" t="str">
        <f t="shared" si="27"/>
        <v/>
      </c>
      <c r="BJ26" s="528" t="str">
        <f t="shared" si="27"/>
        <v/>
      </c>
      <c r="BK26" s="528" t="str">
        <f t="shared" si="27"/>
        <v/>
      </c>
      <c r="BL26" s="528" t="str">
        <f t="shared" si="27"/>
        <v/>
      </c>
      <c r="BM26" s="528" t="str">
        <f t="shared" si="27"/>
        <v/>
      </c>
    </row>
    <row r="27" spans="2:65" ht="15.75" customHeight="1" x14ac:dyDescent="0.25">
      <c r="F27" s="197"/>
      <c r="G27" s="197">
        <f t="shared" si="3"/>
        <v>0</v>
      </c>
      <c r="H27" s="197">
        <f t="shared" si="4"/>
        <v>251</v>
      </c>
      <c r="I27" s="523">
        <v>1</v>
      </c>
      <c r="J27" s="533">
        <f>'Monthly DCF'!$I$3</f>
        <v>46418</v>
      </c>
      <c r="K27" s="533">
        <f t="shared" si="5"/>
        <v>47149</v>
      </c>
      <c r="L27" s="536">
        <f t="shared" si="8"/>
        <v>25</v>
      </c>
      <c r="M27" s="20" t="s">
        <v>366</v>
      </c>
      <c r="N27" s="20">
        <f t="shared" si="6"/>
        <v>25</v>
      </c>
      <c r="O27" s="537">
        <v>1</v>
      </c>
      <c r="P27" s="528">
        <f t="shared" ref="P27:BM27" si="28">IFERROR(+IF(AND($M27="Flat",P$5&gt;=$J27,P$5&lt;=$K27),$I27/$L27,0)+IF(AND($M27="S-Curve",P$5&gt;=$J27,P$5&lt;=$K27),(_xlfn.NORM.DIST((YEAR(P$5)-YEAR($J27))*12+MONTH(P$5)-MONTH($J27)+1,$L27/2,$N27,TRUE)-_xlfn.NORM.DIST((YEAR(P$5)-YEAR($J27))*12+MONTH(P$5)-MONTH($J27),$L27/2,$N27,TRUE))/(1-2*_xlfn.NORM.DIST(0,$L27/2,$N27,TRUE))*$I27," "),"")</f>
        <v>3.7136709279029262E-2</v>
      </c>
      <c r="Q27" s="528">
        <f t="shared" si="28"/>
        <v>3.7826257172083481E-2</v>
      </c>
      <c r="R27" s="528">
        <f t="shared" si="28"/>
        <v>3.8467020191772089E-2</v>
      </c>
      <c r="S27" s="528">
        <f t="shared" si="28"/>
        <v>3.9056106060213432E-2</v>
      </c>
      <c r="T27" s="528">
        <f t="shared" si="28"/>
        <v>3.9590825653751986E-2</v>
      </c>
      <c r="U27" s="528">
        <f t="shared" si="28"/>
        <v>4.0068713431071629E-2</v>
      </c>
      <c r="V27" s="528">
        <f t="shared" si="28"/>
        <v>4.0487546358650567E-2</v>
      </c>
      <c r="W27" s="528">
        <f t="shared" si="28"/>
        <v>4.0845361130424286E-2</v>
      </c>
      <c r="X27" s="528">
        <f t="shared" si="28"/>
        <v>4.1140469495083522E-2</v>
      </c>
      <c r="Y27" s="528">
        <f t="shared" si="28"/>
        <v>4.1371471523613208E-2</v>
      </c>
      <c r="Z27" s="528">
        <f t="shared" si="28"/>
        <v>4.1537266671190017E-2</v>
      </c>
      <c r="AA27" s="528">
        <f t="shared" si="28"/>
        <v>4.1637062511137989E-2</v>
      </c>
      <c r="AB27" s="528">
        <f t="shared" si="28"/>
        <v>4.1670381043957191E-2</v>
      </c>
      <c r="AC27" s="528">
        <f t="shared" si="28"/>
        <v>4.1637062511137843E-2</v>
      </c>
      <c r="AD27" s="528">
        <f t="shared" si="28"/>
        <v>4.1537266671190017E-2</v>
      </c>
      <c r="AE27" s="528">
        <f t="shared" si="28"/>
        <v>4.1371471523613208E-2</v>
      </c>
      <c r="AF27" s="528">
        <f t="shared" si="28"/>
        <v>4.1140469495083667E-2</v>
      </c>
      <c r="AG27" s="528">
        <f t="shared" si="28"/>
        <v>4.0845361130424286E-2</v>
      </c>
      <c r="AH27" s="528">
        <f t="shared" si="28"/>
        <v>4.0487546358650421E-2</v>
      </c>
      <c r="AI27" s="528">
        <f t="shared" si="28"/>
        <v>4.0068713431071629E-2</v>
      </c>
      <c r="AJ27" s="528">
        <f t="shared" si="28"/>
        <v>3.9590825653751986E-2</v>
      </c>
      <c r="AK27" s="528">
        <f t="shared" si="28"/>
        <v>3.9056106060213432E-2</v>
      </c>
      <c r="AL27" s="528">
        <f t="shared" si="28"/>
        <v>3.8467020191772089E-2</v>
      </c>
      <c r="AM27" s="528">
        <f t="shared" si="28"/>
        <v>3.7826257172083481E-2</v>
      </c>
      <c r="AN27" s="528">
        <f t="shared" si="28"/>
        <v>3.7136709279029262E-2</v>
      </c>
      <c r="AO27" s="528" t="str">
        <f t="shared" si="28"/>
        <v/>
      </c>
      <c r="AP27" s="528" t="str">
        <f t="shared" si="28"/>
        <v/>
      </c>
      <c r="AQ27" s="528" t="str">
        <f t="shared" si="28"/>
        <v/>
      </c>
      <c r="AR27" s="528" t="str">
        <f t="shared" si="28"/>
        <v/>
      </c>
      <c r="AS27" s="528" t="str">
        <f t="shared" si="28"/>
        <v/>
      </c>
      <c r="AT27" s="528" t="str">
        <f t="shared" si="28"/>
        <v/>
      </c>
      <c r="AU27" s="528" t="str">
        <f t="shared" si="28"/>
        <v/>
      </c>
      <c r="AV27" s="528" t="str">
        <f t="shared" si="28"/>
        <v/>
      </c>
      <c r="AW27" s="528" t="str">
        <f t="shared" si="28"/>
        <v/>
      </c>
      <c r="AX27" s="528" t="str">
        <f t="shared" si="28"/>
        <v/>
      </c>
      <c r="AY27" s="528" t="str">
        <f t="shared" si="28"/>
        <v/>
      </c>
      <c r="AZ27" s="528" t="str">
        <f t="shared" si="28"/>
        <v/>
      </c>
      <c r="BA27" s="528" t="str">
        <f t="shared" si="28"/>
        <v/>
      </c>
      <c r="BB27" s="528" t="str">
        <f t="shared" si="28"/>
        <v/>
      </c>
      <c r="BC27" s="528" t="str">
        <f t="shared" si="28"/>
        <v/>
      </c>
      <c r="BD27" s="528" t="str">
        <f t="shared" si="28"/>
        <v/>
      </c>
      <c r="BE27" s="528" t="str">
        <f t="shared" si="28"/>
        <v/>
      </c>
      <c r="BF27" s="528" t="str">
        <f t="shared" si="28"/>
        <v/>
      </c>
      <c r="BG27" s="528" t="str">
        <f t="shared" si="28"/>
        <v/>
      </c>
      <c r="BH27" s="528" t="str">
        <f t="shared" si="28"/>
        <v/>
      </c>
      <c r="BI27" s="528" t="str">
        <f t="shared" si="28"/>
        <v/>
      </c>
      <c r="BJ27" s="528" t="str">
        <f t="shared" si="28"/>
        <v/>
      </c>
      <c r="BK27" s="528" t="str">
        <f t="shared" si="28"/>
        <v/>
      </c>
      <c r="BL27" s="528" t="str">
        <f t="shared" si="28"/>
        <v/>
      </c>
      <c r="BM27" s="528" t="str">
        <f t="shared" si="28"/>
        <v/>
      </c>
    </row>
    <row r="28" spans="2:65" ht="15.75" customHeight="1" x14ac:dyDescent="0.25">
      <c r="F28" s="197"/>
      <c r="G28" s="197">
        <f t="shared" si="3"/>
        <v>0</v>
      </c>
      <c r="H28" s="197">
        <f t="shared" si="4"/>
        <v>261</v>
      </c>
      <c r="I28" s="523">
        <v>1</v>
      </c>
      <c r="J28" s="533">
        <f>'Monthly DCF'!$I$3</f>
        <v>46418</v>
      </c>
      <c r="K28" s="533">
        <f t="shared" si="5"/>
        <v>47177</v>
      </c>
      <c r="L28" s="536">
        <f t="shared" si="8"/>
        <v>26</v>
      </c>
      <c r="M28" s="20" t="s">
        <v>366</v>
      </c>
      <c r="N28" s="20">
        <f t="shared" si="6"/>
        <v>26</v>
      </c>
      <c r="O28" s="537">
        <v>1</v>
      </c>
      <c r="P28" s="528">
        <f t="shared" ref="P28:BM28" si="29">IFERROR(+IF(AND($M28="Flat",P$5&gt;=$J28,P$5&lt;=$K28),$I28/$L28,0)+IF(AND($M28="S-Curve",P$5&gt;=$J28,P$5&lt;=$K28),(_xlfn.NORM.DIST((YEAR(P$5)-YEAR($J28))*12+MONTH(P$5)-MONTH($J28)+1,$L28/2,$N28,TRUE)-_xlfn.NORM.DIST((YEAR(P$5)-YEAR($J28))*12+MONTH(P$5)-MONTH($J28),$L28/2,$N28,TRUE))/(1-2*_xlfn.NORM.DIST(0,$L28/2,$N28,TRUE))*$I28," "),"")</f>
        <v>3.5695321338622119E-2</v>
      </c>
      <c r="Q28" s="528">
        <f t="shared" si="29"/>
        <v>3.6334544082130805E-2</v>
      </c>
      <c r="R28" s="528">
        <f t="shared" si="29"/>
        <v>3.6930549190820137E-2</v>
      </c>
      <c r="S28" s="528">
        <f t="shared" si="29"/>
        <v>3.7480851496652832E-2</v>
      </c>
      <c r="T28" s="528">
        <f t="shared" si="29"/>
        <v>3.7983131152835393E-2</v>
      </c>
      <c r="U28" s="528">
        <f t="shared" si="29"/>
        <v>3.8435249907890871E-2</v>
      </c>
      <c r="V28" s="528">
        <f t="shared" si="29"/>
        <v>3.8835266259241337E-2</v>
      </c>
      <c r="W28" s="528">
        <f t="shared" si="29"/>
        <v>3.9181449336129839E-2</v>
      </c>
      <c r="X28" s="528">
        <f t="shared" si="29"/>
        <v>3.9472291373030315E-2</v>
      </c>
      <c r="Y28" s="528">
        <f t="shared" si="29"/>
        <v>3.9706518647794189E-2</v>
      </c>
      <c r="Z28" s="528">
        <f t="shared" si="29"/>
        <v>3.988310077350922E-2</v>
      </c>
      <c r="AA28" s="528">
        <f t="shared" si="29"/>
        <v>4.0001258249224868E-2</v>
      </c>
      <c r="AB28" s="528">
        <f t="shared" si="29"/>
        <v>4.006046819211808E-2</v>
      </c>
      <c r="AC28" s="528">
        <f t="shared" si="29"/>
        <v>4.006046819211808E-2</v>
      </c>
      <c r="AD28" s="528">
        <f t="shared" si="29"/>
        <v>4.0001258249224868E-2</v>
      </c>
      <c r="AE28" s="528">
        <f t="shared" si="29"/>
        <v>3.9883100773509365E-2</v>
      </c>
      <c r="AF28" s="528">
        <f t="shared" si="29"/>
        <v>3.9706518647793898E-2</v>
      </c>
      <c r="AG28" s="528">
        <f t="shared" si="29"/>
        <v>3.947229137303046E-2</v>
      </c>
      <c r="AH28" s="528">
        <f t="shared" si="29"/>
        <v>3.9181449336129839E-2</v>
      </c>
      <c r="AI28" s="528">
        <f t="shared" si="29"/>
        <v>3.8835266259241191E-2</v>
      </c>
      <c r="AJ28" s="528">
        <f t="shared" si="29"/>
        <v>3.8435249907891017E-2</v>
      </c>
      <c r="AK28" s="528">
        <f t="shared" si="29"/>
        <v>3.7983131152835248E-2</v>
      </c>
      <c r="AL28" s="528">
        <f t="shared" si="29"/>
        <v>3.7480851496653117E-2</v>
      </c>
      <c r="AM28" s="528">
        <f t="shared" si="29"/>
        <v>3.6930549190820137E-2</v>
      </c>
      <c r="AN28" s="528">
        <f t="shared" si="29"/>
        <v>3.633454408213066E-2</v>
      </c>
      <c r="AO28" s="528">
        <f t="shared" si="29"/>
        <v>3.5695321338622119E-2</v>
      </c>
      <c r="AP28" s="528" t="str">
        <f t="shared" si="29"/>
        <v/>
      </c>
      <c r="AQ28" s="528" t="str">
        <f t="shared" si="29"/>
        <v/>
      </c>
      <c r="AR28" s="528" t="str">
        <f t="shared" si="29"/>
        <v/>
      </c>
      <c r="AS28" s="528" t="str">
        <f t="shared" si="29"/>
        <v/>
      </c>
      <c r="AT28" s="528" t="str">
        <f t="shared" si="29"/>
        <v/>
      </c>
      <c r="AU28" s="528" t="str">
        <f t="shared" si="29"/>
        <v/>
      </c>
      <c r="AV28" s="528" t="str">
        <f t="shared" si="29"/>
        <v/>
      </c>
      <c r="AW28" s="528" t="str">
        <f t="shared" si="29"/>
        <v/>
      </c>
      <c r="AX28" s="528" t="str">
        <f t="shared" si="29"/>
        <v/>
      </c>
      <c r="AY28" s="528" t="str">
        <f t="shared" si="29"/>
        <v/>
      </c>
      <c r="AZ28" s="528" t="str">
        <f t="shared" si="29"/>
        <v/>
      </c>
      <c r="BA28" s="528" t="str">
        <f t="shared" si="29"/>
        <v/>
      </c>
      <c r="BB28" s="528" t="str">
        <f t="shared" si="29"/>
        <v/>
      </c>
      <c r="BC28" s="528" t="str">
        <f t="shared" si="29"/>
        <v/>
      </c>
      <c r="BD28" s="528" t="str">
        <f t="shared" si="29"/>
        <v/>
      </c>
      <c r="BE28" s="528" t="str">
        <f t="shared" si="29"/>
        <v/>
      </c>
      <c r="BF28" s="528" t="str">
        <f t="shared" si="29"/>
        <v/>
      </c>
      <c r="BG28" s="528" t="str">
        <f t="shared" si="29"/>
        <v/>
      </c>
      <c r="BH28" s="528" t="str">
        <f t="shared" si="29"/>
        <v/>
      </c>
      <c r="BI28" s="528" t="str">
        <f t="shared" si="29"/>
        <v/>
      </c>
      <c r="BJ28" s="528" t="str">
        <f t="shared" si="29"/>
        <v/>
      </c>
      <c r="BK28" s="528" t="str">
        <f t="shared" si="29"/>
        <v/>
      </c>
      <c r="BL28" s="528" t="str">
        <f t="shared" si="29"/>
        <v/>
      </c>
      <c r="BM28" s="528" t="str">
        <f t="shared" si="29"/>
        <v/>
      </c>
    </row>
    <row r="29" spans="2:65" ht="15.75" customHeight="1" x14ac:dyDescent="0.25">
      <c r="F29" s="197"/>
      <c r="G29" s="197">
        <f t="shared" si="3"/>
        <v>0</v>
      </c>
      <c r="H29" s="197">
        <f t="shared" si="4"/>
        <v>271</v>
      </c>
      <c r="I29" s="523">
        <v>1</v>
      </c>
      <c r="J29" s="533">
        <f>'Monthly DCF'!$I$3</f>
        <v>46418</v>
      </c>
      <c r="K29" s="533">
        <f t="shared" si="5"/>
        <v>47208</v>
      </c>
      <c r="L29" s="536">
        <f t="shared" si="8"/>
        <v>27</v>
      </c>
      <c r="M29" s="20" t="s">
        <v>366</v>
      </c>
      <c r="N29" s="20">
        <f t="shared" si="6"/>
        <v>27</v>
      </c>
      <c r="O29" s="537">
        <v>1</v>
      </c>
      <c r="P29" s="528">
        <f t="shared" ref="P29:BM29" si="30">IFERROR(+IF(AND($M29="Flat",P$5&gt;=$J29,P$5&lt;=$K29),$I29/$L29,0)+IF(AND($M29="S-Curve",P$5&gt;=$J29,P$5&lt;=$K29),(_xlfn.NORM.DIST((YEAR(P$5)-YEAR($J29))*12+MONTH(P$5)-MONTH($J29)+1,$L29/2,$N29,TRUE)-_xlfn.NORM.DIST((YEAR(P$5)-YEAR($J29))*12+MONTH(P$5)-MONTH($J29),$L29/2,$N29,TRUE))/(1-2*_xlfn.NORM.DIST(0,$L29/2,$N29,TRUE))*$I29," "),"")</f>
        <v>3.4361615051773535E-2</v>
      </c>
      <c r="Q29" s="528">
        <f t="shared" si="30"/>
        <v>3.495581782752092E-2</v>
      </c>
      <c r="R29" s="528">
        <f t="shared" si="30"/>
        <v>3.5511555387240955E-2</v>
      </c>
      <c r="S29" s="528">
        <f t="shared" si="30"/>
        <v>3.602668065199735E-2</v>
      </c>
      <c r="T29" s="528">
        <f t="shared" si="30"/>
        <v>3.6499182156202993E-2</v>
      </c>
      <c r="U29" s="528">
        <f t="shared" si="30"/>
        <v>3.6927197117875517E-2</v>
      </c>
      <c r="V29" s="528">
        <f t="shared" si="30"/>
        <v>3.73090236638993E-2</v>
      </c>
      <c r="W29" s="528">
        <f t="shared" si="30"/>
        <v>3.7643132098104777E-2</v>
      </c>
      <c r="X29" s="528">
        <f t="shared" si="30"/>
        <v>3.7928175107815841E-2</v>
      </c>
      <c r="Y29" s="528">
        <f t="shared" si="30"/>
        <v>3.8162996813593433E-2</v>
      </c>
      <c r="Z29" s="528">
        <f t="shared" si="30"/>
        <v>3.8346640577122212E-2</v>
      </c>
      <c r="AA29" s="528">
        <f t="shared" si="30"/>
        <v>3.8478355493448309E-2</v>
      </c>
      <c r="AB29" s="528">
        <f t="shared" si="30"/>
        <v>3.8557601505907674E-2</v>
      </c>
      <c r="AC29" s="528">
        <f t="shared" si="30"/>
        <v>3.858405309499454E-2</v>
      </c>
      <c r="AD29" s="528">
        <f t="shared" si="30"/>
        <v>3.8557601505907528E-2</v>
      </c>
      <c r="AE29" s="528">
        <f t="shared" si="30"/>
        <v>3.8478355493448455E-2</v>
      </c>
      <c r="AF29" s="528">
        <f t="shared" si="30"/>
        <v>3.8346640577122212E-2</v>
      </c>
      <c r="AG29" s="528">
        <f t="shared" si="30"/>
        <v>3.8162996813593288E-2</v>
      </c>
      <c r="AH29" s="528">
        <f t="shared" si="30"/>
        <v>3.7928175107815841E-2</v>
      </c>
      <c r="AI29" s="528">
        <f t="shared" si="30"/>
        <v>3.7643132098104923E-2</v>
      </c>
      <c r="AJ29" s="528">
        <f t="shared" si="30"/>
        <v>3.7309023663899155E-2</v>
      </c>
      <c r="AK29" s="528">
        <f t="shared" si="30"/>
        <v>3.6927197117875517E-2</v>
      </c>
      <c r="AL29" s="528">
        <f t="shared" si="30"/>
        <v>3.6499182156202993E-2</v>
      </c>
      <c r="AM29" s="528">
        <f t="shared" si="30"/>
        <v>3.602668065199735E-2</v>
      </c>
      <c r="AN29" s="528">
        <f t="shared" si="30"/>
        <v>3.5511555387240955E-2</v>
      </c>
      <c r="AO29" s="528">
        <f t="shared" si="30"/>
        <v>3.4955817827520774E-2</v>
      </c>
      <c r="AP29" s="528">
        <f t="shared" si="30"/>
        <v>3.4361615051773681E-2</v>
      </c>
      <c r="AQ29" s="528" t="str">
        <f t="shared" si="30"/>
        <v/>
      </c>
      <c r="AR29" s="528" t="str">
        <f t="shared" si="30"/>
        <v/>
      </c>
      <c r="AS29" s="528" t="str">
        <f t="shared" si="30"/>
        <v/>
      </c>
      <c r="AT29" s="528" t="str">
        <f t="shared" si="30"/>
        <v/>
      </c>
      <c r="AU29" s="528" t="str">
        <f t="shared" si="30"/>
        <v/>
      </c>
      <c r="AV29" s="528" t="str">
        <f t="shared" si="30"/>
        <v/>
      </c>
      <c r="AW29" s="528" t="str">
        <f t="shared" si="30"/>
        <v/>
      </c>
      <c r="AX29" s="528" t="str">
        <f t="shared" si="30"/>
        <v/>
      </c>
      <c r="AY29" s="528" t="str">
        <f t="shared" si="30"/>
        <v/>
      </c>
      <c r="AZ29" s="528" t="str">
        <f t="shared" si="30"/>
        <v/>
      </c>
      <c r="BA29" s="528" t="str">
        <f t="shared" si="30"/>
        <v/>
      </c>
      <c r="BB29" s="528" t="str">
        <f t="shared" si="30"/>
        <v/>
      </c>
      <c r="BC29" s="528" t="str">
        <f t="shared" si="30"/>
        <v/>
      </c>
      <c r="BD29" s="528" t="str">
        <f t="shared" si="30"/>
        <v/>
      </c>
      <c r="BE29" s="528" t="str">
        <f t="shared" si="30"/>
        <v/>
      </c>
      <c r="BF29" s="528" t="str">
        <f t="shared" si="30"/>
        <v/>
      </c>
      <c r="BG29" s="528" t="str">
        <f t="shared" si="30"/>
        <v/>
      </c>
      <c r="BH29" s="528" t="str">
        <f t="shared" si="30"/>
        <v/>
      </c>
      <c r="BI29" s="528" t="str">
        <f t="shared" si="30"/>
        <v/>
      </c>
      <c r="BJ29" s="528" t="str">
        <f t="shared" si="30"/>
        <v/>
      </c>
      <c r="BK29" s="528" t="str">
        <f t="shared" si="30"/>
        <v/>
      </c>
      <c r="BL29" s="528" t="str">
        <f t="shared" si="30"/>
        <v/>
      </c>
      <c r="BM29" s="528" t="str">
        <f t="shared" si="30"/>
        <v/>
      </c>
    </row>
    <row r="30" spans="2:65" ht="15.75" customHeight="1" x14ac:dyDescent="0.25">
      <c r="F30" s="197"/>
      <c r="G30" s="197">
        <f t="shared" si="3"/>
        <v>0</v>
      </c>
      <c r="H30" s="197">
        <f t="shared" si="4"/>
        <v>281</v>
      </c>
      <c r="I30" s="523">
        <v>1</v>
      </c>
      <c r="J30" s="533">
        <f>'Monthly DCF'!$I$3</f>
        <v>46418</v>
      </c>
      <c r="K30" s="533">
        <f t="shared" si="5"/>
        <v>47238</v>
      </c>
      <c r="L30" s="536">
        <f t="shared" si="8"/>
        <v>28</v>
      </c>
      <c r="M30" s="20" t="s">
        <v>366</v>
      </c>
      <c r="N30" s="20">
        <f t="shared" si="6"/>
        <v>28</v>
      </c>
      <c r="O30" s="537">
        <v>1</v>
      </c>
      <c r="P30" s="528">
        <f t="shared" ref="P30:BM30" si="31">IFERROR(+IF(AND($M30="Flat",P$5&gt;=$J30,P$5&lt;=$K30),$I30/$L30,0)+IF(AND($M30="S-Curve",P$5&gt;=$J30,P$5&lt;=$K30),(_xlfn.NORM.DIST((YEAR(P$5)-YEAR($J30))*12+MONTH(P$5)-MONTH($J30)+1,$L30/2,$N30,TRUE)-_xlfn.NORM.DIST((YEAR(P$5)-YEAR($J30))*12+MONTH(P$5)-MONTH($J30),$L30/2,$N30,TRUE))/(1-2*_xlfn.NORM.DIST(0,$L30/2,$N30,TRUE))*$I30," "),"")</f>
        <v>3.3123960766845852E-2</v>
      </c>
      <c r="Q30" s="528">
        <f t="shared" si="31"/>
        <v>3.3677729761483498E-2</v>
      </c>
      <c r="R30" s="528">
        <f t="shared" si="31"/>
        <v>3.4197114753218474E-2</v>
      </c>
      <c r="S30" s="528">
        <f t="shared" si="31"/>
        <v>3.4680251279029774E-2</v>
      </c>
      <c r="T30" s="528">
        <f t="shared" si="31"/>
        <v>3.5125386946479216E-2</v>
      </c>
      <c r="U30" s="528">
        <f t="shared" si="31"/>
        <v>3.5530892010562691E-2</v>
      </c>
      <c r="V30" s="528">
        <f t="shared" si="31"/>
        <v>3.5895269306635551E-2</v>
      </c>
      <c r="W30" s="528">
        <f t="shared" si="31"/>
        <v>3.6217163454755105E-2</v>
      </c>
      <c r="X30" s="528">
        <f t="shared" si="31"/>
        <v>3.6495369256300841E-2</v>
      </c>
      <c r="Y30" s="528">
        <f t="shared" si="31"/>
        <v>3.6728839210092491E-2</v>
      </c>
      <c r="Z30" s="528">
        <f t="shared" si="31"/>
        <v>3.6916690082431723E-2</v>
      </c>
      <c r="AA30" s="528">
        <f t="shared" si="31"/>
        <v>3.7058208473399232E-2</v>
      </c>
      <c r="AB30" s="528">
        <f t="shared" si="31"/>
        <v>3.7152855330321276E-2</v>
      </c>
      <c r="AC30" s="528">
        <f t="shared" si="31"/>
        <v>3.7200269368444269E-2</v>
      </c>
      <c r="AD30" s="528">
        <f t="shared" si="31"/>
        <v>3.7200269368444415E-2</v>
      </c>
      <c r="AE30" s="528">
        <f t="shared" si="31"/>
        <v>3.715285533032113E-2</v>
      </c>
      <c r="AF30" s="528">
        <f t="shared" si="31"/>
        <v>3.7058208473399377E-2</v>
      </c>
      <c r="AG30" s="528">
        <f t="shared" si="31"/>
        <v>3.6916690082431584E-2</v>
      </c>
      <c r="AH30" s="528">
        <f t="shared" si="31"/>
        <v>3.6728839210092491E-2</v>
      </c>
      <c r="AI30" s="528">
        <f t="shared" si="31"/>
        <v>3.6495369256300841E-2</v>
      </c>
      <c r="AJ30" s="528">
        <f t="shared" si="31"/>
        <v>3.6217163454755105E-2</v>
      </c>
      <c r="AK30" s="528">
        <f t="shared" si="31"/>
        <v>3.5895269306635551E-2</v>
      </c>
      <c r="AL30" s="528">
        <f t="shared" si="31"/>
        <v>3.5530892010562691E-2</v>
      </c>
      <c r="AM30" s="528">
        <f t="shared" si="31"/>
        <v>3.5125386946479362E-2</v>
      </c>
      <c r="AN30" s="528">
        <f t="shared" si="31"/>
        <v>3.4680251279029628E-2</v>
      </c>
      <c r="AO30" s="528">
        <f t="shared" si="31"/>
        <v>3.4197114753218474E-2</v>
      </c>
      <c r="AP30" s="528">
        <f t="shared" si="31"/>
        <v>3.3677729761483498E-2</v>
      </c>
      <c r="AQ30" s="528">
        <f t="shared" si="31"/>
        <v>3.3123960766845852E-2</v>
      </c>
      <c r="AR30" s="528" t="str">
        <f t="shared" si="31"/>
        <v/>
      </c>
      <c r="AS30" s="528" t="str">
        <f t="shared" si="31"/>
        <v/>
      </c>
      <c r="AT30" s="528" t="str">
        <f t="shared" si="31"/>
        <v/>
      </c>
      <c r="AU30" s="528" t="str">
        <f t="shared" si="31"/>
        <v/>
      </c>
      <c r="AV30" s="528" t="str">
        <f t="shared" si="31"/>
        <v/>
      </c>
      <c r="AW30" s="528" t="str">
        <f t="shared" si="31"/>
        <v/>
      </c>
      <c r="AX30" s="528" t="str">
        <f t="shared" si="31"/>
        <v/>
      </c>
      <c r="AY30" s="528" t="str">
        <f t="shared" si="31"/>
        <v/>
      </c>
      <c r="AZ30" s="528" t="str">
        <f t="shared" si="31"/>
        <v/>
      </c>
      <c r="BA30" s="528" t="str">
        <f t="shared" si="31"/>
        <v/>
      </c>
      <c r="BB30" s="528" t="str">
        <f t="shared" si="31"/>
        <v/>
      </c>
      <c r="BC30" s="528" t="str">
        <f t="shared" si="31"/>
        <v/>
      </c>
      <c r="BD30" s="528" t="str">
        <f t="shared" si="31"/>
        <v/>
      </c>
      <c r="BE30" s="528" t="str">
        <f t="shared" si="31"/>
        <v/>
      </c>
      <c r="BF30" s="528" t="str">
        <f t="shared" si="31"/>
        <v/>
      </c>
      <c r="BG30" s="528" t="str">
        <f t="shared" si="31"/>
        <v/>
      </c>
      <c r="BH30" s="528" t="str">
        <f t="shared" si="31"/>
        <v/>
      </c>
      <c r="BI30" s="528" t="str">
        <f t="shared" si="31"/>
        <v/>
      </c>
      <c r="BJ30" s="528" t="str">
        <f t="shared" si="31"/>
        <v/>
      </c>
      <c r="BK30" s="528" t="str">
        <f t="shared" si="31"/>
        <v/>
      </c>
      <c r="BL30" s="528" t="str">
        <f t="shared" si="31"/>
        <v/>
      </c>
      <c r="BM30" s="528" t="str">
        <f t="shared" si="31"/>
        <v/>
      </c>
    </row>
    <row r="31" spans="2:65" ht="15.75" customHeight="1" x14ac:dyDescent="0.25">
      <c r="F31" s="197"/>
      <c r="G31" s="197">
        <f t="shared" si="3"/>
        <v>0</v>
      </c>
      <c r="H31" s="197">
        <f t="shared" si="4"/>
        <v>291</v>
      </c>
      <c r="I31" s="523">
        <v>1</v>
      </c>
      <c r="J31" s="533">
        <f>'Monthly DCF'!$I$3</f>
        <v>46418</v>
      </c>
      <c r="K31" s="533">
        <f t="shared" si="5"/>
        <v>47269</v>
      </c>
      <c r="L31" s="536">
        <f t="shared" si="8"/>
        <v>29</v>
      </c>
      <c r="M31" s="20" t="s">
        <v>366</v>
      </c>
      <c r="N31" s="20">
        <f t="shared" si="6"/>
        <v>29</v>
      </c>
      <c r="O31" s="537">
        <v>1</v>
      </c>
      <c r="P31" s="528">
        <f t="shared" ref="P31:BM31" si="32">IFERROR(+IF(AND($M31="Flat",P$5&gt;=$J31,P$5&lt;=$K31),$I31/$L31,0)+IF(AND($M31="S-Curve",P$5&gt;=$J31,P$5&lt;=$K31),(_xlfn.NORM.DIST((YEAR(P$5)-YEAR($J31))*12+MONTH(P$5)-MONTH($J31)+1,$L31/2,$N31,TRUE)-_xlfn.NORM.DIST((YEAR(P$5)-YEAR($J31))*12+MONTH(P$5)-MONTH($J31),$L31/2,$N31,TRUE))/(1-2*_xlfn.NORM.DIST(0,$L31/2,$N31,TRUE))*$I31," "),"")</f>
        <v>3.1972344969118341E-2</v>
      </c>
      <c r="Q31" s="528">
        <f t="shared" si="32"/>
        <v>3.2489664961282992E-2</v>
      </c>
      <c r="R31" s="528">
        <f t="shared" si="32"/>
        <v>3.2976125267385789E-2</v>
      </c>
      <c r="S31" s="528">
        <f t="shared" si="32"/>
        <v>3.3430099118118978E-2</v>
      </c>
      <c r="T31" s="528">
        <f t="shared" si="32"/>
        <v>3.3850052998198654E-2</v>
      </c>
      <c r="U31" s="528">
        <f t="shared" si="32"/>
        <v>3.4234555266227942E-2</v>
      </c>
      <c r="V31" s="528">
        <f t="shared" si="32"/>
        <v>3.4582284279055749E-2</v>
      </c>
      <c r="W31" s="528">
        <f t="shared" si="32"/>
        <v>3.4892035956161117E-2</v>
      </c>
      <c r="X31" s="528">
        <f t="shared" si="32"/>
        <v>3.5162730723517839E-2</v>
      </c>
      <c r="Y31" s="528">
        <f t="shared" si="32"/>
        <v>3.5393419780909298E-2</v>
      </c>
      <c r="Z31" s="528">
        <f t="shared" si="32"/>
        <v>3.5583290641789965E-2</v>
      </c>
      <c r="AA31" s="528">
        <f t="shared" si="32"/>
        <v>3.5731671900434858E-2</v>
      </c>
      <c r="AB31" s="528">
        <f t="shared" si="32"/>
        <v>3.5838037187229589E-2</v>
      </c>
      <c r="AC31" s="528">
        <f t="shared" si="32"/>
        <v>3.5902008279498361E-2</v>
      </c>
      <c r="AD31" s="528">
        <f t="shared" si="32"/>
        <v>3.5923357342141048E-2</v>
      </c>
      <c r="AE31" s="528">
        <f t="shared" si="32"/>
        <v>3.5902008279498507E-2</v>
      </c>
      <c r="AF31" s="528">
        <f t="shared" si="32"/>
        <v>3.5838037187229443E-2</v>
      </c>
      <c r="AG31" s="528">
        <f t="shared" si="32"/>
        <v>3.5731671900435004E-2</v>
      </c>
      <c r="AH31" s="528">
        <f t="shared" si="32"/>
        <v>3.5583290641789819E-2</v>
      </c>
      <c r="AI31" s="528">
        <f t="shared" si="32"/>
        <v>3.5393419780909298E-2</v>
      </c>
      <c r="AJ31" s="528">
        <f t="shared" si="32"/>
        <v>3.5162730723517839E-2</v>
      </c>
      <c r="AK31" s="528">
        <f t="shared" si="32"/>
        <v>3.4892035956161117E-2</v>
      </c>
      <c r="AL31" s="528">
        <f t="shared" si="32"/>
        <v>3.4582284279055749E-2</v>
      </c>
      <c r="AM31" s="528">
        <f t="shared" si="32"/>
        <v>3.4234555266227942E-2</v>
      </c>
      <c r="AN31" s="528">
        <f t="shared" si="32"/>
        <v>3.3850052998198654E-2</v>
      </c>
      <c r="AO31" s="528">
        <f t="shared" si="32"/>
        <v>3.3430099118118978E-2</v>
      </c>
      <c r="AP31" s="528">
        <f t="shared" si="32"/>
        <v>3.2976125267385789E-2</v>
      </c>
      <c r="AQ31" s="528">
        <f t="shared" si="32"/>
        <v>3.2489664961282992E-2</v>
      </c>
      <c r="AR31" s="528">
        <f t="shared" si="32"/>
        <v>3.1972344969118341E-2</v>
      </c>
      <c r="AS31" s="528" t="str">
        <f t="shared" si="32"/>
        <v/>
      </c>
      <c r="AT31" s="528" t="str">
        <f t="shared" si="32"/>
        <v/>
      </c>
      <c r="AU31" s="528" t="str">
        <f t="shared" si="32"/>
        <v/>
      </c>
      <c r="AV31" s="528" t="str">
        <f t="shared" si="32"/>
        <v/>
      </c>
      <c r="AW31" s="528" t="str">
        <f t="shared" si="32"/>
        <v/>
      </c>
      <c r="AX31" s="528" t="str">
        <f t="shared" si="32"/>
        <v/>
      </c>
      <c r="AY31" s="528" t="str">
        <f t="shared" si="32"/>
        <v/>
      </c>
      <c r="AZ31" s="528" t="str">
        <f t="shared" si="32"/>
        <v/>
      </c>
      <c r="BA31" s="528" t="str">
        <f t="shared" si="32"/>
        <v/>
      </c>
      <c r="BB31" s="528" t="str">
        <f t="shared" si="32"/>
        <v/>
      </c>
      <c r="BC31" s="528" t="str">
        <f t="shared" si="32"/>
        <v/>
      </c>
      <c r="BD31" s="528" t="str">
        <f t="shared" si="32"/>
        <v/>
      </c>
      <c r="BE31" s="528" t="str">
        <f t="shared" si="32"/>
        <v/>
      </c>
      <c r="BF31" s="528" t="str">
        <f t="shared" si="32"/>
        <v/>
      </c>
      <c r="BG31" s="528" t="str">
        <f t="shared" si="32"/>
        <v/>
      </c>
      <c r="BH31" s="528" t="str">
        <f t="shared" si="32"/>
        <v/>
      </c>
      <c r="BI31" s="528" t="str">
        <f t="shared" si="32"/>
        <v/>
      </c>
      <c r="BJ31" s="528" t="str">
        <f t="shared" si="32"/>
        <v/>
      </c>
      <c r="BK31" s="528" t="str">
        <f t="shared" si="32"/>
        <v/>
      </c>
      <c r="BL31" s="528" t="str">
        <f t="shared" si="32"/>
        <v/>
      </c>
      <c r="BM31" s="528" t="str">
        <f t="shared" si="32"/>
        <v/>
      </c>
    </row>
    <row r="32" spans="2:65" ht="15.75" customHeight="1" x14ac:dyDescent="0.25">
      <c r="F32" s="197"/>
      <c r="G32" s="197">
        <f t="shared" si="3"/>
        <v>0</v>
      </c>
      <c r="H32" s="197">
        <f t="shared" si="4"/>
        <v>301</v>
      </c>
      <c r="I32" s="523">
        <v>1</v>
      </c>
      <c r="J32" s="533">
        <f>'Monthly DCF'!$I$3</f>
        <v>46418</v>
      </c>
      <c r="K32" s="533">
        <f t="shared" si="5"/>
        <v>47299</v>
      </c>
      <c r="L32" s="536">
        <f t="shared" si="8"/>
        <v>30</v>
      </c>
      <c r="M32" s="20" t="s">
        <v>366</v>
      </c>
      <c r="N32" s="20">
        <f t="shared" si="6"/>
        <v>30</v>
      </c>
      <c r="O32" s="537">
        <v>1</v>
      </c>
      <c r="P32" s="528">
        <f t="shared" ref="P32:BM32" si="33">IFERROR(+IF(AND($M32="Flat",P$5&gt;=$J32,P$5&lt;=$K32),$I32/$L32,0)+IF(AND($M32="S-Curve",P$5&gt;=$J32,P$5&lt;=$K32),(_xlfn.NORM.DIST((YEAR(P$5)-YEAR($J32))*12+MONTH(P$5)-MONTH($J32)+1,$L32/2,$N32,TRUE)-_xlfn.NORM.DIST((YEAR(P$5)-YEAR($J32))*12+MONTH(P$5)-MONTH($J32),$L32/2,$N32,TRUE))/(1-2*_xlfn.NORM.DIST(0,$L32/2,$N32,TRUE))*$I32," "),"")</f>
        <v>3.0898099023052124E-2</v>
      </c>
      <c r="Q32" s="528">
        <f t="shared" si="33"/>
        <v>3.1382448667591017E-2</v>
      </c>
      <c r="R32" s="528">
        <f t="shared" si="33"/>
        <v>3.1838997790674207E-2</v>
      </c>
      <c r="S32" s="528">
        <f t="shared" si="33"/>
        <v>3.2266320681368484E-2</v>
      </c>
      <c r="T32" s="528">
        <f t="shared" si="33"/>
        <v>3.2663069724056311E-2</v>
      </c>
      <c r="U32" s="528">
        <f t="shared" si="33"/>
        <v>3.3027982470108103E-2</v>
      </c>
      <c r="V32" s="528">
        <f t="shared" si="33"/>
        <v>3.335988832478156E-2</v>
      </c>
      <c r="W32" s="528">
        <f t="shared" si="33"/>
        <v>3.3657714799834461E-2</v>
      </c>
      <c r="X32" s="528">
        <f t="shared" si="33"/>
        <v>3.3920493285136348E-2</v>
      </c>
      <c r="Y32" s="528">
        <f t="shared" si="33"/>
        <v>3.4147364295828549E-2</v>
      </c>
      <c r="Z32" s="528">
        <f t="shared" si="33"/>
        <v>3.433758215526065E-2</v>
      </c>
      <c r="AA32" s="528">
        <f t="shared" si="33"/>
        <v>3.4490519078001637E-2</v>
      </c>
      <c r="AB32" s="528">
        <f t="shared" si="33"/>
        <v>3.4605668621639323E-2</v>
      </c>
      <c r="AC32" s="528">
        <f t="shared" si="33"/>
        <v>3.4682648480805815E-2</v>
      </c>
      <c r="AD32" s="528">
        <f t="shared" si="33"/>
        <v>3.4721202601861394E-2</v>
      </c>
      <c r="AE32" s="528">
        <f t="shared" si="33"/>
        <v>3.4721202601861394E-2</v>
      </c>
      <c r="AF32" s="528">
        <f t="shared" si="33"/>
        <v>3.4682648480805815E-2</v>
      </c>
      <c r="AG32" s="528">
        <f t="shared" si="33"/>
        <v>3.4605668621639323E-2</v>
      </c>
      <c r="AH32" s="528">
        <f t="shared" si="33"/>
        <v>3.4490519078001783E-2</v>
      </c>
      <c r="AI32" s="528">
        <f t="shared" si="33"/>
        <v>3.4337582155260504E-2</v>
      </c>
      <c r="AJ32" s="528">
        <f t="shared" si="33"/>
        <v>3.4147364295828403E-2</v>
      </c>
      <c r="AK32" s="528">
        <f t="shared" si="33"/>
        <v>3.3920493285136639E-2</v>
      </c>
      <c r="AL32" s="528">
        <f t="shared" si="33"/>
        <v>3.3657714799834315E-2</v>
      </c>
      <c r="AM32" s="528">
        <f t="shared" si="33"/>
        <v>3.335988832478156E-2</v>
      </c>
      <c r="AN32" s="528">
        <f t="shared" si="33"/>
        <v>3.3027982470108248E-2</v>
      </c>
      <c r="AO32" s="528">
        <f t="shared" si="33"/>
        <v>3.2663069724056165E-2</v>
      </c>
      <c r="AP32" s="528">
        <f t="shared" si="33"/>
        <v>3.2266320681368629E-2</v>
      </c>
      <c r="AQ32" s="528">
        <f t="shared" si="33"/>
        <v>3.1838997790674062E-2</v>
      </c>
      <c r="AR32" s="528">
        <f t="shared" si="33"/>
        <v>3.1382448667591017E-2</v>
      </c>
      <c r="AS32" s="528">
        <f t="shared" si="33"/>
        <v>3.0898099023052124E-2</v>
      </c>
      <c r="AT32" s="528" t="str">
        <f t="shared" si="33"/>
        <v/>
      </c>
      <c r="AU32" s="528" t="str">
        <f t="shared" si="33"/>
        <v/>
      </c>
      <c r="AV32" s="528" t="str">
        <f t="shared" si="33"/>
        <v/>
      </c>
      <c r="AW32" s="528" t="str">
        <f t="shared" si="33"/>
        <v/>
      </c>
      <c r="AX32" s="528" t="str">
        <f t="shared" si="33"/>
        <v/>
      </c>
      <c r="AY32" s="528" t="str">
        <f t="shared" si="33"/>
        <v/>
      </c>
      <c r="AZ32" s="528" t="str">
        <f t="shared" si="33"/>
        <v/>
      </c>
      <c r="BA32" s="528" t="str">
        <f t="shared" si="33"/>
        <v/>
      </c>
      <c r="BB32" s="528" t="str">
        <f t="shared" si="33"/>
        <v/>
      </c>
      <c r="BC32" s="528" t="str">
        <f t="shared" si="33"/>
        <v/>
      </c>
      <c r="BD32" s="528" t="str">
        <f t="shared" si="33"/>
        <v/>
      </c>
      <c r="BE32" s="528" t="str">
        <f t="shared" si="33"/>
        <v/>
      </c>
      <c r="BF32" s="528" t="str">
        <f t="shared" si="33"/>
        <v/>
      </c>
      <c r="BG32" s="528" t="str">
        <f t="shared" si="33"/>
        <v/>
      </c>
      <c r="BH32" s="528" t="str">
        <f t="shared" si="33"/>
        <v/>
      </c>
      <c r="BI32" s="528" t="str">
        <f t="shared" si="33"/>
        <v/>
      </c>
      <c r="BJ32" s="528" t="str">
        <f t="shared" si="33"/>
        <v/>
      </c>
      <c r="BK32" s="528" t="str">
        <f t="shared" si="33"/>
        <v/>
      </c>
      <c r="BL32" s="528" t="str">
        <f t="shared" si="33"/>
        <v/>
      </c>
      <c r="BM32" s="528" t="str">
        <f t="shared" si="33"/>
        <v/>
      </c>
    </row>
    <row r="33" spans="6:65" ht="15.75" customHeight="1" x14ac:dyDescent="0.25">
      <c r="F33" s="197"/>
      <c r="G33" s="197">
        <f t="shared" si="3"/>
        <v>0</v>
      </c>
      <c r="H33" s="197">
        <f t="shared" si="4"/>
        <v>311</v>
      </c>
      <c r="I33" s="523">
        <v>1</v>
      </c>
      <c r="J33" s="533">
        <f>'Monthly DCF'!$I$3</f>
        <v>46418</v>
      </c>
      <c r="K33" s="533">
        <f t="shared" si="5"/>
        <v>47330</v>
      </c>
      <c r="L33" s="536">
        <f t="shared" si="8"/>
        <v>31</v>
      </c>
      <c r="M33" s="20" t="s">
        <v>366</v>
      </c>
      <c r="N33" s="20">
        <f t="shared" si="6"/>
        <v>31</v>
      </c>
      <c r="O33" s="537">
        <v>1</v>
      </c>
      <c r="P33" s="528">
        <f t="shared" ref="P33:BM33" si="34">IFERROR(+IF(AND($M33="Flat",P$5&gt;=$J33,P$5&lt;=$K33),$I33/$L33,0)+IF(AND($M33="S-Curve",P$5&gt;=$J33,P$5&lt;=$K33),(_xlfn.NORM.DIST((YEAR(P$5)-YEAR($J33))*12+MONTH(P$5)-MONTH($J33)+1,$L33/2,$N33,TRUE)-_xlfn.NORM.DIST((YEAR(P$5)-YEAR($J33))*12+MONTH(P$5)-MONTH($J33),$L33/2,$N33,TRUE))/(1-2*_xlfn.NORM.DIST(0,$L33/2,$N33,TRUE))*$I33," "),"")</f>
        <v>2.9893680765010061E-2</v>
      </c>
      <c r="Q33" s="528">
        <f t="shared" si="34"/>
        <v>3.0348110349051896E-2</v>
      </c>
      <c r="R33" s="528">
        <f t="shared" si="34"/>
        <v>3.0777407628859235E-2</v>
      </c>
      <c r="S33" s="528">
        <f t="shared" si="34"/>
        <v>3.1180317876787711E-2</v>
      </c>
      <c r="T33" s="528">
        <f t="shared" si="34"/>
        <v>3.1555652158065425E-2</v>
      </c>
      <c r="U33" s="528">
        <f t="shared" si="34"/>
        <v>3.1902293168524859E-2</v>
      </c>
      <c r="V33" s="528">
        <f t="shared" si="34"/>
        <v>3.2219200771021951E-2</v>
      </c>
      <c r="W33" s="528">
        <f t="shared" si="34"/>
        <v>3.2505417192173959E-2</v>
      </c>
      <c r="X33" s="528">
        <f t="shared" si="34"/>
        <v>3.276007184311127E-2</v>
      </c>
      <c r="Y33" s="528">
        <f t="shared" si="34"/>
        <v>3.298238573029387E-2</v>
      </c>
      <c r="Z33" s="528">
        <f t="shared" si="34"/>
        <v>3.3171675425127188E-2</v>
      </c>
      <c r="AA33" s="528">
        <f t="shared" si="34"/>
        <v>3.3327356564073797E-2</v>
      </c>
      <c r="AB33" s="528">
        <f t="shared" si="34"/>
        <v>3.3448946854170783E-2</v>
      </c>
      <c r="AC33" s="528">
        <f t="shared" si="34"/>
        <v>3.3536068562327083E-2</v>
      </c>
      <c r="AD33" s="528">
        <f t="shared" si="34"/>
        <v>3.3588450470411667E-2</v>
      </c>
      <c r="AE33" s="528">
        <f t="shared" si="34"/>
        <v>3.3605929281978343E-2</v>
      </c>
      <c r="AF33" s="528">
        <f t="shared" si="34"/>
        <v>3.3588450470411813E-2</v>
      </c>
      <c r="AG33" s="528">
        <f t="shared" si="34"/>
        <v>3.3536068562327083E-2</v>
      </c>
      <c r="AH33" s="528">
        <f t="shared" si="34"/>
        <v>3.3448946854170637E-2</v>
      </c>
      <c r="AI33" s="528">
        <f t="shared" si="34"/>
        <v>3.3327356564073943E-2</v>
      </c>
      <c r="AJ33" s="528">
        <f t="shared" si="34"/>
        <v>3.3171675425127334E-2</v>
      </c>
      <c r="AK33" s="528">
        <f t="shared" si="34"/>
        <v>3.2982385730293724E-2</v>
      </c>
      <c r="AL33" s="528">
        <f t="shared" si="34"/>
        <v>3.2760071843111416E-2</v>
      </c>
      <c r="AM33" s="528">
        <f t="shared" si="34"/>
        <v>3.2505417192173813E-2</v>
      </c>
      <c r="AN33" s="528">
        <f t="shared" si="34"/>
        <v>3.2219200771022097E-2</v>
      </c>
      <c r="AO33" s="528">
        <f t="shared" si="34"/>
        <v>3.1902293168524713E-2</v>
      </c>
      <c r="AP33" s="528">
        <f t="shared" si="34"/>
        <v>3.1555652158065425E-2</v>
      </c>
      <c r="AQ33" s="528">
        <f t="shared" si="34"/>
        <v>3.1180317876787711E-2</v>
      </c>
      <c r="AR33" s="528">
        <f t="shared" si="34"/>
        <v>3.0777407628859235E-2</v>
      </c>
      <c r="AS33" s="528">
        <f t="shared" si="34"/>
        <v>3.0348110349052038E-2</v>
      </c>
      <c r="AT33" s="528">
        <f t="shared" si="34"/>
        <v>2.9893680765009919E-2</v>
      </c>
      <c r="AU33" s="528" t="str">
        <f t="shared" si="34"/>
        <v/>
      </c>
      <c r="AV33" s="528" t="str">
        <f t="shared" si="34"/>
        <v/>
      </c>
      <c r="AW33" s="528" t="str">
        <f t="shared" si="34"/>
        <v/>
      </c>
      <c r="AX33" s="528" t="str">
        <f t="shared" si="34"/>
        <v/>
      </c>
      <c r="AY33" s="528" t="str">
        <f t="shared" si="34"/>
        <v/>
      </c>
      <c r="AZ33" s="528" t="str">
        <f t="shared" si="34"/>
        <v/>
      </c>
      <c r="BA33" s="528" t="str">
        <f t="shared" si="34"/>
        <v/>
      </c>
      <c r="BB33" s="528" t="str">
        <f t="shared" si="34"/>
        <v/>
      </c>
      <c r="BC33" s="528" t="str">
        <f t="shared" si="34"/>
        <v/>
      </c>
      <c r="BD33" s="528" t="str">
        <f t="shared" si="34"/>
        <v/>
      </c>
      <c r="BE33" s="528" t="str">
        <f t="shared" si="34"/>
        <v/>
      </c>
      <c r="BF33" s="528" t="str">
        <f t="shared" si="34"/>
        <v/>
      </c>
      <c r="BG33" s="528" t="str">
        <f t="shared" si="34"/>
        <v/>
      </c>
      <c r="BH33" s="528" t="str">
        <f t="shared" si="34"/>
        <v/>
      </c>
      <c r="BI33" s="528" t="str">
        <f t="shared" si="34"/>
        <v/>
      </c>
      <c r="BJ33" s="528" t="str">
        <f t="shared" si="34"/>
        <v/>
      </c>
      <c r="BK33" s="528" t="str">
        <f t="shared" si="34"/>
        <v/>
      </c>
      <c r="BL33" s="528" t="str">
        <f t="shared" si="34"/>
        <v/>
      </c>
      <c r="BM33" s="528" t="str">
        <f t="shared" si="34"/>
        <v/>
      </c>
    </row>
    <row r="34" spans="6:65" ht="15.75" customHeight="1" x14ac:dyDescent="0.25">
      <c r="F34" s="197"/>
      <c r="G34" s="197">
        <f t="shared" si="3"/>
        <v>0</v>
      </c>
      <c r="H34" s="197">
        <f t="shared" si="4"/>
        <v>321</v>
      </c>
      <c r="I34" s="523">
        <v>1</v>
      </c>
      <c r="J34" s="533">
        <f>'Monthly DCF'!$I$3</f>
        <v>46418</v>
      </c>
      <c r="K34" s="533">
        <f t="shared" si="5"/>
        <v>47361</v>
      </c>
      <c r="L34" s="536">
        <f t="shared" si="8"/>
        <v>32</v>
      </c>
      <c r="M34" s="20" t="s">
        <v>366</v>
      </c>
      <c r="N34" s="20">
        <f t="shared" si="6"/>
        <v>32</v>
      </c>
      <c r="O34" s="537">
        <v>1</v>
      </c>
      <c r="P34" s="528">
        <f t="shared" ref="P34:BM34" si="35">IFERROR(+IF(AND($M34="Flat",P$5&gt;=$J34,P$5&lt;=$K34),$I34/$L34,0)+IF(AND($M34="S-Curve",P$5&gt;=$J34,P$5&lt;=$K34),(_xlfn.NORM.DIST((YEAR(P$5)-YEAR($J34))*12+MONTH(P$5)-MONTH($J34)+1,$L34/2,$N34,TRUE)-_xlfn.NORM.DIST((YEAR(P$5)-YEAR($J34))*12+MONTH(P$5)-MONTH($J34),$L34/2,$N34,TRUE))/(1-2*_xlfn.NORM.DIST(0,$L34/2,$N34,TRUE))*$I34," "),"")</f>
        <v>2.8952497312943026E-2</v>
      </c>
      <c r="Q34" s="528">
        <f t="shared" si="35"/>
        <v>2.9379692627216458E-2</v>
      </c>
      <c r="R34" s="528">
        <f t="shared" si="35"/>
        <v>2.978409336007954E-2</v>
      </c>
      <c r="S34" s="528">
        <f t="shared" si="35"/>
        <v>3.0164590924155906E-2</v>
      </c>
      <c r="T34" s="528">
        <f t="shared" si="35"/>
        <v>3.0520132471400407E-2</v>
      </c>
      <c r="U34" s="528">
        <f t="shared" si="35"/>
        <v>3.0849725740477597E-2</v>
      </c>
      <c r="V34" s="528">
        <f t="shared" si="35"/>
        <v>3.1152443666286191E-2</v>
      </c>
      <c r="W34" s="528">
        <f t="shared" si="35"/>
        <v>3.1427428721695926E-2</v>
      </c>
      <c r="X34" s="528">
        <f t="shared" si="35"/>
        <v>3.1673896963056988E-2</v>
      </c>
      <c r="Y34" s="528">
        <f t="shared" si="35"/>
        <v>3.1891141752786033E-2</v>
      </c>
      <c r="Z34" s="528">
        <f t="shared" si="35"/>
        <v>3.2078537134291062E-2</v>
      </c>
      <c r="AA34" s="528">
        <f t="shared" si="35"/>
        <v>3.2235540836686505E-2</v>
      </c>
      <c r="AB34" s="528">
        <f t="shared" si="35"/>
        <v>3.2361696889112772E-2</v>
      </c>
      <c r="AC34" s="528">
        <f t="shared" si="35"/>
        <v>3.2456637827016056E-2</v>
      </c>
      <c r="AD34" s="528">
        <f t="shared" si="35"/>
        <v>3.2520086475458697E-2</v>
      </c>
      <c r="AE34" s="528">
        <f t="shared" si="35"/>
        <v>3.2551857297336832E-2</v>
      </c>
      <c r="AF34" s="528">
        <f t="shared" si="35"/>
        <v>3.2551857297336978E-2</v>
      </c>
      <c r="AG34" s="528">
        <f t="shared" si="35"/>
        <v>3.2520086475458405E-2</v>
      </c>
      <c r="AH34" s="528">
        <f t="shared" si="35"/>
        <v>3.2456637827016202E-2</v>
      </c>
      <c r="AI34" s="528">
        <f t="shared" si="35"/>
        <v>3.2361696889112772E-2</v>
      </c>
      <c r="AJ34" s="528">
        <f t="shared" si="35"/>
        <v>3.2235540836686505E-2</v>
      </c>
      <c r="AK34" s="528">
        <f t="shared" si="35"/>
        <v>3.2078537134290916E-2</v>
      </c>
      <c r="AL34" s="528">
        <f t="shared" si="35"/>
        <v>3.1891141752786033E-2</v>
      </c>
      <c r="AM34" s="528">
        <f t="shared" si="35"/>
        <v>3.1673896963057127E-2</v>
      </c>
      <c r="AN34" s="528">
        <f t="shared" si="35"/>
        <v>3.142742872169578E-2</v>
      </c>
      <c r="AO34" s="528">
        <f t="shared" si="35"/>
        <v>3.1152443666286191E-2</v>
      </c>
      <c r="AP34" s="528">
        <f t="shared" si="35"/>
        <v>3.0849725740477597E-2</v>
      </c>
      <c r="AQ34" s="528">
        <f t="shared" si="35"/>
        <v>3.0520132471400552E-2</v>
      </c>
      <c r="AR34" s="528">
        <f t="shared" si="35"/>
        <v>3.0164590924155764E-2</v>
      </c>
      <c r="AS34" s="528">
        <f t="shared" si="35"/>
        <v>2.9784093360079686E-2</v>
      </c>
      <c r="AT34" s="528">
        <f t="shared" si="35"/>
        <v>2.9379692627216458E-2</v>
      </c>
      <c r="AU34" s="528">
        <f t="shared" si="35"/>
        <v>2.8952497312943026E-2</v>
      </c>
      <c r="AV34" s="528" t="str">
        <f t="shared" si="35"/>
        <v/>
      </c>
      <c r="AW34" s="528" t="str">
        <f t="shared" si="35"/>
        <v/>
      </c>
      <c r="AX34" s="528" t="str">
        <f t="shared" si="35"/>
        <v/>
      </c>
      <c r="AY34" s="528" t="str">
        <f t="shared" si="35"/>
        <v/>
      </c>
      <c r="AZ34" s="528" t="str">
        <f t="shared" si="35"/>
        <v/>
      </c>
      <c r="BA34" s="528" t="str">
        <f t="shared" si="35"/>
        <v/>
      </c>
      <c r="BB34" s="528" t="str">
        <f t="shared" si="35"/>
        <v/>
      </c>
      <c r="BC34" s="528" t="str">
        <f t="shared" si="35"/>
        <v/>
      </c>
      <c r="BD34" s="528" t="str">
        <f t="shared" si="35"/>
        <v/>
      </c>
      <c r="BE34" s="528" t="str">
        <f t="shared" si="35"/>
        <v/>
      </c>
      <c r="BF34" s="528" t="str">
        <f t="shared" si="35"/>
        <v/>
      </c>
      <c r="BG34" s="528" t="str">
        <f t="shared" si="35"/>
        <v/>
      </c>
      <c r="BH34" s="528" t="str">
        <f t="shared" si="35"/>
        <v/>
      </c>
      <c r="BI34" s="528" t="str">
        <f t="shared" si="35"/>
        <v/>
      </c>
      <c r="BJ34" s="528" t="str">
        <f t="shared" si="35"/>
        <v/>
      </c>
      <c r="BK34" s="528" t="str">
        <f t="shared" si="35"/>
        <v/>
      </c>
      <c r="BL34" s="528" t="str">
        <f t="shared" si="35"/>
        <v/>
      </c>
      <c r="BM34" s="528" t="str">
        <f t="shared" si="35"/>
        <v/>
      </c>
    </row>
    <row r="35" spans="6:65" ht="15.75" customHeight="1" x14ac:dyDescent="0.25">
      <c r="F35" s="197"/>
      <c r="G35" s="197">
        <f t="shared" si="3"/>
        <v>0</v>
      </c>
      <c r="H35" s="197">
        <f t="shared" si="4"/>
        <v>331</v>
      </c>
      <c r="I35" s="523">
        <v>1</v>
      </c>
      <c r="J35" s="533">
        <f>'Monthly DCF'!$I$3</f>
        <v>46418</v>
      </c>
      <c r="K35" s="533">
        <f t="shared" si="5"/>
        <v>47391</v>
      </c>
      <c r="L35" s="536">
        <f t="shared" si="8"/>
        <v>33</v>
      </c>
      <c r="M35" s="20" t="s">
        <v>366</v>
      </c>
      <c r="N35" s="20">
        <f t="shared" si="6"/>
        <v>33</v>
      </c>
      <c r="O35" s="537">
        <v>1</v>
      </c>
      <c r="P35" s="528">
        <f t="shared" ref="P35:BM35" si="36">IFERROR(+IF(AND($M35="Flat",P$5&gt;=$J35,P$5&lt;=$K35),$I35/$L35,0)+IF(AND($M35="S-Curve",P$5&gt;=$J35,P$5&lt;=$K35),(_xlfn.NORM.DIST((YEAR(P$5)-YEAR($J35))*12+MONTH(P$5)-MONTH($J35)+1,$L35/2,$N35,TRUE)-_xlfn.NORM.DIST((YEAR(P$5)-YEAR($J35))*12+MONTH(P$5)-MONTH($J35),$L35/2,$N35,TRUE))/(1-2*_xlfn.NORM.DIST(0,$L35/2,$N35,TRUE))*$I35," "),"")</f>
        <v>2.8068760296484297E-2</v>
      </c>
      <c r="Q35" s="528">
        <f t="shared" si="36"/>
        <v>2.8471095426251956E-2</v>
      </c>
      <c r="R35" s="528">
        <f t="shared" si="36"/>
        <v>2.8852692785654041E-2</v>
      </c>
      <c r="S35" s="528">
        <f t="shared" si="36"/>
        <v>2.9212569286514365E-2</v>
      </c>
      <c r="T35" s="528">
        <f t="shared" si="36"/>
        <v>2.9549789310958498E-2</v>
      </c>
      <c r="U35" s="528">
        <f t="shared" si="36"/>
        <v>2.9863468758675248E-2</v>
      </c>
      <c r="V35" s="528">
        <f t="shared" si="36"/>
        <v>3.0152778905021674E-2</v>
      </c>
      <c r="W35" s="528">
        <f t="shared" si="36"/>
        <v>3.0416950046438126E-2</v>
      </c>
      <c r="X35" s="528">
        <f t="shared" si="36"/>
        <v>3.0655274910744112E-2</v>
      </c>
      <c r="Y35" s="528">
        <f t="shared" si="36"/>
        <v>3.0867111811179283E-2</v>
      </c>
      <c r="Z35" s="528">
        <f t="shared" si="36"/>
        <v>3.1051887524509571E-2</v>
      </c>
      <c r="AA35" s="528">
        <f t="shared" si="36"/>
        <v>3.1209099875138108E-2</v>
      </c>
      <c r="AB35" s="528">
        <f t="shared" si="36"/>
        <v>3.1338320008913026E-2</v>
      </c>
      <c r="AC35" s="528">
        <f t="shared" si="36"/>
        <v>3.1439194342230525E-2</v>
      </c>
      <c r="AD35" s="528">
        <f t="shared" si="36"/>
        <v>3.1511446174030754E-2</v>
      </c>
      <c r="AE35" s="528">
        <f t="shared" si="36"/>
        <v>3.1554876950402488E-2</v>
      </c>
      <c r="AF35" s="528">
        <f t="shared" si="36"/>
        <v>3.1569367173707709E-2</v>
      </c>
      <c r="AG35" s="528">
        <f t="shared" si="36"/>
        <v>3.1554876950402773E-2</v>
      </c>
      <c r="AH35" s="528">
        <f t="shared" si="36"/>
        <v>3.1511446174030754E-2</v>
      </c>
      <c r="AI35" s="528">
        <f t="shared" si="36"/>
        <v>3.143919434223038E-2</v>
      </c>
      <c r="AJ35" s="528">
        <f t="shared" si="36"/>
        <v>3.133832000891288E-2</v>
      </c>
      <c r="AK35" s="528">
        <f t="shared" si="36"/>
        <v>3.1209099875138254E-2</v>
      </c>
      <c r="AL35" s="528">
        <f t="shared" si="36"/>
        <v>3.1051887524509426E-2</v>
      </c>
      <c r="AM35" s="528">
        <f t="shared" si="36"/>
        <v>3.0867111811179428E-2</v>
      </c>
      <c r="AN35" s="528">
        <f t="shared" si="36"/>
        <v>3.0655274910744112E-2</v>
      </c>
      <c r="AO35" s="528">
        <f t="shared" si="36"/>
        <v>3.0416950046438272E-2</v>
      </c>
      <c r="AP35" s="528">
        <f t="shared" si="36"/>
        <v>3.0152778905021532E-2</v>
      </c>
      <c r="AQ35" s="528">
        <f t="shared" si="36"/>
        <v>2.9863468758675248E-2</v>
      </c>
      <c r="AR35" s="528">
        <f t="shared" si="36"/>
        <v>2.9549789310958644E-2</v>
      </c>
      <c r="AS35" s="528">
        <f t="shared" si="36"/>
        <v>2.9212569286514077E-2</v>
      </c>
      <c r="AT35" s="528">
        <f t="shared" si="36"/>
        <v>2.8852692785654041E-2</v>
      </c>
      <c r="AU35" s="528">
        <f t="shared" si="36"/>
        <v>2.8471095426252101E-2</v>
      </c>
      <c r="AV35" s="528">
        <f t="shared" si="36"/>
        <v>2.8068760296484297E-2</v>
      </c>
      <c r="AW35" s="528" t="str">
        <f t="shared" si="36"/>
        <v/>
      </c>
      <c r="AX35" s="528" t="str">
        <f t="shared" si="36"/>
        <v/>
      </c>
      <c r="AY35" s="528" t="str">
        <f t="shared" si="36"/>
        <v/>
      </c>
      <c r="AZ35" s="528" t="str">
        <f t="shared" si="36"/>
        <v/>
      </c>
      <c r="BA35" s="528" t="str">
        <f t="shared" si="36"/>
        <v/>
      </c>
      <c r="BB35" s="528" t="str">
        <f t="shared" si="36"/>
        <v/>
      </c>
      <c r="BC35" s="528" t="str">
        <f t="shared" si="36"/>
        <v/>
      </c>
      <c r="BD35" s="528" t="str">
        <f t="shared" si="36"/>
        <v/>
      </c>
      <c r="BE35" s="528" t="str">
        <f t="shared" si="36"/>
        <v/>
      </c>
      <c r="BF35" s="528" t="str">
        <f t="shared" si="36"/>
        <v/>
      </c>
      <c r="BG35" s="528" t="str">
        <f t="shared" si="36"/>
        <v/>
      </c>
      <c r="BH35" s="528" t="str">
        <f t="shared" si="36"/>
        <v/>
      </c>
      <c r="BI35" s="528" t="str">
        <f t="shared" si="36"/>
        <v/>
      </c>
      <c r="BJ35" s="528" t="str">
        <f t="shared" si="36"/>
        <v/>
      </c>
      <c r="BK35" s="528" t="str">
        <f t="shared" si="36"/>
        <v/>
      </c>
      <c r="BL35" s="528" t="str">
        <f t="shared" si="36"/>
        <v/>
      </c>
      <c r="BM35" s="528" t="str">
        <f t="shared" si="36"/>
        <v/>
      </c>
    </row>
    <row r="36" spans="6:65" ht="15.75" customHeight="1" x14ac:dyDescent="0.25">
      <c r="F36" s="197"/>
      <c r="G36" s="197">
        <f t="shared" si="3"/>
        <v>0</v>
      </c>
      <c r="H36" s="197">
        <f t="shared" si="4"/>
        <v>341</v>
      </c>
      <c r="I36" s="523">
        <v>1</v>
      </c>
      <c r="J36" s="533">
        <f>'Monthly DCF'!$I$3</f>
        <v>46418</v>
      </c>
      <c r="K36" s="533">
        <f t="shared" si="5"/>
        <v>47422</v>
      </c>
      <c r="L36" s="536">
        <f t="shared" si="8"/>
        <v>34</v>
      </c>
      <c r="M36" s="20" t="s">
        <v>366</v>
      </c>
      <c r="N36" s="20">
        <f t="shared" si="6"/>
        <v>34</v>
      </c>
      <c r="O36" s="537">
        <v>1</v>
      </c>
      <c r="P36" s="528">
        <f t="shared" ref="P36:BM36" si="37">IFERROR(+IF(AND($M36="Flat",P$5&gt;=$J36,P$5&lt;=$K36),$I36/$L36,0)+IF(AND($M36="S-Curve",P$5&gt;=$J36,P$5&lt;=$K36),(_xlfn.NORM.DIST((YEAR(P$5)-YEAR($J36))*12+MONTH(P$5)-MONTH($J36)+1,$L36/2,$N36,TRUE)-_xlfn.NORM.DIST((YEAR(P$5)-YEAR($J36))*12+MONTH(P$5)-MONTH($J36),$L36/2,$N36,TRUE))/(1-2*_xlfn.NORM.DIST(0,$L36/2,$N36,TRUE))*$I36," "),"")</f>
        <v>2.7237366792660308E-2</v>
      </c>
      <c r="Q36" s="528">
        <f t="shared" si="37"/>
        <v>2.7616948004520695E-2</v>
      </c>
      <c r="R36" s="528">
        <f t="shared" si="37"/>
        <v>2.7977608269613624E-2</v>
      </c>
      <c r="S36" s="528">
        <f t="shared" si="37"/>
        <v>2.8318472754787119E-2</v>
      </c>
      <c r="T36" s="528">
        <f t="shared" si="37"/>
        <v>2.8638707254515634E-2</v>
      </c>
      <c r="U36" s="528">
        <f t="shared" si="37"/>
        <v>2.8937521587713778E-2</v>
      </c>
      <c r="V36" s="528">
        <f t="shared" si="37"/>
        <v>2.9214172843071037E-2</v>
      </c>
      <c r="W36" s="528">
        <f t="shared" si="37"/>
        <v>2.9467968454269401E-2</v>
      </c>
      <c r="X36" s="528">
        <f t="shared" si="37"/>
        <v>2.9698269087276918E-2</v>
      </c>
      <c r="Y36" s="528">
        <f t="shared" si="37"/>
        <v>2.990449132288682E-2</v>
      </c>
      <c r="Z36" s="528">
        <f t="shared" si="37"/>
        <v>3.0086110118748535E-2</v>
      </c>
      <c r="AA36" s="528">
        <f t="shared" si="37"/>
        <v>3.0242661036354746E-2</v>
      </c>
      <c r="AB36" s="528">
        <f t="shared" si="37"/>
        <v>3.0373742219765409E-2</v>
      </c>
      <c r="AC36" s="528">
        <f t="shared" si="37"/>
        <v>3.0479016114273772E-2</v>
      </c>
      <c r="AD36" s="528">
        <f t="shared" si="37"/>
        <v>3.0558210914719251E-2</v>
      </c>
      <c r="AE36" s="528">
        <f t="shared" si="37"/>
        <v>3.0611121734761042E-2</v>
      </c>
      <c r="AF36" s="528">
        <f t="shared" si="37"/>
        <v>3.0637611490061913E-2</v>
      </c>
      <c r="AG36" s="528">
        <f t="shared" si="37"/>
        <v>3.0637611490061913E-2</v>
      </c>
      <c r="AH36" s="528">
        <f t="shared" si="37"/>
        <v>3.0611121734761187E-2</v>
      </c>
      <c r="AI36" s="528">
        <f t="shared" si="37"/>
        <v>3.0558210914718959E-2</v>
      </c>
      <c r="AJ36" s="528">
        <f t="shared" si="37"/>
        <v>3.0479016114273772E-2</v>
      </c>
      <c r="AK36" s="528">
        <f t="shared" si="37"/>
        <v>3.0373742219765555E-2</v>
      </c>
      <c r="AL36" s="528">
        <f t="shared" si="37"/>
        <v>3.0242661036354892E-2</v>
      </c>
      <c r="AM36" s="528">
        <f t="shared" si="37"/>
        <v>3.0086110118748389E-2</v>
      </c>
      <c r="AN36" s="528">
        <f t="shared" si="37"/>
        <v>2.990449132288682E-2</v>
      </c>
      <c r="AO36" s="528">
        <f t="shared" si="37"/>
        <v>2.9698269087276918E-2</v>
      </c>
      <c r="AP36" s="528">
        <f t="shared" si="37"/>
        <v>2.9467968454269255E-2</v>
      </c>
      <c r="AQ36" s="528">
        <f t="shared" si="37"/>
        <v>2.9214172843071179E-2</v>
      </c>
      <c r="AR36" s="528">
        <f t="shared" si="37"/>
        <v>2.8937521587713923E-2</v>
      </c>
      <c r="AS36" s="528">
        <f t="shared" si="37"/>
        <v>2.8638707254515488E-2</v>
      </c>
      <c r="AT36" s="528">
        <f t="shared" si="37"/>
        <v>2.8318472754787265E-2</v>
      </c>
      <c r="AU36" s="528">
        <f t="shared" si="37"/>
        <v>2.7977608269613478E-2</v>
      </c>
      <c r="AV36" s="528">
        <f t="shared" si="37"/>
        <v>2.7616948004520695E-2</v>
      </c>
      <c r="AW36" s="528">
        <f t="shared" si="37"/>
        <v>2.7237366792660308E-2</v>
      </c>
      <c r="AX36" s="528" t="str">
        <f t="shared" si="37"/>
        <v/>
      </c>
      <c r="AY36" s="528" t="str">
        <f t="shared" si="37"/>
        <v/>
      </c>
      <c r="AZ36" s="528" t="str">
        <f t="shared" si="37"/>
        <v/>
      </c>
      <c r="BA36" s="528" t="str">
        <f t="shared" si="37"/>
        <v/>
      </c>
      <c r="BB36" s="528" t="str">
        <f t="shared" si="37"/>
        <v/>
      </c>
      <c r="BC36" s="528" t="str">
        <f t="shared" si="37"/>
        <v/>
      </c>
      <c r="BD36" s="528" t="str">
        <f t="shared" si="37"/>
        <v/>
      </c>
      <c r="BE36" s="528" t="str">
        <f t="shared" si="37"/>
        <v/>
      </c>
      <c r="BF36" s="528" t="str">
        <f t="shared" si="37"/>
        <v/>
      </c>
      <c r="BG36" s="528" t="str">
        <f t="shared" si="37"/>
        <v/>
      </c>
      <c r="BH36" s="528" t="str">
        <f t="shared" si="37"/>
        <v/>
      </c>
      <c r="BI36" s="528" t="str">
        <f t="shared" si="37"/>
        <v/>
      </c>
      <c r="BJ36" s="528" t="str">
        <f t="shared" si="37"/>
        <v/>
      </c>
      <c r="BK36" s="528" t="str">
        <f t="shared" si="37"/>
        <v/>
      </c>
      <c r="BL36" s="528" t="str">
        <f t="shared" si="37"/>
        <v/>
      </c>
      <c r="BM36" s="528" t="str">
        <f t="shared" si="37"/>
        <v/>
      </c>
    </row>
    <row r="37" spans="6:65" ht="15.75" customHeight="1" x14ac:dyDescent="0.25">
      <c r="F37" s="197"/>
      <c r="G37" s="197">
        <f t="shared" si="3"/>
        <v>0</v>
      </c>
      <c r="H37" s="197">
        <f t="shared" si="4"/>
        <v>351</v>
      </c>
      <c r="I37" s="523">
        <v>1</v>
      </c>
      <c r="J37" s="533">
        <f>'Monthly DCF'!$I$3</f>
        <v>46418</v>
      </c>
      <c r="K37" s="533">
        <f t="shared" si="5"/>
        <v>47452</v>
      </c>
      <c r="L37" s="536">
        <f t="shared" si="8"/>
        <v>35</v>
      </c>
      <c r="M37" s="20" t="s">
        <v>366</v>
      </c>
      <c r="N37" s="20">
        <f t="shared" si="6"/>
        <v>35</v>
      </c>
      <c r="O37" s="537">
        <v>1</v>
      </c>
      <c r="P37" s="528">
        <f t="shared" ref="P37:BM37" si="38">IFERROR(+IF(AND($M37="Flat",P$5&gt;=$J37,P$5&lt;=$K37),$I37/$L37,0)+IF(AND($M37="S-Curve",P$5&gt;=$J37,P$5&lt;=$K37),(_xlfn.NORM.DIST((YEAR(P$5)-YEAR($J37))*12+MONTH(P$5)-MONTH($J37)+1,$L37/2,$N37,TRUE)-_xlfn.NORM.DIST((YEAR(P$5)-YEAR($J37))*12+MONTH(P$5)-MONTH($J37),$L37/2,$N37,TRUE))/(1-2*_xlfn.NORM.DIST(0,$L37/2,$N37,TRUE))*$I37," "),"")</f>
        <v>2.6453800795958493E-2</v>
      </c>
      <c r="Q37" s="528">
        <f t="shared" si="38"/>
        <v>2.6812503222333296E-2</v>
      </c>
      <c r="R37" s="528">
        <f t="shared" si="38"/>
        <v>2.7153895516717957E-2</v>
      </c>
      <c r="S37" s="528">
        <f t="shared" si="38"/>
        <v>2.747719661993038E-2</v>
      </c>
      <c r="T37" s="528">
        <f t="shared" si="38"/>
        <v>2.7781660405637471E-2</v>
      </c>
      <c r="U37" s="528">
        <f t="shared" si="38"/>
        <v>2.8066578545296077E-2</v>
      </c>
      <c r="V37" s="528">
        <f t="shared" si="38"/>
        <v>2.8331283250976579E-2</v>
      </c>
      <c r="W37" s="528">
        <f t="shared" si="38"/>
        <v>2.8575149881219293E-2</v>
      </c>
      <c r="X37" s="528">
        <f t="shared" si="38"/>
        <v>2.8797599395703352E-2</v>
      </c>
      <c r="Y37" s="528">
        <f t="shared" si="38"/>
        <v>2.8998100645237255E-2</v>
      </c>
      <c r="Z37" s="528">
        <f t="shared" si="38"/>
        <v>2.9176172484395895E-2</v>
      </c>
      <c r="AA37" s="528">
        <f t="shared" si="38"/>
        <v>2.9331385695050314E-2</v>
      </c>
      <c r="AB37" s="528">
        <f t="shared" si="38"/>
        <v>2.9463364710027085E-2</v>
      </c>
      <c r="AC37" s="528">
        <f t="shared" si="38"/>
        <v>2.9571789127210014E-2</v>
      </c>
      <c r="AD37" s="528">
        <f t="shared" si="38"/>
        <v>2.9656395005540983E-2</v>
      </c>
      <c r="AE37" s="528">
        <f t="shared" si="38"/>
        <v>2.9716975935585536E-2</v>
      </c>
      <c r="AF37" s="528">
        <f t="shared" si="38"/>
        <v>2.9753383878580852E-2</v>
      </c>
      <c r="AG37" s="528">
        <f t="shared" si="38"/>
        <v>2.976552976919818E-2</v>
      </c>
      <c r="AH37" s="528">
        <f t="shared" si="38"/>
        <v>2.975338387858114E-2</v>
      </c>
      <c r="AI37" s="528">
        <f t="shared" si="38"/>
        <v>2.971697593558539E-2</v>
      </c>
      <c r="AJ37" s="528">
        <f t="shared" si="38"/>
        <v>2.9656395005540983E-2</v>
      </c>
      <c r="AK37" s="528">
        <f t="shared" si="38"/>
        <v>2.9571789127210014E-2</v>
      </c>
      <c r="AL37" s="528">
        <f t="shared" si="38"/>
        <v>2.9463364710027085E-2</v>
      </c>
      <c r="AM37" s="528">
        <f t="shared" si="38"/>
        <v>2.9331385695050314E-2</v>
      </c>
      <c r="AN37" s="528">
        <f t="shared" si="38"/>
        <v>2.9176172484395895E-2</v>
      </c>
      <c r="AO37" s="528">
        <f t="shared" si="38"/>
        <v>2.8998100645237255E-2</v>
      </c>
      <c r="AP37" s="528">
        <f t="shared" si="38"/>
        <v>2.8797599395703498E-2</v>
      </c>
      <c r="AQ37" s="528">
        <f t="shared" si="38"/>
        <v>2.8575149881219147E-2</v>
      </c>
      <c r="AR37" s="528">
        <f t="shared" si="38"/>
        <v>2.8331283250976724E-2</v>
      </c>
      <c r="AS37" s="528">
        <f t="shared" si="38"/>
        <v>2.8066578545296077E-2</v>
      </c>
      <c r="AT37" s="528">
        <f t="shared" si="38"/>
        <v>2.7781660405637326E-2</v>
      </c>
      <c r="AU37" s="528">
        <f t="shared" si="38"/>
        <v>2.7477196619930522E-2</v>
      </c>
      <c r="AV37" s="528">
        <f t="shared" si="38"/>
        <v>2.7153895516717812E-2</v>
      </c>
      <c r="AW37" s="528">
        <f t="shared" si="38"/>
        <v>2.6812503222333296E-2</v>
      </c>
      <c r="AX37" s="528">
        <f t="shared" si="38"/>
        <v>2.6453800795958493E-2</v>
      </c>
      <c r="AY37" s="528" t="str">
        <f t="shared" si="38"/>
        <v/>
      </c>
      <c r="AZ37" s="528" t="str">
        <f t="shared" si="38"/>
        <v/>
      </c>
      <c r="BA37" s="528" t="str">
        <f t="shared" si="38"/>
        <v/>
      </c>
      <c r="BB37" s="528" t="str">
        <f t="shared" si="38"/>
        <v/>
      </c>
      <c r="BC37" s="528" t="str">
        <f t="shared" si="38"/>
        <v/>
      </c>
      <c r="BD37" s="528" t="str">
        <f t="shared" si="38"/>
        <v/>
      </c>
      <c r="BE37" s="528" t="str">
        <f t="shared" si="38"/>
        <v/>
      </c>
      <c r="BF37" s="528" t="str">
        <f t="shared" si="38"/>
        <v/>
      </c>
      <c r="BG37" s="528" t="str">
        <f t="shared" si="38"/>
        <v/>
      </c>
      <c r="BH37" s="528" t="str">
        <f t="shared" si="38"/>
        <v/>
      </c>
      <c r="BI37" s="528" t="str">
        <f t="shared" si="38"/>
        <v/>
      </c>
      <c r="BJ37" s="528" t="str">
        <f t="shared" si="38"/>
        <v/>
      </c>
      <c r="BK37" s="528" t="str">
        <f t="shared" si="38"/>
        <v/>
      </c>
      <c r="BL37" s="528" t="str">
        <f t="shared" si="38"/>
        <v/>
      </c>
      <c r="BM37" s="528" t="str">
        <f t="shared" si="38"/>
        <v/>
      </c>
    </row>
    <row r="38" spans="6:65" ht="15.75" customHeight="1" x14ac:dyDescent="0.25">
      <c r="F38" s="197"/>
      <c r="G38" s="197">
        <f t="shared" si="3"/>
        <v>0</v>
      </c>
      <c r="H38" s="197">
        <f t="shared" si="4"/>
        <v>361</v>
      </c>
      <c r="I38" s="523">
        <v>1</v>
      </c>
      <c r="J38" s="533">
        <f>'Monthly DCF'!$I$3</f>
        <v>46418</v>
      </c>
      <c r="K38" s="533">
        <f t="shared" si="5"/>
        <v>47483</v>
      </c>
      <c r="L38" s="536">
        <f t="shared" si="8"/>
        <v>36</v>
      </c>
      <c r="M38" s="20" t="s">
        <v>366</v>
      </c>
      <c r="N38" s="20">
        <f t="shared" si="6"/>
        <v>36</v>
      </c>
      <c r="O38" s="537">
        <v>1</v>
      </c>
      <c r="P38" s="528">
        <f t="shared" ref="P38:BM38" si="39">IFERROR(+IF(AND($M38="Flat",P$5&gt;=$J38,P$5&lt;=$K38),$I38/$L38,0)+IF(AND($M38="S-Curve",P$5&gt;=$J38,P$5&lt;=$K38),(_xlfn.NORM.DIST((YEAR(P$5)-YEAR($J38))*12+MONTH(P$5)-MONTH($J38)+1,$L38/2,$N38,TRUE)-_xlfn.NORM.DIST((YEAR(P$5)-YEAR($J38))*12+MONTH(P$5)-MONTH($J38),$L38/2,$N38,TRUE))/(1-2*_xlfn.NORM.DIST(0,$L38/2,$N38,TRUE))*$I38," "),"")</f>
        <v>2.5714051207050611E-2</v>
      </c>
      <c r="Q38" s="528">
        <f t="shared" si="39"/>
        <v>2.6053549668841988E-2</v>
      </c>
      <c r="R38" s="528">
        <f t="shared" si="39"/>
        <v>2.6377171173907199E-2</v>
      </c>
      <c r="S38" s="528">
        <f t="shared" si="39"/>
        <v>2.6684216216735609E-2</v>
      </c>
      <c r="T38" s="528">
        <f t="shared" si="39"/>
        <v>2.6974015459675694E-2</v>
      </c>
      <c r="U38" s="528">
        <f t="shared" si="39"/>
        <v>2.7245932160531054E-2</v>
      </c>
      <c r="V38" s="528">
        <f t="shared" si="39"/>
        <v>2.7499364501103699E-2</v>
      </c>
      <c r="W38" s="528">
        <f t="shared" si="39"/>
        <v>2.773374780476541E-2</v>
      </c>
      <c r="X38" s="528">
        <f t="shared" si="39"/>
        <v>2.7948556631643792E-2</v>
      </c>
      <c r="Y38" s="528">
        <f t="shared" si="39"/>
        <v>2.8143306740539161E-2</v>
      </c>
      <c r="Z38" s="528">
        <f t="shared" si="39"/>
        <v>2.8317556907329931E-2</v>
      </c>
      <c r="AA38" s="528">
        <f t="shared" si="39"/>
        <v>2.8470910590307031E-2</v>
      </c>
      <c r="AB38" s="528">
        <f t="shared" si="39"/>
        <v>2.8603017433643633E-2</v>
      </c>
      <c r="AC38" s="528">
        <f t="shared" si="39"/>
        <v>2.8713574601024888E-2</v>
      </c>
      <c r="AD38" s="528">
        <f t="shared" si="39"/>
        <v>2.8802327932326854E-2</v>
      </c>
      <c r="AE38" s="528">
        <f t="shared" si="39"/>
        <v>2.886907291716858E-2</v>
      </c>
      <c r="AF38" s="528">
        <f t="shared" si="39"/>
        <v>2.8913655480112099E-2</v>
      </c>
      <c r="AG38" s="528">
        <f t="shared" si="39"/>
        <v>2.8935972573292768E-2</v>
      </c>
      <c r="AH38" s="528">
        <f t="shared" si="39"/>
        <v>2.8935972573292768E-2</v>
      </c>
      <c r="AI38" s="528">
        <f t="shared" si="39"/>
        <v>2.8913655480112099E-2</v>
      </c>
      <c r="AJ38" s="528">
        <f t="shared" si="39"/>
        <v>2.8869072917168434E-2</v>
      </c>
      <c r="AK38" s="528">
        <f t="shared" si="39"/>
        <v>2.8802327932326999E-2</v>
      </c>
      <c r="AL38" s="528">
        <f t="shared" si="39"/>
        <v>2.8713574601025034E-2</v>
      </c>
      <c r="AM38" s="528">
        <f t="shared" si="39"/>
        <v>2.8603017433643487E-2</v>
      </c>
      <c r="AN38" s="528">
        <f t="shared" si="39"/>
        <v>2.8470910590306885E-2</v>
      </c>
      <c r="AO38" s="528">
        <f t="shared" si="39"/>
        <v>2.8317556907330076E-2</v>
      </c>
      <c r="AP38" s="528">
        <f t="shared" si="39"/>
        <v>2.8143306740539161E-2</v>
      </c>
      <c r="AQ38" s="528">
        <f t="shared" si="39"/>
        <v>2.7948556631643792E-2</v>
      </c>
      <c r="AR38" s="528">
        <f t="shared" si="39"/>
        <v>2.773374780476541E-2</v>
      </c>
      <c r="AS38" s="528">
        <f t="shared" si="39"/>
        <v>2.7499364501103844E-2</v>
      </c>
      <c r="AT38" s="528">
        <f t="shared" si="39"/>
        <v>2.7245932160530908E-2</v>
      </c>
      <c r="AU38" s="528">
        <f t="shared" si="39"/>
        <v>2.6974015459675694E-2</v>
      </c>
      <c r="AV38" s="528">
        <f t="shared" si="39"/>
        <v>2.6684216216735467E-2</v>
      </c>
      <c r="AW38" s="528">
        <f t="shared" si="39"/>
        <v>2.6377171173907345E-2</v>
      </c>
      <c r="AX38" s="528">
        <f t="shared" si="39"/>
        <v>2.6053549668841988E-2</v>
      </c>
      <c r="AY38" s="528">
        <f t="shared" si="39"/>
        <v>2.5714051207050611E-2</v>
      </c>
      <c r="AZ38" s="528" t="str">
        <f t="shared" si="39"/>
        <v/>
      </c>
      <c r="BA38" s="528" t="str">
        <f t="shared" si="39"/>
        <v/>
      </c>
      <c r="BB38" s="528" t="str">
        <f t="shared" si="39"/>
        <v/>
      </c>
      <c r="BC38" s="528" t="str">
        <f t="shared" si="39"/>
        <v/>
      </c>
      <c r="BD38" s="528" t="str">
        <f t="shared" si="39"/>
        <v/>
      </c>
      <c r="BE38" s="528" t="str">
        <f t="shared" si="39"/>
        <v/>
      </c>
      <c r="BF38" s="528" t="str">
        <f t="shared" si="39"/>
        <v/>
      </c>
      <c r="BG38" s="528" t="str">
        <f t="shared" si="39"/>
        <v/>
      </c>
      <c r="BH38" s="528" t="str">
        <f t="shared" si="39"/>
        <v/>
      </c>
      <c r="BI38" s="528" t="str">
        <f t="shared" si="39"/>
        <v/>
      </c>
      <c r="BJ38" s="528" t="str">
        <f t="shared" si="39"/>
        <v/>
      </c>
      <c r="BK38" s="528" t="str">
        <f t="shared" si="39"/>
        <v/>
      </c>
      <c r="BL38" s="528" t="str">
        <f t="shared" si="39"/>
        <v/>
      </c>
      <c r="BM38" s="528" t="str">
        <f t="shared" si="39"/>
        <v/>
      </c>
    </row>
    <row r="39" spans="6:65" ht="15.75" customHeight="1" x14ac:dyDescent="0.25">
      <c r="F39" s="197"/>
      <c r="G39" s="197">
        <f t="shared" si="3"/>
        <v>0</v>
      </c>
      <c r="H39" s="197">
        <f t="shared" si="4"/>
        <v>371</v>
      </c>
      <c r="I39" s="523">
        <v>1</v>
      </c>
      <c r="J39" s="533">
        <f>'Monthly DCF'!$I$3</f>
        <v>46418</v>
      </c>
      <c r="K39" s="533">
        <f t="shared" si="5"/>
        <v>47514</v>
      </c>
      <c r="L39" s="536">
        <f t="shared" si="8"/>
        <v>37</v>
      </c>
      <c r="M39" s="20" t="s">
        <v>366</v>
      </c>
      <c r="N39" s="20">
        <f t="shared" si="6"/>
        <v>37</v>
      </c>
      <c r="O39" s="537">
        <v>1</v>
      </c>
      <c r="P39" s="528">
        <f t="shared" ref="P39:BM39" si="40">IFERROR(+IF(AND($M39="Flat",P$5&gt;=$J39,P$5&lt;=$K39),$I39/$L39,0)+IF(AND($M39="S-Curve",P$5&gt;=$J39,P$5&lt;=$K39),(_xlfn.NORM.DIST((YEAR(P$5)-YEAR($J39))*12+MONTH(P$5)-MONTH($J39)+1,$L39/2,$N39,TRUE)-_xlfn.NORM.DIST((YEAR(P$5)-YEAR($J39))*12+MONTH(P$5)-MONTH($J39),$L39/2,$N39,TRUE))/(1-2*_xlfn.NORM.DIST(0,$L39/2,$N39,TRUE))*$I39," "),"")</f>
        <v>2.501454319746213E-2</v>
      </c>
      <c r="Q39" s="528">
        <f t="shared" si="40"/>
        <v>2.5336338228000979E-2</v>
      </c>
      <c r="R39" s="528">
        <f t="shared" si="40"/>
        <v>2.5643535648139683E-2</v>
      </c>
      <c r="S39" s="528">
        <f t="shared" si="40"/>
        <v>2.5935507145738106E-2</v>
      </c>
      <c r="T39" s="528">
        <f t="shared" si="40"/>
        <v>2.6211650569220611E-2</v>
      </c>
      <c r="U39" s="528">
        <f t="shared" si="40"/>
        <v>2.6471391993668707E-2</v>
      </c>
      <c r="V39" s="528">
        <f t="shared" si="40"/>
        <v>2.6714187706087789E-2</v>
      </c>
      <c r="W39" s="528">
        <f t="shared" si="40"/>
        <v>2.6939526100243007E-2</v>
      </c>
      <c r="X39" s="528">
        <f t="shared" si="40"/>
        <v>2.7146929471832192E-2</v>
      </c>
      <c r="Y39" s="528">
        <f t="shared" si="40"/>
        <v>2.7335955705183677E-2</v>
      </c>
      <c r="Z39" s="528">
        <f t="shared" si="40"/>
        <v>2.7506199843150232E-2</v>
      </c>
      <c r="AA39" s="528">
        <f t="shared" si="40"/>
        <v>2.7657295532392146E-2</v>
      </c>
      <c r="AB39" s="528">
        <f t="shared" si="40"/>
        <v>2.7788916336842863E-2</v>
      </c>
      <c r="AC39" s="528">
        <f t="shared" si="40"/>
        <v>2.7900776912752112E-2</v>
      </c>
      <c r="AD39" s="528">
        <f t="shared" si="40"/>
        <v>2.7992634039401162E-2</v>
      </c>
      <c r="AE39" s="528">
        <f t="shared" si="40"/>
        <v>2.8064287500269128E-2</v>
      </c>
      <c r="AF39" s="528">
        <f t="shared" si="40"/>
        <v>2.8115580810186207E-2</v>
      </c>
      <c r="AG39" s="528">
        <f t="shared" si="40"/>
        <v>2.8146401784778539E-2</v>
      </c>
      <c r="AH39" s="528">
        <f t="shared" si="40"/>
        <v>2.8156682949301317E-2</v>
      </c>
      <c r="AI39" s="528">
        <f t="shared" si="40"/>
        <v>2.8146401784778684E-2</v>
      </c>
      <c r="AJ39" s="528">
        <f t="shared" si="40"/>
        <v>2.8115580810186062E-2</v>
      </c>
      <c r="AK39" s="528">
        <f t="shared" si="40"/>
        <v>2.806428750026942E-2</v>
      </c>
      <c r="AL39" s="528">
        <f t="shared" si="40"/>
        <v>2.7992634039401162E-2</v>
      </c>
      <c r="AM39" s="528">
        <f t="shared" si="40"/>
        <v>2.7900776912751966E-2</v>
      </c>
      <c r="AN39" s="528">
        <f t="shared" si="40"/>
        <v>2.7788916336842863E-2</v>
      </c>
      <c r="AO39" s="528">
        <f t="shared" si="40"/>
        <v>2.7657295532392146E-2</v>
      </c>
      <c r="AP39" s="528">
        <f t="shared" si="40"/>
        <v>2.7506199843150232E-2</v>
      </c>
      <c r="AQ39" s="528">
        <f t="shared" si="40"/>
        <v>2.7335955705183677E-2</v>
      </c>
      <c r="AR39" s="528">
        <f t="shared" si="40"/>
        <v>2.7146929471832337E-2</v>
      </c>
      <c r="AS39" s="528">
        <f t="shared" si="40"/>
        <v>2.6939526100242715E-2</v>
      </c>
      <c r="AT39" s="528">
        <f t="shared" si="40"/>
        <v>2.6714187706087935E-2</v>
      </c>
      <c r="AU39" s="528">
        <f t="shared" si="40"/>
        <v>2.6471391993668707E-2</v>
      </c>
      <c r="AV39" s="528">
        <f t="shared" si="40"/>
        <v>2.6211650569220611E-2</v>
      </c>
      <c r="AW39" s="528">
        <f t="shared" si="40"/>
        <v>2.593550714573796E-2</v>
      </c>
      <c r="AX39" s="528">
        <f t="shared" si="40"/>
        <v>2.5643535648139829E-2</v>
      </c>
      <c r="AY39" s="528">
        <f t="shared" si="40"/>
        <v>2.5336338228000979E-2</v>
      </c>
      <c r="AZ39" s="528">
        <f t="shared" si="40"/>
        <v>2.501454319746213E-2</v>
      </c>
      <c r="BA39" s="528" t="str">
        <f t="shared" si="40"/>
        <v/>
      </c>
      <c r="BB39" s="528" t="str">
        <f t="shared" si="40"/>
        <v/>
      </c>
      <c r="BC39" s="528" t="str">
        <f t="shared" si="40"/>
        <v/>
      </c>
      <c r="BD39" s="528" t="str">
        <f t="shared" si="40"/>
        <v/>
      </c>
      <c r="BE39" s="528" t="str">
        <f t="shared" si="40"/>
        <v/>
      </c>
      <c r="BF39" s="528" t="str">
        <f t="shared" si="40"/>
        <v/>
      </c>
      <c r="BG39" s="528" t="str">
        <f t="shared" si="40"/>
        <v/>
      </c>
      <c r="BH39" s="528" t="str">
        <f t="shared" si="40"/>
        <v/>
      </c>
      <c r="BI39" s="528" t="str">
        <f t="shared" si="40"/>
        <v/>
      </c>
      <c r="BJ39" s="528" t="str">
        <f t="shared" si="40"/>
        <v/>
      </c>
      <c r="BK39" s="528" t="str">
        <f t="shared" si="40"/>
        <v/>
      </c>
      <c r="BL39" s="528" t="str">
        <f t="shared" si="40"/>
        <v/>
      </c>
      <c r="BM39" s="528" t="str">
        <f t="shared" si="40"/>
        <v/>
      </c>
    </row>
    <row r="40" spans="6:65" ht="15.75" customHeight="1" x14ac:dyDescent="0.25">
      <c r="F40" s="197"/>
      <c r="G40" s="197">
        <f t="shared" si="3"/>
        <v>0</v>
      </c>
      <c r="H40" s="197">
        <f t="shared" si="4"/>
        <v>381</v>
      </c>
      <c r="I40" s="523">
        <v>1</v>
      </c>
      <c r="J40" s="533">
        <f>'Monthly DCF'!$I$3</f>
        <v>46418</v>
      </c>
      <c r="K40" s="533">
        <f t="shared" si="5"/>
        <v>47542</v>
      </c>
      <c r="L40" s="536">
        <f t="shared" si="8"/>
        <v>38</v>
      </c>
      <c r="M40" s="20" t="s">
        <v>366</v>
      </c>
      <c r="N40" s="20">
        <f t="shared" si="6"/>
        <v>38</v>
      </c>
      <c r="O40" s="537">
        <v>1</v>
      </c>
      <c r="P40" s="528">
        <f t="shared" ref="P40:BM40" si="41">IFERROR(+IF(AND($M40="Flat",P$5&gt;=$J40,P$5&lt;=$K40),$I40/$L40,0)+IF(AND($M40="S-Curve",P$5&gt;=$J40,P$5&lt;=$K40),(_xlfn.NORM.DIST((YEAR(P$5)-YEAR($J40))*12+MONTH(P$5)-MONTH($J40)+1,$L40/2,$N40,TRUE)-_xlfn.NORM.DIST((YEAR(P$5)-YEAR($J40))*12+MONTH(P$5)-MONTH($J40),$L40/2,$N40,TRUE))/(1-2*_xlfn.NORM.DIST(0,$L40/2,$N40,TRUE))*$I40," "),"")</f>
        <v>2.4352080472648245E-2</v>
      </c>
      <c r="Q40" s="528">
        <f t="shared" si="41"/>
        <v>2.4657520391516558E-2</v>
      </c>
      <c r="R40" s="528">
        <f t="shared" si="41"/>
        <v>2.4949508300956349E-2</v>
      </c>
      <c r="S40" s="528">
        <f t="shared" si="41"/>
        <v>2.5227478260201823E-2</v>
      </c>
      <c r="T40" s="528">
        <f t="shared" si="41"/>
        <v>2.5490887102768575E-2</v>
      </c>
      <c r="U40" s="528">
        <f t="shared" si="41"/>
        <v>2.5739216202237267E-2</v>
      </c>
      <c r="V40" s="528">
        <f t="shared" si="41"/>
        <v>2.5971973171715242E-2</v>
      </c>
      <c r="W40" s="528">
        <f t="shared" si="41"/>
        <v>2.6188693489194979E-2</v>
      </c>
      <c r="X40" s="528">
        <f t="shared" si="41"/>
        <v>2.63889420412999E-2</v>
      </c>
      <c r="Y40" s="528">
        <f t="shared" si="41"/>
        <v>2.6572314578248435E-2</v>
      </c>
      <c r="Z40" s="528">
        <f t="shared" si="41"/>
        <v>2.6738439073225945E-2</v>
      </c>
      <c r="AA40" s="528">
        <f t="shared" si="41"/>
        <v>2.6886976979767462E-2</v>
      </c>
      <c r="AB40" s="528">
        <f t="shared" si="41"/>
        <v>2.7017624381211539E-2</v>
      </c>
      <c r="AC40" s="528">
        <f t="shared" si="41"/>
        <v>2.7130113026751258E-2</v>
      </c>
      <c r="AD40" s="528">
        <f t="shared" si="41"/>
        <v>2.7224211249153626E-2</v>
      </c>
      <c r="AE40" s="528">
        <f t="shared" si="41"/>
        <v>2.7299724759739415E-2</v>
      </c>
      <c r="AF40" s="528">
        <f t="shared" si="41"/>
        <v>2.7356497316816566E-2</v>
      </c>
      <c r="AG40" s="528">
        <f t="shared" si="41"/>
        <v>2.7394411264340633E-2</v>
      </c>
      <c r="AH40" s="528">
        <f t="shared" si="41"/>
        <v>2.7413387938206184E-2</v>
      </c>
      <c r="AI40" s="528">
        <f t="shared" si="41"/>
        <v>2.7413387938206041E-2</v>
      </c>
      <c r="AJ40" s="528">
        <f t="shared" si="41"/>
        <v>2.7394411264340779E-2</v>
      </c>
      <c r="AK40" s="528">
        <f t="shared" si="41"/>
        <v>2.7356497316816566E-2</v>
      </c>
      <c r="AL40" s="528">
        <f t="shared" si="41"/>
        <v>2.7299724759739557E-2</v>
      </c>
      <c r="AM40" s="528">
        <f t="shared" si="41"/>
        <v>2.7224211249153481E-2</v>
      </c>
      <c r="AN40" s="528">
        <f t="shared" si="41"/>
        <v>2.7130113026751404E-2</v>
      </c>
      <c r="AO40" s="528">
        <f t="shared" si="41"/>
        <v>2.7017624381211393E-2</v>
      </c>
      <c r="AP40" s="528">
        <f t="shared" si="41"/>
        <v>2.6886976979767462E-2</v>
      </c>
      <c r="AQ40" s="528">
        <f t="shared" si="41"/>
        <v>2.6738439073225945E-2</v>
      </c>
      <c r="AR40" s="528">
        <f t="shared" si="41"/>
        <v>2.6572314578248289E-2</v>
      </c>
      <c r="AS40" s="528">
        <f t="shared" si="41"/>
        <v>2.6388942041300045E-2</v>
      </c>
      <c r="AT40" s="528">
        <f t="shared" si="41"/>
        <v>2.6188693489194833E-2</v>
      </c>
      <c r="AU40" s="528">
        <f t="shared" si="41"/>
        <v>2.5971973171715387E-2</v>
      </c>
      <c r="AV40" s="528">
        <f t="shared" si="41"/>
        <v>2.5739216202237267E-2</v>
      </c>
      <c r="AW40" s="528">
        <f t="shared" si="41"/>
        <v>2.5490887102768575E-2</v>
      </c>
      <c r="AX40" s="528">
        <f t="shared" si="41"/>
        <v>2.5227478260201965E-2</v>
      </c>
      <c r="AY40" s="528">
        <f t="shared" si="41"/>
        <v>2.4949508300956203E-2</v>
      </c>
      <c r="AZ40" s="528">
        <f t="shared" si="41"/>
        <v>2.4657520391516558E-2</v>
      </c>
      <c r="BA40" s="528">
        <f t="shared" si="41"/>
        <v>2.4352080472648245E-2</v>
      </c>
      <c r="BB40" s="528" t="str">
        <f t="shared" si="41"/>
        <v/>
      </c>
      <c r="BC40" s="528" t="str">
        <f t="shared" si="41"/>
        <v/>
      </c>
      <c r="BD40" s="528" t="str">
        <f t="shared" si="41"/>
        <v/>
      </c>
      <c r="BE40" s="528" t="str">
        <f t="shared" si="41"/>
        <v/>
      </c>
      <c r="BF40" s="528" t="str">
        <f t="shared" si="41"/>
        <v/>
      </c>
      <c r="BG40" s="528" t="str">
        <f t="shared" si="41"/>
        <v/>
      </c>
      <c r="BH40" s="528" t="str">
        <f t="shared" si="41"/>
        <v/>
      </c>
      <c r="BI40" s="528" t="str">
        <f t="shared" si="41"/>
        <v/>
      </c>
      <c r="BJ40" s="528" t="str">
        <f t="shared" si="41"/>
        <v/>
      </c>
      <c r="BK40" s="528" t="str">
        <f t="shared" si="41"/>
        <v/>
      </c>
      <c r="BL40" s="528" t="str">
        <f t="shared" si="41"/>
        <v/>
      </c>
      <c r="BM40" s="528" t="str">
        <f t="shared" si="41"/>
        <v/>
      </c>
    </row>
    <row r="41" spans="6:65" ht="15.75" customHeight="1" x14ac:dyDescent="0.25">
      <c r="F41" s="197"/>
      <c r="G41" s="197">
        <f t="shared" si="3"/>
        <v>0</v>
      </c>
      <c r="H41" s="197">
        <f t="shared" si="4"/>
        <v>391</v>
      </c>
      <c r="I41" s="523">
        <v>1</v>
      </c>
      <c r="J41" s="533">
        <f>'Monthly DCF'!$I$3</f>
        <v>46418</v>
      </c>
      <c r="K41" s="533">
        <f t="shared" si="5"/>
        <v>47573</v>
      </c>
      <c r="L41" s="536">
        <f t="shared" si="8"/>
        <v>39</v>
      </c>
      <c r="M41" s="20" t="s">
        <v>366</v>
      </c>
      <c r="N41" s="20">
        <f t="shared" si="6"/>
        <v>39</v>
      </c>
      <c r="O41" s="537">
        <v>1</v>
      </c>
      <c r="P41" s="528">
        <f t="shared" ref="P41:BM41" si="42">IFERROR(+IF(AND($M41="Flat",P$5&gt;=$J41,P$5&lt;=$K41),$I41/$L41,0)+IF(AND($M41="S-Curve",P$5&gt;=$J41,P$5&lt;=$K41),(_xlfn.NORM.DIST((YEAR(P$5)-YEAR($J41))*12+MONTH(P$5)-MONTH($J41)+1,$L41/2,$N41,TRUE)-_xlfn.NORM.DIST((YEAR(P$5)-YEAR($J41))*12+MONTH(P$5)-MONTH($J41),$L41/2,$N41,TRUE))/(1-2*_xlfn.NORM.DIST(0,$L41/2,$N41,TRUE))*$I41," "),"")</f>
        <v>2.3723796466806998E-2</v>
      </c>
      <c r="Q41" s="528">
        <f t="shared" si="42"/>
        <v>2.4014096185048461E-2</v>
      </c>
      <c r="R41" s="528">
        <f t="shared" si="42"/>
        <v>2.4291972768897468E-2</v>
      </c>
      <c r="S41" s="528">
        <f t="shared" si="42"/>
        <v>2.4556915105552194E-2</v>
      </c>
      <c r="T41" s="528">
        <f t="shared" si="42"/>
        <v>2.4808431981963221E-2</v>
      </c>
      <c r="U41" s="528">
        <f t="shared" si="42"/>
        <v>2.5046053599957551E-2</v>
      </c>
      <c r="V41" s="528">
        <f t="shared" si="42"/>
        <v>2.5269333036659763E-2</v>
      </c>
      <c r="W41" s="528">
        <f t="shared" si="42"/>
        <v>2.5477847643860099E-2</v>
      </c>
      <c r="X41" s="528">
        <f t="shared" si="42"/>
        <v>2.5671200380206403E-2</v>
      </c>
      <c r="Y41" s="528">
        <f t="shared" si="42"/>
        <v>2.5849021070340806E-2</v>
      </c>
      <c r="Z41" s="528">
        <f t="shared" si="42"/>
        <v>2.6010967585403721E-2</v>
      </c>
      <c r="AA41" s="528">
        <f t="shared" si="42"/>
        <v>2.6156726939626649E-2</v>
      </c>
      <c r="AB41" s="528">
        <f t="shared" si="42"/>
        <v>2.6286016298107846E-2</v>
      </c>
      <c r="AC41" s="528">
        <f t="shared" si="42"/>
        <v>2.6398583891216475E-2</v>
      </c>
      <c r="AD41" s="528">
        <f t="shared" si="42"/>
        <v>2.6494209831500179E-2</v>
      </c>
      <c r="AE41" s="528">
        <f t="shared" si="42"/>
        <v>2.6572706829377447E-2</v>
      </c>
      <c r="AF41" s="528">
        <f t="shared" si="42"/>
        <v>2.6633920804357954E-2</v>
      </c>
      <c r="AG41" s="528">
        <f t="shared" si="42"/>
        <v>2.6677731388998687E-2</v>
      </c>
      <c r="AH41" s="528">
        <f t="shared" si="42"/>
        <v>2.6704052323289557E-2</v>
      </c>
      <c r="AI41" s="528">
        <f t="shared" si="42"/>
        <v>2.6712831737657042E-2</v>
      </c>
      <c r="AJ41" s="528">
        <f t="shared" si="42"/>
        <v>2.6704052323289557E-2</v>
      </c>
      <c r="AK41" s="528">
        <f t="shared" si="42"/>
        <v>2.6677731388998541E-2</v>
      </c>
      <c r="AL41" s="528">
        <f t="shared" si="42"/>
        <v>2.6633920804357954E-2</v>
      </c>
      <c r="AM41" s="528">
        <f t="shared" si="42"/>
        <v>2.6572706829377735E-2</v>
      </c>
      <c r="AN41" s="528">
        <f t="shared" si="42"/>
        <v>2.6494209831500033E-2</v>
      </c>
      <c r="AO41" s="528">
        <f t="shared" si="42"/>
        <v>2.6398583891216475E-2</v>
      </c>
      <c r="AP41" s="528">
        <f t="shared" si="42"/>
        <v>2.6286016298107846E-2</v>
      </c>
      <c r="AQ41" s="528">
        <f t="shared" si="42"/>
        <v>2.6156726939626791E-2</v>
      </c>
      <c r="AR41" s="528">
        <f t="shared" si="42"/>
        <v>2.601096758540343E-2</v>
      </c>
      <c r="AS41" s="528">
        <f t="shared" si="42"/>
        <v>2.5849021070340806E-2</v>
      </c>
      <c r="AT41" s="528">
        <f t="shared" si="42"/>
        <v>2.5671200380206694E-2</v>
      </c>
      <c r="AU41" s="528">
        <f t="shared" si="42"/>
        <v>2.5477847643859953E-2</v>
      </c>
      <c r="AV41" s="528">
        <f t="shared" si="42"/>
        <v>2.5269333036659618E-2</v>
      </c>
      <c r="AW41" s="528">
        <f t="shared" si="42"/>
        <v>2.5046053599957697E-2</v>
      </c>
      <c r="AX41" s="528">
        <f t="shared" si="42"/>
        <v>2.4808431981963221E-2</v>
      </c>
      <c r="AY41" s="528">
        <f t="shared" si="42"/>
        <v>2.4556915105552336E-2</v>
      </c>
      <c r="AZ41" s="528">
        <f t="shared" si="42"/>
        <v>2.4291972768897323E-2</v>
      </c>
      <c r="BA41" s="528">
        <f t="shared" si="42"/>
        <v>2.4014096185048316E-2</v>
      </c>
      <c r="BB41" s="528">
        <f t="shared" si="42"/>
        <v>2.3723796466807143E-2</v>
      </c>
      <c r="BC41" s="528" t="str">
        <f t="shared" si="42"/>
        <v/>
      </c>
      <c r="BD41" s="528" t="str">
        <f t="shared" si="42"/>
        <v/>
      </c>
      <c r="BE41" s="528" t="str">
        <f t="shared" si="42"/>
        <v/>
      </c>
      <c r="BF41" s="528" t="str">
        <f t="shared" si="42"/>
        <v/>
      </c>
      <c r="BG41" s="528" t="str">
        <f t="shared" si="42"/>
        <v/>
      </c>
      <c r="BH41" s="528" t="str">
        <f t="shared" si="42"/>
        <v/>
      </c>
      <c r="BI41" s="528" t="str">
        <f t="shared" si="42"/>
        <v/>
      </c>
      <c r="BJ41" s="528" t="str">
        <f t="shared" si="42"/>
        <v/>
      </c>
      <c r="BK41" s="528" t="str">
        <f t="shared" si="42"/>
        <v/>
      </c>
      <c r="BL41" s="528" t="str">
        <f t="shared" si="42"/>
        <v/>
      </c>
      <c r="BM41" s="528" t="str">
        <f t="shared" si="42"/>
        <v/>
      </c>
    </row>
    <row r="42" spans="6:65" ht="15.75" customHeight="1" x14ac:dyDescent="0.25">
      <c r="F42" s="197"/>
      <c r="G42" s="197">
        <f t="shared" si="3"/>
        <v>0</v>
      </c>
      <c r="H42" s="197">
        <f t="shared" si="4"/>
        <v>401</v>
      </c>
      <c r="I42" s="523">
        <v>1</v>
      </c>
      <c r="J42" s="533">
        <f>'Monthly DCF'!$I$3</f>
        <v>46418</v>
      </c>
      <c r="K42" s="533">
        <f t="shared" si="5"/>
        <v>47603</v>
      </c>
      <c r="L42" s="536">
        <f t="shared" si="8"/>
        <v>40</v>
      </c>
      <c r="M42" s="20" t="s">
        <v>366</v>
      </c>
      <c r="N42" s="20">
        <f t="shared" si="6"/>
        <v>40</v>
      </c>
      <c r="O42" s="537">
        <v>1</v>
      </c>
      <c r="P42" s="528">
        <f t="shared" ref="P42:BM42" si="43">IFERROR(+IF(AND($M42="Flat",P$5&gt;=$J42,P$5&lt;=$K42),$I42/$L42,0)+IF(AND($M42="S-Curve",P$5&gt;=$J42,P$5&lt;=$K42),(_xlfn.NORM.DIST((YEAR(P$5)-YEAR($J42))*12+MONTH(P$5)-MONTH($J42)+1,$L42/2,$N42,TRUE)-_xlfn.NORM.DIST((YEAR(P$5)-YEAR($J42))*12+MONTH(P$5)-MONTH($J42),$L42/2,$N42,TRUE))/(1-2*_xlfn.NORM.DIST(0,$L42/2,$N42,TRUE))*$I42," "),"")</f>
        <v>2.3127112898120136E-2</v>
      </c>
      <c r="Q42" s="528">
        <f t="shared" si="43"/>
        <v>2.3403370005348759E-2</v>
      </c>
      <c r="R42" s="528">
        <f t="shared" si="43"/>
        <v>2.3668130614070592E-2</v>
      </c>
      <c r="S42" s="528">
        <f t="shared" si="43"/>
        <v>2.3920931963777869E-2</v>
      </c>
      <c r="T42" s="528">
        <f t="shared" si="43"/>
        <v>2.4161328743077581E-2</v>
      </c>
      <c r="U42" s="528">
        <f t="shared" si="43"/>
        <v>2.4388894394653689E-2</v>
      </c>
      <c r="V42" s="528">
        <f t="shared" si="43"/>
        <v>2.460322237488597E-2</v>
      </c>
      <c r="W42" s="528">
        <f t="shared" si="43"/>
        <v>2.4803927362915666E-2</v>
      </c>
      <c r="X42" s="528">
        <f t="shared" si="43"/>
        <v>2.4990646414135197E-2</v>
      </c>
      <c r="Y42" s="528">
        <f t="shared" si="43"/>
        <v>2.5163040053269598E-2</v>
      </c>
      <c r="Z42" s="528">
        <f t="shared" si="43"/>
        <v>2.5320793302446867E-2</v>
      </c>
      <c r="AA42" s="528">
        <f t="shared" si="43"/>
        <v>2.5463616639900707E-2</v>
      </c>
      <c r="AB42" s="528">
        <f t="shared" si="43"/>
        <v>2.559124688521763E-2</v>
      </c>
      <c r="AC42" s="528">
        <f t="shared" si="43"/>
        <v>2.5703448007348546E-2</v>
      </c>
      <c r="AD42" s="528">
        <f t="shared" si="43"/>
        <v>2.5800011851906831E-2</v>
      </c>
      <c r="AE42" s="528">
        <f t="shared" si="43"/>
        <v>2.5880758784617829E-2</v>
      </c>
      <c r="AF42" s="528">
        <f t="shared" si="43"/>
        <v>2.5945538248135714E-2</v>
      </c>
      <c r="AG42" s="528">
        <f t="shared" si="43"/>
        <v>2.5994229229814304E-2</v>
      </c>
      <c r="AH42" s="528">
        <f t="shared" si="43"/>
        <v>2.6026740638393643E-2</v>
      </c>
      <c r="AI42" s="528">
        <f t="shared" si="43"/>
        <v>2.6043011587962874E-2</v>
      </c>
      <c r="AJ42" s="528">
        <f t="shared" si="43"/>
        <v>2.6043011587962874E-2</v>
      </c>
      <c r="AK42" s="528">
        <f t="shared" si="43"/>
        <v>2.6026740638393643E-2</v>
      </c>
      <c r="AL42" s="528">
        <f t="shared" si="43"/>
        <v>2.5994229229814446E-2</v>
      </c>
      <c r="AM42" s="528">
        <f t="shared" si="43"/>
        <v>2.5945538248135568E-2</v>
      </c>
      <c r="AN42" s="528">
        <f t="shared" si="43"/>
        <v>2.5880758784617829E-2</v>
      </c>
      <c r="AO42" s="528">
        <f t="shared" si="43"/>
        <v>2.5800011851906831E-2</v>
      </c>
      <c r="AP42" s="528">
        <f t="shared" si="43"/>
        <v>2.5703448007348546E-2</v>
      </c>
      <c r="AQ42" s="528">
        <f t="shared" si="43"/>
        <v>2.5591246885217484E-2</v>
      </c>
      <c r="AR42" s="528">
        <f t="shared" si="43"/>
        <v>2.5463616639900852E-2</v>
      </c>
      <c r="AS42" s="528">
        <f t="shared" si="43"/>
        <v>2.5320793302446867E-2</v>
      </c>
      <c r="AT42" s="528">
        <f t="shared" si="43"/>
        <v>2.5163040053269598E-2</v>
      </c>
      <c r="AU42" s="528">
        <f t="shared" si="43"/>
        <v>2.4990646414135197E-2</v>
      </c>
      <c r="AV42" s="528">
        <f t="shared" si="43"/>
        <v>2.4803927362915666E-2</v>
      </c>
      <c r="AW42" s="528">
        <f t="shared" si="43"/>
        <v>2.460322237488597E-2</v>
      </c>
      <c r="AX42" s="528">
        <f t="shared" si="43"/>
        <v>2.4388894394653689E-2</v>
      </c>
      <c r="AY42" s="528">
        <f t="shared" si="43"/>
        <v>2.4161328743077724E-2</v>
      </c>
      <c r="AZ42" s="528">
        <f t="shared" si="43"/>
        <v>2.3920931963777578E-2</v>
      </c>
      <c r="BA42" s="528">
        <f t="shared" si="43"/>
        <v>2.3668130614070738E-2</v>
      </c>
      <c r="BB42" s="528">
        <f t="shared" si="43"/>
        <v>2.3403370005348759E-2</v>
      </c>
      <c r="BC42" s="528">
        <f t="shared" si="43"/>
        <v>2.3127112898120136E-2</v>
      </c>
      <c r="BD42" s="528" t="str">
        <f t="shared" si="43"/>
        <v/>
      </c>
      <c r="BE42" s="528" t="str">
        <f t="shared" si="43"/>
        <v/>
      </c>
      <c r="BF42" s="528" t="str">
        <f t="shared" si="43"/>
        <v/>
      </c>
      <c r="BG42" s="528" t="str">
        <f t="shared" si="43"/>
        <v/>
      </c>
      <c r="BH42" s="528" t="str">
        <f t="shared" si="43"/>
        <v/>
      </c>
      <c r="BI42" s="528" t="str">
        <f t="shared" si="43"/>
        <v/>
      </c>
      <c r="BJ42" s="528" t="str">
        <f t="shared" si="43"/>
        <v/>
      </c>
      <c r="BK42" s="528" t="str">
        <f t="shared" si="43"/>
        <v/>
      </c>
      <c r="BL42" s="528" t="str">
        <f t="shared" si="43"/>
        <v/>
      </c>
      <c r="BM42" s="528" t="str">
        <f t="shared" si="43"/>
        <v/>
      </c>
    </row>
    <row r="43" spans="6:65" ht="15.75" customHeight="1" x14ac:dyDescent="0.25">
      <c r="F43" s="197"/>
      <c r="G43" s="197">
        <f t="shared" si="3"/>
        <v>0</v>
      </c>
      <c r="H43" s="197">
        <f t="shared" si="4"/>
        <v>411</v>
      </c>
      <c r="I43" s="523">
        <v>1</v>
      </c>
      <c r="J43" s="533">
        <f>'Monthly DCF'!$I$3</f>
        <v>46418</v>
      </c>
      <c r="K43" s="533">
        <f t="shared" si="5"/>
        <v>47634</v>
      </c>
      <c r="L43" s="536">
        <f t="shared" si="8"/>
        <v>41</v>
      </c>
      <c r="M43" s="20" t="s">
        <v>366</v>
      </c>
      <c r="N43" s="20">
        <f t="shared" si="6"/>
        <v>41</v>
      </c>
      <c r="O43" s="537">
        <v>1</v>
      </c>
      <c r="P43" s="528">
        <f t="shared" ref="P43:BM43" si="44">IFERROR(+IF(AND($M43="Flat",P$5&gt;=$J43,P$5&lt;=$K43),$I43/$L43,0)+IF(AND($M43="S-Curve",P$5&gt;=$J43,P$5&lt;=$K43),(_xlfn.NORM.DIST((YEAR(P$5)-YEAR($J43))*12+MONTH(P$5)-MONTH($J43)+1,$L43/2,$N43,TRUE)-_xlfn.NORM.DIST((YEAR(P$5)-YEAR($J43))*12+MONTH(P$5)-MONTH($J43),$L43/2,$N43,TRUE))/(1-2*_xlfn.NORM.DIST(0,$L43/2,$N43,TRUE))*$I43," "),"")</f>
        <v>2.2559704421258726E-2</v>
      </c>
      <c r="Q43" s="528">
        <f t="shared" si="44"/>
        <v>2.282291300180421E-2</v>
      </c>
      <c r="R43" s="528">
        <f t="shared" si="44"/>
        <v>2.3075461863500027E-2</v>
      </c>
      <c r="S43" s="528">
        <f t="shared" si="44"/>
        <v>2.3316931018135496E-2</v>
      </c>
      <c r="T43" s="528">
        <f t="shared" si="44"/>
        <v>2.3546915828802747E-2</v>
      </c>
      <c r="U43" s="528">
        <f t="shared" si="44"/>
        <v>2.3765028137904549E-2</v>
      </c>
      <c r="V43" s="528">
        <f t="shared" si="44"/>
        <v>2.39708973573847E-2</v>
      </c>
      <c r="W43" s="528">
        <f t="shared" si="44"/>
        <v>2.4164171516905482E-2</v>
      </c>
      <c r="X43" s="528">
        <f t="shared" si="44"/>
        <v>2.4344518265827866E-2</v>
      </c>
      <c r="Y43" s="528">
        <f t="shared" si="44"/>
        <v>2.4511625824999377E-2</v>
      </c>
      <c r="Z43" s="528">
        <f t="shared" si="44"/>
        <v>2.4665203884543078E-2</v>
      </c>
      <c r="AA43" s="528">
        <f t="shared" si="44"/>
        <v>2.4804984444025853E-2</v>
      </c>
      <c r="AB43" s="528">
        <f t="shared" si="44"/>
        <v>2.4930722591605635E-2</v>
      </c>
      <c r="AC43" s="528">
        <f t="shared" si="44"/>
        <v>2.5042197218988514E-2</v>
      </c>
      <c r="AD43" s="528">
        <f t="shared" si="44"/>
        <v>2.5139211669271282E-2</v>
      </c>
      <c r="AE43" s="528">
        <f t="shared" si="44"/>
        <v>2.5221594315017016E-2</v>
      </c>
      <c r="AF43" s="528">
        <f t="shared" si="44"/>
        <v>2.5289199064180687E-2</v>
      </c>
      <c r="AG43" s="528">
        <f t="shared" si="44"/>
        <v>2.5341905791803718E-2</v>
      </c>
      <c r="AH43" s="528">
        <f t="shared" si="44"/>
        <v>2.5379620695683936E-2</v>
      </c>
      <c r="AI43" s="528">
        <f t="shared" si="44"/>
        <v>2.5402276574553434E-2</v>
      </c>
      <c r="AJ43" s="528">
        <f t="shared" si="44"/>
        <v>2.5409833027607211E-2</v>
      </c>
      <c r="AK43" s="528">
        <f t="shared" si="44"/>
        <v>2.5402276574553576E-2</v>
      </c>
      <c r="AL43" s="528">
        <f t="shared" si="44"/>
        <v>2.5379620695683936E-2</v>
      </c>
      <c r="AM43" s="528">
        <f t="shared" si="44"/>
        <v>2.5341905791803718E-2</v>
      </c>
      <c r="AN43" s="528">
        <f t="shared" si="44"/>
        <v>2.5289199064180687E-2</v>
      </c>
      <c r="AO43" s="528">
        <f t="shared" si="44"/>
        <v>2.522159431501687E-2</v>
      </c>
      <c r="AP43" s="528">
        <f t="shared" si="44"/>
        <v>2.513921166927157E-2</v>
      </c>
      <c r="AQ43" s="528">
        <f t="shared" si="44"/>
        <v>2.5042197218988368E-2</v>
      </c>
      <c r="AR43" s="528">
        <f t="shared" si="44"/>
        <v>2.4930722591605635E-2</v>
      </c>
      <c r="AS43" s="528">
        <f t="shared" si="44"/>
        <v>2.4804984444025853E-2</v>
      </c>
      <c r="AT43" s="528">
        <f t="shared" si="44"/>
        <v>2.4665203884543078E-2</v>
      </c>
      <c r="AU43" s="528">
        <f t="shared" si="44"/>
        <v>2.4511625824999377E-2</v>
      </c>
      <c r="AV43" s="528">
        <f t="shared" si="44"/>
        <v>2.4344518265828011E-2</v>
      </c>
      <c r="AW43" s="528">
        <f t="shared" si="44"/>
        <v>2.4164171516905336E-2</v>
      </c>
      <c r="AX43" s="528">
        <f t="shared" si="44"/>
        <v>2.39708973573847E-2</v>
      </c>
      <c r="AY43" s="528">
        <f t="shared" si="44"/>
        <v>2.3765028137904549E-2</v>
      </c>
      <c r="AZ43" s="528">
        <f t="shared" si="44"/>
        <v>2.3546915828802747E-2</v>
      </c>
      <c r="BA43" s="528">
        <f t="shared" si="44"/>
        <v>2.3316931018135496E-2</v>
      </c>
      <c r="BB43" s="528">
        <f t="shared" si="44"/>
        <v>2.3075461863499881E-2</v>
      </c>
      <c r="BC43" s="528">
        <f t="shared" si="44"/>
        <v>2.2822913001804356E-2</v>
      </c>
      <c r="BD43" s="528">
        <f t="shared" si="44"/>
        <v>2.2559704421258726E-2</v>
      </c>
      <c r="BE43" s="528" t="str">
        <f t="shared" si="44"/>
        <v/>
      </c>
      <c r="BF43" s="528" t="str">
        <f t="shared" si="44"/>
        <v/>
      </c>
      <c r="BG43" s="528" t="str">
        <f t="shared" si="44"/>
        <v/>
      </c>
      <c r="BH43" s="528" t="str">
        <f t="shared" si="44"/>
        <v/>
      </c>
      <c r="BI43" s="528" t="str">
        <f t="shared" si="44"/>
        <v/>
      </c>
      <c r="BJ43" s="528" t="str">
        <f t="shared" si="44"/>
        <v/>
      </c>
      <c r="BK43" s="528" t="str">
        <f t="shared" si="44"/>
        <v/>
      </c>
      <c r="BL43" s="528" t="str">
        <f t="shared" si="44"/>
        <v/>
      </c>
      <c r="BM43" s="528" t="str">
        <f t="shared" si="44"/>
        <v/>
      </c>
    </row>
    <row r="44" spans="6:65" ht="15.75" customHeight="1" x14ac:dyDescent="0.25">
      <c r="F44" s="197"/>
      <c r="G44" s="197">
        <f t="shared" si="3"/>
        <v>0</v>
      </c>
      <c r="H44" s="197">
        <f t="shared" si="4"/>
        <v>421</v>
      </c>
      <c r="I44" s="523">
        <v>1</v>
      </c>
      <c r="J44" s="533">
        <f>'Monthly DCF'!$I$3</f>
        <v>46418</v>
      </c>
      <c r="K44" s="533">
        <f t="shared" si="5"/>
        <v>47664</v>
      </c>
      <c r="L44" s="536">
        <f t="shared" si="8"/>
        <v>42</v>
      </c>
      <c r="M44" s="20" t="s">
        <v>366</v>
      </c>
      <c r="N44" s="20">
        <f t="shared" si="6"/>
        <v>42</v>
      </c>
      <c r="O44" s="537">
        <v>1</v>
      </c>
      <c r="P44" s="528">
        <f t="shared" ref="P44:BM44" si="45">IFERROR(+IF(AND($M44="Flat",P$5&gt;=$J44,P$5&lt;=$K44),$I44/$L44,0)+IF(AND($M44="S-Curve",P$5&gt;=$J44,P$5&lt;=$K44),(_xlfn.NORM.DIST((YEAR(P$5)-YEAR($J44))*12+MONTH(P$5)-MONTH($J44)+1,$L44/2,$N44,TRUE)-_xlfn.NORM.DIST((YEAR(P$5)-YEAR($J44))*12+MONTH(P$5)-MONTH($J44),$L44/2,$N44,TRUE))/(1-2*_xlfn.NORM.DIST(0,$L44/2,$N44,TRUE))*$I44," "),"")</f>
        <v>2.2019468355780471E-2</v>
      </c>
      <c r="Q44" s="528">
        <f t="shared" si="45"/>
        <v>2.2270530898957801E-2</v>
      </c>
      <c r="R44" s="528">
        <f t="shared" si="45"/>
        <v>2.2511691273591081E-2</v>
      </c>
      <c r="S44" s="528">
        <f t="shared" si="45"/>
        <v>2.2742567438312895E-2</v>
      </c>
      <c r="T44" s="528">
        <f t="shared" si="45"/>
        <v>2.2962790900295262E-2</v>
      </c>
      <c r="U44" s="528">
        <f t="shared" si="45"/>
        <v>2.3172007693640091E-2</v>
      </c>
      <c r="V44" s="528">
        <f t="shared" si="45"/>
        <v>2.3369879326164553E-2</v>
      </c>
      <c r="W44" s="528">
        <f t="shared" si="45"/>
        <v>2.3556083691037094E-2</v>
      </c>
      <c r="X44" s="528">
        <f t="shared" si="45"/>
        <v>2.3730315939840256E-2</v>
      </c>
      <c r="Y44" s="528">
        <f t="shared" si="45"/>
        <v>2.38922893137412E-2</v>
      </c>
      <c r="Z44" s="528">
        <f t="shared" si="45"/>
        <v>2.4041735929606747E-2</v>
      </c>
      <c r="AA44" s="528">
        <f t="shared" si="45"/>
        <v>2.4178407518042708E-2</v>
      </c>
      <c r="AB44" s="528">
        <f t="shared" si="45"/>
        <v>2.4302076110517913E-2</v>
      </c>
      <c r="AC44" s="528">
        <f t="shared" si="45"/>
        <v>2.4412534672903108E-2</v>
      </c>
      <c r="AD44" s="528">
        <f t="shared" si="45"/>
        <v>2.4509597682972315E-2</v>
      </c>
      <c r="AE44" s="528">
        <f t="shared" si="45"/>
        <v>2.4593101649599946E-2</v>
      </c>
      <c r="AF44" s="528">
        <f t="shared" si="45"/>
        <v>2.4662905571628844E-2</v>
      </c>
      <c r="AG44" s="528">
        <f t="shared" si="45"/>
        <v>2.4718891334602169E-2</v>
      </c>
      <c r="AH44" s="528">
        <f t="shared" si="45"/>
        <v>2.4760964043798489E-2</v>
      </c>
      <c r="AI44" s="528">
        <f t="shared" si="45"/>
        <v>2.4789052292253602E-2</v>
      </c>
      <c r="AJ44" s="528">
        <f t="shared" si="45"/>
        <v>2.4803108362713454E-2</v>
      </c>
      <c r="AK44" s="528">
        <f t="shared" si="45"/>
        <v>2.4803108362713308E-2</v>
      </c>
      <c r="AL44" s="528">
        <f t="shared" si="45"/>
        <v>2.4789052292253748E-2</v>
      </c>
      <c r="AM44" s="528">
        <f t="shared" si="45"/>
        <v>2.4760964043798489E-2</v>
      </c>
      <c r="AN44" s="528">
        <f t="shared" si="45"/>
        <v>2.4718891334602169E-2</v>
      </c>
      <c r="AO44" s="528">
        <f t="shared" si="45"/>
        <v>2.4662905571628698E-2</v>
      </c>
      <c r="AP44" s="528">
        <f t="shared" si="45"/>
        <v>2.4593101649600092E-2</v>
      </c>
      <c r="AQ44" s="528">
        <f t="shared" si="45"/>
        <v>2.4509597682972315E-2</v>
      </c>
      <c r="AR44" s="528">
        <f t="shared" si="45"/>
        <v>2.4412534672903108E-2</v>
      </c>
      <c r="AS44" s="528">
        <f t="shared" si="45"/>
        <v>2.4302076110517913E-2</v>
      </c>
      <c r="AT44" s="528">
        <f t="shared" si="45"/>
        <v>2.4178407518042708E-2</v>
      </c>
      <c r="AU44" s="528">
        <f t="shared" si="45"/>
        <v>2.4041735929606893E-2</v>
      </c>
      <c r="AV44" s="528">
        <f t="shared" si="45"/>
        <v>2.3892289313741055E-2</v>
      </c>
      <c r="AW44" s="528">
        <f t="shared" si="45"/>
        <v>2.3730315939840402E-2</v>
      </c>
      <c r="AX44" s="528">
        <f t="shared" si="45"/>
        <v>2.3556083691037094E-2</v>
      </c>
      <c r="AY44" s="528">
        <f t="shared" si="45"/>
        <v>2.3369879326164553E-2</v>
      </c>
      <c r="AZ44" s="528">
        <f t="shared" si="45"/>
        <v>2.3172007693639946E-2</v>
      </c>
      <c r="BA44" s="528">
        <f t="shared" si="45"/>
        <v>2.2962790900295262E-2</v>
      </c>
      <c r="BB44" s="528">
        <f t="shared" si="45"/>
        <v>2.2742567438312895E-2</v>
      </c>
      <c r="BC44" s="528">
        <f t="shared" si="45"/>
        <v>2.2511691273591226E-2</v>
      </c>
      <c r="BD44" s="528">
        <f t="shared" si="45"/>
        <v>2.2270530898957655E-2</v>
      </c>
      <c r="BE44" s="528">
        <f t="shared" si="45"/>
        <v>2.2019468355780471E-2</v>
      </c>
      <c r="BF44" s="528" t="str">
        <f t="shared" si="45"/>
        <v/>
      </c>
      <c r="BG44" s="528" t="str">
        <f t="shared" si="45"/>
        <v/>
      </c>
      <c r="BH44" s="528" t="str">
        <f t="shared" si="45"/>
        <v/>
      </c>
      <c r="BI44" s="528" t="str">
        <f t="shared" si="45"/>
        <v/>
      </c>
      <c r="BJ44" s="528" t="str">
        <f t="shared" si="45"/>
        <v/>
      </c>
      <c r="BK44" s="528" t="str">
        <f t="shared" si="45"/>
        <v/>
      </c>
      <c r="BL44" s="528" t="str">
        <f t="shared" si="45"/>
        <v/>
      </c>
      <c r="BM44" s="528" t="str">
        <f t="shared" si="45"/>
        <v/>
      </c>
    </row>
    <row r="45" spans="6:65" ht="15.75" customHeight="1" x14ac:dyDescent="0.25">
      <c r="F45" s="197"/>
      <c r="G45" s="197">
        <f t="shared" si="3"/>
        <v>0</v>
      </c>
      <c r="H45" s="197">
        <f t="shared" si="4"/>
        <v>431</v>
      </c>
      <c r="I45" s="523">
        <v>1</v>
      </c>
      <c r="J45" s="533">
        <f>'Monthly DCF'!$I$3</f>
        <v>46418</v>
      </c>
      <c r="K45" s="533">
        <f t="shared" si="5"/>
        <v>47695</v>
      </c>
      <c r="L45" s="536">
        <f t="shared" si="8"/>
        <v>43</v>
      </c>
      <c r="M45" s="20" t="s">
        <v>366</v>
      </c>
      <c r="N45" s="20">
        <f t="shared" si="6"/>
        <v>43</v>
      </c>
      <c r="O45" s="537">
        <v>1</v>
      </c>
      <c r="P45" s="528">
        <f t="shared" ref="P45:BM45" si="46">IFERROR(+IF(AND($M45="Flat",P$5&gt;=$J45,P$5&lt;=$K45),$I45/$L45,0)+IF(AND($M45="S-Curve",P$5&gt;=$J45,P$5&lt;=$K45),(_xlfn.NORM.DIST((YEAR(P$5)-YEAR($J45))*12+MONTH(P$5)-MONTH($J45)+1,$L45/2,$N45,TRUE)-_xlfn.NORM.DIST((YEAR(P$5)-YEAR($J45))*12+MONTH(P$5)-MONTH($J45),$L45/2,$N45,TRUE))/(1-2*_xlfn.NORM.DIST(0,$L45/2,$N45,TRUE))*$I45," "),"")</f>
        <v>2.1504498659997821E-2</v>
      </c>
      <c r="Q45" s="528">
        <f t="shared" si="46"/>
        <v>2.1744236364074087E-2</v>
      </c>
      <c r="R45" s="528">
        <f t="shared" si="46"/>
        <v>2.1974759375045436E-2</v>
      </c>
      <c r="S45" s="528">
        <f t="shared" si="46"/>
        <v>2.2195719411183437E-2</v>
      </c>
      <c r="T45" s="528">
        <f t="shared" si="46"/>
        <v>2.2406780184348111E-2</v>
      </c>
      <c r="U45" s="528">
        <f t="shared" si="46"/>
        <v>2.2607618251390377E-2</v>
      </c>
      <c r="V45" s="528">
        <f t="shared" si="46"/>
        <v>2.2797923838989993E-2</v>
      </c>
      <c r="W45" s="528">
        <f t="shared" si="46"/>
        <v>2.297740163899958E-2</v>
      </c>
      <c r="X45" s="528">
        <f t="shared" si="46"/>
        <v>2.3145771571431186E-2</v>
      </c>
      <c r="Y45" s="528">
        <f t="shared" si="46"/>
        <v>2.3302769512331307E-2</v>
      </c>
      <c r="Z45" s="528">
        <f t="shared" si="46"/>
        <v>2.3448147983900804E-2</v>
      </c>
      <c r="AA45" s="528">
        <f t="shared" si="46"/>
        <v>2.3581676804333773E-2</v>
      </c>
      <c r="AB45" s="528">
        <f t="shared" si="46"/>
        <v>2.370314369498595E-2</v>
      </c>
      <c r="AC45" s="528">
        <f t="shared" si="46"/>
        <v>2.3812354842637929E-2</v>
      </c>
      <c r="AD45" s="528">
        <f t="shared" si="46"/>
        <v>2.3909135414763014E-2</v>
      </c>
      <c r="AE45" s="528">
        <f t="shared" si="46"/>
        <v>2.3993330025883431E-2</v>
      </c>
      <c r="AF45" s="528">
        <f t="shared" si="46"/>
        <v>2.4064803153276592E-2</v>
      </c>
      <c r="AG45" s="528">
        <f t="shared" si="46"/>
        <v>2.4123439500472327E-2</v>
      </c>
      <c r="AH45" s="528">
        <f t="shared" si="46"/>
        <v>2.4169144307175445E-2</v>
      </c>
      <c r="AI45" s="528">
        <f t="shared" si="46"/>
        <v>2.4201843604451812E-2</v>
      </c>
      <c r="AJ45" s="528">
        <f t="shared" si="46"/>
        <v>2.4221484414210626E-2</v>
      </c>
      <c r="AK45" s="528">
        <f t="shared" si="46"/>
        <v>2.4228034892234084E-2</v>
      </c>
      <c r="AL45" s="528">
        <f t="shared" si="46"/>
        <v>2.422148441421048E-2</v>
      </c>
      <c r="AM45" s="528">
        <f t="shared" si="46"/>
        <v>2.420184360445167E-2</v>
      </c>
      <c r="AN45" s="528">
        <f t="shared" si="46"/>
        <v>2.4169144307175591E-2</v>
      </c>
      <c r="AO45" s="528">
        <f t="shared" si="46"/>
        <v>2.4123439500472327E-2</v>
      </c>
      <c r="AP45" s="528">
        <f t="shared" si="46"/>
        <v>2.4064803153276592E-2</v>
      </c>
      <c r="AQ45" s="528">
        <f t="shared" si="46"/>
        <v>2.3993330025883285E-2</v>
      </c>
      <c r="AR45" s="528">
        <f t="shared" si="46"/>
        <v>2.3909135414763014E-2</v>
      </c>
      <c r="AS45" s="528">
        <f t="shared" si="46"/>
        <v>2.3812354842638075E-2</v>
      </c>
      <c r="AT45" s="528">
        <f t="shared" si="46"/>
        <v>2.370314369498595E-2</v>
      </c>
      <c r="AU45" s="528">
        <f t="shared" si="46"/>
        <v>2.3581676804333773E-2</v>
      </c>
      <c r="AV45" s="528">
        <f t="shared" si="46"/>
        <v>2.3448147983900804E-2</v>
      </c>
      <c r="AW45" s="528">
        <f t="shared" si="46"/>
        <v>2.3302769512331307E-2</v>
      </c>
      <c r="AX45" s="528">
        <f t="shared" si="46"/>
        <v>2.3145771571431186E-2</v>
      </c>
      <c r="AY45" s="528">
        <f t="shared" si="46"/>
        <v>2.297740163899958E-2</v>
      </c>
      <c r="AZ45" s="528">
        <f t="shared" si="46"/>
        <v>2.2797923838989993E-2</v>
      </c>
      <c r="BA45" s="528">
        <f t="shared" si="46"/>
        <v>2.2607618251390231E-2</v>
      </c>
      <c r="BB45" s="528">
        <f t="shared" si="46"/>
        <v>2.2406780184348257E-2</v>
      </c>
      <c r="BC45" s="528">
        <f t="shared" si="46"/>
        <v>2.2195719411183437E-2</v>
      </c>
      <c r="BD45" s="528">
        <f t="shared" si="46"/>
        <v>2.1974759375045436E-2</v>
      </c>
      <c r="BE45" s="528">
        <f t="shared" si="46"/>
        <v>2.1744236364074233E-2</v>
      </c>
      <c r="BF45" s="528">
        <f t="shared" si="46"/>
        <v>2.1504498659997675E-2</v>
      </c>
      <c r="BG45" s="528" t="str">
        <f t="shared" si="46"/>
        <v/>
      </c>
      <c r="BH45" s="528" t="str">
        <f t="shared" si="46"/>
        <v/>
      </c>
      <c r="BI45" s="528" t="str">
        <f t="shared" si="46"/>
        <v/>
      </c>
      <c r="BJ45" s="528" t="str">
        <f t="shared" si="46"/>
        <v/>
      </c>
      <c r="BK45" s="528" t="str">
        <f t="shared" si="46"/>
        <v/>
      </c>
      <c r="BL45" s="528" t="str">
        <f t="shared" si="46"/>
        <v/>
      </c>
      <c r="BM45" s="528" t="str">
        <f t="shared" si="46"/>
        <v/>
      </c>
    </row>
    <row r="46" spans="6:65" ht="15.75" customHeight="1" x14ac:dyDescent="0.25">
      <c r="F46" s="197"/>
      <c r="G46" s="197">
        <f t="shared" si="3"/>
        <v>0</v>
      </c>
      <c r="H46" s="197">
        <f t="shared" si="4"/>
        <v>441</v>
      </c>
      <c r="I46" s="523">
        <v>1</v>
      </c>
      <c r="J46" s="533">
        <f>'Monthly DCF'!$I$3</f>
        <v>46418</v>
      </c>
      <c r="K46" s="533">
        <f t="shared" si="5"/>
        <v>47726</v>
      </c>
      <c r="L46" s="536">
        <f t="shared" si="8"/>
        <v>44</v>
      </c>
      <c r="M46" s="20" t="s">
        <v>366</v>
      </c>
      <c r="N46" s="20">
        <f t="shared" si="6"/>
        <v>44</v>
      </c>
      <c r="O46" s="537">
        <v>1</v>
      </c>
      <c r="P46" s="528">
        <f t="shared" ref="P46:BM46" si="47">IFERROR(+IF(AND($M46="Flat",P$5&gt;=$J46,P$5&lt;=$K46),$I46/$L46,0)+IF(AND($M46="S-Curve",P$5&gt;=$J46,P$5&lt;=$K46),(_xlfn.NORM.DIST((YEAR(P$5)-YEAR($J46))*12+MONTH(P$5)-MONTH($J46)+1,$L46/2,$N46,TRUE)-_xlfn.NORM.DIST((YEAR(P$5)-YEAR($J46))*12+MONTH(P$5)-MONTH($J46),$L46/2,$N46,TRUE))/(1-2*_xlfn.NORM.DIST(0,$L46/2,$N46,TRUE))*$I46," "),"")</f>
        <v>2.1013063471597405E-2</v>
      </c>
      <c r="Q46" s="528">
        <f t="shared" si="47"/>
        <v>2.1242225188442959E-2</v>
      </c>
      <c r="R46" s="528">
        <f t="shared" si="47"/>
        <v>2.1462797527349975E-2</v>
      </c>
      <c r="S46" s="528">
        <f t="shared" si="47"/>
        <v>2.1674462320999958E-2</v>
      </c>
      <c r="T46" s="528">
        <f t="shared" si="47"/>
        <v>2.1876912049728747E-2</v>
      </c>
      <c r="U46" s="528">
        <f t="shared" si="47"/>
        <v>2.2069850584743707E-2</v>
      </c>
      <c r="V46" s="528">
        <f t="shared" si="47"/>
        <v>2.2252993908922131E-2</v>
      </c>
      <c r="W46" s="528">
        <f t="shared" si="47"/>
        <v>2.242607081275353E-2</v>
      </c>
      <c r="X46" s="528">
        <f t="shared" si="47"/>
        <v>2.2588823563030963E-2</v>
      </c>
      <c r="Y46" s="528">
        <f t="shared" si="47"/>
        <v>2.2741008541992406E-2</v>
      </c>
      <c r="Z46" s="528">
        <f t="shared" si="47"/>
        <v>2.2882396854693274E-2</v>
      </c>
      <c r="AA46" s="528">
        <f t="shared" si="47"/>
        <v>2.3012774902487272E-2</v>
      </c>
      <c r="AB46" s="528">
        <f t="shared" si="47"/>
        <v>2.3131944920614808E-2</v>
      </c>
      <c r="AC46" s="528">
        <f t="shared" si="47"/>
        <v>2.3239725477992641E-2</v>
      </c>
      <c r="AD46" s="528">
        <f t="shared" si="47"/>
        <v>2.3335951937450514E-2</v>
      </c>
      <c r="AE46" s="528">
        <f t="shared" si="47"/>
        <v>2.3420476874768999E-2</v>
      </c>
      <c r="AF46" s="528">
        <f t="shared" si="47"/>
        <v>2.3493170455035271E-2</v>
      </c>
      <c r="AG46" s="528">
        <f t="shared" si="47"/>
        <v>2.3553920764964625E-2</v>
      </c>
      <c r="AH46" s="528">
        <f t="shared" si="47"/>
        <v>2.3602634100002347E-2</v>
      </c>
      <c r="AI46" s="528">
        <f t="shared" si="47"/>
        <v>2.3639235205172058E-2</v>
      </c>
      <c r="AJ46" s="528">
        <f t="shared" si="47"/>
        <v>2.3663667468804838E-2</v>
      </c>
      <c r="AK46" s="528">
        <f t="shared" si="47"/>
        <v>2.3675893068451574E-2</v>
      </c>
      <c r="AL46" s="528">
        <f t="shared" si="47"/>
        <v>2.3675893068451574E-2</v>
      </c>
      <c r="AM46" s="528">
        <f t="shared" si="47"/>
        <v>2.366366746880498E-2</v>
      </c>
      <c r="AN46" s="528">
        <f t="shared" si="47"/>
        <v>2.3639235205171916E-2</v>
      </c>
      <c r="AO46" s="528">
        <f t="shared" si="47"/>
        <v>2.3602634100002205E-2</v>
      </c>
      <c r="AP46" s="528">
        <f t="shared" si="47"/>
        <v>2.3553920764964768E-2</v>
      </c>
      <c r="AQ46" s="528">
        <f t="shared" si="47"/>
        <v>2.3493170455035125E-2</v>
      </c>
      <c r="AR46" s="528">
        <f t="shared" si="47"/>
        <v>2.3420476874768999E-2</v>
      </c>
      <c r="AS46" s="528">
        <f t="shared" si="47"/>
        <v>2.3335951937450656E-2</v>
      </c>
      <c r="AT46" s="528">
        <f t="shared" si="47"/>
        <v>2.3239725477992641E-2</v>
      </c>
      <c r="AU46" s="528">
        <f t="shared" si="47"/>
        <v>2.3131944920614808E-2</v>
      </c>
      <c r="AV46" s="528">
        <f t="shared" si="47"/>
        <v>2.3012774902487272E-2</v>
      </c>
      <c r="AW46" s="528">
        <f t="shared" si="47"/>
        <v>2.2882396854693274E-2</v>
      </c>
      <c r="AX46" s="528">
        <f t="shared" si="47"/>
        <v>2.2741008541992406E-2</v>
      </c>
      <c r="AY46" s="528">
        <f t="shared" si="47"/>
        <v>2.2588823563030963E-2</v>
      </c>
      <c r="AZ46" s="528">
        <f t="shared" si="47"/>
        <v>2.242607081275353E-2</v>
      </c>
      <c r="BA46" s="528">
        <f t="shared" si="47"/>
        <v>2.2252993908922131E-2</v>
      </c>
      <c r="BB46" s="528">
        <f t="shared" si="47"/>
        <v>2.2069850584743707E-2</v>
      </c>
      <c r="BC46" s="528">
        <f t="shared" si="47"/>
        <v>2.1876912049728602E-2</v>
      </c>
      <c r="BD46" s="528">
        <f t="shared" si="47"/>
        <v>2.1674462321000249E-2</v>
      </c>
      <c r="BE46" s="528">
        <f t="shared" si="47"/>
        <v>2.1462797527349829E-2</v>
      </c>
      <c r="BF46" s="528">
        <f t="shared" si="47"/>
        <v>2.1242225188443105E-2</v>
      </c>
      <c r="BG46" s="528">
        <f t="shared" si="47"/>
        <v>2.101306347159726E-2</v>
      </c>
      <c r="BH46" s="528" t="str">
        <f t="shared" si="47"/>
        <v/>
      </c>
      <c r="BI46" s="528" t="str">
        <f t="shared" si="47"/>
        <v/>
      </c>
      <c r="BJ46" s="528" t="str">
        <f t="shared" si="47"/>
        <v/>
      </c>
      <c r="BK46" s="528" t="str">
        <f t="shared" si="47"/>
        <v/>
      </c>
      <c r="BL46" s="528" t="str">
        <f t="shared" si="47"/>
        <v/>
      </c>
      <c r="BM46" s="528" t="str">
        <f t="shared" si="47"/>
        <v/>
      </c>
    </row>
    <row r="47" spans="6:65" ht="15.75" customHeight="1" x14ac:dyDescent="0.25">
      <c r="F47" s="197"/>
      <c r="G47" s="197">
        <f t="shared" si="3"/>
        <v>0</v>
      </c>
      <c r="H47" s="197">
        <f t="shared" si="4"/>
        <v>451</v>
      </c>
      <c r="I47" s="523">
        <v>1</v>
      </c>
      <c r="J47" s="533">
        <f>'Monthly DCF'!$I$3</f>
        <v>46418</v>
      </c>
      <c r="K47" s="533">
        <f t="shared" si="5"/>
        <v>47756</v>
      </c>
      <c r="L47" s="536">
        <f t="shared" si="8"/>
        <v>45</v>
      </c>
      <c r="M47" s="20" t="s">
        <v>366</v>
      </c>
      <c r="N47" s="20">
        <f t="shared" si="6"/>
        <v>45</v>
      </c>
      <c r="O47" s="537">
        <v>1</v>
      </c>
      <c r="P47" s="528">
        <f t="shared" ref="P47:BM47" si="48">IFERROR(+IF(AND($M47="Flat",P$5&gt;=$J47,P$5&lt;=$K47),$I47/$L47,0)+IF(AND($M47="S-Curve",P$5&gt;=$J47,P$5&lt;=$K47),(_xlfn.NORM.DIST((YEAR(P$5)-YEAR($J47))*12+MONTH(P$5)-MONTH($J47)+1,$L47/2,$N47,TRUE)-_xlfn.NORM.DIST((YEAR(P$5)-YEAR($J47))*12+MONTH(P$5)-MONTH($J47),$L47/2,$N47,TRUE))/(1-2*_xlfn.NORM.DIST(0,$L47/2,$N47,TRUE))*$I47," "),"")</f>
        <v>2.0543585657523906E-2</v>
      </c>
      <c r="Q47" s="528">
        <f t="shared" si="48"/>
        <v>2.0762855682497808E-2</v>
      </c>
      <c r="R47" s="528">
        <f t="shared" si="48"/>
        <v>2.0974106350621427E-2</v>
      </c>
      <c r="S47" s="528">
        <f t="shared" si="48"/>
        <v>2.1177046425684715E-2</v>
      </c>
      <c r="T47" s="528">
        <f t="shared" si="48"/>
        <v>2.1371394150207546E-2</v>
      </c>
      <c r="U47" s="528">
        <f t="shared" si="48"/>
        <v>2.1556877896150434E-2</v>
      </c>
      <c r="V47" s="528">
        <f t="shared" si="48"/>
        <v>2.173323679664654E-2</v>
      </c>
      <c r="W47" s="528">
        <f t="shared" si="48"/>
        <v>2.1900221356695664E-2</v>
      </c>
      <c r="X47" s="528">
        <f t="shared" si="48"/>
        <v>2.2057594040822213E-2</v>
      </c>
      <c r="Y47" s="528">
        <f t="shared" si="48"/>
        <v>2.2205129835761006E-2</v>
      </c>
      <c r="Z47" s="528">
        <f t="shared" si="48"/>
        <v>2.2342616786307546E-2</v>
      </c>
      <c r="AA47" s="528">
        <f t="shared" si="48"/>
        <v>2.2469856502547469E-2</v>
      </c>
      <c r="AB47" s="528">
        <f t="shared" si="48"/>
        <v>2.2586664636766614E-2</v>
      </c>
      <c r="AC47" s="528">
        <f t="shared" si="48"/>
        <v>2.2692871328434328E-2</v>
      </c>
      <c r="AD47" s="528">
        <f t="shared" si="48"/>
        <v>2.2788321615763961E-2</v>
      </c>
      <c r="AE47" s="528">
        <f t="shared" si="48"/>
        <v>2.2872875812445959E-2</v>
      </c>
      <c r="AF47" s="528">
        <f t="shared" si="48"/>
        <v>2.2946409848279895E-2</v>
      </c>
      <c r="AG47" s="528">
        <f t="shared" si="48"/>
        <v>2.3008815572536437E-2</v>
      </c>
      <c r="AH47" s="528">
        <f t="shared" si="48"/>
        <v>2.3060001019015199E-2</v>
      </c>
      <c r="AI47" s="528">
        <f t="shared" si="48"/>
        <v>2.3099890631886468E-2</v>
      </c>
      <c r="AJ47" s="528">
        <f t="shared" si="48"/>
        <v>2.3128425451543477E-2</v>
      </c>
      <c r="AK47" s="528">
        <f t="shared" si="48"/>
        <v>2.3145563259820364E-2</v>
      </c>
      <c r="AL47" s="528">
        <f t="shared" si="48"/>
        <v>2.3151278684082052E-2</v>
      </c>
      <c r="AM47" s="528">
        <f t="shared" si="48"/>
        <v>2.3145563259820364E-2</v>
      </c>
      <c r="AN47" s="528">
        <f t="shared" si="48"/>
        <v>2.3128425451543477E-2</v>
      </c>
      <c r="AO47" s="528">
        <f t="shared" si="48"/>
        <v>2.309989063188661E-2</v>
      </c>
      <c r="AP47" s="528">
        <f t="shared" si="48"/>
        <v>2.3060001019015054E-2</v>
      </c>
      <c r="AQ47" s="528">
        <f t="shared" si="48"/>
        <v>2.3008815572536437E-2</v>
      </c>
      <c r="AR47" s="528">
        <f t="shared" si="48"/>
        <v>2.2946409848280037E-2</v>
      </c>
      <c r="AS47" s="528">
        <f t="shared" si="48"/>
        <v>2.2872875812445813E-2</v>
      </c>
      <c r="AT47" s="528">
        <f t="shared" si="48"/>
        <v>2.2788321615763961E-2</v>
      </c>
      <c r="AU47" s="528">
        <f t="shared" si="48"/>
        <v>2.2692871328434474E-2</v>
      </c>
      <c r="AV47" s="528">
        <f t="shared" si="48"/>
        <v>2.2586664636766614E-2</v>
      </c>
      <c r="AW47" s="528">
        <f t="shared" si="48"/>
        <v>2.2469856502547323E-2</v>
      </c>
      <c r="AX47" s="528">
        <f t="shared" si="48"/>
        <v>2.2342616786307546E-2</v>
      </c>
      <c r="AY47" s="528">
        <f t="shared" si="48"/>
        <v>2.2205129835761006E-2</v>
      </c>
      <c r="AZ47" s="528">
        <f t="shared" si="48"/>
        <v>2.2057594040822213E-2</v>
      </c>
      <c r="BA47" s="528">
        <f t="shared" si="48"/>
        <v>2.1900221356695664E-2</v>
      </c>
      <c r="BB47" s="528">
        <f t="shared" si="48"/>
        <v>2.173323679664654E-2</v>
      </c>
      <c r="BC47" s="528">
        <f t="shared" si="48"/>
        <v>2.1556877896150434E-2</v>
      </c>
      <c r="BD47" s="528">
        <f t="shared" si="48"/>
        <v>2.1371394150207546E-2</v>
      </c>
      <c r="BE47" s="528">
        <f t="shared" si="48"/>
        <v>2.1177046425684715E-2</v>
      </c>
      <c r="BF47" s="528">
        <f t="shared" si="48"/>
        <v>2.0974106350621427E-2</v>
      </c>
      <c r="BG47" s="528">
        <f t="shared" si="48"/>
        <v>2.0762855682497808E-2</v>
      </c>
      <c r="BH47" s="528">
        <f t="shared" si="48"/>
        <v>2.0543585657523906E-2</v>
      </c>
      <c r="BI47" s="528" t="str">
        <f t="shared" si="48"/>
        <v/>
      </c>
      <c r="BJ47" s="528" t="str">
        <f t="shared" si="48"/>
        <v/>
      </c>
      <c r="BK47" s="528" t="str">
        <f t="shared" si="48"/>
        <v/>
      </c>
      <c r="BL47" s="528" t="str">
        <f t="shared" si="48"/>
        <v/>
      </c>
      <c r="BM47" s="528" t="str">
        <f t="shared" si="48"/>
        <v/>
      </c>
    </row>
    <row r="48" spans="6:65" ht="15.75" customHeight="1" x14ac:dyDescent="0.25">
      <c r="F48" s="197"/>
      <c r="G48" s="197">
        <f t="shared" si="3"/>
        <v>0</v>
      </c>
      <c r="H48" s="197">
        <f t="shared" si="4"/>
        <v>461</v>
      </c>
      <c r="I48" s="523">
        <v>1</v>
      </c>
      <c r="J48" s="533">
        <f>'Monthly DCF'!$I$3</f>
        <v>46418</v>
      </c>
      <c r="K48" s="533">
        <f t="shared" si="5"/>
        <v>47787</v>
      </c>
      <c r="L48" s="536">
        <f t="shared" si="8"/>
        <v>46</v>
      </c>
      <c r="M48" s="20" t="s">
        <v>366</v>
      </c>
      <c r="N48" s="20">
        <f t="shared" si="6"/>
        <v>46</v>
      </c>
      <c r="O48" s="537">
        <v>1</v>
      </c>
      <c r="P48" s="528">
        <f t="shared" ref="P48:BM48" si="49">IFERROR(+IF(AND($M48="Flat",P$5&gt;=$J48,P$5&lt;=$K48),$I48/$L48,0)+IF(AND($M48="S-Curve",P$5&gt;=$J48,P$5&lt;=$K48),(_xlfn.NORM.DIST((YEAR(P$5)-YEAR($J48))*12+MONTH(P$5)-MONTH($J48)+1,$L48/2,$N48,TRUE)-_xlfn.NORM.DIST((YEAR(P$5)-YEAR($J48))*12+MONTH(P$5)-MONTH($J48),$L48/2,$N48,TRUE))/(1-2*_xlfn.NORM.DIST(0,$L48/2,$N48,TRUE))*$I48," "),"")</f>
        <v>2.0094625913036828E-2</v>
      </c>
      <c r="Q48" s="528">
        <f t="shared" si="49"/>
        <v>2.0304630790250612E-2</v>
      </c>
      <c r="R48" s="528">
        <f t="shared" si="49"/>
        <v>2.0507137013849378E-2</v>
      </c>
      <c r="S48" s="528">
        <f t="shared" si="49"/>
        <v>2.0701877490546708E-2</v>
      </c>
      <c r="T48" s="528">
        <f t="shared" si="49"/>
        <v>2.088859358731902E-2</v>
      </c>
      <c r="U48" s="528">
        <f t="shared" si="49"/>
        <v>2.1067035702765601E-2</v>
      </c>
      <c r="V48" s="528">
        <f t="shared" si="49"/>
        <v>2.12369638223317E-2</v>
      </c>
      <c r="W48" s="528">
        <f t="shared" si="49"/>
        <v>2.1398148055658896E-2</v>
      </c>
      <c r="X48" s="528">
        <f t="shared" si="49"/>
        <v>2.1550369154386802E-2</v>
      </c>
      <c r="Y48" s="528">
        <f t="shared" si="49"/>
        <v>2.1693419008779805E-2</v>
      </c>
      <c r="Z48" s="528">
        <f t="shared" si="49"/>
        <v>2.1827101121592165E-2</v>
      </c>
      <c r="AA48" s="528">
        <f t="shared" si="49"/>
        <v>2.195123105767556E-2</v>
      </c>
      <c r="AB48" s="528">
        <f t="shared" si="49"/>
        <v>2.2065636867882734E-2</v>
      </c>
      <c r="AC48" s="528">
        <f t="shared" si="49"/>
        <v>2.2170159485901897E-2</v>
      </c>
      <c r="AD48" s="528">
        <f t="shared" si="49"/>
        <v>2.2264653096747751E-2</v>
      </c>
      <c r="AE48" s="528">
        <f t="shared" si="49"/>
        <v>2.2348985475706875E-2</v>
      </c>
      <c r="AF48" s="528">
        <f t="shared" si="49"/>
        <v>2.2423038296639237E-2</v>
      </c>
      <c r="AG48" s="528">
        <f t="shared" si="49"/>
        <v>2.2486707408627678E-2</v>
      </c>
      <c r="AH48" s="528">
        <f t="shared" si="49"/>
        <v>2.2539903080070051E-2</v>
      </c>
      <c r="AI48" s="528">
        <f t="shared" si="49"/>
        <v>2.258255020941605E-2</v>
      </c>
      <c r="AJ48" s="528">
        <f t="shared" si="49"/>
        <v>2.2614588501850375E-2</v>
      </c>
      <c r="AK48" s="528">
        <f t="shared" si="49"/>
        <v>2.2635972611346353E-2</v>
      </c>
      <c r="AL48" s="528">
        <f t="shared" si="49"/>
        <v>2.2646672247617919E-2</v>
      </c>
      <c r="AM48" s="528">
        <f t="shared" si="49"/>
        <v>2.2646672247617919E-2</v>
      </c>
      <c r="AN48" s="528">
        <f t="shared" si="49"/>
        <v>2.2635972611346353E-2</v>
      </c>
      <c r="AO48" s="528">
        <f t="shared" si="49"/>
        <v>2.2614588501850375E-2</v>
      </c>
      <c r="AP48" s="528">
        <f t="shared" si="49"/>
        <v>2.2582550209415905E-2</v>
      </c>
      <c r="AQ48" s="528">
        <f t="shared" si="49"/>
        <v>2.2539903080070343E-2</v>
      </c>
      <c r="AR48" s="528">
        <f t="shared" si="49"/>
        <v>2.248670740862739E-2</v>
      </c>
      <c r="AS48" s="528">
        <f t="shared" si="49"/>
        <v>2.2423038296639382E-2</v>
      </c>
      <c r="AT48" s="528">
        <f t="shared" si="49"/>
        <v>2.2348985475707021E-2</v>
      </c>
      <c r="AU48" s="528">
        <f t="shared" si="49"/>
        <v>2.2264653096747609E-2</v>
      </c>
      <c r="AV48" s="528">
        <f t="shared" si="49"/>
        <v>2.2170159485901897E-2</v>
      </c>
      <c r="AW48" s="528">
        <f t="shared" si="49"/>
        <v>2.2065636867882734E-2</v>
      </c>
      <c r="AX48" s="528">
        <f t="shared" si="49"/>
        <v>2.195123105767556E-2</v>
      </c>
      <c r="AY48" s="528">
        <f t="shared" si="49"/>
        <v>2.1827101121592165E-2</v>
      </c>
      <c r="AZ48" s="528">
        <f t="shared" si="49"/>
        <v>2.1693419008779805E-2</v>
      </c>
      <c r="BA48" s="528">
        <f t="shared" si="49"/>
        <v>2.1550369154386802E-2</v>
      </c>
      <c r="BB48" s="528">
        <f t="shared" si="49"/>
        <v>2.1398148055658896E-2</v>
      </c>
      <c r="BC48" s="528">
        <f t="shared" si="49"/>
        <v>2.12369638223317E-2</v>
      </c>
      <c r="BD48" s="528">
        <f t="shared" si="49"/>
        <v>2.1067035702765601E-2</v>
      </c>
      <c r="BE48" s="528">
        <f t="shared" si="49"/>
        <v>2.088859358731902E-2</v>
      </c>
      <c r="BF48" s="528">
        <f t="shared" si="49"/>
        <v>2.0701877490546708E-2</v>
      </c>
      <c r="BG48" s="528">
        <f t="shared" si="49"/>
        <v>2.0507137013849378E-2</v>
      </c>
      <c r="BH48" s="528">
        <f t="shared" si="49"/>
        <v>2.0304630790250754E-2</v>
      </c>
      <c r="BI48" s="528">
        <f t="shared" si="49"/>
        <v>2.0094625913036682E-2</v>
      </c>
      <c r="BJ48" s="528" t="str">
        <f t="shared" si="49"/>
        <v/>
      </c>
      <c r="BK48" s="528" t="str">
        <f t="shared" si="49"/>
        <v/>
      </c>
      <c r="BL48" s="528" t="str">
        <f t="shared" si="49"/>
        <v/>
      </c>
      <c r="BM48" s="528" t="str">
        <f t="shared" si="49"/>
        <v/>
      </c>
    </row>
    <row r="49" spans="6:65" ht="15.75" customHeight="1" x14ac:dyDescent="0.25">
      <c r="F49" s="197"/>
      <c r="G49" s="197">
        <f t="shared" si="3"/>
        <v>0</v>
      </c>
      <c r="H49" s="197">
        <f t="shared" si="4"/>
        <v>471</v>
      </c>
      <c r="I49" s="523">
        <v>1</v>
      </c>
      <c r="J49" s="533">
        <f>'Monthly DCF'!$I$3</f>
        <v>46418</v>
      </c>
      <c r="K49" s="533">
        <f t="shared" si="5"/>
        <v>47817</v>
      </c>
      <c r="L49" s="536">
        <f t="shared" si="8"/>
        <v>47</v>
      </c>
      <c r="M49" s="20" t="s">
        <v>366</v>
      </c>
      <c r="N49" s="20">
        <f t="shared" si="6"/>
        <v>47</v>
      </c>
      <c r="O49" s="537">
        <v>1</v>
      </c>
      <c r="P49" s="528">
        <f t="shared" ref="P49:BM49" si="50">IFERROR(+IF(AND($M49="Flat",P$5&gt;=$J49,P$5&lt;=$K49),$I49/$L49,0)+IF(AND($M49="S-Curve",P$5&gt;=$J49,P$5&lt;=$K49),(_xlfn.NORM.DIST((YEAR(P$5)-YEAR($J49))*12+MONTH(P$5)-MONTH($J49)+1,$L49/2,$N49,TRUE)-_xlfn.NORM.DIST((YEAR(P$5)-YEAR($J49))*12+MONTH(P$5)-MONTH($J49),$L49/2,$N49,TRUE))/(1-2*_xlfn.NORM.DIST(0,$L49/2,$N49,TRUE))*$I49," "),"")</f>
        <v>1.9664868028522745E-2</v>
      </c>
      <c r="Q49" s="528">
        <f t="shared" si="50"/>
        <v>1.9866182513577899E-2</v>
      </c>
      <c r="R49" s="528">
        <f t="shared" si="50"/>
        <v>2.0060474948333476E-2</v>
      </c>
      <c r="S49" s="528">
        <f t="shared" si="50"/>
        <v>2.0247499933335064E-2</v>
      </c>
      <c r="T49" s="528">
        <f t="shared" si="50"/>
        <v>2.0427019639300402E-2</v>
      </c>
      <c r="U49" s="528">
        <f t="shared" si="50"/>
        <v>2.0598804310181924E-2</v>
      </c>
      <c r="V49" s="528">
        <f t="shared" si="50"/>
        <v>2.0762632752453304E-2</v>
      </c>
      <c r="W49" s="528">
        <f t="shared" si="50"/>
        <v>2.0918292809170222E-2</v>
      </c>
      <c r="X49" s="528">
        <f t="shared" si="50"/>
        <v>2.1065581817377999E-2</v>
      </c>
      <c r="Y49" s="528">
        <f t="shared" si="50"/>
        <v>2.1204307047488907E-2</v>
      </c>
      <c r="Z49" s="528">
        <f t="shared" si="50"/>
        <v>2.1334286123299562E-2</v>
      </c>
      <c r="AA49" s="528">
        <f t="shared" si="50"/>
        <v>2.1455347421365546E-2</v>
      </c>
      <c r="AB49" s="528">
        <f t="shared" si="50"/>
        <v>2.1567330448507768E-2</v>
      </c>
      <c r="AC49" s="528">
        <f t="shared" si="50"/>
        <v>2.1670086196293389E-2</v>
      </c>
      <c r="AD49" s="528">
        <f t="shared" si="50"/>
        <v>2.1763477471390791E-2</v>
      </c>
      <c r="AE49" s="528">
        <f t="shared" si="50"/>
        <v>2.1847379200778089E-2</v>
      </c>
      <c r="AF49" s="528">
        <f t="shared" si="50"/>
        <v>2.1921678710848658E-2</v>
      </c>
      <c r="AG49" s="528">
        <f t="shared" si="50"/>
        <v>2.1986275979550451E-2</v>
      </c>
      <c r="AH49" s="528">
        <f t="shared" si="50"/>
        <v>2.2041083860759966E-2</v>
      </c>
      <c r="AI49" s="528">
        <f t="shared" si="50"/>
        <v>2.2086028280194868E-2</v>
      </c>
      <c r="AJ49" s="528">
        <f t="shared" si="50"/>
        <v>2.2121048402241893E-2</v>
      </c>
      <c r="AK49" s="528">
        <f t="shared" si="50"/>
        <v>2.214609676717863E-2</v>
      </c>
      <c r="AL49" s="528">
        <f t="shared" si="50"/>
        <v>2.216113939835394E-2</v>
      </c>
      <c r="AM49" s="528">
        <f t="shared" si="50"/>
        <v>2.2166155878989E-2</v>
      </c>
      <c r="AN49" s="528">
        <f t="shared" si="50"/>
        <v>2.2161139398353798E-2</v>
      </c>
      <c r="AO49" s="528">
        <f t="shared" si="50"/>
        <v>2.2146096767178776E-2</v>
      </c>
      <c r="AP49" s="528">
        <f t="shared" si="50"/>
        <v>2.2121048402241748E-2</v>
      </c>
      <c r="AQ49" s="528">
        <f t="shared" si="50"/>
        <v>2.2086028280194868E-2</v>
      </c>
      <c r="AR49" s="528">
        <f t="shared" si="50"/>
        <v>2.2041083860760112E-2</v>
      </c>
      <c r="AS49" s="528">
        <f t="shared" si="50"/>
        <v>2.1986275979550596E-2</v>
      </c>
      <c r="AT49" s="528">
        <f t="shared" si="50"/>
        <v>2.1921678710848515E-2</v>
      </c>
      <c r="AU49" s="528">
        <f t="shared" si="50"/>
        <v>2.1847379200778089E-2</v>
      </c>
      <c r="AV49" s="528">
        <f t="shared" si="50"/>
        <v>2.1763477471390791E-2</v>
      </c>
      <c r="AW49" s="528">
        <f t="shared" si="50"/>
        <v>2.1670086196293389E-2</v>
      </c>
      <c r="AX49" s="528">
        <f t="shared" si="50"/>
        <v>2.1567330448507768E-2</v>
      </c>
      <c r="AY49" s="528">
        <f t="shared" si="50"/>
        <v>2.1455347421365546E-2</v>
      </c>
      <c r="AZ49" s="528">
        <f t="shared" si="50"/>
        <v>2.1334286123299562E-2</v>
      </c>
      <c r="BA49" s="528">
        <f t="shared" si="50"/>
        <v>2.1204307047488907E-2</v>
      </c>
      <c r="BB49" s="528">
        <f t="shared" si="50"/>
        <v>2.1065581817377853E-2</v>
      </c>
      <c r="BC49" s="528">
        <f t="shared" si="50"/>
        <v>2.0918292809170368E-2</v>
      </c>
      <c r="BD49" s="528">
        <f t="shared" si="50"/>
        <v>2.0762632752453304E-2</v>
      </c>
      <c r="BE49" s="528">
        <f t="shared" si="50"/>
        <v>2.0598804310181924E-2</v>
      </c>
      <c r="BF49" s="528">
        <f t="shared" si="50"/>
        <v>2.0427019639300548E-2</v>
      </c>
      <c r="BG49" s="528">
        <f t="shared" si="50"/>
        <v>2.0247499933334918E-2</v>
      </c>
      <c r="BH49" s="528">
        <f t="shared" si="50"/>
        <v>2.0060474948333476E-2</v>
      </c>
      <c r="BI49" s="528">
        <f t="shared" si="50"/>
        <v>1.9866182513577899E-2</v>
      </c>
      <c r="BJ49" s="528">
        <f t="shared" si="50"/>
        <v>1.9664868028522745E-2</v>
      </c>
      <c r="BK49" s="528" t="str">
        <f t="shared" si="50"/>
        <v/>
      </c>
      <c r="BL49" s="528" t="str">
        <f t="shared" si="50"/>
        <v/>
      </c>
      <c r="BM49" s="528" t="str">
        <f t="shared" si="50"/>
        <v/>
      </c>
    </row>
    <row r="50" spans="6:65" ht="15.75" customHeight="1" x14ac:dyDescent="0.25">
      <c r="F50" s="197"/>
      <c r="G50" s="197">
        <f t="shared" si="3"/>
        <v>0</v>
      </c>
      <c r="H50" s="197">
        <f t="shared" si="4"/>
        <v>481</v>
      </c>
      <c r="I50" s="523">
        <v>1</v>
      </c>
      <c r="J50" s="533">
        <f>'Monthly DCF'!$I$3</f>
        <v>46418</v>
      </c>
      <c r="K50" s="533">
        <f t="shared" si="5"/>
        <v>47848</v>
      </c>
      <c r="L50" s="536">
        <f t="shared" si="8"/>
        <v>48</v>
      </c>
      <c r="M50" s="20" t="s">
        <v>366</v>
      </c>
      <c r="N50" s="20">
        <f t="shared" si="6"/>
        <v>48</v>
      </c>
      <c r="O50" s="537">
        <v>1</v>
      </c>
      <c r="P50" s="528">
        <f t="shared" ref="P50:BM50" si="51">IFERROR(+IF(AND($M50="Flat",P$5&gt;=$J50,P$5&lt;=$K50),$I50/$L50,0)+IF(AND($M50="S-Curve",P$5&gt;=$J50,P$5&lt;=$K50),(_xlfn.NORM.DIST((YEAR(P$5)-YEAR($J50))*12+MONTH(P$5)-MONTH($J50)+1,$L50/2,$N50,TRUE)-_xlfn.NORM.DIST((YEAR(P$5)-YEAR($J50))*12+MONTH(P$5)-MONTH($J50),$L50/2,$N50,TRUE))/(1-2*_xlfn.NORM.DIST(0,$L50/2,$N50,TRUE))*$I50," "),"")</f>
        <v>1.9253106006493156E-2</v>
      </c>
      <c r="Q50" s="528">
        <f t="shared" si="51"/>
        <v>1.9446258305853326E-2</v>
      </c>
      <c r="R50" s="528">
        <f t="shared" si="51"/>
        <v>1.9632825627813003E-2</v>
      </c>
      <c r="S50" s="528">
        <f t="shared" si="51"/>
        <v>1.9812582109640309E-2</v>
      </c>
      <c r="T50" s="528">
        <f t="shared" si="51"/>
        <v>1.998530867859134E-2</v>
      </c>
      <c r="U50" s="528">
        <f t="shared" si="51"/>
        <v>2.0150793496003797E-2</v>
      </c>
      <c r="V50" s="528">
        <f t="shared" si="51"/>
        <v>2.0308832389598085E-2</v>
      </c>
      <c r="W50" s="528">
        <f t="shared" si="51"/>
        <v>2.0459229272749131E-2</v>
      </c>
      <c r="X50" s="528">
        <f t="shared" si="51"/>
        <v>2.0601796549530784E-2</v>
      </c>
      <c r="Y50" s="528">
        <f t="shared" si="51"/>
        <v>2.0736355504356999E-2</v>
      </c>
      <c r="Z50" s="528">
        <f t="shared" si="51"/>
        <v>2.0862736675091063E-2</v>
      </c>
      <c r="AA50" s="528">
        <f t="shared" si="51"/>
        <v>2.0980780208534052E-2</v>
      </c>
      <c r="AB50" s="528">
        <f t="shared" si="51"/>
        <v>2.1090336197245711E-2</v>
      </c>
      <c r="AC50" s="528">
        <f t="shared" si="51"/>
        <v>2.1191264996707902E-2</v>
      </c>
      <c r="AD50" s="528">
        <f t="shared" si="51"/>
        <v>2.1283437521889405E-2</v>
      </c>
      <c r="AE50" s="528">
        <f t="shared" si="51"/>
        <v>2.1366735522333109E-2</v>
      </c>
      <c r="AF50" s="528">
        <f t="shared" si="51"/>
        <v>2.1441051834940557E-2</v>
      </c>
      <c r="AG50" s="528">
        <f t="shared" si="51"/>
        <v>2.1506290613703901E-2</v>
      </c>
      <c r="AH50" s="528">
        <f t="shared" si="51"/>
        <v>2.1562367535690304E-2</v>
      </c>
      <c r="AI50" s="528">
        <f t="shared" si="51"/>
        <v>2.1609209982660613E-2</v>
      </c>
      <c r="AJ50" s="528">
        <f t="shared" si="51"/>
        <v>2.1646757197777915E-2</v>
      </c>
      <c r="AK50" s="528">
        <f t="shared" si="51"/>
        <v>2.1674960416928454E-2</v>
      </c>
      <c r="AL50" s="528">
        <f t="shared" si="51"/>
        <v>2.1693782974258141E-2</v>
      </c>
      <c r="AM50" s="528">
        <f t="shared" si="51"/>
        <v>2.1703200381608938E-2</v>
      </c>
      <c r="AN50" s="528">
        <f t="shared" si="51"/>
        <v>2.1703200381608938E-2</v>
      </c>
      <c r="AO50" s="528">
        <f t="shared" si="51"/>
        <v>2.1693782974258141E-2</v>
      </c>
      <c r="AP50" s="528">
        <f t="shared" si="51"/>
        <v>2.1674960416928308E-2</v>
      </c>
      <c r="AQ50" s="528">
        <f t="shared" si="51"/>
        <v>2.1646757197777915E-2</v>
      </c>
      <c r="AR50" s="528">
        <f t="shared" si="51"/>
        <v>2.1609209982660905E-2</v>
      </c>
      <c r="AS50" s="528">
        <f t="shared" si="51"/>
        <v>2.1562367535690158E-2</v>
      </c>
      <c r="AT50" s="528">
        <f t="shared" si="51"/>
        <v>2.1506290613703901E-2</v>
      </c>
      <c r="AU50" s="528">
        <f t="shared" si="51"/>
        <v>2.1441051834940557E-2</v>
      </c>
      <c r="AV50" s="528">
        <f t="shared" si="51"/>
        <v>2.1366735522332963E-2</v>
      </c>
      <c r="AW50" s="528">
        <f t="shared" si="51"/>
        <v>2.1283437521889551E-2</v>
      </c>
      <c r="AX50" s="528">
        <f t="shared" si="51"/>
        <v>2.1191264996707902E-2</v>
      </c>
      <c r="AY50" s="528">
        <f t="shared" si="51"/>
        <v>2.1090336197245711E-2</v>
      </c>
      <c r="AZ50" s="528">
        <f t="shared" si="51"/>
        <v>2.0980780208534052E-2</v>
      </c>
      <c r="BA50" s="528">
        <f t="shared" si="51"/>
        <v>2.0862736675091063E-2</v>
      </c>
      <c r="BB50" s="528">
        <f t="shared" si="51"/>
        <v>2.0736355504356856E-2</v>
      </c>
      <c r="BC50" s="528">
        <f t="shared" si="51"/>
        <v>2.0601796549531076E-2</v>
      </c>
      <c r="BD50" s="528">
        <f t="shared" si="51"/>
        <v>2.0459229272748986E-2</v>
      </c>
      <c r="BE50" s="528">
        <f t="shared" si="51"/>
        <v>2.0308832389598085E-2</v>
      </c>
      <c r="BF50" s="528">
        <f t="shared" si="51"/>
        <v>2.0150793496003652E-2</v>
      </c>
      <c r="BG50" s="528">
        <f t="shared" si="51"/>
        <v>1.998530867859134E-2</v>
      </c>
      <c r="BH50" s="528">
        <f t="shared" si="51"/>
        <v>1.9812582109640455E-2</v>
      </c>
      <c r="BI50" s="528">
        <f t="shared" si="51"/>
        <v>1.9632825627813148E-2</v>
      </c>
      <c r="BJ50" s="528">
        <f t="shared" si="51"/>
        <v>1.9446258305853184E-2</v>
      </c>
      <c r="BK50" s="528">
        <f t="shared" si="51"/>
        <v>1.9253106006493156E-2</v>
      </c>
      <c r="BL50" s="528" t="str">
        <f t="shared" si="51"/>
        <v/>
      </c>
      <c r="BM50" s="528" t="str">
        <f t="shared" si="51"/>
        <v/>
      </c>
    </row>
    <row r="51" spans="6:65" ht="15.75" customHeight="1" x14ac:dyDescent="0.25">
      <c r="F51" s="197"/>
      <c r="G51" s="197">
        <f t="shared" si="3"/>
        <v>0</v>
      </c>
      <c r="H51" s="197">
        <f t="shared" si="4"/>
        <v>491</v>
      </c>
      <c r="I51" s="523">
        <v>1</v>
      </c>
      <c r="J51" s="533">
        <f>'Monthly DCF'!$I$3</f>
        <v>46418</v>
      </c>
      <c r="K51" s="533">
        <f t="shared" si="5"/>
        <v>47879</v>
      </c>
      <c r="L51" s="536">
        <f t="shared" si="8"/>
        <v>49</v>
      </c>
      <c r="M51" s="20" t="s">
        <v>366</v>
      </c>
      <c r="N51" s="20">
        <f t="shared" si="6"/>
        <v>49</v>
      </c>
      <c r="O51" s="537">
        <v>1</v>
      </c>
      <c r="P51" s="528">
        <f t="shared" ref="P51:BM51" si="52">IFERROR(+IF(AND($M51="Flat",P$5&gt;=$J51,P$5&lt;=$K51),$I51/$L51,0)+IF(AND($M51="S-Curve",P$5&gt;=$J51,P$5&lt;=$K51),(_xlfn.NORM.DIST((YEAR(P$5)-YEAR($J51))*12+MONTH(P$5)-MONTH($J51)+1,$L51/2,$N51,TRUE)-_xlfn.NORM.DIST((YEAR(P$5)-YEAR($J51))*12+MONTH(P$5)-MONTH($J51),$L51/2,$N51,TRUE))/(1-2*_xlfn.NORM.DIST(0,$L51/2,$N51,TRUE))*$I51," "),"")</f>
        <v>1.8858232763275119E-2</v>
      </c>
      <c r="Q51" s="528">
        <f t="shared" si="52"/>
        <v>1.9043709150555962E-2</v>
      </c>
      <c r="R51" s="528">
        <f t="shared" si="52"/>
        <v>1.9223002116058541E-2</v>
      </c>
      <c r="S51" s="528">
        <f t="shared" si="52"/>
        <v>1.9395903428850916E-2</v>
      </c>
      <c r="T51" s="528">
        <f t="shared" si="52"/>
        <v>1.956221096221674E-2</v>
      </c>
      <c r="U51" s="528">
        <f t="shared" si="52"/>
        <v>1.9721729086686762E-2</v>
      </c>
      <c r="V51" s="528">
        <f t="shared" si="52"/>
        <v>1.987426905293356E-2</v>
      </c>
      <c r="W51" s="528">
        <f t="shared" si="52"/>
        <v>2.0019649363490707E-2</v>
      </c>
      <c r="X51" s="528">
        <f t="shared" si="52"/>
        <v>2.0157696132265607E-2</v>
      </c>
      <c r="Y51" s="528">
        <f t="shared" si="52"/>
        <v>2.0288243430857129E-2</v>
      </c>
      <c r="Z51" s="528">
        <f t="shared" si="52"/>
        <v>2.0411133620708108E-2</v>
      </c>
      <c r="AA51" s="528">
        <f t="shared" si="52"/>
        <v>2.0526217670164021E-2</v>
      </c>
      <c r="AB51" s="528">
        <f t="shared" si="52"/>
        <v>2.0633355455548383E-2</v>
      </c>
      <c r="AC51" s="528">
        <f t="shared" si="52"/>
        <v>2.0732416045398605E-2</v>
      </c>
      <c r="AD51" s="528">
        <f t="shared" si="52"/>
        <v>2.0823277967060481E-2</v>
      </c>
      <c r="AE51" s="528">
        <f t="shared" si="52"/>
        <v>2.0905829454877334E-2</v>
      </c>
      <c r="AF51" s="528">
        <f t="shared" si="52"/>
        <v>2.0979968679269875E-2</v>
      </c>
      <c r="AG51" s="528">
        <f t="shared" si="52"/>
        <v>2.1045603956040798E-2</v>
      </c>
      <c r="AH51" s="528">
        <f t="shared" si="52"/>
        <v>2.1102653935311178E-2</v>
      </c>
      <c r="AI51" s="528">
        <f t="shared" si="52"/>
        <v>2.11510477695377E-2</v>
      </c>
      <c r="AJ51" s="528">
        <f t="shared" si="52"/>
        <v>2.1190725260126927E-2</v>
      </c>
      <c r="AK51" s="528">
        <f t="shared" si="52"/>
        <v>2.1221636982222583E-2</v>
      </c>
      <c r="AL51" s="528">
        <f t="shared" si="52"/>
        <v>2.1243744387301446E-2</v>
      </c>
      <c r="AM51" s="528">
        <f t="shared" si="52"/>
        <v>2.1257019883282938E-2</v>
      </c>
      <c r="AN51" s="528">
        <f t="shared" si="52"/>
        <v>2.1261446891917161E-2</v>
      </c>
      <c r="AO51" s="528">
        <f t="shared" si="52"/>
        <v>2.1257019883282938E-2</v>
      </c>
      <c r="AP51" s="528">
        <f t="shared" si="52"/>
        <v>2.1243744387301592E-2</v>
      </c>
      <c r="AQ51" s="528">
        <f t="shared" si="52"/>
        <v>2.1221636982222437E-2</v>
      </c>
      <c r="AR51" s="528">
        <f t="shared" si="52"/>
        <v>2.1190725260126927E-2</v>
      </c>
      <c r="AS51" s="528">
        <f t="shared" si="52"/>
        <v>2.11510477695377E-2</v>
      </c>
      <c r="AT51" s="528">
        <f t="shared" si="52"/>
        <v>2.1102653935311178E-2</v>
      </c>
      <c r="AU51" s="528">
        <f t="shared" si="52"/>
        <v>2.1045603956040652E-2</v>
      </c>
      <c r="AV51" s="528">
        <f t="shared" si="52"/>
        <v>2.097996867927002E-2</v>
      </c>
      <c r="AW51" s="528">
        <f t="shared" si="52"/>
        <v>2.0905829454877334E-2</v>
      </c>
      <c r="AX51" s="528">
        <f t="shared" si="52"/>
        <v>2.0823277967060481E-2</v>
      </c>
      <c r="AY51" s="528">
        <f t="shared" si="52"/>
        <v>2.0732416045398463E-2</v>
      </c>
      <c r="AZ51" s="528">
        <f t="shared" si="52"/>
        <v>2.0633355455548674E-2</v>
      </c>
      <c r="BA51" s="528">
        <f t="shared" si="52"/>
        <v>2.0526217670163875E-2</v>
      </c>
      <c r="BB51" s="528">
        <f t="shared" si="52"/>
        <v>2.0411133620708108E-2</v>
      </c>
      <c r="BC51" s="528">
        <f t="shared" si="52"/>
        <v>2.0288243430856983E-2</v>
      </c>
      <c r="BD51" s="528">
        <f t="shared" si="52"/>
        <v>2.0157696132265753E-2</v>
      </c>
      <c r="BE51" s="528">
        <f t="shared" si="52"/>
        <v>2.0019649363490852E-2</v>
      </c>
      <c r="BF51" s="528">
        <f t="shared" si="52"/>
        <v>1.9874269052933272E-2</v>
      </c>
      <c r="BG51" s="528">
        <f t="shared" si="52"/>
        <v>1.9721729086686905E-2</v>
      </c>
      <c r="BH51" s="528">
        <f t="shared" si="52"/>
        <v>1.956221096221674E-2</v>
      </c>
      <c r="BI51" s="528">
        <f t="shared" si="52"/>
        <v>1.9395903428850916E-2</v>
      </c>
      <c r="BJ51" s="528">
        <f t="shared" si="52"/>
        <v>1.9223002116058541E-2</v>
      </c>
      <c r="BK51" s="528">
        <f t="shared" si="52"/>
        <v>1.9043709150555817E-2</v>
      </c>
      <c r="BL51" s="528">
        <f t="shared" si="52"/>
        <v>1.8858232763275265E-2</v>
      </c>
      <c r="BM51" s="528" t="str">
        <f t="shared" si="52"/>
        <v/>
      </c>
    </row>
    <row r="52" spans="6:65" ht="15.75" customHeight="1" x14ac:dyDescent="0.25">
      <c r="F52" s="197"/>
      <c r="G52" s="197">
        <f t="shared" si="3"/>
        <v>0</v>
      </c>
      <c r="H52" s="197">
        <f t="shared" si="4"/>
        <v>501</v>
      </c>
      <c r="I52" s="523">
        <v>1</v>
      </c>
      <c r="J52" s="533">
        <f>'Monthly DCF'!$I$3</f>
        <v>46418</v>
      </c>
      <c r="K52" s="533">
        <f t="shared" si="5"/>
        <v>47907</v>
      </c>
      <c r="L52" s="536">
        <f t="shared" si="8"/>
        <v>50</v>
      </c>
      <c r="M52" s="20" t="s">
        <v>366</v>
      </c>
      <c r="N52" s="20">
        <f t="shared" si="6"/>
        <v>50</v>
      </c>
      <c r="O52" s="537">
        <v>1</v>
      </c>
      <c r="P52" s="528">
        <f t="shared" ref="P52:BM52" si="53">IFERROR(+IF(AND($M52="Flat",P$5&gt;=$J52,P$5&lt;=$K52),$I52/$L52,0)+IF(AND($M52="S-Curve",P$5&gt;=$J52,P$5&lt;=$K52),(_xlfn.NORM.DIST((YEAR(P$5)-YEAR($J52))*12+MONTH(P$5)-MONTH($J52)+1,$L52/2,$N52,TRUE)-_xlfn.NORM.DIST((YEAR(P$5)-YEAR($J52))*12+MONTH(P$5)-MONTH($J52),$L52/2,$N52,TRUE))/(1-2*_xlfn.NORM.DIST(0,$L52/2,$N52,TRUE))*$I52," "),"")</f>
        <v>1.8479230192566518E-2</v>
      </c>
      <c r="Q52" s="528">
        <f t="shared" si="53"/>
        <v>1.8657479086462744E-2</v>
      </c>
      <c r="R52" s="528">
        <f t="shared" si="53"/>
        <v>1.8829914131122071E-2</v>
      </c>
      <c r="S52" s="528">
        <f t="shared" si="53"/>
        <v>1.899634304096141E-2</v>
      </c>
      <c r="T52" s="528">
        <f t="shared" si="53"/>
        <v>1.915657903020461E-2</v>
      </c>
      <c r="U52" s="528">
        <f t="shared" si="53"/>
        <v>1.9310441161567479E-2</v>
      </c>
      <c r="V52" s="528">
        <f t="shared" si="53"/>
        <v>1.9457754686199809E-2</v>
      </c>
      <c r="W52" s="528">
        <f t="shared" si="53"/>
        <v>1.9598351374013626E-2</v>
      </c>
      <c r="X52" s="528">
        <f t="shared" si="53"/>
        <v>1.9732069833507233E-2</v>
      </c>
      <c r="Y52" s="528">
        <f t="shared" si="53"/>
        <v>1.9858755820244756E-2</v>
      </c>
      <c r="Z52" s="528">
        <f t="shared" si="53"/>
        <v>1.9978262533162608E-2</v>
      </c>
      <c r="AA52" s="528">
        <f t="shared" si="53"/>
        <v>2.0090450897909017E-2</v>
      </c>
      <c r="AB52" s="528">
        <f t="shared" si="53"/>
        <v>2.0195189836448295E-2</v>
      </c>
      <c r="AC52" s="528">
        <f t="shared" si="53"/>
        <v>2.0292356522202272E-2</v>
      </c>
      <c r="AD52" s="528">
        <f t="shared" si="53"/>
        <v>2.0381836620030177E-2</v>
      </c>
      <c r="AE52" s="528">
        <f t="shared" si="53"/>
        <v>2.0463524510394113E-2</v>
      </c>
      <c r="AF52" s="528">
        <f t="shared" si="53"/>
        <v>2.0537323497092523E-2</v>
      </c>
      <c r="AG52" s="528">
        <f t="shared" si="53"/>
        <v>2.0603145997990999E-2</v>
      </c>
      <c r="AH52" s="528">
        <f t="shared" si="53"/>
        <v>2.0660913718224472E-2</v>
      </c>
      <c r="AI52" s="528">
        <f t="shared" si="53"/>
        <v>2.0710557805388732E-2</v>
      </c>
      <c r="AJ52" s="528">
        <f t="shared" si="53"/>
        <v>2.0752018986293485E-2</v>
      </c>
      <c r="AK52" s="528">
        <f t="shared" si="53"/>
        <v>2.0785247684896535E-2</v>
      </c>
      <c r="AL52" s="528">
        <f t="shared" si="53"/>
        <v>2.0810204121087639E-2</v>
      </c>
      <c r="AM52" s="528">
        <f t="shared" si="53"/>
        <v>2.082685839005035E-2</v>
      </c>
      <c r="AN52" s="528">
        <f t="shared" si="53"/>
        <v>2.0835190521978526E-2</v>
      </c>
      <c r="AO52" s="528">
        <f t="shared" si="53"/>
        <v>2.0835190521978669E-2</v>
      </c>
      <c r="AP52" s="528">
        <f t="shared" si="53"/>
        <v>2.0826858390050062E-2</v>
      </c>
      <c r="AQ52" s="528">
        <f t="shared" si="53"/>
        <v>2.0810204121087784E-2</v>
      </c>
      <c r="AR52" s="528">
        <f t="shared" si="53"/>
        <v>2.0785247684896681E-2</v>
      </c>
      <c r="AS52" s="528">
        <f t="shared" si="53"/>
        <v>2.0752018986293339E-2</v>
      </c>
      <c r="AT52" s="528">
        <f t="shared" si="53"/>
        <v>2.0710557805388732E-2</v>
      </c>
      <c r="AU52" s="528">
        <f t="shared" si="53"/>
        <v>2.0660913718224472E-2</v>
      </c>
      <c r="AV52" s="528">
        <f t="shared" si="53"/>
        <v>2.0603145997991144E-2</v>
      </c>
      <c r="AW52" s="528">
        <f t="shared" si="53"/>
        <v>2.0537323497092523E-2</v>
      </c>
      <c r="AX52" s="528">
        <f t="shared" si="53"/>
        <v>2.0463524510393821E-2</v>
      </c>
      <c r="AY52" s="528">
        <f t="shared" si="53"/>
        <v>2.0381836620030465E-2</v>
      </c>
      <c r="AZ52" s="528">
        <f t="shared" si="53"/>
        <v>2.0292356522201984E-2</v>
      </c>
      <c r="BA52" s="528">
        <f t="shared" si="53"/>
        <v>2.0195189836448441E-2</v>
      </c>
      <c r="BB52" s="528">
        <f t="shared" si="53"/>
        <v>2.0090450897909017E-2</v>
      </c>
      <c r="BC52" s="528">
        <f t="shared" si="53"/>
        <v>1.9978262533162608E-2</v>
      </c>
      <c r="BD52" s="528">
        <f t="shared" si="53"/>
        <v>1.9858755820244756E-2</v>
      </c>
      <c r="BE52" s="528">
        <f t="shared" si="53"/>
        <v>1.9732069833507233E-2</v>
      </c>
      <c r="BF52" s="528">
        <f t="shared" si="53"/>
        <v>1.9598351374013771E-2</v>
      </c>
      <c r="BG52" s="528">
        <f t="shared" si="53"/>
        <v>1.9457754686199664E-2</v>
      </c>
      <c r="BH52" s="528">
        <f t="shared" si="53"/>
        <v>1.9310441161567625E-2</v>
      </c>
      <c r="BI52" s="528">
        <f t="shared" si="53"/>
        <v>1.9156579030204464E-2</v>
      </c>
      <c r="BJ52" s="528">
        <f t="shared" si="53"/>
        <v>1.899634304096141E-2</v>
      </c>
      <c r="BK52" s="528">
        <f t="shared" si="53"/>
        <v>1.8829914131122071E-2</v>
      </c>
      <c r="BL52" s="528">
        <f t="shared" si="53"/>
        <v>1.8657479086462599E-2</v>
      </c>
      <c r="BM52" s="528">
        <f t="shared" si="53"/>
        <v>1.8479230192566663E-2</v>
      </c>
    </row>
    <row r="53" spans="6:65" ht="15.75" customHeight="1" x14ac:dyDescent="0.25">
      <c r="F53" s="197"/>
      <c r="G53" s="197">
        <f t="shared" si="3"/>
        <v>0</v>
      </c>
      <c r="H53" s="197">
        <f t="shared" si="4"/>
        <v>52</v>
      </c>
      <c r="I53" s="523">
        <v>1</v>
      </c>
      <c r="J53" s="533">
        <f>'Monthly DCF'!$I$3</f>
        <v>46418</v>
      </c>
      <c r="K53" s="533">
        <f t="shared" si="5"/>
        <v>46538</v>
      </c>
      <c r="L53" s="536">
        <v>5</v>
      </c>
      <c r="M53" s="20" t="s">
        <v>366</v>
      </c>
      <c r="N53" s="20">
        <f t="shared" si="6"/>
        <v>2.5</v>
      </c>
      <c r="O53" s="537">
        <v>2</v>
      </c>
      <c r="P53" s="528">
        <f t="shared" ref="P53:BM53" si="54">IFERROR(+IF(AND($M53="Flat",P$5&gt;=$J53,P$5&lt;=$K53),$I53/$L53,0)+IF(AND($M53="S-Curve",P$5&gt;=$J53,P$5&lt;=$K53),(_xlfn.NORM.DIST((YEAR(P$5)-YEAR($J53))*12+MONTH(P$5)-MONTH($J53)+1,$L53/2,$N53,TRUE)-_xlfn.NORM.DIST((YEAR(P$5)-YEAR($J53))*12+MONTH(P$5)-MONTH($J53),$L53/2,$N53,TRUE))/(1-2*_xlfn.NORM.DIST(0,$L53/2,$N53,TRUE))*$I53," "),"")</f>
        <v>0.16932714674829677</v>
      </c>
      <c r="Q53" s="528">
        <f t="shared" si="54"/>
        <v>0.21457364511684668</v>
      </c>
      <c r="R53" s="528">
        <f t="shared" si="54"/>
        <v>0.23219841626971294</v>
      </c>
      <c r="S53" s="528">
        <f t="shared" si="54"/>
        <v>0.21457364511684676</v>
      </c>
      <c r="T53" s="528">
        <f t="shared" si="54"/>
        <v>0.1693271467482968</v>
      </c>
      <c r="U53" s="528" t="str">
        <f t="shared" si="54"/>
        <v/>
      </c>
      <c r="V53" s="528" t="str">
        <f t="shared" si="54"/>
        <v/>
      </c>
      <c r="W53" s="528" t="str">
        <f t="shared" si="54"/>
        <v/>
      </c>
      <c r="X53" s="528" t="str">
        <f t="shared" si="54"/>
        <v/>
      </c>
      <c r="Y53" s="528" t="str">
        <f t="shared" si="54"/>
        <v/>
      </c>
      <c r="Z53" s="528" t="str">
        <f t="shared" si="54"/>
        <v/>
      </c>
      <c r="AA53" s="528" t="str">
        <f t="shared" si="54"/>
        <v/>
      </c>
      <c r="AB53" s="528" t="str">
        <f t="shared" si="54"/>
        <v/>
      </c>
      <c r="AC53" s="528" t="str">
        <f t="shared" si="54"/>
        <v/>
      </c>
      <c r="AD53" s="528" t="str">
        <f t="shared" si="54"/>
        <v/>
      </c>
      <c r="AE53" s="528" t="str">
        <f t="shared" si="54"/>
        <v/>
      </c>
      <c r="AF53" s="528" t="str">
        <f t="shared" si="54"/>
        <v/>
      </c>
      <c r="AG53" s="528" t="str">
        <f t="shared" si="54"/>
        <v/>
      </c>
      <c r="AH53" s="528" t="str">
        <f t="shared" si="54"/>
        <v/>
      </c>
      <c r="AI53" s="528" t="str">
        <f t="shared" si="54"/>
        <v/>
      </c>
      <c r="AJ53" s="528" t="str">
        <f t="shared" si="54"/>
        <v/>
      </c>
      <c r="AK53" s="528" t="str">
        <f t="shared" si="54"/>
        <v/>
      </c>
      <c r="AL53" s="528" t="str">
        <f t="shared" si="54"/>
        <v/>
      </c>
      <c r="AM53" s="528" t="str">
        <f t="shared" si="54"/>
        <v/>
      </c>
      <c r="AN53" s="528" t="str">
        <f t="shared" si="54"/>
        <v/>
      </c>
      <c r="AO53" s="528" t="str">
        <f t="shared" si="54"/>
        <v/>
      </c>
      <c r="AP53" s="528" t="str">
        <f t="shared" si="54"/>
        <v/>
      </c>
      <c r="AQ53" s="528" t="str">
        <f t="shared" si="54"/>
        <v/>
      </c>
      <c r="AR53" s="528" t="str">
        <f t="shared" si="54"/>
        <v/>
      </c>
      <c r="AS53" s="528" t="str">
        <f t="shared" si="54"/>
        <v/>
      </c>
      <c r="AT53" s="528" t="str">
        <f t="shared" si="54"/>
        <v/>
      </c>
      <c r="AU53" s="528" t="str">
        <f t="shared" si="54"/>
        <v/>
      </c>
      <c r="AV53" s="528" t="str">
        <f t="shared" si="54"/>
        <v/>
      </c>
      <c r="AW53" s="528" t="str">
        <f t="shared" si="54"/>
        <v/>
      </c>
      <c r="AX53" s="528" t="str">
        <f t="shared" si="54"/>
        <v/>
      </c>
      <c r="AY53" s="528" t="str">
        <f t="shared" si="54"/>
        <v/>
      </c>
      <c r="AZ53" s="528" t="str">
        <f t="shared" si="54"/>
        <v/>
      </c>
      <c r="BA53" s="528" t="str">
        <f t="shared" si="54"/>
        <v/>
      </c>
      <c r="BB53" s="528" t="str">
        <f t="shared" si="54"/>
        <v/>
      </c>
      <c r="BC53" s="528" t="str">
        <f t="shared" si="54"/>
        <v/>
      </c>
      <c r="BD53" s="528" t="str">
        <f t="shared" si="54"/>
        <v/>
      </c>
      <c r="BE53" s="528" t="str">
        <f t="shared" si="54"/>
        <v/>
      </c>
      <c r="BF53" s="528" t="str">
        <f t="shared" si="54"/>
        <v/>
      </c>
      <c r="BG53" s="528" t="str">
        <f t="shared" si="54"/>
        <v/>
      </c>
      <c r="BH53" s="528" t="str">
        <f t="shared" si="54"/>
        <v/>
      </c>
      <c r="BI53" s="528" t="str">
        <f t="shared" si="54"/>
        <v/>
      </c>
      <c r="BJ53" s="528" t="str">
        <f t="shared" si="54"/>
        <v/>
      </c>
      <c r="BK53" s="528" t="str">
        <f t="shared" si="54"/>
        <v/>
      </c>
      <c r="BL53" s="528" t="str">
        <f t="shared" si="54"/>
        <v/>
      </c>
      <c r="BM53" s="528" t="str">
        <f t="shared" si="54"/>
        <v/>
      </c>
    </row>
    <row r="54" spans="6:65" ht="15.75" customHeight="1" x14ac:dyDescent="0.25">
      <c r="F54" s="197"/>
      <c r="G54" s="197">
        <f t="shared" si="3"/>
        <v>0</v>
      </c>
      <c r="H54" s="197">
        <f t="shared" si="4"/>
        <v>62</v>
      </c>
      <c r="I54" s="523">
        <v>1</v>
      </c>
      <c r="J54" s="533">
        <f>'Monthly DCF'!$I$3</f>
        <v>46418</v>
      </c>
      <c r="K54" s="533">
        <f t="shared" si="5"/>
        <v>46568</v>
      </c>
      <c r="L54" s="536">
        <f t="shared" ref="L54:L98" si="55">L53+1</f>
        <v>6</v>
      </c>
      <c r="M54" s="20" t="s">
        <v>366</v>
      </c>
      <c r="N54" s="20">
        <f t="shared" si="6"/>
        <v>3</v>
      </c>
      <c r="O54" s="537">
        <v>2</v>
      </c>
      <c r="P54" s="528">
        <f t="shared" ref="P54:BM54" si="56">IFERROR(+IF(AND($M54="Flat",P$5&gt;=$J54,P$5&lt;=$K54),$I54/$L54,0)+IF(AND($M54="S-Curve",P$5&gt;=$J54,P$5&lt;=$K54),(_xlfn.NORM.DIST((YEAR(P$5)-YEAR($J54))*12+MONTH(P$5)-MONTH($J54)+1,$L54/2,$N54,TRUE)-_xlfn.NORM.DIST((YEAR(P$5)-YEAR($J54))*12+MONTH(P$5)-MONTH($J54),$L54/2,$N54,TRUE))/(1-2*_xlfn.NORM.DIST(0,$L54/2,$N54,TRUE))*$I54," "),"")</f>
        <v>0.13745236259857815</v>
      </c>
      <c r="Q54" s="528">
        <f t="shared" si="56"/>
        <v>0.17130599486560874</v>
      </c>
      <c r="R54" s="528">
        <f t="shared" si="56"/>
        <v>0.19124164253581308</v>
      </c>
      <c r="S54" s="528">
        <f t="shared" si="56"/>
        <v>0.19124164253581316</v>
      </c>
      <c r="T54" s="528">
        <f t="shared" si="56"/>
        <v>0.17130599486560866</v>
      </c>
      <c r="U54" s="528">
        <f t="shared" si="56"/>
        <v>0.13745236259857818</v>
      </c>
      <c r="V54" s="528" t="str">
        <f t="shared" si="56"/>
        <v/>
      </c>
      <c r="W54" s="528" t="str">
        <f t="shared" si="56"/>
        <v/>
      </c>
      <c r="X54" s="528" t="str">
        <f t="shared" si="56"/>
        <v/>
      </c>
      <c r="Y54" s="528" t="str">
        <f t="shared" si="56"/>
        <v/>
      </c>
      <c r="Z54" s="528" t="str">
        <f t="shared" si="56"/>
        <v/>
      </c>
      <c r="AA54" s="528" t="str">
        <f t="shared" si="56"/>
        <v/>
      </c>
      <c r="AB54" s="528" t="str">
        <f t="shared" si="56"/>
        <v/>
      </c>
      <c r="AC54" s="528" t="str">
        <f t="shared" si="56"/>
        <v/>
      </c>
      <c r="AD54" s="528" t="str">
        <f t="shared" si="56"/>
        <v/>
      </c>
      <c r="AE54" s="528" t="str">
        <f t="shared" si="56"/>
        <v/>
      </c>
      <c r="AF54" s="528" t="str">
        <f t="shared" si="56"/>
        <v/>
      </c>
      <c r="AG54" s="528" t="str">
        <f t="shared" si="56"/>
        <v/>
      </c>
      <c r="AH54" s="528" t="str">
        <f t="shared" si="56"/>
        <v/>
      </c>
      <c r="AI54" s="528" t="str">
        <f t="shared" si="56"/>
        <v/>
      </c>
      <c r="AJ54" s="528" t="str">
        <f t="shared" si="56"/>
        <v/>
      </c>
      <c r="AK54" s="528" t="str">
        <f t="shared" si="56"/>
        <v/>
      </c>
      <c r="AL54" s="528" t="str">
        <f t="shared" si="56"/>
        <v/>
      </c>
      <c r="AM54" s="528" t="str">
        <f t="shared" si="56"/>
        <v/>
      </c>
      <c r="AN54" s="528" t="str">
        <f t="shared" si="56"/>
        <v/>
      </c>
      <c r="AO54" s="528" t="str">
        <f t="shared" si="56"/>
        <v/>
      </c>
      <c r="AP54" s="528" t="str">
        <f t="shared" si="56"/>
        <v/>
      </c>
      <c r="AQ54" s="528" t="str">
        <f t="shared" si="56"/>
        <v/>
      </c>
      <c r="AR54" s="528" t="str">
        <f t="shared" si="56"/>
        <v/>
      </c>
      <c r="AS54" s="528" t="str">
        <f t="shared" si="56"/>
        <v/>
      </c>
      <c r="AT54" s="528" t="str">
        <f t="shared" si="56"/>
        <v/>
      </c>
      <c r="AU54" s="528" t="str">
        <f t="shared" si="56"/>
        <v/>
      </c>
      <c r="AV54" s="528" t="str">
        <f t="shared" si="56"/>
        <v/>
      </c>
      <c r="AW54" s="528" t="str">
        <f t="shared" si="56"/>
        <v/>
      </c>
      <c r="AX54" s="528" t="str">
        <f t="shared" si="56"/>
        <v/>
      </c>
      <c r="AY54" s="528" t="str">
        <f t="shared" si="56"/>
        <v/>
      </c>
      <c r="AZ54" s="528" t="str">
        <f t="shared" si="56"/>
        <v/>
      </c>
      <c r="BA54" s="528" t="str">
        <f t="shared" si="56"/>
        <v/>
      </c>
      <c r="BB54" s="528" t="str">
        <f t="shared" si="56"/>
        <v/>
      </c>
      <c r="BC54" s="528" t="str">
        <f t="shared" si="56"/>
        <v/>
      </c>
      <c r="BD54" s="528" t="str">
        <f t="shared" si="56"/>
        <v/>
      </c>
      <c r="BE54" s="528" t="str">
        <f t="shared" si="56"/>
        <v/>
      </c>
      <c r="BF54" s="528" t="str">
        <f t="shared" si="56"/>
        <v/>
      </c>
      <c r="BG54" s="528" t="str">
        <f t="shared" si="56"/>
        <v/>
      </c>
      <c r="BH54" s="528" t="str">
        <f t="shared" si="56"/>
        <v/>
      </c>
      <c r="BI54" s="528" t="str">
        <f t="shared" si="56"/>
        <v/>
      </c>
      <c r="BJ54" s="528" t="str">
        <f t="shared" si="56"/>
        <v/>
      </c>
      <c r="BK54" s="528" t="str">
        <f t="shared" si="56"/>
        <v/>
      </c>
      <c r="BL54" s="528" t="str">
        <f t="shared" si="56"/>
        <v/>
      </c>
      <c r="BM54" s="528" t="str">
        <f t="shared" si="56"/>
        <v/>
      </c>
    </row>
    <row r="55" spans="6:65" ht="15.75" customHeight="1" x14ac:dyDescent="0.25">
      <c r="F55" s="197"/>
      <c r="G55" s="197">
        <f t="shared" si="3"/>
        <v>0</v>
      </c>
      <c r="H55" s="197">
        <f t="shared" si="4"/>
        <v>72</v>
      </c>
      <c r="I55" s="523">
        <v>1</v>
      </c>
      <c r="J55" s="533">
        <f>'Monthly DCF'!$I$3</f>
        <v>46418</v>
      </c>
      <c r="K55" s="533">
        <f t="shared" si="5"/>
        <v>46599</v>
      </c>
      <c r="L55" s="536">
        <f t="shared" si="55"/>
        <v>7</v>
      </c>
      <c r="M55" s="20" t="s">
        <v>366</v>
      </c>
      <c r="N55" s="20">
        <f t="shared" si="6"/>
        <v>3.5</v>
      </c>
      <c r="O55" s="537">
        <v>2</v>
      </c>
      <c r="P55" s="528">
        <f t="shared" ref="P55:BM55" si="57">IFERROR(+IF(AND($M55="Flat",P$5&gt;=$J55,P$5&lt;=$K55),$I55/$L55,0)+IF(AND($M55="S-Curve",P$5&gt;=$J55,P$5&lt;=$K55),(_xlfn.NORM.DIST((YEAR(P$5)-YEAR($J55))*12+MONTH(P$5)-MONTH($J55)+1,$L55/2,$N55,TRUE)-_xlfn.NORM.DIST((YEAR(P$5)-YEAR($J55))*12+MONTH(P$5)-MONTH($J55),$L55/2,$N55,TRUE))/(1-2*_xlfn.NORM.DIST(0,$L55/2,$N55,TRUE))*$I55," "),"")</f>
        <v>0.1155283756435527</v>
      </c>
      <c r="Q55" s="528">
        <f t="shared" si="57"/>
        <v>0.14148790919320625</v>
      </c>
      <c r="R55" s="528">
        <f t="shared" si="57"/>
        <v>0.15978557388430231</v>
      </c>
      <c r="S55" s="528">
        <f t="shared" si="57"/>
        <v>0.16639628255787742</v>
      </c>
      <c r="T55" s="528">
        <f t="shared" si="57"/>
        <v>0.15978557388430231</v>
      </c>
      <c r="U55" s="528">
        <f t="shared" si="57"/>
        <v>0.14148790919320617</v>
      </c>
      <c r="V55" s="528">
        <f t="shared" si="57"/>
        <v>0.11552837564355282</v>
      </c>
      <c r="W55" s="528" t="str">
        <f t="shared" si="57"/>
        <v/>
      </c>
      <c r="X55" s="528" t="str">
        <f t="shared" si="57"/>
        <v/>
      </c>
      <c r="Y55" s="528" t="str">
        <f t="shared" si="57"/>
        <v/>
      </c>
      <c r="Z55" s="528" t="str">
        <f t="shared" si="57"/>
        <v/>
      </c>
      <c r="AA55" s="528" t="str">
        <f t="shared" si="57"/>
        <v/>
      </c>
      <c r="AB55" s="528" t="str">
        <f t="shared" si="57"/>
        <v/>
      </c>
      <c r="AC55" s="528" t="str">
        <f t="shared" si="57"/>
        <v/>
      </c>
      <c r="AD55" s="528" t="str">
        <f t="shared" si="57"/>
        <v/>
      </c>
      <c r="AE55" s="528" t="str">
        <f t="shared" si="57"/>
        <v/>
      </c>
      <c r="AF55" s="528" t="str">
        <f t="shared" si="57"/>
        <v/>
      </c>
      <c r="AG55" s="528" t="str">
        <f t="shared" si="57"/>
        <v/>
      </c>
      <c r="AH55" s="528" t="str">
        <f t="shared" si="57"/>
        <v/>
      </c>
      <c r="AI55" s="528" t="str">
        <f t="shared" si="57"/>
        <v/>
      </c>
      <c r="AJ55" s="528" t="str">
        <f t="shared" si="57"/>
        <v/>
      </c>
      <c r="AK55" s="528" t="str">
        <f t="shared" si="57"/>
        <v/>
      </c>
      <c r="AL55" s="528" t="str">
        <f t="shared" si="57"/>
        <v/>
      </c>
      <c r="AM55" s="528" t="str">
        <f t="shared" si="57"/>
        <v/>
      </c>
      <c r="AN55" s="528" t="str">
        <f t="shared" si="57"/>
        <v/>
      </c>
      <c r="AO55" s="528" t="str">
        <f t="shared" si="57"/>
        <v/>
      </c>
      <c r="AP55" s="528" t="str">
        <f t="shared" si="57"/>
        <v/>
      </c>
      <c r="AQ55" s="528" t="str">
        <f t="shared" si="57"/>
        <v/>
      </c>
      <c r="AR55" s="528" t="str">
        <f t="shared" si="57"/>
        <v/>
      </c>
      <c r="AS55" s="528" t="str">
        <f t="shared" si="57"/>
        <v/>
      </c>
      <c r="AT55" s="528" t="str">
        <f t="shared" si="57"/>
        <v/>
      </c>
      <c r="AU55" s="528" t="str">
        <f t="shared" si="57"/>
        <v/>
      </c>
      <c r="AV55" s="528" t="str">
        <f t="shared" si="57"/>
        <v/>
      </c>
      <c r="AW55" s="528" t="str">
        <f t="shared" si="57"/>
        <v/>
      </c>
      <c r="AX55" s="528" t="str">
        <f t="shared" si="57"/>
        <v/>
      </c>
      <c r="AY55" s="528" t="str">
        <f t="shared" si="57"/>
        <v/>
      </c>
      <c r="AZ55" s="528" t="str">
        <f t="shared" si="57"/>
        <v/>
      </c>
      <c r="BA55" s="528" t="str">
        <f t="shared" si="57"/>
        <v/>
      </c>
      <c r="BB55" s="528" t="str">
        <f t="shared" si="57"/>
        <v/>
      </c>
      <c r="BC55" s="528" t="str">
        <f t="shared" si="57"/>
        <v/>
      </c>
      <c r="BD55" s="528" t="str">
        <f t="shared" si="57"/>
        <v/>
      </c>
      <c r="BE55" s="528" t="str">
        <f t="shared" si="57"/>
        <v/>
      </c>
      <c r="BF55" s="528" t="str">
        <f t="shared" si="57"/>
        <v/>
      </c>
      <c r="BG55" s="528" t="str">
        <f t="shared" si="57"/>
        <v/>
      </c>
      <c r="BH55" s="528" t="str">
        <f t="shared" si="57"/>
        <v/>
      </c>
      <c r="BI55" s="528" t="str">
        <f t="shared" si="57"/>
        <v/>
      </c>
      <c r="BJ55" s="528" t="str">
        <f t="shared" si="57"/>
        <v/>
      </c>
      <c r="BK55" s="528" t="str">
        <f t="shared" si="57"/>
        <v/>
      </c>
      <c r="BL55" s="528" t="str">
        <f t="shared" si="57"/>
        <v/>
      </c>
      <c r="BM55" s="528" t="str">
        <f t="shared" si="57"/>
        <v/>
      </c>
    </row>
    <row r="56" spans="6:65" ht="15.75" customHeight="1" x14ac:dyDescent="0.25">
      <c r="F56" s="197"/>
      <c r="G56" s="197">
        <f t="shared" si="3"/>
        <v>0</v>
      </c>
      <c r="H56" s="197">
        <f t="shared" si="4"/>
        <v>82</v>
      </c>
      <c r="I56" s="523">
        <v>1</v>
      </c>
      <c r="J56" s="533">
        <f>'Monthly DCF'!$I$3</f>
        <v>46418</v>
      </c>
      <c r="K56" s="533">
        <f t="shared" si="5"/>
        <v>46630</v>
      </c>
      <c r="L56" s="536">
        <f t="shared" si="55"/>
        <v>8</v>
      </c>
      <c r="M56" s="20" t="s">
        <v>366</v>
      </c>
      <c r="N56" s="20">
        <f t="shared" si="6"/>
        <v>4</v>
      </c>
      <c r="O56" s="537">
        <v>2</v>
      </c>
      <c r="P56" s="528">
        <f t="shared" ref="P56:BM56" si="58">IFERROR(+IF(AND($M56="Flat",P$5&gt;=$J56,P$5&lt;=$K56),$I56/$L56,0)+IF(AND($M56="S-Curve",P$5&gt;=$J56,P$5&lt;=$K56),(_xlfn.NORM.DIST((YEAR(P$5)-YEAR($J56))*12+MONTH(P$5)-MONTH($J56)+1,$L56/2,$N56,TRUE)-_xlfn.NORM.DIST((YEAR(P$5)-YEAR($J56))*12+MONTH(P$5)-MONTH($J56),$L56/2,$N56,TRUE))/(1-2*_xlfn.NORM.DIST(0,$L56/2,$N56,TRUE))*$I56," "),"")</f>
        <v>9.9565174546091026E-2</v>
      </c>
      <c r="Q56" s="528">
        <f t="shared" si="58"/>
        <v>0.11998161285990742</v>
      </c>
      <c r="R56" s="528">
        <f t="shared" si="58"/>
        <v>0.13586870262310075</v>
      </c>
      <c r="S56" s="528">
        <f t="shared" si="58"/>
        <v>0.14458450997090078</v>
      </c>
      <c r="T56" s="528">
        <f t="shared" si="58"/>
        <v>0.14458450997090078</v>
      </c>
      <c r="U56" s="528">
        <f t="shared" si="58"/>
        <v>0.13586870262310075</v>
      </c>
      <c r="V56" s="528">
        <f t="shared" si="58"/>
        <v>0.11998161285990734</v>
      </c>
      <c r="W56" s="528">
        <f t="shared" si="58"/>
        <v>9.9565174546091151E-2</v>
      </c>
      <c r="X56" s="528" t="str">
        <f t="shared" si="58"/>
        <v/>
      </c>
      <c r="Y56" s="528" t="str">
        <f t="shared" si="58"/>
        <v/>
      </c>
      <c r="Z56" s="528" t="str">
        <f t="shared" si="58"/>
        <v/>
      </c>
      <c r="AA56" s="528" t="str">
        <f t="shared" si="58"/>
        <v/>
      </c>
      <c r="AB56" s="528" t="str">
        <f t="shared" si="58"/>
        <v/>
      </c>
      <c r="AC56" s="528" t="str">
        <f t="shared" si="58"/>
        <v/>
      </c>
      <c r="AD56" s="528" t="str">
        <f t="shared" si="58"/>
        <v/>
      </c>
      <c r="AE56" s="528" t="str">
        <f t="shared" si="58"/>
        <v/>
      </c>
      <c r="AF56" s="528" t="str">
        <f t="shared" si="58"/>
        <v/>
      </c>
      <c r="AG56" s="528" t="str">
        <f t="shared" si="58"/>
        <v/>
      </c>
      <c r="AH56" s="528" t="str">
        <f t="shared" si="58"/>
        <v/>
      </c>
      <c r="AI56" s="528" t="str">
        <f t="shared" si="58"/>
        <v/>
      </c>
      <c r="AJ56" s="528" t="str">
        <f t="shared" si="58"/>
        <v/>
      </c>
      <c r="AK56" s="528" t="str">
        <f t="shared" si="58"/>
        <v/>
      </c>
      <c r="AL56" s="528" t="str">
        <f t="shared" si="58"/>
        <v/>
      </c>
      <c r="AM56" s="528" t="str">
        <f t="shared" si="58"/>
        <v/>
      </c>
      <c r="AN56" s="528" t="str">
        <f t="shared" si="58"/>
        <v/>
      </c>
      <c r="AO56" s="528" t="str">
        <f t="shared" si="58"/>
        <v/>
      </c>
      <c r="AP56" s="528" t="str">
        <f t="shared" si="58"/>
        <v/>
      </c>
      <c r="AQ56" s="528" t="str">
        <f t="shared" si="58"/>
        <v/>
      </c>
      <c r="AR56" s="528" t="str">
        <f t="shared" si="58"/>
        <v/>
      </c>
      <c r="AS56" s="528" t="str">
        <f t="shared" si="58"/>
        <v/>
      </c>
      <c r="AT56" s="528" t="str">
        <f t="shared" si="58"/>
        <v/>
      </c>
      <c r="AU56" s="528" t="str">
        <f t="shared" si="58"/>
        <v/>
      </c>
      <c r="AV56" s="528" t="str">
        <f t="shared" si="58"/>
        <v/>
      </c>
      <c r="AW56" s="528" t="str">
        <f t="shared" si="58"/>
        <v/>
      </c>
      <c r="AX56" s="528" t="str">
        <f t="shared" si="58"/>
        <v/>
      </c>
      <c r="AY56" s="528" t="str">
        <f t="shared" si="58"/>
        <v/>
      </c>
      <c r="AZ56" s="528" t="str">
        <f t="shared" si="58"/>
        <v/>
      </c>
      <c r="BA56" s="528" t="str">
        <f t="shared" si="58"/>
        <v/>
      </c>
      <c r="BB56" s="528" t="str">
        <f t="shared" si="58"/>
        <v/>
      </c>
      <c r="BC56" s="528" t="str">
        <f t="shared" si="58"/>
        <v/>
      </c>
      <c r="BD56" s="528" t="str">
        <f t="shared" si="58"/>
        <v/>
      </c>
      <c r="BE56" s="528" t="str">
        <f t="shared" si="58"/>
        <v/>
      </c>
      <c r="BF56" s="528" t="str">
        <f t="shared" si="58"/>
        <v/>
      </c>
      <c r="BG56" s="528" t="str">
        <f t="shared" si="58"/>
        <v/>
      </c>
      <c r="BH56" s="528" t="str">
        <f t="shared" si="58"/>
        <v/>
      </c>
      <c r="BI56" s="528" t="str">
        <f t="shared" si="58"/>
        <v/>
      </c>
      <c r="BJ56" s="528" t="str">
        <f t="shared" si="58"/>
        <v/>
      </c>
      <c r="BK56" s="528" t="str">
        <f t="shared" si="58"/>
        <v/>
      </c>
      <c r="BL56" s="528" t="str">
        <f t="shared" si="58"/>
        <v/>
      </c>
      <c r="BM56" s="528" t="str">
        <f t="shared" si="58"/>
        <v/>
      </c>
    </row>
    <row r="57" spans="6:65" ht="15.75" customHeight="1" x14ac:dyDescent="0.25">
      <c r="F57" s="197"/>
      <c r="G57" s="197">
        <f t="shared" si="3"/>
        <v>0</v>
      </c>
      <c r="H57" s="197">
        <f t="shared" si="4"/>
        <v>92</v>
      </c>
      <c r="I57" s="523">
        <v>1</v>
      </c>
      <c r="J57" s="533">
        <f>'Monthly DCF'!$I$3</f>
        <v>46418</v>
      </c>
      <c r="K57" s="533">
        <f t="shared" si="5"/>
        <v>46660</v>
      </c>
      <c r="L57" s="536">
        <f t="shared" si="55"/>
        <v>9</v>
      </c>
      <c r="M57" s="20" t="s">
        <v>366</v>
      </c>
      <c r="N57" s="20">
        <f t="shared" si="6"/>
        <v>4.5</v>
      </c>
      <c r="O57" s="537">
        <v>2</v>
      </c>
      <c r="P57" s="528">
        <f t="shared" ref="P57:BM57" si="59">IFERROR(+IF(AND($M57="Flat",P$5&gt;=$J57,P$5&lt;=$K57),$I57/$L57,0)+IF(AND($M57="S-Curve",P$5&gt;=$J57,P$5&lt;=$K57),(_xlfn.NORM.DIST((YEAR(P$5)-YEAR($J57))*12+MONTH(P$5)-MONTH($J57)+1,$L57/2,$N57,TRUE)-_xlfn.NORM.DIST((YEAR(P$5)-YEAR($J57))*12+MONTH(P$5)-MONTH($J57),$L57/2,$N57,TRUE))/(1-2*_xlfn.NORM.DIST(0,$L57/2,$N57,TRUE))*$I57," "),"")</f>
        <v>8.7440574547374098E-2</v>
      </c>
      <c r="Q57" s="528">
        <f t="shared" si="59"/>
        <v>0.10386470893323012</v>
      </c>
      <c r="R57" s="528">
        <f t="shared" si="59"/>
        <v>0.11745307398358268</v>
      </c>
      <c r="S57" s="528">
        <f t="shared" si="59"/>
        <v>0.12644515517984731</v>
      </c>
      <c r="T57" s="528">
        <f t="shared" si="59"/>
        <v>0.12959297471193157</v>
      </c>
      <c r="U57" s="528">
        <f t="shared" si="59"/>
        <v>0.12644515517984739</v>
      </c>
      <c r="V57" s="528">
        <f t="shared" si="59"/>
        <v>0.11745307398358268</v>
      </c>
      <c r="W57" s="528">
        <f t="shared" si="59"/>
        <v>0.10386470893322995</v>
      </c>
      <c r="X57" s="528">
        <f t="shared" si="59"/>
        <v>8.7440574547374209E-2</v>
      </c>
      <c r="Y57" s="528" t="str">
        <f t="shared" si="59"/>
        <v/>
      </c>
      <c r="Z57" s="528" t="str">
        <f t="shared" si="59"/>
        <v/>
      </c>
      <c r="AA57" s="528" t="str">
        <f t="shared" si="59"/>
        <v/>
      </c>
      <c r="AB57" s="528" t="str">
        <f t="shared" si="59"/>
        <v/>
      </c>
      <c r="AC57" s="528" t="str">
        <f t="shared" si="59"/>
        <v/>
      </c>
      <c r="AD57" s="528" t="str">
        <f t="shared" si="59"/>
        <v/>
      </c>
      <c r="AE57" s="528" t="str">
        <f t="shared" si="59"/>
        <v/>
      </c>
      <c r="AF57" s="528" t="str">
        <f t="shared" si="59"/>
        <v/>
      </c>
      <c r="AG57" s="528" t="str">
        <f t="shared" si="59"/>
        <v/>
      </c>
      <c r="AH57" s="528" t="str">
        <f t="shared" si="59"/>
        <v/>
      </c>
      <c r="AI57" s="528" t="str">
        <f t="shared" si="59"/>
        <v/>
      </c>
      <c r="AJ57" s="528" t="str">
        <f t="shared" si="59"/>
        <v/>
      </c>
      <c r="AK57" s="528" t="str">
        <f t="shared" si="59"/>
        <v/>
      </c>
      <c r="AL57" s="528" t="str">
        <f t="shared" si="59"/>
        <v/>
      </c>
      <c r="AM57" s="528" t="str">
        <f t="shared" si="59"/>
        <v/>
      </c>
      <c r="AN57" s="528" t="str">
        <f t="shared" si="59"/>
        <v/>
      </c>
      <c r="AO57" s="528" t="str">
        <f t="shared" si="59"/>
        <v/>
      </c>
      <c r="AP57" s="528" t="str">
        <f t="shared" si="59"/>
        <v/>
      </c>
      <c r="AQ57" s="528" t="str">
        <f t="shared" si="59"/>
        <v/>
      </c>
      <c r="AR57" s="528" t="str">
        <f t="shared" si="59"/>
        <v/>
      </c>
      <c r="AS57" s="528" t="str">
        <f t="shared" si="59"/>
        <v/>
      </c>
      <c r="AT57" s="528" t="str">
        <f t="shared" si="59"/>
        <v/>
      </c>
      <c r="AU57" s="528" t="str">
        <f t="shared" si="59"/>
        <v/>
      </c>
      <c r="AV57" s="528" t="str">
        <f t="shared" si="59"/>
        <v/>
      </c>
      <c r="AW57" s="528" t="str">
        <f t="shared" si="59"/>
        <v/>
      </c>
      <c r="AX57" s="528" t="str">
        <f t="shared" si="59"/>
        <v/>
      </c>
      <c r="AY57" s="528" t="str">
        <f t="shared" si="59"/>
        <v/>
      </c>
      <c r="AZ57" s="528" t="str">
        <f t="shared" si="59"/>
        <v/>
      </c>
      <c r="BA57" s="528" t="str">
        <f t="shared" si="59"/>
        <v/>
      </c>
      <c r="BB57" s="528" t="str">
        <f t="shared" si="59"/>
        <v/>
      </c>
      <c r="BC57" s="528" t="str">
        <f t="shared" si="59"/>
        <v/>
      </c>
      <c r="BD57" s="528" t="str">
        <f t="shared" si="59"/>
        <v/>
      </c>
      <c r="BE57" s="528" t="str">
        <f t="shared" si="59"/>
        <v/>
      </c>
      <c r="BF57" s="528" t="str">
        <f t="shared" si="59"/>
        <v/>
      </c>
      <c r="BG57" s="528" t="str">
        <f t="shared" si="59"/>
        <v/>
      </c>
      <c r="BH57" s="528" t="str">
        <f t="shared" si="59"/>
        <v/>
      </c>
      <c r="BI57" s="528" t="str">
        <f t="shared" si="59"/>
        <v/>
      </c>
      <c r="BJ57" s="528" t="str">
        <f t="shared" si="59"/>
        <v/>
      </c>
      <c r="BK57" s="528" t="str">
        <f t="shared" si="59"/>
        <v/>
      </c>
      <c r="BL57" s="528" t="str">
        <f t="shared" si="59"/>
        <v/>
      </c>
      <c r="BM57" s="528" t="str">
        <f t="shared" si="59"/>
        <v/>
      </c>
    </row>
    <row r="58" spans="6:65" ht="15.75" customHeight="1" x14ac:dyDescent="0.25">
      <c r="F58" s="197"/>
      <c r="G58" s="197">
        <f t="shared" si="3"/>
        <v>0</v>
      </c>
      <c r="H58" s="197">
        <f t="shared" si="4"/>
        <v>102</v>
      </c>
      <c r="I58" s="523">
        <v>1</v>
      </c>
      <c r="J58" s="533">
        <f>'Monthly DCF'!$I$3</f>
        <v>46418</v>
      </c>
      <c r="K58" s="533">
        <f t="shared" si="5"/>
        <v>46691</v>
      </c>
      <c r="L58" s="536">
        <f t="shared" si="55"/>
        <v>10</v>
      </c>
      <c r="M58" s="20" t="s">
        <v>366</v>
      </c>
      <c r="N58" s="20">
        <f t="shared" si="6"/>
        <v>5</v>
      </c>
      <c r="O58" s="537">
        <v>2</v>
      </c>
      <c r="P58" s="528">
        <f t="shared" ref="P58:BM58" si="60">IFERROR(+IF(AND($M58="Flat",P$5&gt;=$J58,P$5&lt;=$K58),$I58/$L58,0)+IF(AND($M58="S-Curve",P$5&gt;=$J58,P$5&lt;=$K58),(_xlfn.NORM.DIST((YEAR(P$5)-YEAR($J58))*12+MONTH(P$5)-MONTH($J58)+1,$L58/2,$N58,TRUE)-_xlfn.NORM.DIST((YEAR(P$5)-YEAR($J58))*12+MONTH(P$5)-MONTH($J58),$L58/2,$N58,TRUE))/(1-2*_xlfn.NORM.DIST(0,$L58/2,$N58,TRUE))*$I58," "),"")</f>
        <v>7.7927293835155259E-2</v>
      </c>
      <c r="Q58" s="528">
        <f t="shared" si="60"/>
        <v>9.1399852913141511E-2</v>
      </c>
      <c r="R58" s="528">
        <f t="shared" si="60"/>
        <v>0.10301189845394708</v>
      </c>
      <c r="S58" s="528">
        <f t="shared" si="60"/>
        <v>0.11156174666289961</v>
      </c>
      <c r="T58" s="528">
        <f t="shared" si="60"/>
        <v>0.11609920813485651</v>
      </c>
      <c r="U58" s="528">
        <f t="shared" si="60"/>
        <v>0.11609920813485643</v>
      </c>
      <c r="V58" s="528">
        <f t="shared" si="60"/>
        <v>0.11156174666289978</v>
      </c>
      <c r="W58" s="528">
        <f t="shared" si="60"/>
        <v>0.103011898453947</v>
      </c>
      <c r="X58" s="528">
        <f t="shared" si="60"/>
        <v>9.1399852913141469E-2</v>
      </c>
      <c r="Y58" s="528">
        <f t="shared" si="60"/>
        <v>7.7927293835155328E-2</v>
      </c>
      <c r="Z58" s="528" t="str">
        <f t="shared" si="60"/>
        <v/>
      </c>
      <c r="AA58" s="528" t="str">
        <f t="shared" si="60"/>
        <v/>
      </c>
      <c r="AB58" s="528" t="str">
        <f t="shared" si="60"/>
        <v/>
      </c>
      <c r="AC58" s="528" t="str">
        <f t="shared" si="60"/>
        <v/>
      </c>
      <c r="AD58" s="528" t="str">
        <f t="shared" si="60"/>
        <v/>
      </c>
      <c r="AE58" s="528" t="str">
        <f t="shared" si="60"/>
        <v/>
      </c>
      <c r="AF58" s="528" t="str">
        <f t="shared" si="60"/>
        <v/>
      </c>
      <c r="AG58" s="528" t="str">
        <f t="shared" si="60"/>
        <v/>
      </c>
      <c r="AH58" s="528" t="str">
        <f t="shared" si="60"/>
        <v/>
      </c>
      <c r="AI58" s="528" t="str">
        <f t="shared" si="60"/>
        <v/>
      </c>
      <c r="AJ58" s="528" t="str">
        <f t="shared" si="60"/>
        <v/>
      </c>
      <c r="AK58" s="528" t="str">
        <f t="shared" si="60"/>
        <v/>
      </c>
      <c r="AL58" s="528" t="str">
        <f t="shared" si="60"/>
        <v/>
      </c>
      <c r="AM58" s="528" t="str">
        <f t="shared" si="60"/>
        <v/>
      </c>
      <c r="AN58" s="528" t="str">
        <f t="shared" si="60"/>
        <v/>
      </c>
      <c r="AO58" s="528" t="str">
        <f t="shared" si="60"/>
        <v/>
      </c>
      <c r="AP58" s="528" t="str">
        <f t="shared" si="60"/>
        <v/>
      </c>
      <c r="AQ58" s="528" t="str">
        <f t="shared" si="60"/>
        <v/>
      </c>
      <c r="AR58" s="528" t="str">
        <f t="shared" si="60"/>
        <v/>
      </c>
      <c r="AS58" s="528" t="str">
        <f t="shared" si="60"/>
        <v/>
      </c>
      <c r="AT58" s="528" t="str">
        <f t="shared" si="60"/>
        <v/>
      </c>
      <c r="AU58" s="528" t="str">
        <f t="shared" si="60"/>
        <v/>
      </c>
      <c r="AV58" s="528" t="str">
        <f t="shared" si="60"/>
        <v/>
      </c>
      <c r="AW58" s="528" t="str">
        <f t="shared" si="60"/>
        <v/>
      </c>
      <c r="AX58" s="528" t="str">
        <f t="shared" si="60"/>
        <v/>
      </c>
      <c r="AY58" s="528" t="str">
        <f t="shared" si="60"/>
        <v/>
      </c>
      <c r="AZ58" s="528" t="str">
        <f t="shared" si="60"/>
        <v/>
      </c>
      <c r="BA58" s="528" t="str">
        <f t="shared" si="60"/>
        <v/>
      </c>
      <c r="BB58" s="528" t="str">
        <f t="shared" si="60"/>
        <v/>
      </c>
      <c r="BC58" s="528" t="str">
        <f t="shared" si="60"/>
        <v/>
      </c>
      <c r="BD58" s="528" t="str">
        <f t="shared" si="60"/>
        <v/>
      </c>
      <c r="BE58" s="528" t="str">
        <f t="shared" si="60"/>
        <v/>
      </c>
      <c r="BF58" s="528" t="str">
        <f t="shared" si="60"/>
        <v/>
      </c>
      <c r="BG58" s="528" t="str">
        <f t="shared" si="60"/>
        <v/>
      </c>
      <c r="BH58" s="528" t="str">
        <f t="shared" si="60"/>
        <v/>
      </c>
      <c r="BI58" s="528" t="str">
        <f t="shared" si="60"/>
        <v/>
      </c>
      <c r="BJ58" s="528" t="str">
        <f t="shared" si="60"/>
        <v/>
      </c>
      <c r="BK58" s="528" t="str">
        <f t="shared" si="60"/>
        <v/>
      </c>
      <c r="BL58" s="528" t="str">
        <f t="shared" si="60"/>
        <v/>
      </c>
      <c r="BM58" s="528" t="str">
        <f t="shared" si="60"/>
        <v/>
      </c>
    </row>
    <row r="59" spans="6:65" ht="15.75" customHeight="1" x14ac:dyDescent="0.25">
      <c r="F59" s="197"/>
      <c r="G59" s="197">
        <f t="shared" si="3"/>
        <v>0</v>
      </c>
      <c r="H59" s="197">
        <f t="shared" si="4"/>
        <v>112</v>
      </c>
      <c r="I59" s="523">
        <v>1</v>
      </c>
      <c r="J59" s="533">
        <f>'Monthly DCF'!$I$3</f>
        <v>46418</v>
      </c>
      <c r="K59" s="533">
        <f t="shared" si="5"/>
        <v>46721</v>
      </c>
      <c r="L59" s="536">
        <f t="shared" si="55"/>
        <v>11</v>
      </c>
      <c r="M59" s="20" t="s">
        <v>366</v>
      </c>
      <c r="N59" s="20">
        <f t="shared" si="6"/>
        <v>5.5</v>
      </c>
      <c r="O59" s="537">
        <v>2</v>
      </c>
      <c r="P59" s="528">
        <f t="shared" ref="P59:BM59" si="61">IFERROR(+IF(AND($M59="Flat",P$5&gt;=$J59,P$5&lt;=$K59),$I59/$L59,0)+IF(AND($M59="S-Curve",P$5&gt;=$J59,P$5&lt;=$K59),(_xlfn.NORM.DIST((YEAR(P$5)-YEAR($J59))*12+MONTH(P$5)-MONTH($J59)+1,$L59/2,$N59,TRUE)-_xlfn.NORM.DIST((YEAR(P$5)-YEAR($J59))*12+MONTH(P$5)-MONTH($J59),$L59/2,$N59,TRUE))/(1-2*_xlfn.NORM.DIST(0,$L59/2,$N59,TRUE))*$I59," "),"")</f>
        <v>7.0268305529639599E-2</v>
      </c>
      <c r="Q59" s="528">
        <f t="shared" si="61"/>
        <v>8.1505620214911562E-2</v>
      </c>
      <c r="R59" s="528">
        <f t="shared" si="61"/>
        <v>9.1474124569037696E-2</v>
      </c>
      <c r="S59" s="528">
        <f t="shared" si="61"/>
        <v>9.9332556296011121E-2</v>
      </c>
      <c r="T59" s="528">
        <f t="shared" si="61"/>
        <v>0.1043680616883122</v>
      </c>
      <c r="U59" s="528">
        <f t="shared" si="61"/>
        <v>0.10610266340417547</v>
      </c>
      <c r="V59" s="528">
        <f t="shared" si="61"/>
        <v>0.10436806168831228</v>
      </c>
      <c r="W59" s="528">
        <f t="shared" si="61"/>
        <v>9.9332556296011121E-2</v>
      </c>
      <c r="X59" s="528">
        <f t="shared" si="61"/>
        <v>9.1474124569037696E-2</v>
      </c>
      <c r="Y59" s="528">
        <f t="shared" si="61"/>
        <v>8.1505620214911562E-2</v>
      </c>
      <c r="Z59" s="528">
        <f t="shared" si="61"/>
        <v>7.0268305529639641E-2</v>
      </c>
      <c r="AA59" s="528" t="str">
        <f t="shared" si="61"/>
        <v/>
      </c>
      <c r="AB59" s="528" t="str">
        <f t="shared" si="61"/>
        <v/>
      </c>
      <c r="AC59" s="528" t="str">
        <f t="shared" si="61"/>
        <v/>
      </c>
      <c r="AD59" s="528" t="str">
        <f t="shared" si="61"/>
        <v/>
      </c>
      <c r="AE59" s="528" t="str">
        <f t="shared" si="61"/>
        <v/>
      </c>
      <c r="AF59" s="528" t="str">
        <f t="shared" si="61"/>
        <v/>
      </c>
      <c r="AG59" s="528" t="str">
        <f t="shared" si="61"/>
        <v/>
      </c>
      <c r="AH59" s="528" t="str">
        <f t="shared" si="61"/>
        <v/>
      </c>
      <c r="AI59" s="528" t="str">
        <f t="shared" si="61"/>
        <v/>
      </c>
      <c r="AJ59" s="528" t="str">
        <f t="shared" si="61"/>
        <v/>
      </c>
      <c r="AK59" s="528" t="str">
        <f t="shared" si="61"/>
        <v/>
      </c>
      <c r="AL59" s="528" t="str">
        <f t="shared" si="61"/>
        <v/>
      </c>
      <c r="AM59" s="528" t="str">
        <f t="shared" si="61"/>
        <v/>
      </c>
      <c r="AN59" s="528" t="str">
        <f t="shared" si="61"/>
        <v/>
      </c>
      <c r="AO59" s="528" t="str">
        <f t="shared" si="61"/>
        <v/>
      </c>
      <c r="AP59" s="528" t="str">
        <f t="shared" si="61"/>
        <v/>
      </c>
      <c r="AQ59" s="528" t="str">
        <f t="shared" si="61"/>
        <v/>
      </c>
      <c r="AR59" s="528" t="str">
        <f t="shared" si="61"/>
        <v/>
      </c>
      <c r="AS59" s="528" t="str">
        <f t="shared" si="61"/>
        <v/>
      </c>
      <c r="AT59" s="528" t="str">
        <f t="shared" si="61"/>
        <v/>
      </c>
      <c r="AU59" s="528" t="str">
        <f t="shared" si="61"/>
        <v/>
      </c>
      <c r="AV59" s="528" t="str">
        <f t="shared" si="61"/>
        <v/>
      </c>
      <c r="AW59" s="528" t="str">
        <f t="shared" si="61"/>
        <v/>
      </c>
      <c r="AX59" s="528" t="str">
        <f t="shared" si="61"/>
        <v/>
      </c>
      <c r="AY59" s="528" t="str">
        <f t="shared" si="61"/>
        <v/>
      </c>
      <c r="AZ59" s="528" t="str">
        <f t="shared" si="61"/>
        <v/>
      </c>
      <c r="BA59" s="528" t="str">
        <f t="shared" si="61"/>
        <v/>
      </c>
      <c r="BB59" s="528" t="str">
        <f t="shared" si="61"/>
        <v/>
      </c>
      <c r="BC59" s="528" t="str">
        <f t="shared" si="61"/>
        <v/>
      </c>
      <c r="BD59" s="528" t="str">
        <f t="shared" si="61"/>
        <v/>
      </c>
      <c r="BE59" s="528" t="str">
        <f t="shared" si="61"/>
        <v/>
      </c>
      <c r="BF59" s="528" t="str">
        <f t="shared" si="61"/>
        <v/>
      </c>
      <c r="BG59" s="528" t="str">
        <f t="shared" si="61"/>
        <v/>
      </c>
      <c r="BH59" s="528" t="str">
        <f t="shared" si="61"/>
        <v/>
      </c>
      <c r="BI59" s="528" t="str">
        <f t="shared" si="61"/>
        <v/>
      </c>
      <c r="BJ59" s="528" t="str">
        <f t="shared" si="61"/>
        <v/>
      </c>
      <c r="BK59" s="528" t="str">
        <f t="shared" si="61"/>
        <v/>
      </c>
      <c r="BL59" s="528" t="str">
        <f t="shared" si="61"/>
        <v/>
      </c>
      <c r="BM59" s="528" t="str">
        <f t="shared" si="61"/>
        <v/>
      </c>
    </row>
    <row r="60" spans="6:65" ht="15.75" customHeight="1" x14ac:dyDescent="0.25">
      <c r="F60" s="197"/>
      <c r="G60" s="197">
        <f t="shared" si="3"/>
        <v>0</v>
      </c>
      <c r="H60" s="197">
        <f t="shared" si="4"/>
        <v>122</v>
      </c>
      <c r="I60" s="523">
        <v>1</v>
      </c>
      <c r="J60" s="533">
        <f>'Monthly DCF'!$I$3</f>
        <v>46418</v>
      </c>
      <c r="K60" s="533">
        <f t="shared" si="5"/>
        <v>46752</v>
      </c>
      <c r="L60" s="536">
        <f t="shared" si="55"/>
        <v>12</v>
      </c>
      <c r="M60" s="20" t="s">
        <v>366</v>
      </c>
      <c r="N60" s="20">
        <f t="shared" si="6"/>
        <v>6</v>
      </c>
      <c r="O60" s="537">
        <v>2</v>
      </c>
      <c r="P60" s="528">
        <f t="shared" ref="P60:BM60" si="62">IFERROR(+IF(AND($M60="Flat",P$5&gt;=$J60,P$5&lt;=$K60),$I60/$L60,0)+IF(AND($M60="S-Curve",P$5&gt;=$J60,P$5&lt;=$K60),(_xlfn.NORM.DIST((YEAR(P$5)-YEAR($J60))*12+MONTH(P$5)-MONTH($J60)+1,$L60/2,$N60,TRUE)-_xlfn.NORM.DIST((YEAR(P$5)-YEAR($J60))*12+MONTH(P$5)-MONTH($J60),$L60/2,$N60,TRUE))/(1-2*_xlfn.NORM.DIST(0,$L60/2,$N60,TRUE))*$I60," "),"")</f>
        <v>6.3972168218778366E-2</v>
      </c>
      <c r="Q60" s="528">
        <f t="shared" si="62"/>
        <v>7.3480194379799788E-2</v>
      </c>
      <c r="R60" s="528">
        <f t="shared" si="62"/>
        <v>8.209442480742031E-2</v>
      </c>
      <c r="S60" s="528">
        <f t="shared" si="62"/>
        <v>8.921157005818843E-2</v>
      </c>
      <c r="T60" s="528">
        <f t="shared" si="62"/>
        <v>9.4295910437722216E-2</v>
      </c>
      <c r="U60" s="528">
        <f t="shared" si="62"/>
        <v>9.6945732098090875E-2</v>
      </c>
      <c r="V60" s="528">
        <f t="shared" si="62"/>
        <v>9.6945732098090875E-2</v>
      </c>
      <c r="W60" s="528">
        <f t="shared" si="62"/>
        <v>9.4295910437722286E-2</v>
      </c>
      <c r="X60" s="528">
        <f t="shared" si="62"/>
        <v>8.9211570058188347E-2</v>
      </c>
      <c r="Y60" s="528">
        <f t="shared" si="62"/>
        <v>8.209442480742031E-2</v>
      </c>
      <c r="Z60" s="528">
        <f t="shared" si="62"/>
        <v>7.3480194379799788E-2</v>
      </c>
      <c r="AA60" s="528">
        <f t="shared" si="62"/>
        <v>6.3972168218778408E-2</v>
      </c>
      <c r="AB60" s="528" t="str">
        <f t="shared" si="62"/>
        <v/>
      </c>
      <c r="AC60" s="528" t="str">
        <f t="shared" si="62"/>
        <v/>
      </c>
      <c r="AD60" s="528" t="str">
        <f t="shared" si="62"/>
        <v/>
      </c>
      <c r="AE60" s="528" t="str">
        <f t="shared" si="62"/>
        <v/>
      </c>
      <c r="AF60" s="528" t="str">
        <f t="shared" si="62"/>
        <v/>
      </c>
      <c r="AG60" s="528" t="str">
        <f t="shared" si="62"/>
        <v/>
      </c>
      <c r="AH60" s="528" t="str">
        <f t="shared" si="62"/>
        <v/>
      </c>
      <c r="AI60" s="528" t="str">
        <f t="shared" si="62"/>
        <v/>
      </c>
      <c r="AJ60" s="528" t="str">
        <f t="shared" si="62"/>
        <v/>
      </c>
      <c r="AK60" s="528" t="str">
        <f t="shared" si="62"/>
        <v/>
      </c>
      <c r="AL60" s="528" t="str">
        <f t="shared" si="62"/>
        <v/>
      </c>
      <c r="AM60" s="528" t="str">
        <f t="shared" si="62"/>
        <v/>
      </c>
      <c r="AN60" s="528" t="str">
        <f t="shared" si="62"/>
        <v/>
      </c>
      <c r="AO60" s="528" t="str">
        <f t="shared" si="62"/>
        <v/>
      </c>
      <c r="AP60" s="528" t="str">
        <f t="shared" si="62"/>
        <v/>
      </c>
      <c r="AQ60" s="528" t="str">
        <f t="shared" si="62"/>
        <v/>
      </c>
      <c r="AR60" s="528" t="str">
        <f t="shared" si="62"/>
        <v/>
      </c>
      <c r="AS60" s="528" t="str">
        <f t="shared" si="62"/>
        <v/>
      </c>
      <c r="AT60" s="528" t="str">
        <f t="shared" si="62"/>
        <v/>
      </c>
      <c r="AU60" s="528" t="str">
        <f t="shared" si="62"/>
        <v/>
      </c>
      <c r="AV60" s="528" t="str">
        <f t="shared" si="62"/>
        <v/>
      </c>
      <c r="AW60" s="528" t="str">
        <f t="shared" si="62"/>
        <v/>
      </c>
      <c r="AX60" s="528" t="str">
        <f t="shared" si="62"/>
        <v/>
      </c>
      <c r="AY60" s="528" t="str">
        <f t="shared" si="62"/>
        <v/>
      </c>
      <c r="AZ60" s="528" t="str">
        <f t="shared" si="62"/>
        <v/>
      </c>
      <c r="BA60" s="528" t="str">
        <f t="shared" si="62"/>
        <v/>
      </c>
      <c r="BB60" s="528" t="str">
        <f t="shared" si="62"/>
        <v/>
      </c>
      <c r="BC60" s="528" t="str">
        <f t="shared" si="62"/>
        <v/>
      </c>
      <c r="BD60" s="528" t="str">
        <f t="shared" si="62"/>
        <v/>
      </c>
      <c r="BE60" s="528" t="str">
        <f t="shared" si="62"/>
        <v/>
      </c>
      <c r="BF60" s="528" t="str">
        <f t="shared" si="62"/>
        <v/>
      </c>
      <c r="BG60" s="528" t="str">
        <f t="shared" si="62"/>
        <v/>
      </c>
      <c r="BH60" s="528" t="str">
        <f t="shared" si="62"/>
        <v/>
      </c>
      <c r="BI60" s="528" t="str">
        <f t="shared" si="62"/>
        <v/>
      </c>
      <c r="BJ60" s="528" t="str">
        <f t="shared" si="62"/>
        <v/>
      </c>
      <c r="BK60" s="528" t="str">
        <f t="shared" si="62"/>
        <v/>
      </c>
      <c r="BL60" s="528" t="str">
        <f t="shared" si="62"/>
        <v/>
      </c>
      <c r="BM60" s="528" t="str">
        <f t="shared" si="62"/>
        <v/>
      </c>
    </row>
    <row r="61" spans="6:65" ht="15.75" customHeight="1" x14ac:dyDescent="0.25">
      <c r="F61" s="197"/>
      <c r="G61" s="197">
        <f t="shared" si="3"/>
        <v>0</v>
      </c>
      <c r="H61" s="197">
        <f t="shared" si="4"/>
        <v>132</v>
      </c>
      <c r="I61" s="523">
        <v>1</v>
      </c>
      <c r="J61" s="533">
        <f>'Monthly DCF'!$I$3</f>
        <v>46418</v>
      </c>
      <c r="K61" s="533">
        <f t="shared" si="5"/>
        <v>46783</v>
      </c>
      <c r="L61" s="536">
        <f t="shared" si="55"/>
        <v>13</v>
      </c>
      <c r="M61" s="20" t="s">
        <v>366</v>
      </c>
      <c r="N61" s="20">
        <f t="shared" si="6"/>
        <v>6.5</v>
      </c>
      <c r="O61" s="537">
        <v>2</v>
      </c>
      <c r="P61" s="528">
        <f t="shared" ref="P61:BM61" si="63">IFERROR(+IF(AND($M61="Flat",P$5&gt;=$J61,P$5&lt;=$K61),$I61/$L61,0)+IF(AND($M61="S-Curve",P$5&gt;=$J61,P$5&lt;=$K61),(_xlfn.NORM.DIST((YEAR(P$5)-YEAR($J61))*12+MONTH(P$5)-MONTH($J61)+1,$L61/2,$N61,TRUE)-_xlfn.NORM.DIST((YEAR(P$5)-YEAR($J61))*12+MONTH(P$5)-MONTH($J61),$L61/2,$N61,TRUE))/(1-2*_xlfn.NORM.DIST(0,$L61/2,$N61,TRUE))*$I61," "),"")</f>
        <v>5.8706350751611638E-2</v>
      </c>
      <c r="Q61" s="528">
        <f t="shared" si="63"/>
        <v>6.6851179061055158E-2</v>
      </c>
      <c r="R61" s="528">
        <f t="shared" si="63"/>
        <v>7.4348830689106693E-2</v>
      </c>
      <c r="S61" s="528">
        <f t="shared" si="63"/>
        <v>8.0757023551005072E-2</v>
      </c>
      <c r="T61" s="528">
        <f t="shared" si="63"/>
        <v>8.5669761734111838E-2</v>
      </c>
      <c r="U61" s="528">
        <f t="shared" si="63"/>
        <v>8.8759717440516084E-2</v>
      </c>
      <c r="V61" s="528">
        <f t="shared" si="63"/>
        <v>8.9814273545186979E-2</v>
      </c>
      <c r="W61" s="528">
        <f t="shared" si="63"/>
        <v>8.8759717440516084E-2</v>
      </c>
      <c r="X61" s="528">
        <f t="shared" si="63"/>
        <v>8.5669761734111921E-2</v>
      </c>
      <c r="Y61" s="528">
        <f t="shared" si="63"/>
        <v>8.0757023551004989E-2</v>
      </c>
      <c r="Z61" s="528">
        <f t="shared" si="63"/>
        <v>7.4348830689106693E-2</v>
      </c>
      <c r="AA61" s="528">
        <f t="shared" si="63"/>
        <v>6.6851179061055074E-2</v>
      </c>
      <c r="AB61" s="528">
        <f t="shared" si="63"/>
        <v>5.8706350751611763E-2</v>
      </c>
      <c r="AC61" s="528" t="str">
        <f t="shared" si="63"/>
        <v/>
      </c>
      <c r="AD61" s="528" t="str">
        <f t="shared" si="63"/>
        <v/>
      </c>
      <c r="AE61" s="528" t="str">
        <f t="shared" si="63"/>
        <v/>
      </c>
      <c r="AF61" s="528" t="str">
        <f t="shared" si="63"/>
        <v/>
      </c>
      <c r="AG61" s="528" t="str">
        <f t="shared" si="63"/>
        <v/>
      </c>
      <c r="AH61" s="528" t="str">
        <f t="shared" si="63"/>
        <v/>
      </c>
      <c r="AI61" s="528" t="str">
        <f t="shared" si="63"/>
        <v/>
      </c>
      <c r="AJ61" s="528" t="str">
        <f t="shared" si="63"/>
        <v/>
      </c>
      <c r="AK61" s="528" t="str">
        <f t="shared" si="63"/>
        <v/>
      </c>
      <c r="AL61" s="528" t="str">
        <f t="shared" si="63"/>
        <v/>
      </c>
      <c r="AM61" s="528" t="str">
        <f t="shared" si="63"/>
        <v/>
      </c>
      <c r="AN61" s="528" t="str">
        <f t="shared" si="63"/>
        <v/>
      </c>
      <c r="AO61" s="528" t="str">
        <f t="shared" si="63"/>
        <v/>
      </c>
      <c r="AP61" s="528" t="str">
        <f t="shared" si="63"/>
        <v/>
      </c>
      <c r="AQ61" s="528" t="str">
        <f t="shared" si="63"/>
        <v/>
      </c>
      <c r="AR61" s="528" t="str">
        <f t="shared" si="63"/>
        <v/>
      </c>
      <c r="AS61" s="528" t="str">
        <f t="shared" si="63"/>
        <v/>
      </c>
      <c r="AT61" s="528" t="str">
        <f t="shared" si="63"/>
        <v/>
      </c>
      <c r="AU61" s="528" t="str">
        <f t="shared" si="63"/>
        <v/>
      </c>
      <c r="AV61" s="528" t="str">
        <f t="shared" si="63"/>
        <v/>
      </c>
      <c r="AW61" s="528" t="str">
        <f t="shared" si="63"/>
        <v/>
      </c>
      <c r="AX61" s="528" t="str">
        <f t="shared" si="63"/>
        <v/>
      </c>
      <c r="AY61" s="528" t="str">
        <f t="shared" si="63"/>
        <v/>
      </c>
      <c r="AZ61" s="528" t="str">
        <f t="shared" si="63"/>
        <v/>
      </c>
      <c r="BA61" s="528" t="str">
        <f t="shared" si="63"/>
        <v/>
      </c>
      <c r="BB61" s="528" t="str">
        <f t="shared" si="63"/>
        <v/>
      </c>
      <c r="BC61" s="528" t="str">
        <f t="shared" si="63"/>
        <v/>
      </c>
      <c r="BD61" s="528" t="str">
        <f t="shared" si="63"/>
        <v/>
      </c>
      <c r="BE61" s="528" t="str">
        <f t="shared" si="63"/>
        <v/>
      </c>
      <c r="BF61" s="528" t="str">
        <f t="shared" si="63"/>
        <v/>
      </c>
      <c r="BG61" s="528" t="str">
        <f t="shared" si="63"/>
        <v/>
      </c>
      <c r="BH61" s="528" t="str">
        <f t="shared" si="63"/>
        <v/>
      </c>
      <c r="BI61" s="528" t="str">
        <f t="shared" si="63"/>
        <v/>
      </c>
      <c r="BJ61" s="528" t="str">
        <f t="shared" si="63"/>
        <v/>
      </c>
      <c r="BK61" s="528" t="str">
        <f t="shared" si="63"/>
        <v/>
      </c>
      <c r="BL61" s="528" t="str">
        <f t="shared" si="63"/>
        <v/>
      </c>
      <c r="BM61" s="528" t="str">
        <f t="shared" si="63"/>
        <v/>
      </c>
    </row>
    <row r="62" spans="6:65" ht="15.75" customHeight="1" x14ac:dyDescent="0.25">
      <c r="F62" s="197"/>
      <c r="G62" s="197">
        <f t="shared" si="3"/>
        <v>0</v>
      </c>
      <c r="H62" s="197">
        <f t="shared" si="4"/>
        <v>142</v>
      </c>
      <c r="I62" s="523">
        <v>1</v>
      </c>
      <c r="J62" s="533">
        <f>'Monthly DCF'!$I$3</f>
        <v>46418</v>
      </c>
      <c r="K62" s="533">
        <f t="shared" si="5"/>
        <v>46812</v>
      </c>
      <c r="L62" s="536">
        <f t="shared" si="55"/>
        <v>14</v>
      </c>
      <c r="M62" s="20" t="s">
        <v>366</v>
      </c>
      <c r="N62" s="20">
        <f t="shared" si="6"/>
        <v>7</v>
      </c>
      <c r="O62" s="537">
        <v>2</v>
      </c>
      <c r="P62" s="528">
        <f t="shared" ref="P62:BM62" si="64">IFERROR(+IF(AND($M62="Flat",P$5&gt;=$J62,P$5&lt;=$K62),$I62/$L62,0)+IF(AND($M62="S-Curve",P$5&gt;=$J62,P$5&lt;=$K62),(_xlfn.NORM.DIST((YEAR(P$5)-YEAR($J62))*12+MONTH(P$5)-MONTH($J62)+1,$L62/2,$N62,TRUE)-_xlfn.NORM.DIST((YEAR(P$5)-YEAR($J62))*12+MONTH(P$5)-MONTH($J62),$L62/2,$N62,TRUE))/(1-2*_xlfn.NORM.DIST(0,$L62/2,$N62,TRUE))*$I62," "),"")</f>
        <v>5.4238003731986083E-2</v>
      </c>
      <c r="Q62" s="528">
        <f t="shared" si="64"/>
        <v>6.1290371911566624E-2</v>
      </c>
      <c r="R62" s="528">
        <f t="shared" si="64"/>
        <v>6.78629473652375E-2</v>
      </c>
      <c r="S62" s="528">
        <f t="shared" si="64"/>
        <v>7.3624961827968752E-2</v>
      </c>
      <c r="T62" s="528">
        <f t="shared" si="64"/>
        <v>7.8265318004394652E-2</v>
      </c>
      <c r="U62" s="528">
        <f t="shared" si="64"/>
        <v>8.152025587990766E-2</v>
      </c>
      <c r="V62" s="528">
        <f t="shared" si="64"/>
        <v>8.3198141278938709E-2</v>
      </c>
      <c r="W62" s="528">
        <f t="shared" si="64"/>
        <v>8.3198141278938709E-2</v>
      </c>
      <c r="X62" s="528">
        <f t="shared" si="64"/>
        <v>8.152025587990766E-2</v>
      </c>
      <c r="Y62" s="528">
        <f t="shared" si="64"/>
        <v>7.8265318004394652E-2</v>
      </c>
      <c r="Z62" s="528">
        <f t="shared" si="64"/>
        <v>7.3624961827968752E-2</v>
      </c>
      <c r="AA62" s="528">
        <f t="shared" si="64"/>
        <v>6.7862947365237417E-2</v>
      </c>
      <c r="AB62" s="528">
        <f t="shared" si="64"/>
        <v>6.1290371911566742E-2</v>
      </c>
      <c r="AC62" s="528">
        <f t="shared" si="64"/>
        <v>5.4238003731986083E-2</v>
      </c>
      <c r="AD62" s="528" t="str">
        <f t="shared" si="64"/>
        <v/>
      </c>
      <c r="AE62" s="528" t="str">
        <f t="shared" si="64"/>
        <v/>
      </c>
      <c r="AF62" s="528" t="str">
        <f t="shared" si="64"/>
        <v/>
      </c>
      <c r="AG62" s="528" t="str">
        <f t="shared" si="64"/>
        <v/>
      </c>
      <c r="AH62" s="528" t="str">
        <f t="shared" si="64"/>
        <v/>
      </c>
      <c r="AI62" s="528" t="str">
        <f t="shared" si="64"/>
        <v/>
      </c>
      <c r="AJ62" s="528" t="str">
        <f t="shared" si="64"/>
        <v/>
      </c>
      <c r="AK62" s="528" t="str">
        <f t="shared" si="64"/>
        <v/>
      </c>
      <c r="AL62" s="528" t="str">
        <f t="shared" si="64"/>
        <v/>
      </c>
      <c r="AM62" s="528" t="str">
        <f t="shared" si="64"/>
        <v/>
      </c>
      <c r="AN62" s="528" t="str">
        <f t="shared" si="64"/>
        <v/>
      </c>
      <c r="AO62" s="528" t="str">
        <f t="shared" si="64"/>
        <v/>
      </c>
      <c r="AP62" s="528" t="str">
        <f t="shared" si="64"/>
        <v/>
      </c>
      <c r="AQ62" s="528" t="str">
        <f t="shared" si="64"/>
        <v/>
      </c>
      <c r="AR62" s="528" t="str">
        <f t="shared" si="64"/>
        <v/>
      </c>
      <c r="AS62" s="528" t="str">
        <f t="shared" si="64"/>
        <v/>
      </c>
      <c r="AT62" s="528" t="str">
        <f t="shared" si="64"/>
        <v/>
      </c>
      <c r="AU62" s="528" t="str">
        <f t="shared" si="64"/>
        <v/>
      </c>
      <c r="AV62" s="528" t="str">
        <f t="shared" si="64"/>
        <v/>
      </c>
      <c r="AW62" s="528" t="str">
        <f t="shared" si="64"/>
        <v/>
      </c>
      <c r="AX62" s="528" t="str">
        <f t="shared" si="64"/>
        <v/>
      </c>
      <c r="AY62" s="528" t="str">
        <f t="shared" si="64"/>
        <v/>
      </c>
      <c r="AZ62" s="528" t="str">
        <f t="shared" si="64"/>
        <v/>
      </c>
      <c r="BA62" s="528" t="str">
        <f t="shared" si="64"/>
        <v/>
      </c>
      <c r="BB62" s="528" t="str">
        <f t="shared" si="64"/>
        <v/>
      </c>
      <c r="BC62" s="528" t="str">
        <f t="shared" si="64"/>
        <v/>
      </c>
      <c r="BD62" s="528" t="str">
        <f t="shared" si="64"/>
        <v/>
      </c>
      <c r="BE62" s="528" t="str">
        <f t="shared" si="64"/>
        <v/>
      </c>
      <c r="BF62" s="528" t="str">
        <f t="shared" si="64"/>
        <v/>
      </c>
      <c r="BG62" s="528" t="str">
        <f t="shared" si="64"/>
        <v/>
      </c>
      <c r="BH62" s="528" t="str">
        <f t="shared" si="64"/>
        <v/>
      </c>
      <c r="BI62" s="528" t="str">
        <f t="shared" si="64"/>
        <v/>
      </c>
      <c r="BJ62" s="528" t="str">
        <f t="shared" si="64"/>
        <v/>
      </c>
      <c r="BK62" s="528" t="str">
        <f t="shared" si="64"/>
        <v/>
      </c>
      <c r="BL62" s="528" t="str">
        <f t="shared" si="64"/>
        <v/>
      </c>
      <c r="BM62" s="528" t="str">
        <f t="shared" si="64"/>
        <v/>
      </c>
    </row>
    <row r="63" spans="6:65" ht="15.75" customHeight="1" x14ac:dyDescent="0.25">
      <c r="F63" s="197"/>
      <c r="G63" s="197">
        <f t="shared" si="3"/>
        <v>0</v>
      </c>
      <c r="H63" s="197">
        <f t="shared" si="4"/>
        <v>152</v>
      </c>
      <c r="I63" s="523">
        <v>1</v>
      </c>
      <c r="J63" s="533">
        <f>'Monthly DCF'!$I$3</f>
        <v>46418</v>
      </c>
      <c r="K63" s="533">
        <f t="shared" si="5"/>
        <v>46843</v>
      </c>
      <c r="L63" s="536">
        <f t="shared" si="55"/>
        <v>15</v>
      </c>
      <c r="M63" s="20" t="s">
        <v>366</v>
      </c>
      <c r="N63" s="20">
        <f t="shared" si="6"/>
        <v>7.5</v>
      </c>
      <c r="O63" s="537">
        <v>2</v>
      </c>
      <c r="P63" s="528">
        <f t="shared" ref="P63:BM63" si="65">IFERROR(+IF(AND($M63="Flat",P$5&gt;=$J63,P$5&lt;=$K63),$I63/$L63,0)+IF(AND($M63="S-Curve",P$5&gt;=$J63,P$5&lt;=$K63),(_xlfn.NORM.DIST((YEAR(P$5)-YEAR($J63))*12+MONTH(P$5)-MONTH($J63)+1,$L63/2,$N63,TRUE)-_xlfn.NORM.DIST((YEAR(P$5)-YEAR($J63))*12+MONTH(P$5)-MONTH($J63),$L63/2,$N63,TRUE))/(1-2*_xlfn.NORM.DIST(0,$L63/2,$N63,TRUE))*$I63," "),"")</f>
        <v>5.0399315657755676E-2</v>
      </c>
      <c r="Q63" s="528">
        <f t="shared" si="65"/>
        <v>5.656339805672185E-2</v>
      </c>
      <c r="R63" s="528">
        <f t="shared" si="65"/>
        <v>6.2364433033819236E-2</v>
      </c>
      <c r="S63" s="528">
        <f t="shared" si="65"/>
        <v>6.7550582925826788E-2</v>
      </c>
      <c r="T63" s="528">
        <f t="shared" si="65"/>
        <v>7.1880627790063323E-2</v>
      </c>
      <c r="U63" s="528">
        <f t="shared" si="65"/>
        <v>7.5142434400956568E-2</v>
      </c>
      <c r="V63" s="528">
        <f t="shared" si="65"/>
        <v>7.7170142129797129E-2</v>
      </c>
      <c r="W63" s="528">
        <f t="shared" si="65"/>
        <v>7.785813201011875E-2</v>
      </c>
      <c r="X63" s="528">
        <f t="shared" si="65"/>
        <v>7.7170142129797059E-2</v>
      </c>
      <c r="Y63" s="528">
        <f t="shared" si="65"/>
        <v>7.5142434400956734E-2</v>
      </c>
      <c r="Z63" s="528">
        <f t="shared" si="65"/>
        <v>7.1880627790063253E-2</v>
      </c>
      <c r="AA63" s="528">
        <f t="shared" si="65"/>
        <v>6.7550582925826788E-2</v>
      </c>
      <c r="AB63" s="528">
        <f t="shared" si="65"/>
        <v>6.2364433033819194E-2</v>
      </c>
      <c r="AC63" s="528">
        <f t="shared" si="65"/>
        <v>5.6563398056721892E-2</v>
      </c>
      <c r="AD63" s="528">
        <f t="shared" si="65"/>
        <v>5.0399315657755718E-2</v>
      </c>
      <c r="AE63" s="528" t="str">
        <f t="shared" si="65"/>
        <v/>
      </c>
      <c r="AF63" s="528" t="str">
        <f t="shared" si="65"/>
        <v/>
      </c>
      <c r="AG63" s="528" t="str">
        <f t="shared" si="65"/>
        <v/>
      </c>
      <c r="AH63" s="528" t="str">
        <f t="shared" si="65"/>
        <v/>
      </c>
      <c r="AI63" s="528" t="str">
        <f t="shared" si="65"/>
        <v/>
      </c>
      <c r="AJ63" s="528" t="str">
        <f t="shared" si="65"/>
        <v/>
      </c>
      <c r="AK63" s="528" t="str">
        <f t="shared" si="65"/>
        <v/>
      </c>
      <c r="AL63" s="528" t="str">
        <f t="shared" si="65"/>
        <v/>
      </c>
      <c r="AM63" s="528" t="str">
        <f t="shared" si="65"/>
        <v/>
      </c>
      <c r="AN63" s="528" t="str">
        <f t="shared" si="65"/>
        <v/>
      </c>
      <c r="AO63" s="528" t="str">
        <f t="shared" si="65"/>
        <v/>
      </c>
      <c r="AP63" s="528" t="str">
        <f t="shared" si="65"/>
        <v/>
      </c>
      <c r="AQ63" s="528" t="str">
        <f t="shared" si="65"/>
        <v/>
      </c>
      <c r="AR63" s="528" t="str">
        <f t="shared" si="65"/>
        <v/>
      </c>
      <c r="AS63" s="528" t="str">
        <f t="shared" si="65"/>
        <v/>
      </c>
      <c r="AT63" s="528" t="str">
        <f t="shared" si="65"/>
        <v/>
      </c>
      <c r="AU63" s="528" t="str">
        <f t="shared" si="65"/>
        <v/>
      </c>
      <c r="AV63" s="528" t="str">
        <f t="shared" si="65"/>
        <v/>
      </c>
      <c r="AW63" s="528" t="str">
        <f t="shared" si="65"/>
        <v/>
      </c>
      <c r="AX63" s="528" t="str">
        <f t="shared" si="65"/>
        <v/>
      </c>
      <c r="AY63" s="528" t="str">
        <f t="shared" si="65"/>
        <v/>
      </c>
      <c r="AZ63" s="528" t="str">
        <f t="shared" si="65"/>
        <v/>
      </c>
      <c r="BA63" s="528" t="str">
        <f t="shared" si="65"/>
        <v/>
      </c>
      <c r="BB63" s="528" t="str">
        <f t="shared" si="65"/>
        <v/>
      </c>
      <c r="BC63" s="528" t="str">
        <f t="shared" si="65"/>
        <v/>
      </c>
      <c r="BD63" s="528" t="str">
        <f t="shared" si="65"/>
        <v/>
      </c>
      <c r="BE63" s="528" t="str">
        <f t="shared" si="65"/>
        <v/>
      </c>
      <c r="BF63" s="528" t="str">
        <f t="shared" si="65"/>
        <v/>
      </c>
      <c r="BG63" s="528" t="str">
        <f t="shared" si="65"/>
        <v/>
      </c>
      <c r="BH63" s="528" t="str">
        <f t="shared" si="65"/>
        <v/>
      </c>
      <c r="BI63" s="528" t="str">
        <f t="shared" si="65"/>
        <v/>
      </c>
      <c r="BJ63" s="528" t="str">
        <f t="shared" si="65"/>
        <v/>
      </c>
      <c r="BK63" s="528" t="str">
        <f t="shared" si="65"/>
        <v/>
      </c>
      <c r="BL63" s="528" t="str">
        <f t="shared" si="65"/>
        <v/>
      </c>
      <c r="BM63" s="528" t="str">
        <f t="shared" si="65"/>
        <v/>
      </c>
    </row>
    <row r="64" spans="6:65" ht="15.75" customHeight="1" x14ac:dyDescent="0.25">
      <c r="F64" s="197"/>
      <c r="G64" s="197">
        <f t="shared" si="3"/>
        <v>0</v>
      </c>
      <c r="H64" s="197">
        <f t="shared" si="4"/>
        <v>162</v>
      </c>
      <c r="I64" s="523">
        <v>1</v>
      </c>
      <c r="J64" s="533">
        <f>'Monthly DCF'!$I$3</f>
        <v>46418</v>
      </c>
      <c r="K64" s="533">
        <f t="shared" si="5"/>
        <v>46873</v>
      </c>
      <c r="L64" s="536">
        <f t="shared" si="55"/>
        <v>16</v>
      </c>
      <c r="M64" s="20" t="s">
        <v>366</v>
      </c>
      <c r="N64" s="20">
        <f t="shared" si="6"/>
        <v>8</v>
      </c>
      <c r="O64" s="537">
        <v>2</v>
      </c>
      <c r="P64" s="528">
        <f t="shared" ref="P64:BM64" si="66">IFERROR(+IF(AND($M64="Flat",P$5&gt;=$J64,P$5&lt;=$K64),$I64/$L64,0)+IF(AND($M64="S-Curve",P$5&gt;=$J64,P$5&lt;=$K64),(_xlfn.NORM.DIST((YEAR(P$5)-YEAR($J64))*12+MONTH(P$5)-MONTH($J64)+1,$L64/2,$N64,TRUE)-_xlfn.NORM.DIST((YEAR(P$5)-YEAR($J64))*12+MONTH(P$5)-MONTH($J64),$L64/2,$N64,TRUE))/(1-2*_xlfn.NORM.DIST(0,$L64/2,$N64,TRUE))*$I64," "),"")</f>
        <v>4.7066344642963241E-2</v>
      </c>
      <c r="Q64" s="528">
        <f t="shared" si="66"/>
        <v>5.2498829903127792E-2</v>
      </c>
      <c r="R64" s="528">
        <f t="shared" si="66"/>
        <v>5.7651651483056725E-2</v>
      </c>
      <c r="S64" s="528">
        <f t="shared" si="66"/>
        <v>6.23299613768507E-2</v>
      </c>
      <c r="T64" s="528">
        <f t="shared" si="66"/>
        <v>6.634450232931717E-2</v>
      </c>
      <c r="U64" s="528">
        <f t="shared" si="66"/>
        <v>6.9524200293783561E-2</v>
      </c>
      <c r="V64" s="528">
        <f t="shared" si="66"/>
        <v>7.1728218197004034E-2</v>
      </c>
      <c r="W64" s="528">
        <f t="shared" si="66"/>
        <v>7.2856291773896728E-2</v>
      </c>
      <c r="X64" s="528">
        <f t="shared" si="66"/>
        <v>7.2856291773896728E-2</v>
      </c>
      <c r="Y64" s="528">
        <f t="shared" si="66"/>
        <v>7.1728218197004034E-2</v>
      </c>
      <c r="Z64" s="528">
        <f t="shared" si="66"/>
        <v>6.9524200293783561E-2</v>
      </c>
      <c r="AA64" s="528">
        <f t="shared" si="66"/>
        <v>6.634450232931717E-2</v>
      </c>
      <c r="AB64" s="528">
        <f t="shared" si="66"/>
        <v>6.2329961376850616E-2</v>
      </c>
      <c r="AC64" s="528">
        <f t="shared" si="66"/>
        <v>5.7651651483056725E-2</v>
      </c>
      <c r="AD64" s="528">
        <f t="shared" si="66"/>
        <v>5.2498829903127958E-2</v>
      </c>
      <c r="AE64" s="528">
        <f t="shared" si="66"/>
        <v>4.70663446429632E-2</v>
      </c>
      <c r="AF64" s="528" t="str">
        <f t="shared" si="66"/>
        <v/>
      </c>
      <c r="AG64" s="528" t="str">
        <f t="shared" si="66"/>
        <v/>
      </c>
      <c r="AH64" s="528" t="str">
        <f t="shared" si="66"/>
        <v/>
      </c>
      <c r="AI64" s="528" t="str">
        <f t="shared" si="66"/>
        <v/>
      </c>
      <c r="AJ64" s="528" t="str">
        <f t="shared" si="66"/>
        <v/>
      </c>
      <c r="AK64" s="528" t="str">
        <f t="shared" si="66"/>
        <v/>
      </c>
      <c r="AL64" s="528" t="str">
        <f t="shared" si="66"/>
        <v/>
      </c>
      <c r="AM64" s="528" t="str">
        <f t="shared" si="66"/>
        <v/>
      </c>
      <c r="AN64" s="528" t="str">
        <f t="shared" si="66"/>
        <v/>
      </c>
      <c r="AO64" s="528" t="str">
        <f t="shared" si="66"/>
        <v/>
      </c>
      <c r="AP64" s="528" t="str">
        <f t="shared" si="66"/>
        <v/>
      </c>
      <c r="AQ64" s="528" t="str">
        <f t="shared" si="66"/>
        <v/>
      </c>
      <c r="AR64" s="528" t="str">
        <f t="shared" si="66"/>
        <v/>
      </c>
      <c r="AS64" s="528" t="str">
        <f t="shared" si="66"/>
        <v/>
      </c>
      <c r="AT64" s="528" t="str">
        <f t="shared" si="66"/>
        <v/>
      </c>
      <c r="AU64" s="528" t="str">
        <f t="shared" si="66"/>
        <v/>
      </c>
      <c r="AV64" s="528" t="str">
        <f t="shared" si="66"/>
        <v/>
      </c>
      <c r="AW64" s="528" t="str">
        <f t="shared" si="66"/>
        <v/>
      </c>
      <c r="AX64" s="528" t="str">
        <f t="shared" si="66"/>
        <v/>
      </c>
      <c r="AY64" s="528" t="str">
        <f t="shared" si="66"/>
        <v/>
      </c>
      <c r="AZ64" s="528" t="str">
        <f t="shared" si="66"/>
        <v/>
      </c>
      <c r="BA64" s="528" t="str">
        <f t="shared" si="66"/>
        <v/>
      </c>
      <c r="BB64" s="528" t="str">
        <f t="shared" si="66"/>
        <v/>
      </c>
      <c r="BC64" s="528" t="str">
        <f t="shared" si="66"/>
        <v/>
      </c>
      <c r="BD64" s="528" t="str">
        <f t="shared" si="66"/>
        <v/>
      </c>
      <c r="BE64" s="528" t="str">
        <f t="shared" si="66"/>
        <v/>
      </c>
      <c r="BF64" s="528" t="str">
        <f t="shared" si="66"/>
        <v/>
      </c>
      <c r="BG64" s="528" t="str">
        <f t="shared" si="66"/>
        <v/>
      </c>
      <c r="BH64" s="528" t="str">
        <f t="shared" si="66"/>
        <v/>
      </c>
      <c r="BI64" s="528" t="str">
        <f t="shared" si="66"/>
        <v/>
      </c>
      <c r="BJ64" s="528" t="str">
        <f t="shared" si="66"/>
        <v/>
      </c>
      <c r="BK64" s="528" t="str">
        <f t="shared" si="66"/>
        <v/>
      </c>
      <c r="BL64" s="528" t="str">
        <f t="shared" si="66"/>
        <v/>
      </c>
      <c r="BM64" s="528" t="str">
        <f t="shared" si="66"/>
        <v/>
      </c>
    </row>
    <row r="65" spans="6:65" ht="15.75" customHeight="1" x14ac:dyDescent="0.25">
      <c r="F65" s="197"/>
      <c r="G65" s="197">
        <f t="shared" si="3"/>
        <v>0</v>
      </c>
      <c r="H65" s="197">
        <f t="shared" si="4"/>
        <v>172</v>
      </c>
      <c r="I65" s="523">
        <v>1</v>
      </c>
      <c r="J65" s="533">
        <f>'Monthly DCF'!$I$3</f>
        <v>46418</v>
      </c>
      <c r="K65" s="533">
        <f t="shared" si="5"/>
        <v>46904</v>
      </c>
      <c r="L65" s="536">
        <f t="shared" si="55"/>
        <v>17</v>
      </c>
      <c r="M65" s="20" t="s">
        <v>366</v>
      </c>
      <c r="N65" s="20">
        <f t="shared" si="6"/>
        <v>8.5</v>
      </c>
      <c r="O65" s="537">
        <v>2</v>
      </c>
      <c r="P65" s="528">
        <f t="shared" ref="P65:BM65" si="67">IFERROR(+IF(AND($M65="Flat",P$5&gt;=$J65,P$5&lt;=$K65),$I65/$L65,0)+IF(AND($M65="S-Curve",P$5&gt;=$J65,P$5&lt;=$K65),(_xlfn.NORM.DIST((YEAR(P$5)-YEAR($J65))*12+MONTH(P$5)-MONTH($J65)+1,$L65/2,$N65,TRUE)-_xlfn.NORM.DIST((YEAR(P$5)-YEAR($J65))*12+MONTH(P$5)-MONTH($J65),$L65/2,$N65,TRUE))/(1-2*_xlfn.NORM.DIST(0,$L65/2,$N65,TRUE))*$I65," "),"")</f>
        <v>4.4145594963420888E-2</v>
      </c>
      <c r="Q65" s="528">
        <f t="shared" si="67"/>
        <v>4.8968621848400853E-2</v>
      </c>
      <c r="R65" s="528">
        <f t="shared" si="67"/>
        <v>5.3572796758222276E-2</v>
      </c>
      <c r="S65" s="528">
        <f t="shared" si="67"/>
        <v>5.7805170709568199E-2</v>
      </c>
      <c r="T65" s="528">
        <f t="shared" si="67"/>
        <v>6.1515560985229707E-2</v>
      </c>
      <c r="U65" s="528">
        <f t="shared" si="67"/>
        <v>6.4565307269604202E-2</v>
      </c>
      <c r="V65" s="528">
        <f t="shared" si="67"/>
        <v>6.683583659075891E-2</v>
      </c>
      <c r="W65" s="528">
        <f t="shared" si="67"/>
        <v>6.8236302874365815E-2</v>
      </c>
      <c r="X65" s="528">
        <f t="shared" si="67"/>
        <v>6.8709616000858301E-2</v>
      </c>
      <c r="Y65" s="528">
        <f t="shared" si="67"/>
        <v>6.8236302874365815E-2</v>
      </c>
      <c r="Z65" s="528">
        <f t="shared" si="67"/>
        <v>6.6835836590758743E-2</v>
      </c>
      <c r="AA65" s="528">
        <f t="shared" si="67"/>
        <v>6.4565307269604369E-2</v>
      </c>
      <c r="AB65" s="528">
        <f t="shared" si="67"/>
        <v>6.1515560985229624E-2</v>
      </c>
      <c r="AC65" s="528">
        <f t="shared" si="67"/>
        <v>5.7805170709568199E-2</v>
      </c>
      <c r="AD65" s="528">
        <f t="shared" si="67"/>
        <v>5.357279675822231E-2</v>
      </c>
      <c r="AE65" s="528">
        <f t="shared" si="67"/>
        <v>4.8968621848400853E-2</v>
      </c>
      <c r="AF65" s="528">
        <f t="shared" si="67"/>
        <v>4.4145594963420888E-2</v>
      </c>
      <c r="AG65" s="528" t="str">
        <f t="shared" si="67"/>
        <v/>
      </c>
      <c r="AH65" s="528" t="str">
        <f t="shared" si="67"/>
        <v/>
      </c>
      <c r="AI65" s="528" t="str">
        <f t="shared" si="67"/>
        <v/>
      </c>
      <c r="AJ65" s="528" t="str">
        <f t="shared" si="67"/>
        <v/>
      </c>
      <c r="AK65" s="528" t="str">
        <f t="shared" si="67"/>
        <v/>
      </c>
      <c r="AL65" s="528" t="str">
        <f t="shared" si="67"/>
        <v/>
      </c>
      <c r="AM65" s="528" t="str">
        <f t="shared" si="67"/>
        <v/>
      </c>
      <c r="AN65" s="528" t="str">
        <f t="shared" si="67"/>
        <v/>
      </c>
      <c r="AO65" s="528" t="str">
        <f t="shared" si="67"/>
        <v/>
      </c>
      <c r="AP65" s="528" t="str">
        <f t="shared" si="67"/>
        <v/>
      </c>
      <c r="AQ65" s="528" t="str">
        <f t="shared" si="67"/>
        <v/>
      </c>
      <c r="AR65" s="528" t="str">
        <f t="shared" si="67"/>
        <v/>
      </c>
      <c r="AS65" s="528" t="str">
        <f t="shared" si="67"/>
        <v/>
      </c>
      <c r="AT65" s="528" t="str">
        <f t="shared" si="67"/>
        <v/>
      </c>
      <c r="AU65" s="528" t="str">
        <f t="shared" si="67"/>
        <v/>
      </c>
      <c r="AV65" s="528" t="str">
        <f t="shared" si="67"/>
        <v/>
      </c>
      <c r="AW65" s="528" t="str">
        <f t="shared" si="67"/>
        <v/>
      </c>
      <c r="AX65" s="528" t="str">
        <f t="shared" si="67"/>
        <v/>
      </c>
      <c r="AY65" s="528" t="str">
        <f t="shared" si="67"/>
        <v/>
      </c>
      <c r="AZ65" s="528" t="str">
        <f t="shared" si="67"/>
        <v/>
      </c>
      <c r="BA65" s="528" t="str">
        <f t="shared" si="67"/>
        <v/>
      </c>
      <c r="BB65" s="528" t="str">
        <f t="shared" si="67"/>
        <v/>
      </c>
      <c r="BC65" s="528" t="str">
        <f t="shared" si="67"/>
        <v/>
      </c>
      <c r="BD65" s="528" t="str">
        <f t="shared" si="67"/>
        <v/>
      </c>
      <c r="BE65" s="528" t="str">
        <f t="shared" si="67"/>
        <v/>
      </c>
      <c r="BF65" s="528" t="str">
        <f t="shared" si="67"/>
        <v/>
      </c>
      <c r="BG65" s="528" t="str">
        <f t="shared" si="67"/>
        <v/>
      </c>
      <c r="BH65" s="528" t="str">
        <f t="shared" si="67"/>
        <v/>
      </c>
      <c r="BI65" s="528" t="str">
        <f t="shared" si="67"/>
        <v/>
      </c>
      <c r="BJ65" s="528" t="str">
        <f t="shared" si="67"/>
        <v/>
      </c>
      <c r="BK65" s="528" t="str">
        <f t="shared" si="67"/>
        <v/>
      </c>
      <c r="BL65" s="528" t="str">
        <f t="shared" si="67"/>
        <v/>
      </c>
      <c r="BM65" s="528" t="str">
        <f t="shared" si="67"/>
        <v/>
      </c>
    </row>
    <row r="66" spans="6:65" ht="15.75" customHeight="1" x14ac:dyDescent="0.25">
      <c r="F66" s="197"/>
      <c r="G66" s="197">
        <f t="shared" si="3"/>
        <v>0</v>
      </c>
      <c r="H66" s="197">
        <f t="shared" si="4"/>
        <v>182</v>
      </c>
      <c r="I66" s="523">
        <v>1</v>
      </c>
      <c r="J66" s="533">
        <f>'Monthly DCF'!$I$3</f>
        <v>46418</v>
      </c>
      <c r="K66" s="533">
        <f t="shared" si="5"/>
        <v>46934</v>
      </c>
      <c r="L66" s="536">
        <f t="shared" si="55"/>
        <v>18</v>
      </c>
      <c r="M66" s="20" t="s">
        <v>366</v>
      </c>
      <c r="N66" s="20">
        <f t="shared" si="6"/>
        <v>9</v>
      </c>
      <c r="O66" s="537">
        <v>2</v>
      </c>
      <c r="P66" s="528">
        <f t="shared" ref="P66:BM66" si="68">IFERROR(+IF(AND($M66="Flat",P$5&gt;=$J66,P$5&lt;=$K66),$I66/$L66,0)+IF(AND($M66="S-Curve",P$5&gt;=$J66,P$5&lt;=$K66),(_xlfn.NORM.DIST((YEAR(P$5)-YEAR($J66))*12+MONTH(P$5)-MONTH($J66)+1,$L66/2,$N66,TRUE)-_xlfn.NORM.DIST((YEAR(P$5)-YEAR($J66))*12+MONTH(P$5)-MONTH($J66),$L66/2,$N66,TRUE))/(1-2*_xlfn.NORM.DIST(0,$L66/2,$N66,TRUE))*$I66," "),"")</f>
        <v>4.1565228615363319E-2</v>
      </c>
      <c r="Q66" s="528">
        <f t="shared" si="68"/>
        <v>4.5875345932010772E-2</v>
      </c>
      <c r="R66" s="528">
        <f t="shared" si="68"/>
        <v>5.0011788051204056E-2</v>
      </c>
      <c r="S66" s="528">
        <f t="shared" si="68"/>
        <v>5.3852920882026055E-2</v>
      </c>
      <c r="T66" s="528">
        <f t="shared" si="68"/>
        <v>5.7278283873250499E-2</v>
      </c>
      <c r="U66" s="528">
        <f t="shared" si="68"/>
        <v>6.0174790110332173E-2</v>
      </c>
      <c r="V66" s="528">
        <f t="shared" si="68"/>
        <v>6.2442894141717567E-2</v>
      </c>
      <c r="W66" s="528">
        <f t="shared" si="68"/>
        <v>6.400226103812974E-2</v>
      </c>
      <c r="X66" s="528">
        <f t="shared" si="68"/>
        <v>6.4796487355965784E-2</v>
      </c>
      <c r="Y66" s="528">
        <f t="shared" si="68"/>
        <v>6.4796487355965784E-2</v>
      </c>
      <c r="Z66" s="528">
        <f t="shared" si="68"/>
        <v>6.400226103812974E-2</v>
      </c>
      <c r="AA66" s="528">
        <f t="shared" si="68"/>
        <v>6.2442894141717643E-2</v>
      </c>
      <c r="AB66" s="528">
        <f t="shared" si="68"/>
        <v>6.017479011033209E-2</v>
      </c>
      <c r="AC66" s="528">
        <f t="shared" si="68"/>
        <v>5.7278283873250582E-2</v>
      </c>
      <c r="AD66" s="528">
        <f t="shared" si="68"/>
        <v>5.3852920882025979E-2</v>
      </c>
      <c r="AE66" s="528">
        <f t="shared" si="68"/>
        <v>5.001178805120398E-2</v>
      </c>
      <c r="AF66" s="528">
        <f t="shared" si="68"/>
        <v>4.5875345932010814E-2</v>
      </c>
      <c r="AG66" s="528">
        <f t="shared" si="68"/>
        <v>4.1565228615363402E-2</v>
      </c>
      <c r="AH66" s="528" t="str">
        <f t="shared" si="68"/>
        <v/>
      </c>
      <c r="AI66" s="528" t="str">
        <f t="shared" si="68"/>
        <v/>
      </c>
      <c r="AJ66" s="528" t="str">
        <f t="shared" si="68"/>
        <v/>
      </c>
      <c r="AK66" s="528" t="str">
        <f t="shared" si="68"/>
        <v/>
      </c>
      <c r="AL66" s="528" t="str">
        <f t="shared" si="68"/>
        <v/>
      </c>
      <c r="AM66" s="528" t="str">
        <f t="shared" si="68"/>
        <v/>
      </c>
      <c r="AN66" s="528" t="str">
        <f t="shared" si="68"/>
        <v/>
      </c>
      <c r="AO66" s="528" t="str">
        <f t="shared" si="68"/>
        <v/>
      </c>
      <c r="AP66" s="528" t="str">
        <f t="shared" si="68"/>
        <v/>
      </c>
      <c r="AQ66" s="528" t="str">
        <f t="shared" si="68"/>
        <v/>
      </c>
      <c r="AR66" s="528" t="str">
        <f t="shared" si="68"/>
        <v/>
      </c>
      <c r="AS66" s="528" t="str">
        <f t="shared" si="68"/>
        <v/>
      </c>
      <c r="AT66" s="528" t="str">
        <f t="shared" si="68"/>
        <v/>
      </c>
      <c r="AU66" s="528" t="str">
        <f t="shared" si="68"/>
        <v/>
      </c>
      <c r="AV66" s="528" t="str">
        <f t="shared" si="68"/>
        <v/>
      </c>
      <c r="AW66" s="528" t="str">
        <f t="shared" si="68"/>
        <v/>
      </c>
      <c r="AX66" s="528" t="str">
        <f t="shared" si="68"/>
        <v/>
      </c>
      <c r="AY66" s="528" t="str">
        <f t="shared" si="68"/>
        <v/>
      </c>
      <c r="AZ66" s="528" t="str">
        <f t="shared" si="68"/>
        <v/>
      </c>
      <c r="BA66" s="528" t="str">
        <f t="shared" si="68"/>
        <v/>
      </c>
      <c r="BB66" s="528" t="str">
        <f t="shared" si="68"/>
        <v/>
      </c>
      <c r="BC66" s="528" t="str">
        <f t="shared" si="68"/>
        <v/>
      </c>
      <c r="BD66" s="528" t="str">
        <f t="shared" si="68"/>
        <v/>
      </c>
      <c r="BE66" s="528" t="str">
        <f t="shared" si="68"/>
        <v/>
      </c>
      <c r="BF66" s="528" t="str">
        <f t="shared" si="68"/>
        <v/>
      </c>
      <c r="BG66" s="528" t="str">
        <f t="shared" si="68"/>
        <v/>
      </c>
      <c r="BH66" s="528" t="str">
        <f t="shared" si="68"/>
        <v/>
      </c>
      <c r="BI66" s="528" t="str">
        <f t="shared" si="68"/>
        <v/>
      </c>
      <c r="BJ66" s="528" t="str">
        <f t="shared" si="68"/>
        <v/>
      </c>
      <c r="BK66" s="528" t="str">
        <f t="shared" si="68"/>
        <v/>
      </c>
      <c r="BL66" s="528" t="str">
        <f t="shared" si="68"/>
        <v/>
      </c>
      <c r="BM66" s="528" t="str">
        <f t="shared" si="68"/>
        <v/>
      </c>
    </row>
    <row r="67" spans="6:65" ht="15.75" customHeight="1" x14ac:dyDescent="0.25">
      <c r="F67" s="197"/>
      <c r="G67" s="197">
        <f t="shared" si="3"/>
        <v>0</v>
      </c>
      <c r="H67" s="197">
        <f t="shared" si="4"/>
        <v>192</v>
      </c>
      <c r="I67" s="523">
        <v>1</v>
      </c>
      <c r="J67" s="533">
        <f>'Monthly DCF'!$I$3</f>
        <v>46418</v>
      </c>
      <c r="K67" s="533">
        <f t="shared" si="5"/>
        <v>46965</v>
      </c>
      <c r="L67" s="536">
        <f t="shared" si="55"/>
        <v>19</v>
      </c>
      <c r="M67" s="20" t="s">
        <v>366</v>
      </c>
      <c r="N67" s="20">
        <f t="shared" si="6"/>
        <v>9.5</v>
      </c>
      <c r="O67" s="537">
        <v>2</v>
      </c>
      <c r="P67" s="528">
        <f t="shared" ref="P67:BM67" si="69">IFERROR(+IF(AND($M67="Flat",P$5&gt;=$J67,P$5&lt;=$K67),$I67/$L67,0)+IF(AND($M67="S-Curve",P$5&gt;=$J67,P$5&lt;=$K67),(_xlfn.NORM.DIST((YEAR(P$5)-YEAR($J67))*12+MONTH(P$5)-MONTH($J67)+1,$L67/2,$N67,TRUE)-_xlfn.NORM.DIST((YEAR(P$5)-YEAR($J67))*12+MONTH(P$5)-MONTH($J67),$L67/2,$N67,TRUE))/(1-2*_xlfn.NORM.DIST(0,$L67/2,$N67,TRUE))*$I67," "),"")</f>
        <v>3.9269149466416464E-2</v>
      </c>
      <c r="Q67" s="528">
        <f t="shared" si="69"/>
        <v>4.3143644384697623E-2</v>
      </c>
      <c r="R67" s="528">
        <f t="shared" si="69"/>
        <v>4.6878582692781466E-2</v>
      </c>
      <c r="S67" s="528">
        <f t="shared" si="69"/>
        <v>5.0376087125693393E-2</v>
      </c>
      <c r="T67" s="528">
        <f t="shared" si="69"/>
        <v>5.3538562140213214E-2</v>
      </c>
      <c r="U67" s="528">
        <f t="shared" si="69"/>
        <v>5.6273158135216432E-2</v>
      </c>
      <c r="V67" s="528">
        <f t="shared" si="69"/>
        <v>5.8496271964211165E-2</v>
      </c>
      <c r="W67" s="528">
        <f t="shared" si="69"/>
        <v>6.0137781505297867E-2</v>
      </c>
      <c r="X67" s="528">
        <f t="shared" si="69"/>
        <v>6.1144715862349923E-2</v>
      </c>
      <c r="Y67" s="528">
        <f t="shared" si="69"/>
        <v>6.1484093446244836E-2</v>
      </c>
      <c r="Z67" s="528">
        <f t="shared" si="69"/>
        <v>6.1144715862350006E-2</v>
      </c>
      <c r="AA67" s="528">
        <f t="shared" si="69"/>
        <v>6.0137781505297701E-2</v>
      </c>
      <c r="AB67" s="528">
        <f t="shared" si="69"/>
        <v>5.8496271964211248E-2</v>
      </c>
      <c r="AC67" s="528">
        <f t="shared" si="69"/>
        <v>5.6273158135216432E-2</v>
      </c>
      <c r="AD67" s="528">
        <f t="shared" si="69"/>
        <v>5.3538562140213214E-2</v>
      </c>
      <c r="AE67" s="528">
        <f t="shared" si="69"/>
        <v>5.0376087125693469E-2</v>
      </c>
      <c r="AF67" s="528">
        <f t="shared" si="69"/>
        <v>4.6878582692781383E-2</v>
      </c>
      <c r="AG67" s="528">
        <f t="shared" si="69"/>
        <v>4.3143644384697623E-2</v>
      </c>
      <c r="AH67" s="528">
        <f t="shared" si="69"/>
        <v>3.9269149466416506E-2</v>
      </c>
      <c r="AI67" s="528" t="str">
        <f t="shared" si="69"/>
        <v/>
      </c>
      <c r="AJ67" s="528" t="str">
        <f t="shared" si="69"/>
        <v/>
      </c>
      <c r="AK67" s="528" t="str">
        <f t="shared" si="69"/>
        <v/>
      </c>
      <c r="AL67" s="528" t="str">
        <f t="shared" si="69"/>
        <v/>
      </c>
      <c r="AM67" s="528" t="str">
        <f t="shared" si="69"/>
        <v/>
      </c>
      <c r="AN67" s="528" t="str">
        <f t="shared" si="69"/>
        <v/>
      </c>
      <c r="AO67" s="528" t="str">
        <f t="shared" si="69"/>
        <v/>
      </c>
      <c r="AP67" s="528" t="str">
        <f t="shared" si="69"/>
        <v/>
      </c>
      <c r="AQ67" s="528" t="str">
        <f t="shared" si="69"/>
        <v/>
      </c>
      <c r="AR67" s="528" t="str">
        <f t="shared" si="69"/>
        <v/>
      </c>
      <c r="AS67" s="528" t="str">
        <f t="shared" si="69"/>
        <v/>
      </c>
      <c r="AT67" s="528" t="str">
        <f t="shared" si="69"/>
        <v/>
      </c>
      <c r="AU67" s="528" t="str">
        <f t="shared" si="69"/>
        <v/>
      </c>
      <c r="AV67" s="528" t="str">
        <f t="shared" si="69"/>
        <v/>
      </c>
      <c r="AW67" s="528" t="str">
        <f t="shared" si="69"/>
        <v/>
      </c>
      <c r="AX67" s="528" t="str">
        <f t="shared" si="69"/>
        <v/>
      </c>
      <c r="AY67" s="528" t="str">
        <f t="shared" si="69"/>
        <v/>
      </c>
      <c r="AZ67" s="528" t="str">
        <f t="shared" si="69"/>
        <v/>
      </c>
      <c r="BA67" s="528" t="str">
        <f t="shared" si="69"/>
        <v/>
      </c>
      <c r="BB67" s="528" t="str">
        <f t="shared" si="69"/>
        <v/>
      </c>
      <c r="BC67" s="528" t="str">
        <f t="shared" si="69"/>
        <v/>
      </c>
      <c r="BD67" s="528" t="str">
        <f t="shared" si="69"/>
        <v/>
      </c>
      <c r="BE67" s="528" t="str">
        <f t="shared" si="69"/>
        <v/>
      </c>
      <c r="BF67" s="528" t="str">
        <f t="shared" si="69"/>
        <v/>
      </c>
      <c r="BG67" s="528" t="str">
        <f t="shared" si="69"/>
        <v/>
      </c>
      <c r="BH67" s="528" t="str">
        <f t="shared" si="69"/>
        <v/>
      </c>
      <c r="BI67" s="528" t="str">
        <f t="shared" si="69"/>
        <v/>
      </c>
      <c r="BJ67" s="528" t="str">
        <f t="shared" si="69"/>
        <v/>
      </c>
      <c r="BK67" s="528" t="str">
        <f t="shared" si="69"/>
        <v/>
      </c>
      <c r="BL67" s="528" t="str">
        <f t="shared" si="69"/>
        <v/>
      </c>
      <c r="BM67" s="528" t="str">
        <f t="shared" si="69"/>
        <v/>
      </c>
    </row>
    <row r="68" spans="6:65" ht="15.75" customHeight="1" x14ac:dyDescent="0.25">
      <c r="F68" s="197"/>
      <c r="G68" s="197">
        <f t="shared" si="3"/>
        <v>0</v>
      </c>
      <c r="H68" s="197">
        <f t="shared" si="4"/>
        <v>202</v>
      </c>
      <c r="I68" s="523">
        <v>1</v>
      </c>
      <c r="J68" s="533">
        <f>'Monthly DCF'!$I$3</f>
        <v>46418</v>
      </c>
      <c r="K68" s="533">
        <f t="shared" si="5"/>
        <v>46996</v>
      </c>
      <c r="L68" s="536">
        <f t="shared" si="55"/>
        <v>20</v>
      </c>
      <c r="M68" s="20" t="s">
        <v>366</v>
      </c>
      <c r="N68" s="20">
        <f t="shared" si="6"/>
        <v>10</v>
      </c>
      <c r="O68" s="537">
        <v>2</v>
      </c>
      <c r="P68" s="528">
        <f t="shared" ref="P68:BM68" si="70">IFERROR(+IF(AND($M68="Flat",P$5&gt;=$J68,P$5&lt;=$K68),$I68/$L68,0)+IF(AND($M68="S-Curve",P$5&gt;=$J68,P$5&lt;=$K68),(_xlfn.NORM.DIST((YEAR(P$5)-YEAR($J68))*12+MONTH(P$5)-MONTH($J68)+1,$L68/2,$N68,TRUE)-_xlfn.NORM.DIST((YEAR(P$5)-YEAR($J68))*12+MONTH(P$5)-MONTH($J68),$L68/2,$N68,TRUE))/(1-2*_xlfn.NORM.DIST(0,$L68/2,$N68,TRUE))*$I68," "),"")</f>
        <v>3.7212922870359835E-2</v>
      </c>
      <c r="Q68" s="528">
        <f t="shared" si="70"/>
        <v>4.0714370964795417E-2</v>
      </c>
      <c r="R68" s="528">
        <f t="shared" si="70"/>
        <v>4.4102412570355694E-2</v>
      </c>
      <c r="S68" s="528">
        <f t="shared" si="70"/>
        <v>4.729744034278581E-2</v>
      </c>
      <c r="T68" s="528">
        <f t="shared" si="70"/>
        <v>5.0219640657701702E-2</v>
      </c>
      <c r="U68" s="528">
        <f t="shared" si="70"/>
        <v>5.2792257796245377E-2</v>
      </c>
      <c r="V68" s="528">
        <f t="shared" si="70"/>
        <v>5.4944919840423413E-2</v>
      </c>
      <c r="W68" s="528">
        <f t="shared" si="70"/>
        <v>5.66168268224762E-2</v>
      </c>
      <c r="X68" s="528">
        <f t="shared" si="70"/>
        <v>5.7759600251992775E-2</v>
      </c>
      <c r="Y68" s="528">
        <f t="shared" si="70"/>
        <v>5.8339607882863735E-2</v>
      </c>
      <c r="Z68" s="528">
        <f t="shared" si="70"/>
        <v>5.8339607882863735E-2</v>
      </c>
      <c r="AA68" s="528">
        <f t="shared" si="70"/>
        <v>5.7759600251992692E-2</v>
      </c>
      <c r="AB68" s="528">
        <f t="shared" si="70"/>
        <v>5.6616826822476284E-2</v>
      </c>
      <c r="AC68" s="528">
        <f t="shared" si="70"/>
        <v>5.494491984042349E-2</v>
      </c>
      <c r="AD68" s="528">
        <f t="shared" si="70"/>
        <v>5.2792257796245294E-2</v>
      </c>
      <c r="AE68" s="528">
        <f t="shared" si="70"/>
        <v>5.0219640657701702E-2</v>
      </c>
      <c r="AF68" s="528">
        <f t="shared" si="70"/>
        <v>4.7297440342785727E-2</v>
      </c>
      <c r="AG68" s="528">
        <f t="shared" si="70"/>
        <v>4.4102412570355735E-2</v>
      </c>
      <c r="AH68" s="528">
        <f t="shared" si="70"/>
        <v>4.0714370964795417E-2</v>
      </c>
      <c r="AI68" s="528">
        <f t="shared" si="70"/>
        <v>3.7212922870359912E-2</v>
      </c>
      <c r="AJ68" s="528" t="str">
        <f t="shared" si="70"/>
        <v/>
      </c>
      <c r="AK68" s="528" t="str">
        <f t="shared" si="70"/>
        <v/>
      </c>
      <c r="AL68" s="528" t="str">
        <f t="shared" si="70"/>
        <v/>
      </c>
      <c r="AM68" s="528" t="str">
        <f t="shared" si="70"/>
        <v/>
      </c>
      <c r="AN68" s="528" t="str">
        <f t="shared" si="70"/>
        <v/>
      </c>
      <c r="AO68" s="528" t="str">
        <f t="shared" si="70"/>
        <v/>
      </c>
      <c r="AP68" s="528" t="str">
        <f t="shared" si="70"/>
        <v/>
      </c>
      <c r="AQ68" s="528" t="str">
        <f t="shared" si="70"/>
        <v/>
      </c>
      <c r="AR68" s="528" t="str">
        <f t="shared" si="70"/>
        <v/>
      </c>
      <c r="AS68" s="528" t="str">
        <f t="shared" si="70"/>
        <v/>
      </c>
      <c r="AT68" s="528" t="str">
        <f t="shared" si="70"/>
        <v/>
      </c>
      <c r="AU68" s="528" t="str">
        <f t="shared" si="70"/>
        <v/>
      </c>
      <c r="AV68" s="528" t="str">
        <f t="shared" si="70"/>
        <v/>
      </c>
      <c r="AW68" s="528" t="str">
        <f t="shared" si="70"/>
        <v/>
      </c>
      <c r="AX68" s="528" t="str">
        <f t="shared" si="70"/>
        <v/>
      </c>
      <c r="AY68" s="528" t="str">
        <f t="shared" si="70"/>
        <v/>
      </c>
      <c r="AZ68" s="528" t="str">
        <f t="shared" si="70"/>
        <v/>
      </c>
      <c r="BA68" s="528" t="str">
        <f t="shared" si="70"/>
        <v/>
      </c>
      <c r="BB68" s="528" t="str">
        <f t="shared" si="70"/>
        <v/>
      </c>
      <c r="BC68" s="528" t="str">
        <f t="shared" si="70"/>
        <v/>
      </c>
      <c r="BD68" s="528" t="str">
        <f t="shared" si="70"/>
        <v/>
      </c>
      <c r="BE68" s="528" t="str">
        <f t="shared" si="70"/>
        <v/>
      </c>
      <c r="BF68" s="528" t="str">
        <f t="shared" si="70"/>
        <v/>
      </c>
      <c r="BG68" s="528" t="str">
        <f t="shared" si="70"/>
        <v/>
      </c>
      <c r="BH68" s="528" t="str">
        <f t="shared" si="70"/>
        <v/>
      </c>
      <c r="BI68" s="528" t="str">
        <f t="shared" si="70"/>
        <v/>
      </c>
      <c r="BJ68" s="528" t="str">
        <f t="shared" si="70"/>
        <v/>
      </c>
      <c r="BK68" s="528" t="str">
        <f t="shared" si="70"/>
        <v/>
      </c>
      <c r="BL68" s="528" t="str">
        <f t="shared" si="70"/>
        <v/>
      </c>
      <c r="BM68" s="528" t="str">
        <f t="shared" si="70"/>
        <v/>
      </c>
    </row>
    <row r="69" spans="6:65" ht="15.75" customHeight="1" x14ac:dyDescent="0.25">
      <c r="F69" s="197"/>
      <c r="G69" s="197">
        <f t="shared" si="3"/>
        <v>0</v>
      </c>
      <c r="H69" s="197">
        <f t="shared" si="4"/>
        <v>212</v>
      </c>
      <c r="I69" s="523">
        <v>1</v>
      </c>
      <c r="J69" s="533">
        <f>'Monthly DCF'!$I$3</f>
        <v>46418</v>
      </c>
      <c r="K69" s="533">
        <f t="shared" si="5"/>
        <v>47026</v>
      </c>
      <c r="L69" s="536">
        <f t="shared" si="55"/>
        <v>21</v>
      </c>
      <c r="M69" s="20" t="s">
        <v>366</v>
      </c>
      <c r="N69" s="20">
        <f t="shared" si="6"/>
        <v>10.5</v>
      </c>
      <c r="O69" s="537">
        <v>2</v>
      </c>
      <c r="P69" s="528">
        <f t="shared" ref="P69:BM69" si="71">IFERROR(+IF(AND($M69="Flat",P$5&gt;=$J69,P$5&lt;=$K69),$I69/$L69,0)+IF(AND($M69="S-Curve",P$5&gt;=$J69,P$5&lt;=$K69),(_xlfn.NORM.DIST((YEAR(P$5)-YEAR($J69))*12+MONTH(P$5)-MONTH($J69)+1,$L69/2,$N69,TRUE)-_xlfn.NORM.DIST((YEAR(P$5)-YEAR($J69))*12+MONTH(P$5)-MONTH($J69),$L69/2,$N69,TRUE))/(1-2*_xlfn.NORM.DIST(0,$L69/2,$N69,TRUE))*$I69," "),"")</f>
        <v>3.5360899983079855E-2</v>
      </c>
      <c r="Q69" s="528">
        <f t="shared" si="71"/>
        <v>3.8540490388924271E-2</v>
      </c>
      <c r="R69" s="528">
        <f t="shared" si="71"/>
        <v>4.1626985271548581E-2</v>
      </c>
      <c r="S69" s="528">
        <f t="shared" si="71"/>
        <v>4.455500319966061E-2</v>
      </c>
      <c r="T69" s="528">
        <f t="shared" si="71"/>
        <v>4.7258702741912004E-2</v>
      </c>
      <c r="U69" s="528">
        <f t="shared" si="71"/>
        <v>4.9674203251633638E-2</v>
      </c>
      <c r="V69" s="528">
        <f t="shared" si="71"/>
        <v>5.1742072627427929E-2</v>
      </c>
      <c r="W69" s="528">
        <f t="shared" si="71"/>
        <v>5.340974812108451E-2</v>
      </c>
      <c r="X69" s="528">
        <f t="shared" si="71"/>
        <v>5.4633753135789859E-2</v>
      </c>
      <c r="Y69" s="528">
        <f t="shared" si="71"/>
        <v>5.5381579728611997E-2</v>
      </c>
      <c r="Z69" s="528">
        <f t="shared" si="71"/>
        <v>5.5633123100653409E-2</v>
      </c>
      <c r="AA69" s="528">
        <f t="shared" si="71"/>
        <v>5.5381579728611997E-2</v>
      </c>
      <c r="AB69" s="528">
        <f t="shared" si="71"/>
        <v>5.4633753135789859E-2</v>
      </c>
      <c r="AC69" s="528">
        <f t="shared" si="71"/>
        <v>5.3409748121084594E-2</v>
      </c>
      <c r="AD69" s="528">
        <f t="shared" si="71"/>
        <v>5.1742072627427846E-2</v>
      </c>
      <c r="AE69" s="528">
        <f t="shared" si="71"/>
        <v>4.9674203251633638E-2</v>
      </c>
      <c r="AF69" s="528">
        <f t="shared" si="71"/>
        <v>4.7258702741912004E-2</v>
      </c>
      <c r="AG69" s="528">
        <f t="shared" si="71"/>
        <v>4.4555003199660527E-2</v>
      </c>
      <c r="AH69" s="528">
        <f t="shared" si="71"/>
        <v>4.1626985271548657E-2</v>
      </c>
      <c r="AI69" s="528">
        <f t="shared" si="71"/>
        <v>3.854049038892423E-2</v>
      </c>
      <c r="AJ69" s="528">
        <f t="shared" si="71"/>
        <v>3.5360899983079938E-2</v>
      </c>
      <c r="AK69" s="528" t="str">
        <f t="shared" si="71"/>
        <v/>
      </c>
      <c r="AL69" s="528" t="str">
        <f t="shared" si="71"/>
        <v/>
      </c>
      <c r="AM69" s="528" t="str">
        <f t="shared" si="71"/>
        <v/>
      </c>
      <c r="AN69" s="528" t="str">
        <f t="shared" si="71"/>
        <v/>
      </c>
      <c r="AO69" s="528" t="str">
        <f t="shared" si="71"/>
        <v/>
      </c>
      <c r="AP69" s="528" t="str">
        <f t="shared" si="71"/>
        <v/>
      </c>
      <c r="AQ69" s="528" t="str">
        <f t="shared" si="71"/>
        <v/>
      </c>
      <c r="AR69" s="528" t="str">
        <f t="shared" si="71"/>
        <v/>
      </c>
      <c r="AS69" s="528" t="str">
        <f t="shared" si="71"/>
        <v/>
      </c>
      <c r="AT69" s="528" t="str">
        <f t="shared" si="71"/>
        <v/>
      </c>
      <c r="AU69" s="528" t="str">
        <f t="shared" si="71"/>
        <v/>
      </c>
      <c r="AV69" s="528" t="str">
        <f t="shared" si="71"/>
        <v/>
      </c>
      <c r="AW69" s="528" t="str">
        <f t="shared" si="71"/>
        <v/>
      </c>
      <c r="AX69" s="528" t="str">
        <f t="shared" si="71"/>
        <v/>
      </c>
      <c r="AY69" s="528" t="str">
        <f t="shared" si="71"/>
        <v/>
      </c>
      <c r="AZ69" s="528" t="str">
        <f t="shared" si="71"/>
        <v/>
      </c>
      <c r="BA69" s="528" t="str">
        <f t="shared" si="71"/>
        <v/>
      </c>
      <c r="BB69" s="528" t="str">
        <f t="shared" si="71"/>
        <v/>
      </c>
      <c r="BC69" s="528" t="str">
        <f t="shared" si="71"/>
        <v/>
      </c>
      <c r="BD69" s="528" t="str">
        <f t="shared" si="71"/>
        <v/>
      </c>
      <c r="BE69" s="528" t="str">
        <f t="shared" si="71"/>
        <v/>
      </c>
      <c r="BF69" s="528" t="str">
        <f t="shared" si="71"/>
        <v/>
      </c>
      <c r="BG69" s="528" t="str">
        <f t="shared" si="71"/>
        <v/>
      </c>
      <c r="BH69" s="528" t="str">
        <f t="shared" si="71"/>
        <v/>
      </c>
      <c r="BI69" s="528" t="str">
        <f t="shared" si="71"/>
        <v/>
      </c>
      <c r="BJ69" s="528" t="str">
        <f t="shared" si="71"/>
        <v/>
      </c>
      <c r="BK69" s="528" t="str">
        <f t="shared" si="71"/>
        <v/>
      </c>
      <c r="BL69" s="528" t="str">
        <f t="shared" si="71"/>
        <v/>
      </c>
      <c r="BM69" s="528" t="str">
        <f t="shared" si="71"/>
        <v/>
      </c>
    </row>
    <row r="70" spans="6:65" ht="15.75" customHeight="1" x14ac:dyDescent="0.25">
      <c r="F70" s="197"/>
      <c r="G70" s="197">
        <f t="shared" si="3"/>
        <v>0</v>
      </c>
      <c r="H70" s="197">
        <f t="shared" si="4"/>
        <v>222</v>
      </c>
      <c r="I70" s="523">
        <v>1</v>
      </c>
      <c r="J70" s="533">
        <f>'Monthly DCF'!$I$3</f>
        <v>46418</v>
      </c>
      <c r="K70" s="533">
        <f t="shared" si="5"/>
        <v>47057</v>
      </c>
      <c r="L70" s="536">
        <f t="shared" si="55"/>
        <v>22</v>
      </c>
      <c r="M70" s="20" t="s">
        <v>366</v>
      </c>
      <c r="N70" s="20">
        <f t="shared" si="6"/>
        <v>11</v>
      </c>
      <c r="O70" s="537">
        <v>2</v>
      </c>
      <c r="P70" s="528">
        <f t="shared" ref="P70:BM70" si="72">IFERROR(+IF(AND($M70="Flat",P$5&gt;=$J70,P$5&lt;=$K70),$I70/$L70,0)+IF(AND($M70="S-Curve",P$5&gt;=$J70,P$5&lt;=$K70),(_xlfn.NORM.DIST((YEAR(P$5)-YEAR($J70))*12+MONTH(P$5)-MONTH($J70)+1,$L70/2,$N70,TRUE)-_xlfn.NORM.DIST((YEAR(P$5)-YEAR($J70))*12+MONTH(P$5)-MONTH($J70),$L70/2,$N70,TRUE))/(1-2*_xlfn.NORM.DIST(0,$L70/2,$N70,TRUE))*$I70," "),"")</f>
        <v>3.3684151838936353E-2</v>
      </c>
      <c r="Q70" s="528">
        <f t="shared" si="72"/>
        <v>3.6584153690703253E-2</v>
      </c>
      <c r="R70" s="528">
        <f t="shared" si="72"/>
        <v>3.9407026797131921E-2</v>
      </c>
      <c r="S70" s="528">
        <f t="shared" si="72"/>
        <v>4.2098593417779634E-2</v>
      </c>
      <c r="T70" s="528">
        <f t="shared" si="72"/>
        <v>4.4604098081961564E-2</v>
      </c>
      <c r="U70" s="528">
        <f t="shared" si="72"/>
        <v>4.6870026487076138E-2</v>
      </c>
      <c r="V70" s="528">
        <f t="shared" si="72"/>
        <v>4.884598774183159E-2</v>
      </c>
      <c r="W70" s="528">
        <f t="shared" si="72"/>
        <v>5.0486568554179538E-2</v>
      </c>
      <c r="X70" s="528">
        <f t="shared" si="72"/>
        <v>5.1753064596988779E-2</v>
      </c>
      <c r="Y70" s="528">
        <f t="shared" si="72"/>
        <v>5.2614997091323418E-2</v>
      </c>
      <c r="Z70" s="528">
        <f t="shared" si="72"/>
        <v>5.3051331702087777E-2</v>
      </c>
      <c r="AA70" s="528">
        <f t="shared" si="72"/>
        <v>5.3051331702087694E-2</v>
      </c>
      <c r="AB70" s="528">
        <f t="shared" si="72"/>
        <v>5.2614997091323494E-2</v>
      </c>
      <c r="AC70" s="528">
        <f t="shared" si="72"/>
        <v>5.1753064596988779E-2</v>
      </c>
      <c r="AD70" s="528">
        <f t="shared" si="72"/>
        <v>5.0486568554179538E-2</v>
      </c>
      <c r="AE70" s="528">
        <f t="shared" si="72"/>
        <v>4.884598774183159E-2</v>
      </c>
      <c r="AF70" s="528">
        <f t="shared" si="72"/>
        <v>4.6870026487076138E-2</v>
      </c>
      <c r="AG70" s="528">
        <f t="shared" si="72"/>
        <v>4.4604098081961564E-2</v>
      </c>
      <c r="AH70" s="528">
        <f t="shared" si="72"/>
        <v>4.2098593417779592E-2</v>
      </c>
      <c r="AI70" s="528">
        <f t="shared" si="72"/>
        <v>3.9407026797131962E-2</v>
      </c>
      <c r="AJ70" s="528">
        <f t="shared" si="72"/>
        <v>3.6584153690703211E-2</v>
      </c>
      <c r="AK70" s="528">
        <f t="shared" si="72"/>
        <v>3.368415183893643E-2</v>
      </c>
      <c r="AL70" s="528" t="str">
        <f t="shared" si="72"/>
        <v/>
      </c>
      <c r="AM70" s="528" t="str">
        <f t="shared" si="72"/>
        <v/>
      </c>
      <c r="AN70" s="528" t="str">
        <f t="shared" si="72"/>
        <v/>
      </c>
      <c r="AO70" s="528" t="str">
        <f t="shared" si="72"/>
        <v/>
      </c>
      <c r="AP70" s="528" t="str">
        <f t="shared" si="72"/>
        <v/>
      </c>
      <c r="AQ70" s="528" t="str">
        <f t="shared" si="72"/>
        <v/>
      </c>
      <c r="AR70" s="528" t="str">
        <f t="shared" si="72"/>
        <v/>
      </c>
      <c r="AS70" s="528" t="str">
        <f t="shared" si="72"/>
        <v/>
      </c>
      <c r="AT70" s="528" t="str">
        <f t="shared" si="72"/>
        <v/>
      </c>
      <c r="AU70" s="528" t="str">
        <f t="shared" si="72"/>
        <v/>
      </c>
      <c r="AV70" s="528" t="str">
        <f t="shared" si="72"/>
        <v/>
      </c>
      <c r="AW70" s="528" t="str">
        <f t="shared" si="72"/>
        <v/>
      </c>
      <c r="AX70" s="528" t="str">
        <f t="shared" si="72"/>
        <v/>
      </c>
      <c r="AY70" s="528" t="str">
        <f t="shared" si="72"/>
        <v/>
      </c>
      <c r="AZ70" s="528" t="str">
        <f t="shared" si="72"/>
        <v/>
      </c>
      <c r="BA70" s="528" t="str">
        <f t="shared" si="72"/>
        <v/>
      </c>
      <c r="BB70" s="528" t="str">
        <f t="shared" si="72"/>
        <v/>
      </c>
      <c r="BC70" s="528" t="str">
        <f t="shared" si="72"/>
        <v/>
      </c>
      <c r="BD70" s="528" t="str">
        <f t="shared" si="72"/>
        <v/>
      </c>
      <c r="BE70" s="528" t="str">
        <f t="shared" si="72"/>
        <v/>
      </c>
      <c r="BF70" s="528" t="str">
        <f t="shared" si="72"/>
        <v/>
      </c>
      <c r="BG70" s="528" t="str">
        <f t="shared" si="72"/>
        <v/>
      </c>
      <c r="BH70" s="528" t="str">
        <f t="shared" si="72"/>
        <v/>
      </c>
      <c r="BI70" s="528" t="str">
        <f t="shared" si="72"/>
        <v/>
      </c>
      <c r="BJ70" s="528" t="str">
        <f t="shared" si="72"/>
        <v/>
      </c>
      <c r="BK70" s="528" t="str">
        <f t="shared" si="72"/>
        <v/>
      </c>
      <c r="BL70" s="528" t="str">
        <f t="shared" si="72"/>
        <v/>
      </c>
      <c r="BM70" s="528" t="str">
        <f t="shared" si="72"/>
        <v/>
      </c>
    </row>
    <row r="71" spans="6:65" ht="15.75" customHeight="1" x14ac:dyDescent="0.25">
      <c r="F71" s="197"/>
      <c r="G71" s="197">
        <f t="shared" si="3"/>
        <v>0</v>
      </c>
      <c r="H71" s="197">
        <f t="shared" si="4"/>
        <v>232</v>
      </c>
      <c r="I71" s="523">
        <v>1</v>
      </c>
      <c r="J71" s="533">
        <f>'Monthly DCF'!$I$3</f>
        <v>46418</v>
      </c>
      <c r="K71" s="533">
        <f t="shared" si="5"/>
        <v>47087</v>
      </c>
      <c r="L71" s="536">
        <f t="shared" si="55"/>
        <v>23</v>
      </c>
      <c r="M71" s="20" t="s">
        <v>366</v>
      </c>
      <c r="N71" s="20">
        <f t="shared" si="6"/>
        <v>11.5</v>
      </c>
      <c r="O71" s="537">
        <v>2</v>
      </c>
      <c r="P71" s="528">
        <f t="shared" ref="P71:BM71" si="73">IFERROR(+IF(AND($M71="Flat",P$5&gt;=$J71,P$5&lt;=$K71),$I71/$L71,0)+IF(AND($M71="S-Curve",P$5&gt;=$J71,P$5&lt;=$K71),(_xlfn.NORM.DIST((YEAR(P$5)-YEAR($J71))*12+MONTH(P$5)-MONTH($J71)+1,$L71/2,$N71,TRUE)-_xlfn.NORM.DIST((YEAR(P$5)-YEAR($J71))*12+MONTH(P$5)-MONTH($J71),$L71/2,$N71,TRUE))/(1-2*_xlfn.NORM.DIST(0,$L71/2,$N71,TRUE))*$I71," "),"")</f>
        <v>3.2158959422179639E-2</v>
      </c>
      <c r="Q71" s="528">
        <f t="shared" si="73"/>
        <v>3.4814576430967664E-2</v>
      </c>
      <c r="R71" s="528">
        <f t="shared" si="73"/>
        <v>3.7405754714037814E-2</v>
      </c>
      <c r="S71" s="528">
        <f t="shared" si="73"/>
        <v>3.9887232590039602E-2</v>
      </c>
      <c r="T71" s="528">
        <f t="shared" si="73"/>
        <v>4.2213131215143938E-2</v>
      </c>
      <c r="U71" s="528">
        <f t="shared" si="73"/>
        <v>4.4338337820001503E-2</v>
      </c>
      <c r="V71" s="528">
        <f t="shared" si="73"/>
        <v>4.6219945238771258E-2</v>
      </c>
      <c r="W71" s="528">
        <f t="shared" si="73"/>
        <v>4.7818684400189458E-2</v>
      </c>
      <c r="X71" s="528">
        <f t="shared" si="73"/>
        <v>4.9100283404746842E-2</v>
      </c>
      <c r="Y71" s="528">
        <f t="shared" si="73"/>
        <v>5.003668768221186E-2</v>
      </c>
      <c r="Z71" s="528">
        <f t="shared" si="73"/>
        <v>5.060708063081084E-2</v>
      </c>
      <c r="AA71" s="528">
        <f t="shared" si="73"/>
        <v>5.0798652901799107E-2</v>
      </c>
      <c r="AB71" s="528">
        <f t="shared" si="73"/>
        <v>5.0607080630810757E-2</v>
      </c>
      <c r="AC71" s="528">
        <f t="shared" si="73"/>
        <v>5.0036687682211936E-2</v>
      </c>
      <c r="AD71" s="528">
        <f t="shared" si="73"/>
        <v>4.9100283404746842E-2</v>
      </c>
      <c r="AE71" s="528">
        <f t="shared" si="73"/>
        <v>4.7818684400189458E-2</v>
      </c>
      <c r="AF71" s="528">
        <f t="shared" si="73"/>
        <v>4.6219945238771334E-2</v>
      </c>
      <c r="AG71" s="528">
        <f t="shared" si="73"/>
        <v>4.4338337820001419E-2</v>
      </c>
      <c r="AH71" s="528">
        <f t="shared" si="73"/>
        <v>4.2213131215143938E-2</v>
      </c>
      <c r="AI71" s="528">
        <f t="shared" si="73"/>
        <v>3.9887232590039561E-2</v>
      </c>
      <c r="AJ71" s="528">
        <f t="shared" si="73"/>
        <v>3.7405754714037891E-2</v>
      </c>
      <c r="AK71" s="528">
        <f t="shared" si="73"/>
        <v>3.4814576430967623E-2</v>
      </c>
      <c r="AL71" s="528">
        <f t="shared" si="73"/>
        <v>3.2158959422179681E-2</v>
      </c>
      <c r="AM71" s="528" t="str">
        <f t="shared" si="73"/>
        <v/>
      </c>
      <c r="AN71" s="528" t="str">
        <f t="shared" si="73"/>
        <v/>
      </c>
      <c r="AO71" s="528" t="str">
        <f t="shared" si="73"/>
        <v/>
      </c>
      <c r="AP71" s="528" t="str">
        <f t="shared" si="73"/>
        <v/>
      </c>
      <c r="AQ71" s="528" t="str">
        <f t="shared" si="73"/>
        <v/>
      </c>
      <c r="AR71" s="528" t="str">
        <f t="shared" si="73"/>
        <v/>
      </c>
      <c r="AS71" s="528" t="str">
        <f t="shared" si="73"/>
        <v/>
      </c>
      <c r="AT71" s="528" t="str">
        <f t="shared" si="73"/>
        <v/>
      </c>
      <c r="AU71" s="528" t="str">
        <f t="shared" si="73"/>
        <v/>
      </c>
      <c r="AV71" s="528" t="str">
        <f t="shared" si="73"/>
        <v/>
      </c>
      <c r="AW71" s="528" t="str">
        <f t="shared" si="73"/>
        <v/>
      </c>
      <c r="AX71" s="528" t="str">
        <f t="shared" si="73"/>
        <v/>
      </c>
      <c r="AY71" s="528" t="str">
        <f t="shared" si="73"/>
        <v/>
      </c>
      <c r="AZ71" s="528" t="str">
        <f t="shared" si="73"/>
        <v/>
      </c>
      <c r="BA71" s="528" t="str">
        <f t="shared" si="73"/>
        <v/>
      </c>
      <c r="BB71" s="528" t="str">
        <f t="shared" si="73"/>
        <v/>
      </c>
      <c r="BC71" s="528" t="str">
        <f t="shared" si="73"/>
        <v/>
      </c>
      <c r="BD71" s="528" t="str">
        <f t="shared" si="73"/>
        <v/>
      </c>
      <c r="BE71" s="528" t="str">
        <f t="shared" si="73"/>
        <v/>
      </c>
      <c r="BF71" s="528" t="str">
        <f t="shared" si="73"/>
        <v/>
      </c>
      <c r="BG71" s="528" t="str">
        <f t="shared" si="73"/>
        <v/>
      </c>
      <c r="BH71" s="528" t="str">
        <f t="shared" si="73"/>
        <v/>
      </c>
      <c r="BI71" s="528" t="str">
        <f t="shared" si="73"/>
        <v/>
      </c>
      <c r="BJ71" s="528" t="str">
        <f t="shared" si="73"/>
        <v/>
      </c>
      <c r="BK71" s="528" t="str">
        <f t="shared" si="73"/>
        <v/>
      </c>
      <c r="BL71" s="528" t="str">
        <f t="shared" si="73"/>
        <v/>
      </c>
      <c r="BM71" s="528" t="str">
        <f t="shared" si="73"/>
        <v/>
      </c>
    </row>
    <row r="72" spans="6:65" ht="15.75" customHeight="1" x14ac:dyDescent="0.25">
      <c r="F72" s="197"/>
      <c r="G72" s="197">
        <f t="shared" si="3"/>
        <v>0</v>
      </c>
      <c r="H72" s="197">
        <f t="shared" si="4"/>
        <v>242</v>
      </c>
      <c r="I72" s="523">
        <v>1</v>
      </c>
      <c r="J72" s="533">
        <f>'Monthly DCF'!$I$3</f>
        <v>46418</v>
      </c>
      <c r="K72" s="533">
        <f t="shared" si="5"/>
        <v>47118</v>
      </c>
      <c r="L72" s="536">
        <f t="shared" si="55"/>
        <v>24</v>
      </c>
      <c r="M72" s="20" t="s">
        <v>366</v>
      </c>
      <c r="N72" s="20">
        <f t="shared" si="6"/>
        <v>12</v>
      </c>
      <c r="O72" s="537">
        <v>2</v>
      </c>
      <c r="P72" s="528">
        <f t="shared" ref="P72:BM72" si="74">IFERROR(+IF(AND($M72="Flat",P$5&gt;=$J72,P$5&lt;=$K72),$I72/$L72,0)+IF(AND($M72="S-Curve",P$5&gt;=$J72,P$5&lt;=$K72),(_xlfn.NORM.DIST((YEAR(P$5)-YEAR($J72))*12+MONTH(P$5)-MONTH($J72)+1,$L72/2,$N72,TRUE)-_xlfn.NORM.DIST((YEAR(P$5)-YEAR($J72))*12+MONTH(P$5)-MONTH($J72),$L72/2,$N72,TRUE))/(1-2*_xlfn.NORM.DIST(0,$L72/2,$N72,TRUE))*$I72," "),"")</f>
        <v>3.0765692859252125E-2</v>
      </c>
      <c r="Q72" s="528">
        <f t="shared" si="74"/>
        <v>3.3206475359526234E-2</v>
      </c>
      <c r="R72" s="528">
        <f t="shared" si="74"/>
        <v>3.5593006327312673E-2</v>
      </c>
      <c r="S72" s="528">
        <f t="shared" si="74"/>
        <v>3.7887188052487114E-2</v>
      </c>
      <c r="T72" s="528">
        <f t="shared" si="74"/>
        <v>4.0050310379308431E-2</v>
      </c>
      <c r="U72" s="528">
        <f t="shared" si="74"/>
        <v>4.204411442811188E-2</v>
      </c>
      <c r="V72" s="528">
        <f t="shared" si="74"/>
        <v>4.3831904737584575E-2</v>
      </c>
      <c r="W72" s="528">
        <f t="shared" si="74"/>
        <v>4.5379665320603849E-2</v>
      </c>
      <c r="X72" s="528">
        <f t="shared" si="74"/>
        <v>4.6657132564912315E-2</v>
      </c>
      <c r="Y72" s="528">
        <f t="shared" si="74"/>
        <v>4.7638777872809894E-2</v>
      </c>
      <c r="Z72" s="528">
        <f t="shared" si="74"/>
        <v>4.8304655539739109E-2</v>
      </c>
      <c r="AA72" s="528">
        <f t="shared" si="74"/>
        <v>4.8641076558351759E-2</v>
      </c>
      <c r="AB72" s="528">
        <f t="shared" si="74"/>
        <v>4.8641076558351676E-2</v>
      </c>
      <c r="AC72" s="528">
        <f t="shared" si="74"/>
        <v>4.8304655539739193E-2</v>
      </c>
      <c r="AD72" s="528">
        <f t="shared" si="74"/>
        <v>4.7638777872809894E-2</v>
      </c>
      <c r="AE72" s="528">
        <f t="shared" si="74"/>
        <v>4.6657132564912399E-2</v>
      </c>
      <c r="AF72" s="528">
        <f t="shared" si="74"/>
        <v>4.5379665320603682E-2</v>
      </c>
      <c r="AG72" s="528">
        <f t="shared" si="74"/>
        <v>4.3831904737584658E-2</v>
      </c>
      <c r="AH72" s="528">
        <f t="shared" si="74"/>
        <v>4.204411442811188E-2</v>
      </c>
      <c r="AI72" s="528">
        <f t="shared" si="74"/>
        <v>4.0050310379308431E-2</v>
      </c>
      <c r="AJ72" s="528">
        <f t="shared" si="74"/>
        <v>3.7887188052487038E-2</v>
      </c>
      <c r="AK72" s="528">
        <f t="shared" si="74"/>
        <v>3.559300632731275E-2</v>
      </c>
      <c r="AL72" s="528">
        <f t="shared" si="74"/>
        <v>3.3206475359526151E-2</v>
      </c>
      <c r="AM72" s="528">
        <f t="shared" si="74"/>
        <v>3.076569285925225E-2</v>
      </c>
      <c r="AN72" s="528" t="str">
        <f t="shared" si="74"/>
        <v/>
      </c>
      <c r="AO72" s="528" t="str">
        <f t="shared" si="74"/>
        <v/>
      </c>
      <c r="AP72" s="528" t="str">
        <f t="shared" si="74"/>
        <v/>
      </c>
      <c r="AQ72" s="528" t="str">
        <f t="shared" si="74"/>
        <v/>
      </c>
      <c r="AR72" s="528" t="str">
        <f t="shared" si="74"/>
        <v/>
      </c>
      <c r="AS72" s="528" t="str">
        <f t="shared" si="74"/>
        <v/>
      </c>
      <c r="AT72" s="528" t="str">
        <f t="shared" si="74"/>
        <v/>
      </c>
      <c r="AU72" s="528" t="str">
        <f t="shared" si="74"/>
        <v/>
      </c>
      <c r="AV72" s="528" t="str">
        <f t="shared" si="74"/>
        <v/>
      </c>
      <c r="AW72" s="528" t="str">
        <f t="shared" si="74"/>
        <v/>
      </c>
      <c r="AX72" s="528" t="str">
        <f t="shared" si="74"/>
        <v/>
      </c>
      <c r="AY72" s="528" t="str">
        <f t="shared" si="74"/>
        <v/>
      </c>
      <c r="AZ72" s="528" t="str">
        <f t="shared" si="74"/>
        <v/>
      </c>
      <c r="BA72" s="528" t="str">
        <f t="shared" si="74"/>
        <v/>
      </c>
      <c r="BB72" s="528" t="str">
        <f t="shared" si="74"/>
        <v/>
      </c>
      <c r="BC72" s="528" t="str">
        <f t="shared" si="74"/>
        <v/>
      </c>
      <c r="BD72" s="528" t="str">
        <f t="shared" si="74"/>
        <v/>
      </c>
      <c r="BE72" s="528" t="str">
        <f t="shared" si="74"/>
        <v/>
      </c>
      <c r="BF72" s="528" t="str">
        <f t="shared" si="74"/>
        <v/>
      </c>
      <c r="BG72" s="528" t="str">
        <f t="shared" si="74"/>
        <v/>
      </c>
      <c r="BH72" s="528" t="str">
        <f t="shared" si="74"/>
        <v/>
      </c>
      <c r="BI72" s="528" t="str">
        <f t="shared" si="74"/>
        <v/>
      </c>
      <c r="BJ72" s="528" t="str">
        <f t="shared" si="74"/>
        <v/>
      </c>
      <c r="BK72" s="528" t="str">
        <f t="shared" si="74"/>
        <v/>
      </c>
      <c r="BL72" s="528" t="str">
        <f t="shared" si="74"/>
        <v/>
      </c>
      <c r="BM72" s="528" t="str">
        <f t="shared" si="74"/>
        <v/>
      </c>
    </row>
    <row r="73" spans="6:65" ht="15.75" customHeight="1" x14ac:dyDescent="0.25">
      <c r="F73" s="197"/>
      <c r="G73" s="197">
        <f t="shared" si="3"/>
        <v>0</v>
      </c>
      <c r="H73" s="197">
        <f t="shared" si="4"/>
        <v>252</v>
      </c>
      <c r="I73" s="523">
        <v>1</v>
      </c>
      <c r="J73" s="533">
        <f>'Monthly DCF'!$I$3</f>
        <v>46418</v>
      </c>
      <c r="K73" s="533">
        <f t="shared" si="5"/>
        <v>47149</v>
      </c>
      <c r="L73" s="536">
        <f t="shared" si="55"/>
        <v>25</v>
      </c>
      <c r="M73" s="20" t="s">
        <v>366</v>
      </c>
      <c r="N73" s="20">
        <f t="shared" si="6"/>
        <v>12.5</v>
      </c>
      <c r="O73" s="537">
        <v>2</v>
      </c>
      <c r="P73" s="528">
        <f t="shared" ref="P73:BM73" si="75">IFERROR(+IF(AND($M73="Flat",P$5&gt;=$J73,P$5&lt;=$K73),$I73/$L73,0)+IF(AND($M73="S-Curve",P$5&gt;=$J73,P$5&lt;=$K73),(_xlfn.NORM.DIST((YEAR(P$5)-YEAR($J73))*12+MONTH(P$5)-MONTH($J73)+1,$L73/2,$N73,TRUE)-_xlfn.NORM.DIST((YEAR(P$5)-YEAR($J73))*12+MONTH(P$5)-MONTH($J73),$L73/2,$N73,TRUE))/(1-2*_xlfn.NORM.DIST(0,$L73/2,$N73,TRUE))*$I73," "),"")</f>
        <v>2.9487967684834873E-2</v>
      </c>
      <c r="Q73" s="528">
        <f t="shared" si="75"/>
        <v>3.1738900181763688E-2</v>
      </c>
      <c r="R73" s="528">
        <f t="shared" si="75"/>
        <v>3.3943834560290174E-2</v>
      </c>
      <c r="S73" s="528">
        <f t="shared" si="75"/>
        <v>3.607048050334765E-2</v>
      </c>
      <c r="T73" s="528">
        <f t="shared" si="75"/>
        <v>3.8085963818060377E-2</v>
      </c>
      <c r="U73" s="528">
        <f t="shared" si="75"/>
        <v>3.9957652946289973E-2</v>
      </c>
      <c r="V73" s="528">
        <f t="shared" si="75"/>
        <v>4.1654026378242913E-2</v>
      </c>
      <c r="W73" s="528">
        <f t="shared" si="75"/>
        <v>4.3145549273373725E-2</v>
      </c>
      <c r="X73" s="528">
        <f t="shared" si="75"/>
        <v>4.4405525515407537E-2</v>
      </c>
      <c r="Y73" s="528">
        <f t="shared" si="75"/>
        <v>4.5410891003532544E-2</v>
      </c>
      <c r="Z73" s="528">
        <f t="shared" si="75"/>
        <v>4.6142915309722685E-2</v>
      </c>
      <c r="AA73" s="528">
        <f t="shared" si="75"/>
        <v>4.658778190387998E-2</v>
      </c>
      <c r="AB73" s="528">
        <f t="shared" si="75"/>
        <v>4.6737021842507609E-2</v>
      </c>
      <c r="AC73" s="528">
        <f t="shared" si="75"/>
        <v>4.6587781903880056E-2</v>
      </c>
      <c r="AD73" s="528">
        <f t="shared" si="75"/>
        <v>4.6142915309722608E-2</v>
      </c>
      <c r="AE73" s="528">
        <f t="shared" si="75"/>
        <v>4.5410891003532627E-2</v>
      </c>
      <c r="AF73" s="528">
        <f t="shared" si="75"/>
        <v>4.4405525515407621E-2</v>
      </c>
      <c r="AG73" s="528">
        <f t="shared" si="75"/>
        <v>4.3145549273373641E-2</v>
      </c>
      <c r="AH73" s="528">
        <f t="shared" si="75"/>
        <v>4.1654026378242913E-2</v>
      </c>
      <c r="AI73" s="528">
        <f t="shared" si="75"/>
        <v>3.9957652946289973E-2</v>
      </c>
      <c r="AJ73" s="528">
        <f t="shared" si="75"/>
        <v>3.8085963818060377E-2</v>
      </c>
      <c r="AK73" s="528">
        <f t="shared" si="75"/>
        <v>3.6070480503347692E-2</v>
      </c>
      <c r="AL73" s="528">
        <f t="shared" si="75"/>
        <v>3.3943834560290091E-2</v>
      </c>
      <c r="AM73" s="528">
        <f t="shared" si="75"/>
        <v>3.173890018176373E-2</v>
      </c>
      <c r="AN73" s="528">
        <f t="shared" si="75"/>
        <v>2.9487967684834911E-2</v>
      </c>
      <c r="AO73" s="528" t="str">
        <f t="shared" si="75"/>
        <v/>
      </c>
      <c r="AP73" s="528" t="str">
        <f t="shared" si="75"/>
        <v/>
      </c>
      <c r="AQ73" s="528" t="str">
        <f t="shared" si="75"/>
        <v/>
      </c>
      <c r="AR73" s="528" t="str">
        <f t="shared" si="75"/>
        <v/>
      </c>
      <c r="AS73" s="528" t="str">
        <f t="shared" si="75"/>
        <v/>
      </c>
      <c r="AT73" s="528" t="str">
        <f t="shared" si="75"/>
        <v/>
      </c>
      <c r="AU73" s="528" t="str">
        <f t="shared" si="75"/>
        <v/>
      </c>
      <c r="AV73" s="528" t="str">
        <f t="shared" si="75"/>
        <v/>
      </c>
      <c r="AW73" s="528" t="str">
        <f t="shared" si="75"/>
        <v/>
      </c>
      <c r="AX73" s="528" t="str">
        <f t="shared" si="75"/>
        <v/>
      </c>
      <c r="AY73" s="528" t="str">
        <f t="shared" si="75"/>
        <v/>
      </c>
      <c r="AZ73" s="528" t="str">
        <f t="shared" si="75"/>
        <v/>
      </c>
      <c r="BA73" s="528" t="str">
        <f t="shared" si="75"/>
        <v/>
      </c>
      <c r="BB73" s="528" t="str">
        <f t="shared" si="75"/>
        <v/>
      </c>
      <c r="BC73" s="528" t="str">
        <f t="shared" si="75"/>
        <v/>
      </c>
      <c r="BD73" s="528" t="str">
        <f t="shared" si="75"/>
        <v/>
      </c>
      <c r="BE73" s="528" t="str">
        <f t="shared" si="75"/>
        <v/>
      </c>
      <c r="BF73" s="528" t="str">
        <f t="shared" si="75"/>
        <v/>
      </c>
      <c r="BG73" s="528" t="str">
        <f t="shared" si="75"/>
        <v/>
      </c>
      <c r="BH73" s="528" t="str">
        <f t="shared" si="75"/>
        <v/>
      </c>
      <c r="BI73" s="528" t="str">
        <f t="shared" si="75"/>
        <v/>
      </c>
      <c r="BJ73" s="528" t="str">
        <f t="shared" si="75"/>
        <v/>
      </c>
      <c r="BK73" s="528" t="str">
        <f t="shared" si="75"/>
        <v/>
      </c>
      <c r="BL73" s="528" t="str">
        <f t="shared" si="75"/>
        <v/>
      </c>
      <c r="BM73" s="528" t="str">
        <f t="shared" si="75"/>
        <v/>
      </c>
    </row>
    <row r="74" spans="6:65" ht="15.75" customHeight="1" x14ac:dyDescent="0.25">
      <c r="F74" s="197"/>
      <c r="G74" s="197">
        <f t="shared" si="3"/>
        <v>0</v>
      </c>
      <c r="H74" s="197">
        <f t="shared" si="4"/>
        <v>262</v>
      </c>
      <c r="I74" s="523">
        <v>1</v>
      </c>
      <c r="J74" s="533">
        <f>'Monthly DCF'!$I$3</f>
        <v>46418</v>
      </c>
      <c r="K74" s="533">
        <f t="shared" si="5"/>
        <v>47177</v>
      </c>
      <c r="L74" s="536">
        <f t="shared" si="55"/>
        <v>26</v>
      </c>
      <c r="M74" s="20" t="s">
        <v>366</v>
      </c>
      <c r="N74" s="20">
        <f t="shared" si="6"/>
        <v>13</v>
      </c>
      <c r="O74" s="537">
        <v>2</v>
      </c>
      <c r="P74" s="528">
        <f t="shared" ref="P74:BM74" si="76">IFERROR(+IF(AND($M74="Flat",P$5&gt;=$J74,P$5&lt;=$K74),$I74/$L74,0)+IF(AND($M74="S-Curve",P$5&gt;=$J74,P$5&lt;=$K74),(_xlfn.NORM.DIST((YEAR(P$5)-YEAR($J74))*12+MONTH(P$5)-MONTH($J74)+1,$L74/2,$N74,TRUE)-_xlfn.NORM.DIST((YEAR(P$5)-YEAR($J74))*12+MONTH(P$5)-MONTH($J74),$L74/2,$N74,TRUE))/(1-2*_xlfn.NORM.DIST(0,$L74/2,$N74,TRUE))*$I74," "),"")</f>
        <v>2.8312001514631941E-2</v>
      </c>
      <c r="Q74" s="528">
        <f t="shared" si="76"/>
        <v>3.0394349236979701E-2</v>
      </c>
      <c r="R74" s="528">
        <f t="shared" si="76"/>
        <v>3.2437442287036967E-2</v>
      </c>
      <c r="S74" s="528">
        <f t="shared" si="76"/>
        <v>3.4413736774018183E-2</v>
      </c>
      <c r="T74" s="528">
        <f t="shared" si="76"/>
        <v>3.6295145306165524E-2</v>
      </c>
      <c r="U74" s="528">
        <f t="shared" si="76"/>
        <v>3.8053685382941169E-2</v>
      </c>
      <c r="V74" s="528">
        <f t="shared" si="76"/>
        <v>3.9662161992208546E-2</v>
      </c>
      <c r="W74" s="528">
        <f t="shared" si="76"/>
        <v>4.1094861558796519E-2</v>
      </c>
      <c r="X74" s="528">
        <f t="shared" si="76"/>
        <v>4.2328232738373925E-2</v>
      </c>
      <c r="Y74" s="528">
        <f t="shared" si="76"/>
        <v>4.334152899573792E-2</v>
      </c>
      <c r="Z74" s="528">
        <f t="shared" si="76"/>
        <v>4.4117388528839126E-2</v>
      </c>
      <c r="AA74" s="528">
        <f t="shared" si="76"/>
        <v>4.4642328911676951E-2</v>
      </c>
      <c r="AB74" s="528">
        <f t="shared" si="76"/>
        <v>4.4907136772593489E-2</v>
      </c>
      <c r="AC74" s="528">
        <f t="shared" si="76"/>
        <v>4.4907136772593489E-2</v>
      </c>
      <c r="AD74" s="528">
        <f t="shared" si="76"/>
        <v>4.4642328911676868E-2</v>
      </c>
      <c r="AE74" s="528">
        <f t="shared" si="76"/>
        <v>4.4117388528839209E-2</v>
      </c>
      <c r="AF74" s="528">
        <f t="shared" si="76"/>
        <v>4.334152899573792E-2</v>
      </c>
      <c r="AG74" s="528">
        <f t="shared" si="76"/>
        <v>4.2328232738374001E-2</v>
      </c>
      <c r="AH74" s="528">
        <f t="shared" si="76"/>
        <v>4.1094861558796436E-2</v>
      </c>
      <c r="AI74" s="528">
        <f t="shared" si="76"/>
        <v>3.9662161992208546E-2</v>
      </c>
      <c r="AJ74" s="528">
        <f t="shared" si="76"/>
        <v>3.8053685382941169E-2</v>
      </c>
      <c r="AK74" s="528">
        <f t="shared" si="76"/>
        <v>3.6295145306165524E-2</v>
      </c>
      <c r="AL74" s="528">
        <f t="shared" si="76"/>
        <v>3.4413736774018142E-2</v>
      </c>
      <c r="AM74" s="528">
        <f t="shared" si="76"/>
        <v>3.2437442287036926E-2</v>
      </c>
      <c r="AN74" s="528">
        <f t="shared" si="76"/>
        <v>3.0394349236979701E-2</v>
      </c>
      <c r="AO74" s="528">
        <f t="shared" si="76"/>
        <v>2.8312001514632062E-2</v>
      </c>
      <c r="AP74" s="528" t="str">
        <f t="shared" si="76"/>
        <v/>
      </c>
      <c r="AQ74" s="528" t="str">
        <f t="shared" si="76"/>
        <v/>
      </c>
      <c r="AR74" s="528" t="str">
        <f t="shared" si="76"/>
        <v/>
      </c>
      <c r="AS74" s="528" t="str">
        <f t="shared" si="76"/>
        <v/>
      </c>
      <c r="AT74" s="528" t="str">
        <f t="shared" si="76"/>
        <v/>
      </c>
      <c r="AU74" s="528" t="str">
        <f t="shared" si="76"/>
        <v/>
      </c>
      <c r="AV74" s="528" t="str">
        <f t="shared" si="76"/>
        <v/>
      </c>
      <c r="AW74" s="528" t="str">
        <f t="shared" si="76"/>
        <v/>
      </c>
      <c r="AX74" s="528" t="str">
        <f t="shared" si="76"/>
        <v/>
      </c>
      <c r="AY74" s="528" t="str">
        <f t="shared" si="76"/>
        <v/>
      </c>
      <c r="AZ74" s="528" t="str">
        <f t="shared" si="76"/>
        <v/>
      </c>
      <c r="BA74" s="528" t="str">
        <f t="shared" si="76"/>
        <v/>
      </c>
      <c r="BB74" s="528" t="str">
        <f t="shared" si="76"/>
        <v/>
      </c>
      <c r="BC74" s="528" t="str">
        <f t="shared" si="76"/>
        <v/>
      </c>
      <c r="BD74" s="528" t="str">
        <f t="shared" si="76"/>
        <v/>
      </c>
      <c r="BE74" s="528" t="str">
        <f t="shared" si="76"/>
        <v/>
      </c>
      <c r="BF74" s="528" t="str">
        <f t="shared" si="76"/>
        <v/>
      </c>
      <c r="BG74" s="528" t="str">
        <f t="shared" si="76"/>
        <v/>
      </c>
      <c r="BH74" s="528" t="str">
        <f t="shared" si="76"/>
        <v/>
      </c>
      <c r="BI74" s="528" t="str">
        <f t="shared" si="76"/>
        <v/>
      </c>
      <c r="BJ74" s="528" t="str">
        <f t="shared" si="76"/>
        <v/>
      </c>
      <c r="BK74" s="528" t="str">
        <f t="shared" si="76"/>
        <v/>
      </c>
      <c r="BL74" s="528" t="str">
        <f t="shared" si="76"/>
        <v/>
      </c>
      <c r="BM74" s="528" t="str">
        <f t="shared" si="76"/>
        <v/>
      </c>
    </row>
    <row r="75" spans="6:65" ht="15.75" customHeight="1" x14ac:dyDescent="0.25">
      <c r="F75" s="197"/>
      <c r="G75" s="197">
        <f t="shared" si="3"/>
        <v>0</v>
      </c>
      <c r="H75" s="197">
        <f t="shared" si="4"/>
        <v>272</v>
      </c>
      <c r="I75" s="523">
        <v>1</v>
      </c>
      <c r="J75" s="533">
        <f>'Monthly DCF'!$I$3</f>
        <v>46418</v>
      </c>
      <c r="K75" s="533">
        <f t="shared" si="5"/>
        <v>47208</v>
      </c>
      <c r="L75" s="536">
        <f t="shared" si="55"/>
        <v>27</v>
      </c>
      <c r="M75" s="20" t="s">
        <v>366</v>
      </c>
      <c r="N75" s="20">
        <f t="shared" si="6"/>
        <v>13.5</v>
      </c>
      <c r="O75" s="537">
        <v>2</v>
      </c>
      <c r="P75" s="528">
        <f t="shared" ref="P75:BM75" si="77">IFERROR(+IF(AND($M75="Flat",P$5&gt;=$J75,P$5&lt;=$K75),$I75/$L75,0)+IF(AND($M75="S-Curve",P$5&gt;=$J75,P$5&lt;=$K75),(_xlfn.NORM.DIST((YEAR(P$5)-YEAR($J75))*12+MONTH(P$5)-MONTH($J75)+1,$L75/2,$N75,TRUE)-_xlfn.NORM.DIST((YEAR(P$5)-YEAR($J75))*12+MONTH(P$5)-MONTH($J75),$L75/2,$N75,TRUE))/(1-2*_xlfn.NORM.DIST(0,$L75/2,$N75,TRUE))*$I75," "),"")</f>
        <v>2.7226117758183673E-2</v>
      </c>
      <c r="Q75" s="528">
        <f t="shared" si="77"/>
        <v>2.9158092114818547E-2</v>
      </c>
      <c r="R75" s="528">
        <f t="shared" si="77"/>
        <v>3.1056364674371874E-2</v>
      </c>
      <c r="S75" s="528">
        <f t="shared" si="77"/>
        <v>3.2897300422156987E-2</v>
      </c>
      <c r="T75" s="528">
        <f t="shared" si="77"/>
        <v>3.4656765930164243E-2</v>
      </c>
      <c r="U75" s="528">
        <f t="shared" si="77"/>
        <v>3.6310642580908888E-2</v>
      </c>
      <c r="V75" s="528">
        <f t="shared" si="77"/>
        <v>3.7835368241754708E-2</v>
      </c>
      <c r="W75" s="528">
        <f t="shared" si="77"/>
        <v>3.9208490719328533E-2</v>
      </c>
      <c r="X75" s="528">
        <f t="shared" si="77"/>
        <v>4.0409215022499431E-2</v>
      </c>
      <c r="Y75" s="528">
        <f t="shared" si="77"/>
        <v>4.1418925900272706E-2</v>
      </c>
      <c r="Z75" s="528">
        <f t="shared" si="77"/>
        <v>4.2221667358977436E-2</v>
      </c>
      <c r="AA75" s="528">
        <f t="shared" si="77"/>
        <v>4.2804561920597159E-2</v>
      </c>
      <c r="AB75" s="528">
        <f t="shared" si="77"/>
        <v>4.3158154235719254E-2</v>
      </c>
      <c r="AC75" s="528">
        <f t="shared" si="77"/>
        <v>4.3276666240493138E-2</v>
      </c>
      <c r="AD75" s="528">
        <f t="shared" si="77"/>
        <v>4.3158154235719171E-2</v>
      </c>
      <c r="AE75" s="528">
        <f t="shared" si="77"/>
        <v>4.2804561920597159E-2</v>
      </c>
      <c r="AF75" s="528">
        <f t="shared" si="77"/>
        <v>4.2221667358977352E-2</v>
      </c>
      <c r="AG75" s="528">
        <f t="shared" si="77"/>
        <v>4.1418925900272872E-2</v>
      </c>
      <c r="AH75" s="528">
        <f t="shared" si="77"/>
        <v>4.0409215022499348E-2</v>
      </c>
      <c r="AI75" s="528">
        <f t="shared" si="77"/>
        <v>3.9208490719328533E-2</v>
      </c>
      <c r="AJ75" s="528">
        <f t="shared" si="77"/>
        <v>3.7835368241754784E-2</v>
      </c>
      <c r="AK75" s="528">
        <f t="shared" si="77"/>
        <v>3.6310642580908811E-2</v>
      </c>
      <c r="AL75" s="528">
        <f t="shared" si="77"/>
        <v>3.4656765930164243E-2</v>
      </c>
      <c r="AM75" s="528">
        <f t="shared" si="77"/>
        <v>3.2897300422156904E-2</v>
      </c>
      <c r="AN75" s="528">
        <f t="shared" si="77"/>
        <v>3.1056364674371912E-2</v>
      </c>
      <c r="AO75" s="528">
        <f t="shared" si="77"/>
        <v>2.9158092114818627E-2</v>
      </c>
      <c r="AP75" s="528">
        <f t="shared" si="77"/>
        <v>2.7226117758183673E-2</v>
      </c>
      <c r="AQ75" s="528" t="str">
        <f t="shared" si="77"/>
        <v/>
      </c>
      <c r="AR75" s="528" t="str">
        <f t="shared" si="77"/>
        <v/>
      </c>
      <c r="AS75" s="528" t="str">
        <f t="shared" si="77"/>
        <v/>
      </c>
      <c r="AT75" s="528" t="str">
        <f t="shared" si="77"/>
        <v/>
      </c>
      <c r="AU75" s="528" t="str">
        <f t="shared" si="77"/>
        <v/>
      </c>
      <c r="AV75" s="528" t="str">
        <f t="shared" si="77"/>
        <v/>
      </c>
      <c r="AW75" s="528" t="str">
        <f t="shared" si="77"/>
        <v/>
      </c>
      <c r="AX75" s="528" t="str">
        <f t="shared" si="77"/>
        <v/>
      </c>
      <c r="AY75" s="528" t="str">
        <f t="shared" si="77"/>
        <v/>
      </c>
      <c r="AZ75" s="528" t="str">
        <f t="shared" si="77"/>
        <v/>
      </c>
      <c r="BA75" s="528" t="str">
        <f t="shared" si="77"/>
        <v/>
      </c>
      <c r="BB75" s="528" t="str">
        <f t="shared" si="77"/>
        <v/>
      </c>
      <c r="BC75" s="528" t="str">
        <f t="shared" si="77"/>
        <v/>
      </c>
      <c r="BD75" s="528" t="str">
        <f t="shared" si="77"/>
        <v/>
      </c>
      <c r="BE75" s="528" t="str">
        <f t="shared" si="77"/>
        <v/>
      </c>
      <c r="BF75" s="528" t="str">
        <f t="shared" si="77"/>
        <v/>
      </c>
      <c r="BG75" s="528" t="str">
        <f t="shared" si="77"/>
        <v/>
      </c>
      <c r="BH75" s="528" t="str">
        <f t="shared" si="77"/>
        <v/>
      </c>
      <c r="BI75" s="528" t="str">
        <f t="shared" si="77"/>
        <v/>
      </c>
      <c r="BJ75" s="528" t="str">
        <f t="shared" si="77"/>
        <v/>
      </c>
      <c r="BK75" s="528" t="str">
        <f t="shared" si="77"/>
        <v/>
      </c>
      <c r="BL75" s="528" t="str">
        <f t="shared" si="77"/>
        <v/>
      </c>
      <c r="BM75" s="528" t="str">
        <f t="shared" si="77"/>
        <v/>
      </c>
    </row>
    <row r="76" spans="6:65" ht="15.75" customHeight="1" x14ac:dyDescent="0.25">
      <c r="F76" s="197"/>
      <c r="G76" s="197">
        <f t="shared" si="3"/>
        <v>0</v>
      </c>
      <c r="H76" s="197">
        <f t="shared" si="4"/>
        <v>282</v>
      </c>
      <c r="I76" s="523">
        <v>1</v>
      </c>
      <c r="J76" s="533">
        <f>'Monthly DCF'!$I$3</f>
        <v>46418</v>
      </c>
      <c r="K76" s="533">
        <f t="shared" si="5"/>
        <v>47238</v>
      </c>
      <c r="L76" s="536">
        <f t="shared" si="55"/>
        <v>28</v>
      </c>
      <c r="M76" s="20" t="s">
        <v>366</v>
      </c>
      <c r="N76" s="20">
        <f t="shared" si="6"/>
        <v>14</v>
      </c>
      <c r="O76" s="537">
        <v>2</v>
      </c>
      <c r="P76" s="528">
        <f t="shared" ref="P76:BM76" si="78">IFERROR(+IF(AND($M76="Flat",P$5&gt;=$J76,P$5&lt;=$K76),$I76/$L76,0)+IF(AND($M76="S-Curve",P$5&gt;=$J76,P$5&lt;=$K76),(_xlfn.NORM.DIST((YEAR(P$5)-YEAR($J76))*12+MONTH(P$5)-MONTH($J76)+1,$L76/2,$N76,TRUE)-_xlfn.NORM.DIST((YEAR(P$5)-YEAR($J76))*12+MONTH(P$5)-MONTH($J76),$L76/2,$N76,TRUE))/(1-2*_xlfn.NORM.DIST(0,$L76/2,$N76,TRUE))*$I76," "),"")</f>
        <v>2.6220358636999966E-2</v>
      </c>
      <c r="Q76" s="528">
        <f t="shared" si="78"/>
        <v>2.8017645094986117E-2</v>
      </c>
      <c r="R76" s="528">
        <f t="shared" si="78"/>
        <v>2.9785835409701276E-2</v>
      </c>
      <c r="S76" s="528">
        <f t="shared" si="78"/>
        <v>3.1504536501865348E-2</v>
      </c>
      <c r="T76" s="528">
        <f t="shared" si="78"/>
        <v>3.3152902582191814E-2</v>
      </c>
      <c r="U76" s="528">
        <f t="shared" si="78"/>
        <v>3.4710044783045686E-2</v>
      </c>
      <c r="V76" s="528">
        <f t="shared" si="78"/>
        <v>3.6155464397208251E-2</v>
      </c>
      <c r="W76" s="528">
        <f t="shared" si="78"/>
        <v>3.7469497430760494E-2</v>
      </c>
      <c r="X76" s="528">
        <f t="shared" si="78"/>
        <v>3.8633757157513951E-2</v>
      </c>
      <c r="Y76" s="528">
        <f t="shared" si="78"/>
        <v>3.9631560846880694E-2</v>
      </c>
      <c r="Z76" s="528">
        <f t="shared" si="78"/>
        <v>4.0448326871801867E-2</v>
      </c>
      <c r="AA76" s="528">
        <f t="shared" si="78"/>
        <v>4.1071929008105787E-2</v>
      </c>
      <c r="AB76" s="528">
        <f t="shared" si="78"/>
        <v>4.1492995902596308E-2</v>
      </c>
      <c r="AC76" s="528">
        <f t="shared" si="78"/>
        <v>4.1705145376342394E-2</v>
      </c>
      <c r="AD76" s="528">
        <f t="shared" si="78"/>
        <v>4.1705145376342394E-2</v>
      </c>
      <c r="AE76" s="528">
        <f t="shared" si="78"/>
        <v>4.1492995902596308E-2</v>
      </c>
      <c r="AF76" s="528">
        <f t="shared" si="78"/>
        <v>4.1071929008105787E-2</v>
      </c>
      <c r="AG76" s="528">
        <f t="shared" si="78"/>
        <v>4.0448326871801867E-2</v>
      </c>
      <c r="AH76" s="528">
        <f t="shared" si="78"/>
        <v>3.9631560846880777E-2</v>
      </c>
      <c r="AI76" s="528">
        <f t="shared" si="78"/>
        <v>3.8633757157513868E-2</v>
      </c>
      <c r="AJ76" s="528">
        <f t="shared" si="78"/>
        <v>3.7469497430760494E-2</v>
      </c>
      <c r="AK76" s="528">
        <f t="shared" si="78"/>
        <v>3.6155464397208251E-2</v>
      </c>
      <c r="AL76" s="528">
        <f t="shared" si="78"/>
        <v>3.4710044783045686E-2</v>
      </c>
      <c r="AM76" s="528">
        <f t="shared" si="78"/>
        <v>3.315290258219173E-2</v>
      </c>
      <c r="AN76" s="528">
        <f t="shared" si="78"/>
        <v>3.1504536501865466E-2</v>
      </c>
      <c r="AO76" s="528">
        <f t="shared" si="78"/>
        <v>2.9785835409701276E-2</v>
      </c>
      <c r="AP76" s="528">
        <f t="shared" si="78"/>
        <v>2.8017645094986117E-2</v>
      </c>
      <c r="AQ76" s="528">
        <f t="shared" si="78"/>
        <v>2.6220358636999966E-2</v>
      </c>
      <c r="AR76" s="528" t="str">
        <f t="shared" si="78"/>
        <v/>
      </c>
      <c r="AS76" s="528" t="str">
        <f t="shared" si="78"/>
        <v/>
      </c>
      <c r="AT76" s="528" t="str">
        <f t="shared" si="78"/>
        <v/>
      </c>
      <c r="AU76" s="528" t="str">
        <f t="shared" si="78"/>
        <v/>
      </c>
      <c r="AV76" s="528" t="str">
        <f t="shared" si="78"/>
        <v/>
      </c>
      <c r="AW76" s="528" t="str">
        <f t="shared" si="78"/>
        <v/>
      </c>
      <c r="AX76" s="528" t="str">
        <f t="shared" si="78"/>
        <v/>
      </c>
      <c r="AY76" s="528" t="str">
        <f t="shared" si="78"/>
        <v/>
      </c>
      <c r="AZ76" s="528" t="str">
        <f t="shared" si="78"/>
        <v/>
      </c>
      <c r="BA76" s="528" t="str">
        <f t="shared" si="78"/>
        <v/>
      </c>
      <c r="BB76" s="528" t="str">
        <f t="shared" si="78"/>
        <v/>
      </c>
      <c r="BC76" s="528" t="str">
        <f t="shared" si="78"/>
        <v/>
      </c>
      <c r="BD76" s="528" t="str">
        <f t="shared" si="78"/>
        <v/>
      </c>
      <c r="BE76" s="528" t="str">
        <f t="shared" si="78"/>
        <v/>
      </c>
      <c r="BF76" s="528" t="str">
        <f t="shared" si="78"/>
        <v/>
      </c>
      <c r="BG76" s="528" t="str">
        <f t="shared" si="78"/>
        <v/>
      </c>
      <c r="BH76" s="528" t="str">
        <f t="shared" si="78"/>
        <v/>
      </c>
      <c r="BI76" s="528" t="str">
        <f t="shared" si="78"/>
        <v/>
      </c>
      <c r="BJ76" s="528" t="str">
        <f t="shared" si="78"/>
        <v/>
      </c>
      <c r="BK76" s="528" t="str">
        <f t="shared" si="78"/>
        <v/>
      </c>
      <c r="BL76" s="528" t="str">
        <f t="shared" si="78"/>
        <v/>
      </c>
      <c r="BM76" s="528" t="str">
        <f t="shared" si="78"/>
        <v/>
      </c>
    </row>
    <row r="77" spans="6:65" ht="15.75" customHeight="1" x14ac:dyDescent="0.25">
      <c r="F77" s="197"/>
      <c r="G77" s="197">
        <f t="shared" si="3"/>
        <v>0</v>
      </c>
      <c r="H77" s="197">
        <f t="shared" si="4"/>
        <v>292</v>
      </c>
      <c r="I77" s="523">
        <v>1</v>
      </c>
      <c r="J77" s="533">
        <f>'Monthly DCF'!$I$3</f>
        <v>46418</v>
      </c>
      <c r="K77" s="533">
        <f t="shared" si="5"/>
        <v>47269</v>
      </c>
      <c r="L77" s="536">
        <f t="shared" si="55"/>
        <v>29</v>
      </c>
      <c r="M77" s="20" t="s">
        <v>366</v>
      </c>
      <c r="N77" s="20">
        <f t="shared" si="6"/>
        <v>14.5</v>
      </c>
      <c r="O77" s="537">
        <v>2</v>
      </c>
      <c r="P77" s="528">
        <f t="shared" ref="P77:BM77" si="79">IFERROR(+IF(AND($M77="Flat",P$5&gt;=$J77,P$5&lt;=$K77),$I77/$L77,0)+IF(AND($M77="S-Curve",P$5&gt;=$J77,P$5&lt;=$K77),(_xlfn.NORM.DIST((YEAR(P$5)-YEAR($J77))*12+MONTH(P$5)-MONTH($J77)+1,$L77/2,$N77,TRUE)-_xlfn.NORM.DIST((YEAR(P$5)-YEAR($J77))*12+MONTH(P$5)-MONTH($J77),$L77/2,$N77,TRUE))/(1-2*_xlfn.NORM.DIST(0,$L77/2,$N77,TRUE))*$I77," "),"")</f>
        <v>2.5286180440069687E-2</v>
      </c>
      <c r="Q77" s="528">
        <f t="shared" si="79"/>
        <v>2.6962360819941387E-2</v>
      </c>
      <c r="R77" s="528">
        <f t="shared" si="79"/>
        <v>2.8613290781649182E-2</v>
      </c>
      <c r="S77" s="528">
        <f t="shared" si="79"/>
        <v>3.0221283787066008E-2</v>
      </c>
      <c r="T77" s="528">
        <f t="shared" si="79"/>
        <v>3.1768244624157123E-2</v>
      </c>
      <c r="U77" s="528">
        <f t="shared" si="79"/>
        <v>3.3235998910490651E-2</v>
      </c>
      <c r="V77" s="528">
        <f t="shared" si="79"/>
        <v>3.4606642175339333E-2</v>
      </c>
      <c r="W77" s="528">
        <f t="shared" si="79"/>
        <v>3.5862899362394417E-2</v>
      </c>
      <c r="X77" s="528">
        <f t="shared" si="79"/>
        <v>3.6988484797412603E-2</v>
      </c>
      <c r="Y77" s="528">
        <f t="shared" si="79"/>
        <v>3.7968452215385751E-2</v>
      </c>
      <c r="Z77" s="528">
        <f t="shared" si="79"/>
        <v>3.8789524374759105E-2</v>
      </c>
      <c r="AA77" s="528">
        <f t="shared" si="79"/>
        <v>3.9440392119489819E-2</v>
      </c>
      <c r="AB77" s="528">
        <f t="shared" si="79"/>
        <v>3.9911973482459756E-2</v>
      </c>
      <c r="AC77" s="528">
        <f t="shared" si="79"/>
        <v>4.0197624535866103E-2</v>
      </c>
      <c r="AD77" s="528">
        <f t="shared" si="79"/>
        <v>4.0293295147038159E-2</v>
      </c>
      <c r="AE77" s="528">
        <f t="shared" si="79"/>
        <v>4.0197624535866019E-2</v>
      </c>
      <c r="AF77" s="528">
        <f t="shared" si="79"/>
        <v>3.9911973482459756E-2</v>
      </c>
      <c r="AG77" s="528">
        <f t="shared" si="79"/>
        <v>3.9440392119489902E-2</v>
      </c>
      <c r="AH77" s="528">
        <f t="shared" si="79"/>
        <v>3.8789524374759105E-2</v>
      </c>
      <c r="AI77" s="528">
        <f t="shared" si="79"/>
        <v>3.7968452215385667E-2</v>
      </c>
      <c r="AJ77" s="528">
        <f t="shared" si="79"/>
        <v>3.6988484797412603E-2</v>
      </c>
      <c r="AK77" s="528">
        <f t="shared" si="79"/>
        <v>3.5862899362394417E-2</v>
      </c>
      <c r="AL77" s="528">
        <f t="shared" si="79"/>
        <v>3.4606642175339333E-2</v>
      </c>
      <c r="AM77" s="528">
        <f t="shared" si="79"/>
        <v>3.3235998910490651E-2</v>
      </c>
      <c r="AN77" s="528">
        <f t="shared" si="79"/>
        <v>3.1768244624157081E-2</v>
      </c>
      <c r="AO77" s="528">
        <f t="shared" si="79"/>
        <v>3.0221283787066129E-2</v>
      </c>
      <c r="AP77" s="528">
        <f t="shared" si="79"/>
        <v>2.8613290781649103E-2</v>
      </c>
      <c r="AQ77" s="528">
        <f t="shared" si="79"/>
        <v>2.6962360819941304E-2</v>
      </c>
      <c r="AR77" s="528">
        <f t="shared" si="79"/>
        <v>2.5286180440069809E-2</v>
      </c>
      <c r="AS77" s="528" t="str">
        <f t="shared" si="79"/>
        <v/>
      </c>
      <c r="AT77" s="528" t="str">
        <f t="shared" si="79"/>
        <v/>
      </c>
      <c r="AU77" s="528" t="str">
        <f t="shared" si="79"/>
        <v/>
      </c>
      <c r="AV77" s="528" t="str">
        <f t="shared" si="79"/>
        <v/>
      </c>
      <c r="AW77" s="528" t="str">
        <f t="shared" si="79"/>
        <v/>
      </c>
      <c r="AX77" s="528" t="str">
        <f t="shared" si="79"/>
        <v/>
      </c>
      <c r="AY77" s="528" t="str">
        <f t="shared" si="79"/>
        <v/>
      </c>
      <c r="AZ77" s="528" t="str">
        <f t="shared" si="79"/>
        <v/>
      </c>
      <c r="BA77" s="528" t="str">
        <f t="shared" si="79"/>
        <v/>
      </c>
      <c r="BB77" s="528" t="str">
        <f t="shared" si="79"/>
        <v/>
      </c>
      <c r="BC77" s="528" t="str">
        <f t="shared" si="79"/>
        <v/>
      </c>
      <c r="BD77" s="528" t="str">
        <f t="shared" si="79"/>
        <v/>
      </c>
      <c r="BE77" s="528" t="str">
        <f t="shared" si="79"/>
        <v/>
      </c>
      <c r="BF77" s="528" t="str">
        <f t="shared" si="79"/>
        <v/>
      </c>
      <c r="BG77" s="528" t="str">
        <f t="shared" si="79"/>
        <v/>
      </c>
      <c r="BH77" s="528" t="str">
        <f t="shared" si="79"/>
        <v/>
      </c>
      <c r="BI77" s="528" t="str">
        <f t="shared" si="79"/>
        <v/>
      </c>
      <c r="BJ77" s="528" t="str">
        <f t="shared" si="79"/>
        <v/>
      </c>
      <c r="BK77" s="528" t="str">
        <f t="shared" si="79"/>
        <v/>
      </c>
      <c r="BL77" s="528" t="str">
        <f t="shared" si="79"/>
        <v/>
      </c>
      <c r="BM77" s="528" t="str">
        <f t="shared" si="79"/>
        <v/>
      </c>
    </row>
    <row r="78" spans="6:65" ht="15.75" customHeight="1" x14ac:dyDescent="0.25">
      <c r="F78" s="197"/>
      <c r="G78" s="197">
        <f t="shared" si="3"/>
        <v>0</v>
      </c>
      <c r="H78" s="197">
        <f t="shared" si="4"/>
        <v>302</v>
      </c>
      <c r="I78" s="523">
        <v>1</v>
      </c>
      <c r="J78" s="533">
        <f>'Monthly DCF'!$I$3</f>
        <v>46418</v>
      </c>
      <c r="K78" s="533">
        <f t="shared" si="5"/>
        <v>47299</v>
      </c>
      <c r="L78" s="536">
        <f t="shared" si="55"/>
        <v>30</v>
      </c>
      <c r="M78" s="20" t="s">
        <v>366</v>
      </c>
      <c r="N78" s="20">
        <f t="shared" si="6"/>
        <v>15</v>
      </c>
      <c r="O78" s="537">
        <v>2</v>
      </c>
      <c r="P78" s="528">
        <f t="shared" ref="P78:BM78" si="80">IFERROR(+IF(AND($M78="Flat",P$5&gt;=$J78,P$5&lt;=$K78),$I78/$L78,0)+IF(AND($M78="S-Curve",P$5&gt;=$J78,P$5&lt;=$K78),(_xlfn.NORM.DIST((YEAR(P$5)-YEAR($J78))*12+MONTH(P$5)-MONTH($J78)+1,$L78/2,$N78,TRUE)-_xlfn.NORM.DIST((YEAR(P$5)-YEAR($J78))*12+MONTH(P$5)-MONTH($J78),$L78/2,$N78,TRUE))/(1-2*_xlfn.NORM.DIST(0,$L78/2,$N78,TRUE))*$I78," "),"")</f>
        <v>2.4416211341693382E-2</v>
      </c>
      <c r="Q78" s="528">
        <f t="shared" si="80"/>
        <v>2.5983104316062294E-2</v>
      </c>
      <c r="R78" s="528">
        <f t="shared" si="80"/>
        <v>2.7527978177399576E-2</v>
      </c>
      <c r="S78" s="528">
        <f t="shared" si="80"/>
        <v>2.9035419879322271E-2</v>
      </c>
      <c r="T78" s="528">
        <f t="shared" si="80"/>
        <v>3.0489648884100627E-2</v>
      </c>
      <c r="U78" s="528">
        <f t="shared" si="80"/>
        <v>3.1874784149718609E-2</v>
      </c>
      <c r="V78" s="528">
        <f t="shared" si="80"/>
        <v>3.3175127367025325E-2</v>
      </c>
      <c r="W78" s="528">
        <f t="shared" si="80"/>
        <v>3.437545555880147E-2</v>
      </c>
      <c r="X78" s="528">
        <f t="shared" si="80"/>
        <v>3.5461315528120284E-2</v>
      </c>
      <c r="Y78" s="528">
        <f t="shared" si="80"/>
        <v>3.6419312261943046E-2</v>
      </c>
      <c r="Z78" s="528">
        <f t="shared" si="80"/>
        <v>3.723738328340459E-2</v>
      </c>
      <c r="AA78" s="528">
        <f t="shared" si="80"/>
        <v>3.7905051117551984E-2</v>
      </c>
      <c r="AB78" s="528">
        <f t="shared" si="80"/>
        <v>3.8413646493072259E-2</v>
      </c>
      <c r="AC78" s="528">
        <f t="shared" si="80"/>
        <v>3.8756495636724876E-2</v>
      </c>
      <c r="AD78" s="528">
        <f t="shared" si="80"/>
        <v>3.8929066005059375E-2</v>
      </c>
      <c r="AE78" s="528">
        <f t="shared" si="80"/>
        <v>3.8929066005059375E-2</v>
      </c>
      <c r="AF78" s="528">
        <f t="shared" si="80"/>
        <v>3.8756495636724959E-2</v>
      </c>
      <c r="AG78" s="528">
        <f t="shared" si="80"/>
        <v>3.8413646493072093E-2</v>
      </c>
      <c r="AH78" s="528">
        <f t="shared" si="80"/>
        <v>3.790505111755206E-2</v>
      </c>
      <c r="AI78" s="528">
        <f t="shared" si="80"/>
        <v>3.7237383283404667E-2</v>
      </c>
      <c r="AJ78" s="528">
        <f t="shared" si="80"/>
        <v>3.6419312261943046E-2</v>
      </c>
      <c r="AK78" s="528">
        <f t="shared" si="80"/>
        <v>3.5461315528120201E-2</v>
      </c>
      <c r="AL78" s="528">
        <f t="shared" si="80"/>
        <v>3.4375455558801553E-2</v>
      </c>
      <c r="AM78" s="528">
        <f t="shared" si="80"/>
        <v>3.3175127367025242E-2</v>
      </c>
      <c r="AN78" s="528">
        <f t="shared" si="80"/>
        <v>3.1874784149718609E-2</v>
      </c>
      <c r="AO78" s="528">
        <f t="shared" si="80"/>
        <v>3.0489648884100586E-2</v>
      </c>
      <c r="AP78" s="528">
        <f t="shared" si="80"/>
        <v>2.9035419879322271E-2</v>
      </c>
      <c r="AQ78" s="528">
        <f t="shared" si="80"/>
        <v>2.7527978177399617E-2</v>
      </c>
      <c r="AR78" s="528">
        <f t="shared" si="80"/>
        <v>2.5983104316062211E-2</v>
      </c>
      <c r="AS78" s="528">
        <f t="shared" si="80"/>
        <v>2.4416211341693504E-2</v>
      </c>
      <c r="AT78" s="528" t="str">
        <f t="shared" si="80"/>
        <v/>
      </c>
      <c r="AU78" s="528" t="str">
        <f t="shared" si="80"/>
        <v/>
      </c>
      <c r="AV78" s="528" t="str">
        <f t="shared" si="80"/>
        <v/>
      </c>
      <c r="AW78" s="528" t="str">
        <f t="shared" si="80"/>
        <v/>
      </c>
      <c r="AX78" s="528" t="str">
        <f t="shared" si="80"/>
        <v/>
      </c>
      <c r="AY78" s="528" t="str">
        <f t="shared" si="80"/>
        <v/>
      </c>
      <c r="AZ78" s="528" t="str">
        <f t="shared" si="80"/>
        <v/>
      </c>
      <c r="BA78" s="528" t="str">
        <f t="shared" si="80"/>
        <v/>
      </c>
      <c r="BB78" s="528" t="str">
        <f t="shared" si="80"/>
        <v/>
      </c>
      <c r="BC78" s="528" t="str">
        <f t="shared" si="80"/>
        <v/>
      </c>
      <c r="BD78" s="528" t="str">
        <f t="shared" si="80"/>
        <v/>
      </c>
      <c r="BE78" s="528" t="str">
        <f t="shared" si="80"/>
        <v/>
      </c>
      <c r="BF78" s="528" t="str">
        <f t="shared" si="80"/>
        <v/>
      </c>
      <c r="BG78" s="528" t="str">
        <f t="shared" si="80"/>
        <v/>
      </c>
      <c r="BH78" s="528" t="str">
        <f t="shared" si="80"/>
        <v/>
      </c>
      <c r="BI78" s="528" t="str">
        <f t="shared" si="80"/>
        <v/>
      </c>
      <c r="BJ78" s="528" t="str">
        <f t="shared" si="80"/>
        <v/>
      </c>
      <c r="BK78" s="528" t="str">
        <f t="shared" si="80"/>
        <v/>
      </c>
      <c r="BL78" s="528" t="str">
        <f t="shared" si="80"/>
        <v/>
      </c>
      <c r="BM78" s="528" t="str">
        <f t="shared" si="80"/>
        <v/>
      </c>
    </row>
    <row r="79" spans="6:65" ht="15.75" customHeight="1" x14ac:dyDescent="0.25">
      <c r="F79" s="197"/>
      <c r="G79" s="197">
        <f t="shared" si="3"/>
        <v>0</v>
      </c>
      <c r="H79" s="197">
        <f t="shared" si="4"/>
        <v>312</v>
      </c>
      <c r="I79" s="523">
        <v>1</v>
      </c>
      <c r="J79" s="533">
        <f>'Monthly DCF'!$I$3</f>
        <v>46418</v>
      </c>
      <c r="K79" s="533">
        <f t="shared" si="5"/>
        <v>47330</v>
      </c>
      <c r="L79" s="536">
        <f t="shared" si="55"/>
        <v>31</v>
      </c>
      <c r="M79" s="20" t="s">
        <v>366</v>
      </c>
      <c r="N79" s="20">
        <f t="shared" si="6"/>
        <v>15.5</v>
      </c>
      <c r="O79" s="537">
        <v>2</v>
      </c>
      <c r="P79" s="528">
        <f t="shared" ref="P79:BM79" si="81">IFERROR(+IF(AND($M79="Flat",P$5&gt;=$J79,P$5&lt;=$K79),$I79/$L79,0)+IF(AND($M79="S-Curve",P$5&gt;=$J79,P$5&lt;=$K79),(_xlfn.NORM.DIST((YEAR(P$5)-YEAR($J79))*12+MONTH(P$5)-MONTH($J79)+1,$L79/2,$N79,TRUE)-_xlfn.NORM.DIST((YEAR(P$5)-YEAR($J79))*12+MONTH(P$5)-MONTH($J79),$L79/2,$N79,TRUE))/(1-2*_xlfn.NORM.DIST(0,$L79/2,$N79,TRUE))*$I79," "),"")</f>
        <v>2.3604057304508104E-2</v>
      </c>
      <c r="Q79" s="528">
        <f t="shared" si="81"/>
        <v>2.5071994966892559E-2</v>
      </c>
      <c r="R79" s="528">
        <f t="shared" si="81"/>
        <v>2.6520644440615134E-2</v>
      </c>
      <c r="S79" s="528">
        <f t="shared" si="81"/>
        <v>2.7936513420934957E-2</v>
      </c>
      <c r="T79" s="528">
        <f t="shared" si="81"/>
        <v>2.930577991183422E-2</v>
      </c>
      <c r="U79" s="528">
        <f t="shared" si="81"/>
        <v>3.061451004062582E-2</v>
      </c>
      <c r="V79" s="528">
        <f t="shared" si="81"/>
        <v>3.1848889381905124E-2</v>
      </c>
      <c r="W79" s="528">
        <f t="shared" si="81"/>
        <v>3.2995462562966198E-2</v>
      </c>
      <c r="X79" s="528">
        <f t="shared" si="81"/>
        <v>3.4041375433056388E-2</v>
      </c>
      <c r="Y79" s="528">
        <f t="shared" si="81"/>
        <v>3.4974613760657788E-2</v>
      </c>
      <c r="Z79" s="528">
        <f t="shared" si="81"/>
        <v>3.578423229575986E-2</v>
      </c>
      <c r="AA79" s="528">
        <f t="shared" si="81"/>
        <v>3.6460568109847782E-2</v>
      </c>
      <c r="AB79" s="528">
        <f t="shared" si="81"/>
        <v>3.6995432409118317E-2</v>
      </c>
      <c r="AC79" s="528">
        <f t="shared" si="81"/>
        <v>3.7382275501635434E-2</v>
      </c>
      <c r="AD79" s="528">
        <f t="shared" si="81"/>
        <v>3.7616320273585947E-2</v>
      </c>
      <c r="AE79" s="528">
        <f t="shared" si="81"/>
        <v>3.7694660372112727E-2</v>
      </c>
      <c r="AF79" s="528">
        <f t="shared" si="81"/>
        <v>3.7616320273585864E-2</v>
      </c>
      <c r="AG79" s="528">
        <f t="shared" si="81"/>
        <v>3.7382275501635434E-2</v>
      </c>
      <c r="AH79" s="528">
        <f t="shared" si="81"/>
        <v>3.6995432409118234E-2</v>
      </c>
      <c r="AI79" s="528">
        <f t="shared" si="81"/>
        <v>3.6460568109847866E-2</v>
      </c>
      <c r="AJ79" s="528">
        <f t="shared" si="81"/>
        <v>3.578423229575986E-2</v>
      </c>
      <c r="AK79" s="528">
        <f t="shared" si="81"/>
        <v>3.4974613760657712E-2</v>
      </c>
      <c r="AL79" s="528">
        <f t="shared" si="81"/>
        <v>3.4041375433056388E-2</v>
      </c>
      <c r="AM79" s="528">
        <f t="shared" si="81"/>
        <v>3.2995462562966281E-2</v>
      </c>
      <c r="AN79" s="528">
        <f t="shared" si="81"/>
        <v>3.1848889381905124E-2</v>
      </c>
      <c r="AO79" s="528">
        <f t="shared" si="81"/>
        <v>3.061451004062574E-2</v>
      </c>
      <c r="AP79" s="528">
        <f t="shared" si="81"/>
        <v>2.93057799118343E-2</v>
      </c>
      <c r="AQ79" s="528">
        <f t="shared" si="81"/>
        <v>2.7936513420934877E-2</v>
      </c>
      <c r="AR79" s="528">
        <f t="shared" si="81"/>
        <v>2.6520644440615214E-2</v>
      </c>
      <c r="AS79" s="528">
        <f t="shared" si="81"/>
        <v>2.5071994966892559E-2</v>
      </c>
      <c r="AT79" s="528">
        <f t="shared" si="81"/>
        <v>2.3604057304508146E-2</v>
      </c>
      <c r="AU79" s="528" t="str">
        <f t="shared" si="81"/>
        <v/>
      </c>
      <c r="AV79" s="528" t="str">
        <f t="shared" si="81"/>
        <v/>
      </c>
      <c r="AW79" s="528" t="str">
        <f t="shared" si="81"/>
        <v/>
      </c>
      <c r="AX79" s="528" t="str">
        <f t="shared" si="81"/>
        <v/>
      </c>
      <c r="AY79" s="528" t="str">
        <f t="shared" si="81"/>
        <v/>
      </c>
      <c r="AZ79" s="528" t="str">
        <f t="shared" si="81"/>
        <v/>
      </c>
      <c r="BA79" s="528" t="str">
        <f t="shared" si="81"/>
        <v/>
      </c>
      <c r="BB79" s="528" t="str">
        <f t="shared" si="81"/>
        <v/>
      </c>
      <c r="BC79" s="528" t="str">
        <f t="shared" si="81"/>
        <v/>
      </c>
      <c r="BD79" s="528" t="str">
        <f t="shared" si="81"/>
        <v/>
      </c>
      <c r="BE79" s="528" t="str">
        <f t="shared" si="81"/>
        <v/>
      </c>
      <c r="BF79" s="528" t="str">
        <f t="shared" si="81"/>
        <v/>
      </c>
      <c r="BG79" s="528" t="str">
        <f t="shared" si="81"/>
        <v/>
      </c>
      <c r="BH79" s="528" t="str">
        <f t="shared" si="81"/>
        <v/>
      </c>
      <c r="BI79" s="528" t="str">
        <f t="shared" si="81"/>
        <v/>
      </c>
      <c r="BJ79" s="528" t="str">
        <f t="shared" si="81"/>
        <v/>
      </c>
      <c r="BK79" s="528" t="str">
        <f t="shared" si="81"/>
        <v/>
      </c>
      <c r="BL79" s="528" t="str">
        <f t="shared" si="81"/>
        <v/>
      </c>
      <c r="BM79" s="528" t="str">
        <f t="shared" si="81"/>
        <v/>
      </c>
    </row>
    <row r="80" spans="6:65" ht="15.75" customHeight="1" x14ac:dyDescent="0.25">
      <c r="F80" s="197"/>
      <c r="G80" s="197">
        <f t="shared" si="3"/>
        <v>0</v>
      </c>
      <c r="H80" s="197">
        <f t="shared" si="4"/>
        <v>322</v>
      </c>
      <c r="I80" s="523">
        <v>1</v>
      </c>
      <c r="J80" s="533">
        <f>'Monthly DCF'!$I$3</f>
        <v>46418</v>
      </c>
      <c r="K80" s="533">
        <f t="shared" si="5"/>
        <v>47361</v>
      </c>
      <c r="L80" s="536">
        <f t="shared" si="55"/>
        <v>32</v>
      </c>
      <c r="M80" s="20" t="s">
        <v>366</v>
      </c>
      <c r="N80" s="20">
        <f t="shared" si="6"/>
        <v>16</v>
      </c>
      <c r="O80" s="537">
        <v>2</v>
      </c>
      <c r="P80" s="528">
        <f t="shared" ref="P80:BM80" si="82">IFERROR(+IF(AND($M80="Flat",P$5&gt;=$J80,P$5&lt;=$K80),$I80/$L80,0)+IF(AND($M80="S-Curve",P$5&gt;=$J80,P$5&lt;=$K80),(_xlfn.NORM.DIST((YEAR(P$5)-YEAR($J80))*12+MONTH(P$5)-MONTH($J80)+1,$L80/2,$N80,TRUE)-_xlfn.NORM.DIST((YEAR(P$5)-YEAR($J80))*12+MONTH(P$5)-MONTH($J80),$L80/2,$N80,TRUE))/(1-2*_xlfn.NORM.DIST(0,$L80/2,$N80,TRUE))*$I80," "),"")</f>
        <v>2.2844145294027444E-2</v>
      </c>
      <c r="Q80" s="528">
        <f t="shared" si="82"/>
        <v>2.4222199348935797E-2</v>
      </c>
      <c r="R80" s="528">
        <f t="shared" si="82"/>
        <v>2.5583285866792271E-2</v>
      </c>
      <c r="S80" s="528">
        <f t="shared" si="82"/>
        <v>2.6915544036335524E-2</v>
      </c>
      <c r="T80" s="528">
        <f t="shared" si="82"/>
        <v>2.8206817631120686E-2</v>
      </c>
      <c r="U80" s="528">
        <f t="shared" si="82"/>
        <v>2.9444833851936039E-2</v>
      </c>
      <c r="V80" s="528">
        <f t="shared" si="82"/>
        <v>3.0617393424692455E-2</v>
      </c>
      <c r="W80" s="528">
        <f t="shared" si="82"/>
        <v>3.1712567952158245E-2</v>
      </c>
      <c r="X80" s="528">
        <f t="shared" si="82"/>
        <v>3.2718900132722446E-2</v>
      </c>
      <c r="Y80" s="528">
        <f t="shared" si="82"/>
        <v>3.3625602196594724E-2</v>
      </c>
      <c r="Z80" s="528">
        <f t="shared" si="82"/>
        <v>3.44227477839191E-2</v>
      </c>
      <c r="AA80" s="528">
        <f t="shared" si="82"/>
        <v>3.5101452509864468E-2</v>
      </c>
      <c r="AB80" s="528">
        <f t="shared" si="82"/>
        <v>3.5654038633040515E-2</v>
      </c>
      <c r="AC80" s="528">
        <f t="shared" si="82"/>
        <v>3.607417956396352E-2</v>
      </c>
      <c r="AD80" s="528">
        <f t="shared" si="82"/>
        <v>3.6357020412263255E-2</v>
      </c>
      <c r="AE80" s="528">
        <f t="shared" si="82"/>
        <v>3.6499271361633473E-2</v>
      </c>
      <c r="AF80" s="528">
        <f t="shared" si="82"/>
        <v>3.6499271361633397E-2</v>
      </c>
      <c r="AG80" s="528">
        <f t="shared" si="82"/>
        <v>3.6357020412263338E-2</v>
      </c>
      <c r="AH80" s="528">
        <f t="shared" si="82"/>
        <v>3.6074179563963436E-2</v>
      </c>
      <c r="AI80" s="528">
        <f t="shared" si="82"/>
        <v>3.5654038633040598E-2</v>
      </c>
      <c r="AJ80" s="528">
        <f t="shared" si="82"/>
        <v>3.5101452509864385E-2</v>
      </c>
      <c r="AK80" s="528">
        <f t="shared" si="82"/>
        <v>3.4422747783919183E-2</v>
      </c>
      <c r="AL80" s="528">
        <f t="shared" si="82"/>
        <v>3.3625602196594724E-2</v>
      </c>
      <c r="AM80" s="528">
        <f t="shared" si="82"/>
        <v>3.2718900132722446E-2</v>
      </c>
      <c r="AN80" s="528">
        <f t="shared" si="82"/>
        <v>3.1712567952158245E-2</v>
      </c>
      <c r="AO80" s="528">
        <f t="shared" si="82"/>
        <v>3.0617393424692375E-2</v>
      </c>
      <c r="AP80" s="528">
        <f t="shared" si="82"/>
        <v>2.9444833851936119E-2</v>
      </c>
      <c r="AQ80" s="528">
        <f t="shared" si="82"/>
        <v>2.8206817631120602E-2</v>
      </c>
      <c r="AR80" s="528">
        <f t="shared" si="82"/>
        <v>2.6915544036335563E-2</v>
      </c>
      <c r="AS80" s="528">
        <f t="shared" si="82"/>
        <v>2.5583285866792392E-2</v>
      </c>
      <c r="AT80" s="528">
        <f t="shared" si="82"/>
        <v>2.4222199348935675E-2</v>
      </c>
      <c r="AU80" s="528">
        <f t="shared" si="82"/>
        <v>2.2844145294027524E-2</v>
      </c>
      <c r="AV80" s="528" t="str">
        <f t="shared" si="82"/>
        <v/>
      </c>
      <c r="AW80" s="528" t="str">
        <f t="shared" si="82"/>
        <v/>
      </c>
      <c r="AX80" s="528" t="str">
        <f t="shared" si="82"/>
        <v/>
      </c>
      <c r="AY80" s="528" t="str">
        <f t="shared" si="82"/>
        <v/>
      </c>
      <c r="AZ80" s="528" t="str">
        <f t="shared" si="82"/>
        <v/>
      </c>
      <c r="BA80" s="528" t="str">
        <f t="shared" si="82"/>
        <v/>
      </c>
      <c r="BB80" s="528" t="str">
        <f t="shared" si="82"/>
        <v/>
      </c>
      <c r="BC80" s="528" t="str">
        <f t="shared" si="82"/>
        <v/>
      </c>
      <c r="BD80" s="528" t="str">
        <f t="shared" si="82"/>
        <v/>
      </c>
      <c r="BE80" s="528" t="str">
        <f t="shared" si="82"/>
        <v/>
      </c>
      <c r="BF80" s="528" t="str">
        <f t="shared" si="82"/>
        <v/>
      </c>
      <c r="BG80" s="528" t="str">
        <f t="shared" si="82"/>
        <v/>
      </c>
      <c r="BH80" s="528" t="str">
        <f t="shared" si="82"/>
        <v/>
      </c>
      <c r="BI80" s="528" t="str">
        <f t="shared" si="82"/>
        <v/>
      </c>
      <c r="BJ80" s="528" t="str">
        <f t="shared" si="82"/>
        <v/>
      </c>
      <c r="BK80" s="528" t="str">
        <f t="shared" si="82"/>
        <v/>
      </c>
      <c r="BL80" s="528" t="str">
        <f t="shared" si="82"/>
        <v/>
      </c>
      <c r="BM80" s="528" t="str">
        <f t="shared" si="82"/>
        <v/>
      </c>
    </row>
    <row r="81" spans="6:65" ht="15.75" customHeight="1" x14ac:dyDescent="0.25">
      <c r="F81" s="197"/>
      <c r="G81" s="197">
        <f t="shared" si="3"/>
        <v>0</v>
      </c>
      <c r="H81" s="197">
        <f t="shared" si="4"/>
        <v>332</v>
      </c>
      <c r="I81" s="523">
        <v>1</v>
      </c>
      <c r="J81" s="533">
        <f>'Monthly DCF'!$I$3</f>
        <v>46418</v>
      </c>
      <c r="K81" s="533">
        <f t="shared" si="5"/>
        <v>47391</v>
      </c>
      <c r="L81" s="536">
        <f t="shared" si="55"/>
        <v>33</v>
      </c>
      <c r="M81" s="20" t="s">
        <v>366</v>
      </c>
      <c r="N81" s="20">
        <f t="shared" si="6"/>
        <v>16.5</v>
      </c>
      <c r="O81" s="537">
        <v>2</v>
      </c>
      <c r="P81" s="528">
        <f t="shared" ref="P81:BM81" si="83">IFERROR(+IF(AND($M81="Flat",P$5&gt;=$J81,P$5&lt;=$K81),$I81/$L81,0)+IF(AND($M81="S-Curve",P$5&gt;=$J81,P$5&lt;=$K81),(_xlfn.NORM.DIST((YEAR(P$5)-YEAR($J81))*12+MONTH(P$5)-MONTH($J81)+1,$L81/2,$N81,TRUE)-_xlfn.NORM.DIST((YEAR(P$5)-YEAR($J81))*12+MONTH(P$5)-MONTH($J81),$L81/2,$N81,TRUE))/(1-2*_xlfn.NORM.DIST(0,$L81/2,$N81,TRUE))*$I81," "),"")</f>
        <v>2.2131595702363636E-2</v>
      </c>
      <c r="Q81" s="528">
        <f t="shared" si="83"/>
        <v>2.342776364782001E-2</v>
      </c>
      <c r="R81" s="528">
        <f t="shared" si="83"/>
        <v>2.4708946179455956E-2</v>
      </c>
      <c r="S81" s="528">
        <f t="shared" si="83"/>
        <v>2.5964675323343133E-2</v>
      </c>
      <c r="T81" s="528">
        <f t="shared" si="83"/>
        <v>2.7184218522437745E-2</v>
      </c>
      <c r="U81" s="528">
        <f t="shared" si="83"/>
        <v>2.8356726369130676E-2</v>
      </c>
      <c r="V81" s="528">
        <f t="shared" si="83"/>
        <v>2.9471389739550439E-2</v>
      </c>
      <c r="W81" s="528">
        <f t="shared" si="83"/>
        <v>3.0517603241947511E-2</v>
      </c>
      <c r="X81" s="528">
        <f t="shared" si="83"/>
        <v>3.1485131587539752E-2</v>
      </c>
      <c r="Y81" s="528">
        <f t="shared" si="83"/>
        <v>3.2364275276400567E-2</v>
      </c>
      <c r="Z81" s="528">
        <f t="shared" si="83"/>
        <v>3.3146031874197457E-2</v>
      </c>
      <c r="AA81" s="528">
        <f t="shared" si="83"/>
        <v>3.3822249145413104E-2</v>
      </c>
      <c r="AB81" s="528">
        <f t="shared" si="83"/>
        <v>3.4385766409052727E-2</v>
      </c>
      <c r="AC81" s="528">
        <f t="shared" si="83"/>
        <v>3.4830540693658291E-2</v>
      </c>
      <c r="AD81" s="528">
        <f t="shared" si="83"/>
        <v>3.5151754585601179E-2</v>
      </c>
      <c r="AE81" s="528">
        <f t="shared" si="83"/>
        <v>3.5345903079908599E-2</v>
      </c>
      <c r="AF81" s="528">
        <f t="shared" si="83"/>
        <v>3.5410857244358433E-2</v>
      </c>
      <c r="AG81" s="528">
        <f t="shared" si="83"/>
        <v>3.5345903079908439E-2</v>
      </c>
      <c r="AH81" s="528">
        <f t="shared" si="83"/>
        <v>3.5151754585601262E-2</v>
      </c>
      <c r="AI81" s="528">
        <f t="shared" si="83"/>
        <v>3.4830540693658291E-2</v>
      </c>
      <c r="AJ81" s="528">
        <f t="shared" si="83"/>
        <v>3.4385766409052727E-2</v>
      </c>
      <c r="AK81" s="528">
        <f t="shared" si="83"/>
        <v>3.3822249145413187E-2</v>
      </c>
      <c r="AL81" s="528">
        <f t="shared" si="83"/>
        <v>3.3146031874197374E-2</v>
      </c>
      <c r="AM81" s="528">
        <f t="shared" si="83"/>
        <v>3.2364275276400567E-2</v>
      </c>
      <c r="AN81" s="528">
        <f t="shared" si="83"/>
        <v>3.1485131587539752E-2</v>
      </c>
      <c r="AO81" s="528">
        <f t="shared" si="83"/>
        <v>3.0517603241947511E-2</v>
      </c>
      <c r="AP81" s="528">
        <f t="shared" si="83"/>
        <v>2.9471389739550439E-2</v>
      </c>
      <c r="AQ81" s="528">
        <f t="shared" si="83"/>
        <v>2.8356726369130676E-2</v>
      </c>
      <c r="AR81" s="528">
        <f t="shared" si="83"/>
        <v>2.7184218522437704E-2</v>
      </c>
      <c r="AS81" s="528">
        <f t="shared" si="83"/>
        <v>2.5964675323343175E-2</v>
      </c>
      <c r="AT81" s="528">
        <f t="shared" si="83"/>
        <v>2.4708946179455998E-2</v>
      </c>
      <c r="AU81" s="528">
        <f t="shared" si="83"/>
        <v>2.342776364782001E-2</v>
      </c>
      <c r="AV81" s="528">
        <f t="shared" si="83"/>
        <v>2.2131595702363636E-2</v>
      </c>
      <c r="AW81" s="528" t="str">
        <f t="shared" si="83"/>
        <v/>
      </c>
      <c r="AX81" s="528" t="str">
        <f t="shared" si="83"/>
        <v/>
      </c>
      <c r="AY81" s="528" t="str">
        <f t="shared" si="83"/>
        <v/>
      </c>
      <c r="AZ81" s="528" t="str">
        <f t="shared" si="83"/>
        <v/>
      </c>
      <c r="BA81" s="528" t="str">
        <f t="shared" si="83"/>
        <v/>
      </c>
      <c r="BB81" s="528" t="str">
        <f t="shared" si="83"/>
        <v/>
      </c>
      <c r="BC81" s="528" t="str">
        <f t="shared" si="83"/>
        <v/>
      </c>
      <c r="BD81" s="528" t="str">
        <f t="shared" si="83"/>
        <v/>
      </c>
      <c r="BE81" s="528" t="str">
        <f t="shared" si="83"/>
        <v/>
      </c>
      <c r="BF81" s="528" t="str">
        <f t="shared" si="83"/>
        <v/>
      </c>
      <c r="BG81" s="528" t="str">
        <f t="shared" si="83"/>
        <v/>
      </c>
      <c r="BH81" s="528" t="str">
        <f t="shared" si="83"/>
        <v/>
      </c>
      <c r="BI81" s="528" t="str">
        <f t="shared" si="83"/>
        <v/>
      </c>
      <c r="BJ81" s="528" t="str">
        <f t="shared" si="83"/>
        <v/>
      </c>
      <c r="BK81" s="528" t="str">
        <f t="shared" si="83"/>
        <v/>
      </c>
      <c r="BL81" s="528" t="str">
        <f t="shared" si="83"/>
        <v/>
      </c>
      <c r="BM81" s="528" t="str">
        <f t="shared" si="83"/>
        <v/>
      </c>
    </row>
    <row r="82" spans="6:65" ht="15.75" customHeight="1" x14ac:dyDescent="0.25">
      <c r="F82" s="197"/>
      <c r="G82" s="197">
        <f t="shared" si="3"/>
        <v>0</v>
      </c>
      <c r="H82" s="197">
        <f t="shared" si="4"/>
        <v>342</v>
      </c>
      <c r="I82" s="523">
        <v>1</v>
      </c>
      <c r="J82" s="533">
        <f>'Monthly DCF'!$I$3</f>
        <v>46418</v>
      </c>
      <c r="K82" s="533">
        <f t="shared" si="5"/>
        <v>47422</v>
      </c>
      <c r="L82" s="536">
        <f t="shared" si="55"/>
        <v>34</v>
      </c>
      <c r="M82" s="20" t="s">
        <v>366</v>
      </c>
      <c r="N82" s="20">
        <f t="shared" si="6"/>
        <v>17</v>
      </c>
      <c r="O82" s="537">
        <v>2</v>
      </c>
      <c r="P82" s="528">
        <f t="shared" ref="P82:BM82" si="84">IFERROR(+IF(AND($M82="Flat",P$5&gt;=$J82,P$5&lt;=$K82),$I82/$L82,0)+IF(AND($M82="S-Curve",P$5&gt;=$J82,P$5&lt;=$K82),(_xlfn.NORM.DIST((YEAR(P$5)-YEAR($J82))*12+MONTH(P$5)-MONTH($J82)+1,$L82/2,$N82,TRUE)-_xlfn.NORM.DIST((YEAR(P$5)-YEAR($J82))*12+MONTH(P$5)-MONTH($J82),$L82/2,$N82,TRUE))/(1-2*_xlfn.NORM.DIST(0,$L82/2,$N82,TRUE))*$I82," "),"")</f>
        <v>2.1462117827831032E-2</v>
      </c>
      <c r="Q82" s="528">
        <f t="shared" si="84"/>
        <v>2.2683477135589856E-2</v>
      </c>
      <c r="R82" s="528">
        <f t="shared" si="84"/>
        <v>2.3891552157844179E-2</v>
      </c>
      <c r="S82" s="528">
        <f t="shared" si="84"/>
        <v>2.5077069690556675E-2</v>
      </c>
      <c r="T82" s="528">
        <f t="shared" si="84"/>
        <v>2.6230519534133207E-2</v>
      </c>
      <c r="U82" s="528">
        <f t="shared" si="84"/>
        <v>2.7342277224089065E-2</v>
      </c>
      <c r="V82" s="528">
        <f t="shared" si="84"/>
        <v>2.8402734637174559E-2</v>
      </c>
      <c r="W82" s="528">
        <f t="shared" si="84"/>
        <v>2.940243607239364E-2</v>
      </c>
      <c r="X82" s="528">
        <f t="shared" si="84"/>
        <v>3.0332217165591764E-2</v>
      </c>
      <c r="Y82" s="528">
        <f t="shared" si="84"/>
        <v>3.1183343819637947E-2</v>
      </c>
      <c r="Z82" s="528">
        <f t="shared" si="84"/>
        <v>3.1947648227807594E-2</v>
      </c>
      <c r="AA82" s="528">
        <f t="shared" si="84"/>
        <v>3.2617659041796615E-2</v>
      </c>
      <c r="AB82" s="528">
        <f t="shared" si="84"/>
        <v>3.3186722791252961E-2</v>
      </c>
      <c r="AC82" s="528">
        <f t="shared" si="84"/>
        <v>3.3649113799505949E-2</v>
      </c>
      <c r="AD82" s="528">
        <f t="shared" si="84"/>
        <v>3.4000130058144784E-2</v>
      </c>
      <c r="AE82" s="528">
        <f t="shared" si="84"/>
        <v>3.423617281622103E-2</v>
      </c>
      <c r="AF82" s="528">
        <f t="shared" si="84"/>
        <v>3.4354808000429109E-2</v>
      </c>
      <c r="AG82" s="528">
        <f t="shared" si="84"/>
        <v>3.4354808000429192E-2</v>
      </c>
      <c r="AH82" s="528">
        <f t="shared" si="84"/>
        <v>3.4236172816220864E-2</v>
      </c>
      <c r="AI82" s="528">
        <f t="shared" si="84"/>
        <v>3.4000130058144944E-2</v>
      </c>
      <c r="AJ82" s="528">
        <f t="shared" si="84"/>
        <v>3.3649113799505866E-2</v>
      </c>
      <c r="AK82" s="528">
        <f t="shared" si="84"/>
        <v>3.3186722791252884E-2</v>
      </c>
      <c r="AL82" s="528">
        <f t="shared" si="84"/>
        <v>3.2617659041796775E-2</v>
      </c>
      <c r="AM82" s="528">
        <f t="shared" si="84"/>
        <v>3.1947648227807594E-2</v>
      </c>
      <c r="AN82" s="528">
        <f t="shared" si="84"/>
        <v>3.1183343819637863E-2</v>
      </c>
      <c r="AO82" s="528">
        <f t="shared" si="84"/>
        <v>3.0332217165591764E-2</v>
      </c>
      <c r="AP82" s="528">
        <f t="shared" si="84"/>
        <v>2.940243607239364E-2</v>
      </c>
      <c r="AQ82" s="528">
        <f t="shared" si="84"/>
        <v>2.8402734637174559E-2</v>
      </c>
      <c r="AR82" s="528">
        <f t="shared" si="84"/>
        <v>2.7342277224089065E-2</v>
      </c>
      <c r="AS82" s="528">
        <f t="shared" si="84"/>
        <v>2.6230519534133249E-2</v>
      </c>
      <c r="AT82" s="528">
        <f t="shared" si="84"/>
        <v>2.5077069690556716E-2</v>
      </c>
      <c r="AU82" s="528">
        <f t="shared" si="84"/>
        <v>2.389155215784414E-2</v>
      </c>
      <c r="AV82" s="528">
        <f t="shared" si="84"/>
        <v>2.2683477135589856E-2</v>
      </c>
      <c r="AW82" s="528">
        <f t="shared" si="84"/>
        <v>2.1462117827831032E-2</v>
      </c>
      <c r="AX82" s="528" t="str">
        <f t="shared" si="84"/>
        <v/>
      </c>
      <c r="AY82" s="528" t="str">
        <f t="shared" si="84"/>
        <v/>
      </c>
      <c r="AZ82" s="528" t="str">
        <f t="shared" si="84"/>
        <v/>
      </c>
      <c r="BA82" s="528" t="str">
        <f t="shared" si="84"/>
        <v/>
      </c>
      <c r="BB82" s="528" t="str">
        <f t="shared" si="84"/>
        <v/>
      </c>
      <c r="BC82" s="528" t="str">
        <f t="shared" si="84"/>
        <v/>
      </c>
      <c r="BD82" s="528" t="str">
        <f t="shared" si="84"/>
        <v/>
      </c>
      <c r="BE82" s="528" t="str">
        <f t="shared" si="84"/>
        <v/>
      </c>
      <c r="BF82" s="528" t="str">
        <f t="shared" si="84"/>
        <v/>
      </c>
      <c r="BG82" s="528" t="str">
        <f t="shared" si="84"/>
        <v/>
      </c>
      <c r="BH82" s="528" t="str">
        <f t="shared" si="84"/>
        <v/>
      </c>
      <c r="BI82" s="528" t="str">
        <f t="shared" si="84"/>
        <v/>
      </c>
      <c r="BJ82" s="528" t="str">
        <f t="shared" si="84"/>
        <v/>
      </c>
      <c r="BK82" s="528" t="str">
        <f t="shared" si="84"/>
        <v/>
      </c>
      <c r="BL82" s="528" t="str">
        <f t="shared" si="84"/>
        <v/>
      </c>
      <c r="BM82" s="528" t="str">
        <f t="shared" si="84"/>
        <v/>
      </c>
    </row>
    <row r="83" spans="6:65" ht="15.75" customHeight="1" x14ac:dyDescent="0.25">
      <c r="F83" s="197"/>
      <c r="G83" s="197">
        <f t="shared" si="3"/>
        <v>0</v>
      </c>
      <c r="H83" s="197">
        <f t="shared" si="4"/>
        <v>352</v>
      </c>
      <c r="I83" s="523">
        <v>1</v>
      </c>
      <c r="J83" s="533">
        <f>'Monthly DCF'!$I$3</f>
        <v>46418</v>
      </c>
      <c r="K83" s="533">
        <f t="shared" si="5"/>
        <v>47452</v>
      </c>
      <c r="L83" s="536">
        <f t="shared" si="55"/>
        <v>35</v>
      </c>
      <c r="M83" s="20" t="s">
        <v>366</v>
      </c>
      <c r="N83" s="20">
        <f t="shared" si="6"/>
        <v>17.5</v>
      </c>
      <c r="O83" s="537">
        <v>2</v>
      </c>
      <c r="P83" s="528">
        <f t="shared" ref="P83:BM83" si="85">IFERROR(+IF(AND($M83="Flat",P$5&gt;=$J83,P$5&lt;=$K83),$I83/$L83,0)+IF(AND($M83="S-Curve",P$5&gt;=$J83,P$5&lt;=$K83),(_xlfn.NORM.DIST((YEAR(P$5)-YEAR($J83))*12+MONTH(P$5)-MONTH($J83)+1,$L83/2,$N83,TRUE)-_xlfn.NORM.DIST((YEAR(P$5)-YEAR($J83))*12+MONTH(P$5)-MONTH($J83),$L83/2,$N83,TRUE))/(1-2*_xlfn.NORM.DIST(0,$L83/2,$N83,TRUE))*$I83," "),"")</f>
        <v>2.083192369441994E-2</v>
      </c>
      <c r="Q83" s="528">
        <f t="shared" si="85"/>
        <v>2.1984760216453174E-2</v>
      </c>
      <c r="R83" s="528">
        <f t="shared" si="85"/>
        <v>2.3125779034989916E-2</v>
      </c>
      <c r="S83" s="528">
        <f t="shared" si="85"/>
        <v>2.4246736426333647E-2</v>
      </c>
      <c r="T83" s="528">
        <f t="shared" si="85"/>
        <v>2.5339176271356029E-2</v>
      </c>
      <c r="U83" s="528">
        <f t="shared" si="85"/>
        <v>2.639453256463048E-2</v>
      </c>
      <c r="V83" s="528">
        <f t="shared" si="85"/>
        <v>2.7404238540113573E-2</v>
      </c>
      <c r="W83" s="528">
        <f t="shared" si="85"/>
        <v>2.835984053358219E-2</v>
      </c>
      <c r="X83" s="528">
        <f t="shared" si="85"/>
        <v>2.9253114510594598E-2</v>
      </c>
      <c r="Y83" s="528">
        <f t="shared" si="85"/>
        <v>3.0076183044285408E-2</v>
      </c>
      <c r="Z83" s="528">
        <f t="shared" si="85"/>
        <v>3.0821630436040824E-2</v>
      </c>
      <c r="AA83" s="528">
        <f t="shared" si="85"/>
        <v>3.1482613638643825E-2</v>
      </c>
      <c r="AB83" s="528">
        <f t="shared" si="85"/>
        <v>3.205296666879251E-2</v>
      </c>
      <c r="AC83" s="528">
        <f t="shared" si="85"/>
        <v>3.2527296284907338E-2</v>
      </c>
      <c r="AD83" s="528">
        <f t="shared" si="85"/>
        <v>3.2901066855917802E-2</v>
      </c>
      <c r="AE83" s="528">
        <f t="shared" si="85"/>
        <v>3.3170672554173115E-2</v>
      </c>
      <c r="AF83" s="528">
        <f t="shared" si="85"/>
        <v>3.3333495265800657E-2</v>
      </c>
      <c r="AG83" s="528">
        <f t="shared" si="85"/>
        <v>3.3387946917929796E-2</v>
      </c>
      <c r="AH83" s="528">
        <f t="shared" si="85"/>
        <v>3.3333495265800733E-2</v>
      </c>
      <c r="AI83" s="528">
        <f t="shared" si="85"/>
        <v>3.3170672554173115E-2</v>
      </c>
      <c r="AJ83" s="528">
        <f t="shared" si="85"/>
        <v>3.2901066855917725E-2</v>
      </c>
      <c r="AK83" s="528">
        <f t="shared" si="85"/>
        <v>3.2527296284907498E-2</v>
      </c>
      <c r="AL83" s="528">
        <f t="shared" si="85"/>
        <v>3.2052966668792426E-2</v>
      </c>
      <c r="AM83" s="528">
        <f t="shared" si="85"/>
        <v>3.1482613638643825E-2</v>
      </c>
      <c r="AN83" s="528">
        <f t="shared" si="85"/>
        <v>3.0821630436040824E-2</v>
      </c>
      <c r="AO83" s="528">
        <f t="shared" si="85"/>
        <v>3.0076183044285408E-2</v>
      </c>
      <c r="AP83" s="528">
        <f t="shared" si="85"/>
        <v>2.9253114510594598E-2</v>
      </c>
      <c r="AQ83" s="528">
        <f t="shared" si="85"/>
        <v>2.835984053358219E-2</v>
      </c>
      <c r="AR83" s="528">
        <f t="shared" si="85"/>
        <v>2.7404238540113573E-2</v>
      </c>
      <c r="AS83" s="528">
        <f t="shared" si="85"/>
        <v>2.6394532564630396E-2</v>
      </c>
      <c r="AT83" s="528">
        <f t="shared" si="85"/>
        <v>2.5339176271356068E-2</v>
      </c>
      <c r="AU83" s="528">
        <f t="shared" si="85"/>
        <v>2.424673642633373E-2</v>
      </c>
      <c r="AV83" s="528">
        <f t="shared" si="85"/>
        <v>2.3125779034989916E-2</v>
      </c>
      <c r="AW83" s="528">
        <f t="shared" si="85"/>
        <v>2.1984760216453174E-2</v>
      </c>
      <c r="AX83" s="528">
        <f t="shared" si="85"/>
        <v>2.083192369441994E-2</v>
      </c>
      <c r="AY83" s="528" t="str">
        <f t="shared" si="85"/>
        <v/>
      </c>
      <c r="AZ83" s="528" t="str">
        <f t="shared" si="85"/>
        <v/>
      </c>
      <c r="BA83" s="528" t="str">
        <f t="shared" si="85"/>
        <v/>
      </c>
      <c r="BB83" s="528" t="str">
        <f t="shared" si="85"/>
        <v/>
      </c>
      <c r="BC83" s="528" t="str">
        <f t="shared" si="85"/>
        <v/>
      </c>
      <c r="BD83" s="528" t="str">
        <f t="shared" si="85"/>
        <v/>
      </c>
      <c r="BE83" s="528" t="str">
        <f t="shared" si="85"/>
        <v/>
      </c>
      <c r="BF83" s="528" t="str">
        <f t="shared" si="85"/>
        <v/>
      </c>
      <c r="BG83" s="528" t="str">
        <f t="shared" si="85"/>
        <v/>
      </c>
      <c r="BH83" s="528" t="str">
        <f t="shared" si="85"/>
        <v/>
      </c>
      <c r="BI83" s="528" t="str">
        <f t="shared" si="85"/>
        <v/>
      </c>
      <c r="BJ83" s="528" t="str">
        <f t="shared" si="85"/>
        <v/>
      </c>
      <c r="BK83" s="528" t="str">
        <f t="shared" si="85"/>
        <v/>
      </c>
      <c r="BL83" s="528" t="str">
        <f t="shared" si="85"/>
        <v/>
      </c>
      <c r="BM83" s="528" t="str">
        <f t="shared" si="85"/>
        <v/>
      </c>
    </row>
    <row r="84" spans="6:65" ht="15.75" customHeight="1" x14ac:dyDescent="0.25">
      <c r="F84" s="197"/>
      <c r="G84" s="197">
        <f t="shared" si="3"/>
        <v>0</v>
      </c>
      <c r="H84" s="197">
        <f t="shared" si="4"/>
        <v>362</v>
      </c>
      <c r="I84" s="523">
        <v>1</v>
      </c>
      <c r="J84" s="533">
        <f>'Monthly DCF'!$I$3</f>
        <v>46418</v>
      </c>
      <c r="K84" s="533">
        <f t="shared" si="5"/>
        <v>47483</v>
      </c>
      <c r="L84" s="536">
        <f t="shared" si="55"/>
        <v>36</v>
      </c>
      <c r="M84" s="20" t="s">
        <v>366</v>
      </c>
      <c r="N84" s="20">
        <f t="shared" si="6"/>
        <v>18</v>
      </c>
      <c r="O84" s="537">
        <v>2</v>
      </c>
      <c r="P84" s="528">
        <f t="shared" ref="P84:BM84" si="86">IFERROR(+IF(AND($M84="Flat",P$5&gt;=$J84,P$5&lt;=$K84),$I84/$L84,0)+IF(AND($M84="S-Curve",P$5&gt;=$J84,P$5&lt;=$K84),(_xlfn.NORM.DIST((YEAR(P$5)-YEAR($J84))*12+MONTH(P$5)-MONTH($J84)+1,$L84/2,$N84,TRUE)-_xlfn.NORM.DIST((YEAR(P$5)-YEAR($J84))*12+MONTH(P$5)-MONTH($J84),$L84/2,$N84,TRUE))/(1-2*_xlfn.NORM.DIST(0,$L84/2,$N84,TRUE))*$I84," "),"")</f>
        <v>2.0237656565654245E-2</v>
      </c>
      <c r="Q84" s="528">
        <f t="shared" si="86"/>
        <v>2.132757204970907E-2</v>
      </c>
      <c r="R84" s="528">
        <f t="shared" si="86"/>
        <v>2.2406939603415044E-2</v>
      </c>
      <c r="S84" s="528">
        <f t="shared" si="86"/>
        <v>2.3468406328595731E-2</v>
      </c>
      <c r="T84" s="528">
        <f t="shared" si="86"/>
        <v>2.450442882178825E-2</v>
      </c>
      <c r="U84" s="528">
        <f t="shared" si="86"/>
        <v>2.5507359229415806E-2</v>
      </c>
      <c r="V84" s="528">
        <f t="shared" si="86"/>
        <v>2.646953687882837E-2</v>
      </c>
      <c r="W84" s="528">
        <f t="shared" si="86"/>
        <v>2.7383384003197689E-2</v>
      </c>
      <c r="X84" s="528">
        <f t="shared" si="86"/>
        <v>2.8241503925394248E-2</v>
      </c>
      <c r="Y84" s="528">
        <f t="shared" si="86"/>
        <v>2.903677994785625E-2</v>
      </c>
      <c r="Z84" s="528">
        <f t="shared" si="86"/>
        <v>2.9762473116801236E-2</v>
      </c>
      <c r="AA84" s="528">
        <f t="shared" si="86"/>
        <v>3.0412316993530936E-2</v>
      </c>
      <c r="AB84" s="528">
        <f t="shared" si="86"/>
        <v>3.0980607575492539E-2</v>
      </c>
      <c r="AC84" s="528">
        <f t="shared" si="86"/>
        <v>3.1462286566225024E-2</v>
      </c>
      <c r="AD84" s="528">
        <f t="shared" si="86"/>
        <v>3.1853016296004649E-2</v>
      </c>
      <c r="AE84" s="528">
        <f t="shared" si="86"/>
        <v>3.2149244742125091E-2</v>
      </c>
      <c r="AF84" s="528">
        <f t="shared" si="86"/>
        <v>3.2348259286074842E-2</v>
      </c>
      <c r="AG84" s="528">
        <f t="shared" si="86"/>
        <v>3.2448228069890936E-2</v>
      </c>
      <c r="AH84" s="528">
        <f t="shared" si="86"/>
        <v>3.2448228069890936E-2</v>
      </c>
      <c r="AI84" s="528">
        <f t="shared" si="86"/>
        <v>3.2348259286074842E-2</v>
      </c>
      <c r="AJ84" s="528">
        <f t="shared" si="86"/>
        <v>3.2149244742125091E-2</v>
      </c>
      <c r="AK84" s="528">
        <f t="shared" si="86"/>
        <v>3.1853016296004649E-2</v>
      </c>
      <c r="AL84" s="528">
        <f t="shared" si="86"/>
        <v>3.1462286566225024E-2</v>
      </c>
      <c r="AM84" s="528">
        <f t="shared" si="86"/>
        <v>3.0980607575492623E-2</v>
      </c>
      <c r="AN84" s="528">
        <f t="shared" si="86"/>
        <v>3.0412316993530857E-2</v>
      </c>
      <c r="AO84" s="528">
        <f t="shared" si="86"/>
        <v>2.9762473116801236E-2</v>
      </c>
      <c r="AP84" s="528">
        <f t="shared" si="86"/>
        <v>2.903677994785625E-2</v>
      </c>
      <c r="AQ84" s="528">
        <f t="shared" si="86"/>
        <v>2.8241503925394332E-2</v>
      </c>
      <c r="AR84" s="528">
        <f t="shared" si="86"/>
        <v>2.7383384003197609E-2</v>
      </c>
      <c r="AS84" s="528">
        <f t="shared" si="86"/>
        <v>2.646953687882837E-2</v>
      </c>
      <c r="AT84" s="528">
        <f t="shared" si="86"/>
        <v>2.5507359229415768E-2</v>
      </c>
      <c r="AU84" s="528">
        <f t="shared" si="86"/>
        <v>2.4504428821788212E-2</v>
      </c>
      <c r="AV84" s="528">
        <f t="shared" si="86"/>
        <v>2.3468406328595811E-2</v>
      </c>
      <c r="AW84" s="528">
        <f t="shared" si="86"/>
        <v>2.2406939603415003E-2</v>
      </c>
      <c r="AX84" s="528">
        <f t="shared" si="86"/>
        <v>2.1327572049709153E-2</v>
      </c>
      <c r="AY84" s="528">
        <f t="shared" si="86"/>
        <v>2.0237656565654245E-2</v>
      </c>
      <c r="AZ84" s="528" t="str">
        <f t="shared" si="86"/>
        <v/>
      </c>
      <c r="BA84" s="528" t="str">
        <f t="shared" si="86"/>
        <v/>
      </c>
      <c r="BB84" s="528" t="str">
        <f t="shared" si="86"/>
        <v/>
      </c>
      <c r="BC84" s="528" t="str">
        <f t="shared" si="86"/>
        <v/>
      </c>
      <c r="BD84" s="528" t="str">
        <f t="shared" si="86"/>
        <v/>
      </c>
      <c r="BE84" s="528" t="str">
        <f t="shared" si="86"/>
        <v/>
      </c>
      <c r="BF84" s="528" t="str">
        <f t="shared" si="86"/>
        <v/>
      </c>
      <c r="BG84" s="528" t="str">
        <f t="shared" si="86"/>
        <v/>
      </c>
      <c r="BH84" s="528" t="str">
        <f t="shared" si="86"/>
        <v/>
      </c>
      <c r="BI84" s="528" t="str">
        <f t="shared" si="86"/>
        <v/>
      </c>
      <c r="BJ84" s="528" t="str">
        <f t="shared" si="86"/>
        <v/>
      </c>
      <c r="BK84" s="528" t="str">
        <f t="shared" si="86"/>
        <v/>
      </c>
      <c r="BL84" s="528" t="str">
        <f t="shared" si="86"/>
        <v/>
      </c>
      <c r="BM84" s="528" t="str">
        <f t="shared" si="86"/>
        <v/>
      </c>
    </row>
    <row r="85" spans="6:65" ht="15.75" customHeight="1" x14ac:dyDescent="0.25">
      <c r="F85" s="197"/>
      <c r="G85" s="197">
        <f t="shared" si="3"/>
        <v>0</v>
      </c>
      <c r="H85" s="197">
        <f t="shared" si="4"/>
        <v>372</v>
      </c>
      <c r="I85" s="523">
        <v>1</v>
      </c>
      <c r="J85" s="533">
        <f>'Monthly DCF'!$I$3</f>
        <v>46418</v>
      </c>
      <c r="K85" s="533">
        <f t="shared" si="5"/>
        <v>47514</v>
      </c>
      <c r="L85" s="536">
        <f t="shared" si="55"/>
        <v>37</v>
      </c>
      <c r="M85" s="20" t="s">
        <v>366</v>
      </c>
      <c r="N85" s="20">
        <f t="shared" si="6"/>
        <v>18.5</v>
      </c>
      <c r="O85" s="537">
        <v>2</v>
      </c>
      <c r="P85" s="528">
        <f t="shared" ref="P85:BM85" si="87">IFERROR(+IF(AND($M85="Flat",P$5&gt;=$J85,P$5&lt;=$K85),$I85/$L85,0)+IF(AND($M85="S-Curve",P$5&gt;=$J85,P$5&lt;=$K85),(_xlfn.NORM.DIST((YEAR(P$5)-YEAR($J85))*12+MONTH(P$5)-MONTH($J85)+1,$L85/2,$N85,TRUE)-_xlfn.NORM.DIST((YEAR(P$5)-YEAR($J85))*12+MONTH(P$5)-MONTH($J85),$L85/2,$N85,TRUE))/(1-2*_xlfn.NORM.DIST(0,$L85/2,$N85,TRUE))*$I85," "),"")</f>
        <v>1.9676331312171728E-2</v>
      </c>
      <c r="Q85" s="528">
        <f t="shared" si="87"/>
        <v>2.0708333881429376E-2</v>
      </c>
      <c r="R85" s="528">
        <f t="shared" si="87"/>
        <v>2.1730892328061132E-2</v>
      </c>
      <c r="S85" s="528">
        <f t="shared" si="87"/>
        <v>2.2737427694603352E-2</v>
      </c>
      <c r="T85" s="528">
        <f t="shared" si="87"/>
        <v>2.3721189974603544E-2</v>
      </c>
      <c r="U85" s="528">
        <f t="shared" si="87"/>
        <v>2.4675330702926157E-2</v>
      </c>
      <c r="V85" s="528">
        <f t="shared" si="87"/>
        <v>2.559298025947469E-2</v>
      </c>
      <c r="W85" s="528">
        <f t="shared" si="87"/>
        <v>2.6467328710368471E-2</v>
      </c>
      <c r="X85" s="528">
        <f t="shared" si="87"/>
        <v>2.7291708888075489E-2</v>
      </c>
      <c r="Y85" s="528">
        <f t="shared" si="87"/>
        <v>2.8059680315311874E-2</v>
      </c>
      <c r="Z85" s="528">
        <f t="shared" si="87"/>
        <v>2.87651125103595E-2</v>
      </c>
      <c r="AA85" s="528">
        <f t="shared" si="87"/>
        <v>2.9402266176574869E-2</v>
      </c>
      <c r="AB85" s="528">
        <f t="shared" si="87"/>
        <v>2.9965870778309797E-2</v>
      </c>
      <c r="AC85" s="528">
        <f t="shared" si="87"/>
        <v>3.0451197040223976E-2</v>
      </c>
      <c r="AD85" s="528">
        <f t="shared" si="87"/>
        <v>3.0854122977082586E-2</v>
      </c>
      <c r="AE85" s="528">
        <f t="shared" si="87"/>
        <v>3.1171192165568868E-2</v>
      </c>
      <c r="AF85" s="528">
        <f t="shared" si="87"/>
        <v>3.1399663106344254E-2</v>
      </c>
      <c r="AG85" s="528">
        <f t="shared" si="87"/>
        <v>3.153754869052551E-2</v>
      </c>
      <c r="AH85" s="528">
        <f t="shared" si="87"/>
        <v>3.1583644975969674E-2</v>
      </c>
      <c r="AI85" s="528">
        <f t="shared" si="87"/>
        <v>3.1537548690525344E-2</v>
      </c>
      <c r="AJ85" s="528">
        <f t="shared" si="87"/>
        <v>3.1399663106344414E-2</v>
      </c>
      <c r="AK85" s="528">
        <f t="shared" si="87"/>
        <v>3.1171192165568785E-2</v>
      </c>
      <c r="AL85" s="528">
        <f t="shared" si="87"/>
        <v>3.0854122977082669E-2</v>
      </c>
      <c r="AM85" s="528">
        <f t="shared" si="87"/>
        <v>3.0451197040223893E-2</v>
      </c>
      <c r="AN85" s="528">
        <f t="shared" si="87"/>
        <v>2.996587077830988E-2</v>
      </c>
      <c r="AO85" s="528">
        <f t="shared" si="87"/>
        <v>2.9402266176574789E-2</v>
      </c>
      <c r="AP85" s="528">
        <f t="shared" si="87"/>
        <v>2.87651125103595E-2</v>
      </c>
      <c r="AQ85" s="528">
        <f t="shared" si="87"/>
        <v>2.8059680315311874E-2</v>
      </c>
      <c r="AR85" s="528">
        <f t="shared" si="87"/>
        <v>2.7291708888075569E-2</v>
      </c>
      <c r="AS85" s="528">
        <f t="shared" si="87"/>
        <v>2.6467328710368471E-2</v>
      </c>
      <c r="AT85" s="528">
        <f t="shared" si="87"/>
        <v>2.5592980259474606E-2</v>
      </c>
      <c r="AU85" s="528">
        <f t="shared" si="87"/>
        <v>2.4675330702926115E-2</v>
      </c>
      <c r="AV85" s="528">
        <f t="shared" si="87"/>
        <v>2.3721189974603544E-2</v>
      </c>
      <c r="AW85" s="528">
        <f t="shared" si="87"/>
        <v>2.2737427694603352E-2</v>
      </c>
      <c r="AX85" s="528">
        <f t="shared" si="87"/>
        <v>2.1730892328061132E-2</v>
      </c>
      <c r="AY85" s="528">
        <f t="shared" si="87"/>
        <v>2.070833388142946E-2</v>
      </c>
      <c r="AZ85" s="528">
        <f t="shared" si="87"/>
        <v>1.9676331312171728E-2</v>
      </c>
      <c r="BA85" s="528" t="str">
        <f t="shared" si="87"/>
        <v/>
      </c>
      <c r="BB85" s="528" t="str">
        <f t="shared" si="87"/>
        <v/>
      </c>
      <c r="BC85" s="528" t="str">
        <f t="shared" si="87"/>
        <v/>
      </c>
      <c r="BD85" s="528" t="str">
        <f t="shared" si="87"/>
        <v/>
      </c>
      <c r="BE85" s="528" t="str">
        <f t="shared" si="87"/>
        <v/>
      </c>
      <c r="BF85" s="528" t="str">
        <f t="shared" si="87"/>
        <v/>
      </c>
      <c r="BG85" s="528" t="str">
        <f t="shared" si="87"/>
        <v/>
      </c>
      <c r="BH85" s="528" t="str">
        <f t="shared" si="87"/>
        <v/>
      </c>
      <c r="BI85" s="528" t="str">
        <f t="shared" si="87"/>
        <v/>
      </c>
      <c r="BJ85" s="528" t="str">
        <f t="shared" si="87"/>
        <v/>
      </c>
      <c r="BK85" s="528" t="str">
        <f t="shared" si="87"/>
        <v/>
      </c>
      <c r="BL85" s="528" t="str">
        <f t="shared" si="87"/>
        <v/>
      </c>
      <c r="BM85" s="528" t="str">
        <f t="shared" si="87"/>
        <v/>
      </c>
    </row>
    <row r="86" spans="6:65" ht="15.75" customHeight="1" x14ac:dyDescent="0.25">
      <c r="F86" s="197"/>
      <c r="G86" s="197">
        <f t="shared" si="3"/>
        <v>0</v>
      </c>
      <c r="H86" s="197">
        <f t="shared" si="4"/>
        <v>382</v>
      </c>
      <c r="I86" s="523">
        <v>1</v>
      </c>
      <c r="J86" s="533">
        <f>'Monthly DCF'!$I$3</f>
        <v>46418</v>
      </c>
      <c r="K86" s="533">
        <f t="shared" si="5"/>
        <v>47542</v>
      </c>
      <c r="L86" s="536">
        <f t="shared" si="55"/>
        <v>38</v>
      </c>
      <c r="M86" s="20" t="s">
        <v>366</v>
      </c>
      <c r="N86" s="20">
        <f t="shared" si="6"/>
        <v>19</v>
      </c>
      <c r="O86" s="537">
        <v>2</v>
      </c>
      <c r="P86" s="528">
        <f t="shared" ref="P86:BM86" si="88">IFERROR(+IF(AND($M86="Flat",P$5&gt;=$J86,P$5&lt;=$K86),$I86/$L86,0)+IF(AND($M86="S-Curve",P$5&gt;=$J86,P$5&lt;=$K86),(_xlfn.NORM.DIST((YEAR(P$5)-YEAR($J86))*12+MONTH(P$5)-MONTH($J86)+1,$L86/2,$N86,TRUE)-_xlfn.NORM.DIST((YEAR(P$5)-YEAR($J86))*12+MONTH(P$5)-MONTH($J86),$L86/2,$N86,TRUE))/(1-2*_xlfn.NORM.DIST(0,$L86/2,$N86,TRUE))*$I86," "),"")</f>
        <v>1.9145284402771055E-2</v>
      </c>
      <c r="Q86" s="528">
        <f t="shared" si="88"/>
        <v>2.0123865063645413E-2</v>
      </c>
      <c r="R86" s="528">
        <f t="shared" si="88"/>
        <v>2.1093964795433674E-2</v>
      </c>
      <c r="S86" s="528">
        <f t="shared" si="88"/>
        <v>2.2049679589263946E-2</v>
      </c>
      <c r="T86" s="528">
        <f t="shared" si="88"/>
        <v>2.2984951672449652E-2</v>
      </c>
      <c r="U86" s="528">
        <f t="shared" si="88"/>
        <v>2.3893631020331811E-2</v>
      </c>
      <c r="V86" s="528">
        <f t="shared" si="88"/>
        <v>2.4769540864827778E-2</v>
      </c>
      <c r="W86" s="528">
        <f t="shared" si="88"/>
        <v>2.5606546260865611E-2</v>
      </c>
      <c r="X86" s="528">
        <f t="shared" si="88"/>
        <v>2.6398624673216357E-2</v>
      </c>
      <c r="Y86" s="528">
        <f t="shared" si="88"/>
        <v>2.7139937466996861E-2</v>
      </c>
      <c r="Z86" s="528">
        <f t="shared" si="88"/>
        <v>2.7824901128093674E-2</v>
      </c>
      <c r="AA86" s="528">
        <f t="shared" si="88"/>
        <v>2.8448257007122758E-2</v>
      </c>
      <c r="AB86" s="528">
        <f t="shared" si="88"/>
        <v>2.9005138373963547E-2</v>
      </c>
      <c r="AC86" s="528">
        <f t="shared" si="88"/>
        <v>2.9491133590247614E-2</v>
      </c>
      <c r="AD86" s="528">
        <f t="shared" si="88"/>
        <v>2.9902344254726772E-2</v>
      </c>
      <c r="AE86" s="528">
        <f t="shared" si="88"/>
        <v>3.0235437250571092E-2</v>
      </c>
      <c r="AF86" s="528">
        <f t="shared" si="88"/>
        <v>3.0487689723107298E-2</v>
      </c>
      <c r="AG86" s="528">
        <f t="shared" si="88"/>
        <v>3.0657026139242625E-2</v>
      </c>
      <c r="AH86" s="528">
        <f t="shared" si="88"/>
        <v>3.0742046723122418E-2</v>
      </c>
      <c r="AI86" s="528">
        <f t="shared" si="88"/>
        <v>3.0742046723122418E-2</v>
      </c>
      <c r="AJ86" s="528">
        <f t="shared" si="88"/>
        <v>3.0657026139242705E-2</v>
      </c>
      <c r="AK86" s="528">
        <f t="shared" si="88"/>
        <v>3.0487689723107298E-2</v>
      </c>
      <c r="AL86" s="528">
        <f t="shared" si="88"/>
        <v>3.0235437250571012E-2</v>
      </c>
      <c r="AM86" s="528">
        <f t="shared" si="88"/>
        <v>2.9902344254726692E-2</v>
      </c>
      <c r="AN86" s="528">
        <f t="shared" si="88"/>
        <v>2.9491133590247614E-2</v>
      </c>
      <c r="AO86" s="528">
        <f t="shared" si="88"/>
        <v>2.9005138373963631E-2</v>
      </c>
      <c r="AP86" s="528">
        <f t="shared" si="88"/>
        <v>2.8448257007122838E-2</v>
      </c>
      <c r="AQ86" s="528">
        <f t="shared" si="88"/>
        <v>2.7824901128093594E-2</v>
      </c>
      <c r="AR86" s="528">
        <f t="shared" si="88"/>
        <v>2.7139937466996944E-2</v>
      </c>
      <c r="AS86" s="528">
        <f t="shared" si="88"/>
        <v>2.6398624673216273E-2</v>
      </c>
      <c r="AT86" s="528">
        <f t="shared" si="88"/>
        <v>2.5606546260865611E-2</v>
      </c>
      <c r="AU86" s="528">
        <f t="shared" si="88"/>
        <v>2.4769540864827862E-2</v>
      </c>
      <c r="AV86" s="528">
        <f t="shared" si="88"/>
        <v>2.3893631020331769E-2</v>
      </c>
      <c r="AW86" s="528">
        <f t="shared" si="88"/>
        <v>2.298495167244961E-2</v>
      </c>
      <c r="AX86" s="528">
        <f t="shared" si="88"/>
        <v>2.2049679589263946E-2</v>
      </c>
      <c r="AY86" s="528">
        <f t="shared" si="88"/>
        <v>2.1093964795433674E-2</v>
      </c>
      <c r="AZ86" s="528">
        <f t="shared" si="88"/>
        <v>2.0123865063645413E-2</v>
      </c>
      <c r="BA86" s="528">
        <f t="shared" si="88"/>
        <v>1.9145284402771096E-2</v>
      </c>
      <c r="BB86" s="528" t="str">
        <f t="shared" si="88"/>
        <v/>
      </c>
      <c r="BC86" s="528" t="str">
        <f t="shared" si="88"/>
        <v/>
      </c>
      <c r="BD86" s="528" t="str">
        <f t="shared" si="88"/>
        <v/>
      </c>
      <c r="BE86" s="528" t="str">
        <f t="shared" si="88"/>
        <v/>
      </c>
      <c r="BF86" s="528" t="str">
        <f t="shared" si="88"/>
        <v/>
      </c>
      <c r="BG86" s="528" t="str">
        <f t="shared" si="88"/>
        <v/>
      </c>
      <c r="BH86" s="528" t="str">
        <f t="shared" si="88"/>
        <v/>
      </c>
      <c r="BI86" s="528" t="str">
        <f t="shared" si="88"/>
        <v/>
      </c>
      <c r="BJ86" s="528" t="str">
        <f t="shared" si="88"/>
        <v/>
      </c>
      <c r="BK86" s="528" t="str">
        <f t="shared" si="88"/>
        <v/>
      </c>
      <c r="BL86" s="528" t="str">
        <f t="shared" si="88"/>
        <v/>
      </c>
      <c r="BM86" s="528" t="str">
        <f t="shared" si="88"/>
        <v/>
      </c>
    </row>
    <row r="87" spans="6:65" ht="15.75" customHeight="1" x14ac:dyDescent="0.25">
      <c r="F87" s="197"/>
      <c r="G87" s="197">
        <f t="shared" si="3"/>
        <v>0</v>
      </c>
      <c r="H87" s="197">
        <f t="shared" si="4"/>
        <v>392</v>
      </c>
      <c r="I87" s="523">
        <v>1</v>
      </c>
      <c r="J87" s="533">
        <f>'Monthly DCF'!$I$3</f>
        <v>46418</v>
      </c>
      <c r="K87" s="533">
        <f t="shared" si="5"/>
        <v>47573</v>
      </c>
      <c r="L87" s="536">
        <f t="shared" si="55"/>
        <v>39</v>
      </c>
      <c r="M87" s="20" t="s">
        <v>366</v>
      </c>
      <c r="N87" s="20">
        <f t="shared" si="6"/>
        <v>19.5</v>
      </c>
      <c r="O87" s="537">
        <v>2</v>
      </c>
      <c r="P87" s="528">
        <f t="shared" ref="P87:BM87" si="89">IFERROR(+IF(AND($M87="Flat",P$5&gt;=$J87,P$5&lt;=$K87),$I87/$L87,0)+IF(AND($M87="S-Curve",P$5&gt;=$J87,P$5&lt;=$K87),(_xlfn.NORM.DIST((YEAR(P$5)-YEAR($J87))*12+MONTH(P$5)-MONTH($J87)+1,$L87/2,$N87,TRUE)-_xlfn.NORM.DIST((YEAR(P$5)-YEAR($J87))*12+MONTH(P$5)-MONTH($J87),$L87/2,$N87,TRUE))/(1-2*_xlfn.NORM.DIST(0,$L87/2,$N87,TRUE))*$I87," "),"")</f>
        <v>1.8642131755439315E-2</v>
      </c>
      <c r="Q87" s="528">
        <f t="shared" si="89"/>
        <v>1.9571329384336637E-2</v>
      </c>
      <c r="R87" s="528">
        <f t="shared" si="89"/>
        <v>2.049288961183569E-2</v>
      </c>
      <c r="S87" s="528">
        <f t="shared" si="89"/>
        <v>2.1401499168882922E-2</v>
      </c>
      <c r="T87" s="528">
        <f t="shared" si="89"/>
        <v>2.2291706379815819E-2</v>
      </c>
      <c r="U87" s="528">
        <f t="shared" si="89"/>
        <v>2.3157973512356413E-2</v>
      </c>
      <c r="V87" s="528">
        <f t="shared" si="89"/>
        <v>2.3994732527010145E-2</v>
      </c>
      <c r="W87" s="528">
        <f t="shared" si="89"/>
        <v>2.4796443471999413E-2</v>
      </c>
      <c r="X87" s="528">
        <f t="shared" si="89"/>
        <v>2.5557654690097135E-2</v>
      </c>
      <c r="Y87" s="528">
        <f t="shared" si="89"/>
        <v>2.6273063938647145E-2</v>
      </c>
      <c r="Z87" s="528">
        <f t="shared" si="89"/>
        <v>2.6937579475828106E-2</v>
      </c>
      <c r="AA87" s="528">
        <f t="shared" si="89"/>
        <v>2.7546380136529817E-2</v>
      </c>
      <c r="AB87" s="528">
        <f t="shared" si="89"/>
        <v>2.809497341140833E-2</v>
      </c>
      <c r="AC87" s="528">
        <f t="shared" si="89"/>
        <v>2.8579250553565173E-2</v>
      </c>
      <c r="AD87" s="528">
        <f t="shared" si="89"/>
        <v>2.8995537769138342E-2</v>
      </c>
      <c r="AE87" s="528">
        <f t="shared" si="89"/>
        <v>2.93406426006729E-2</v>
      </c>
      <c r="AF87" s="528">
        <f t="shared" si="89"/>
        <v>2.9611894684607402E-2</v>
      </c>
      <c r="AG87" s="528">
        <f t="shared" si="89"/>
        <v>2.9807180155235775E-2</v>
      </c>
      <c r="AH87" s="528">
        <f t="shared" si="89"/>
        <v>2.9924969075217189E-2</v>
      </c>
      <c r="AI87" s="528">
        <f t="shared" si="89"/>
        <v>2.9964335394752604E-2</v>
      </c>
      <c r="AJ87" s="528">
        <f t="shared" si="89"/>
        <v>2.9924969075217189E-2</v>
      </c>
      <c r="AK87" s="528">
        <f t="shared" si="89"/>
        <v>2.9807180155235775E-2</v>
      </c>
      <c r="AL87" s="528">
        <f t="shared" si="89"/>
        <v>2.9611894684607402E-2</v>
      </c>
      <c r="AM87" s="528">
        <f t="shared" si="89"/>
        <v>2.93406426006729E-2</v>
      </c>
      <c r="AN87" s="528">
        <f t="shared" si="89"/>
        <v>2.8995537769138421E-2</v>
      </c>
      <c r="AO87" s="528">
        <f t="shared" si="89"/>
        <v>2.8579250553565173E-2</v>
      </c>
      <c r="AP87" s="528">
        <f t="shared" si="89"/>
        <v>2.809497341140833E-2</v>
      </c>
      <c r="AQ87" s="528">
        <f t="shared" si="89"/>
        <v>2.7546380136529734E-2</v>
      </c>
      <c r="AR87" s="528">
        <f t="shared" si="89"/>
        <v>2.6937579475828106E-2</v>
      </c>
      <c r="AS87" s="528">
        <f t="shared" si="89"/>
        <v>2.6273063938647145E-2</v>
      </c>
      <c r="AT87" s="528">
        <f t="shared" si="89"/>
        <v>2.5557654690097135E-2</v>
      </c>
      <c r="AU87" s="528">
        <f t="shared" si="89"/>
        <v>2.4796443471999493E-2</v>
      </c>
      <c r="AV87" s="528">
        <f t="shared" si="89"/>
        <v>2.3994732527010065E-2</v>
      </c>
      <c r="AW87" s="528">
        <f t="shared" si="89"/>
        <v>2.3157973512356451E-2</v>
      </c>
      <c r="AX87" s="528">
        <f t="shared" si="89"/>
        <v>2.2291706379815861E-2</v>
      </c>
      <c r="AY87" s="528">
        <f t="shared" si="89"/>
        <v>2.1401499168882759E-2</v>
      </c>
      <c r="AZ87" s="528">
        <f t="shared" si="89"/>
        <v>2.0492889611835728E-2</v>
      </c>
      <c r="BA87" s="528">
        <f t="shared" si="89"/>
        <v>1.9571329384336717E-2</v>
      </c>
      <c r="BB87" s="528">
        <f t="shared" si="89"/>
        <v>1.8642131755439315E-2</v>
      </c>
      <c r="BC87" s="528" t="str">
        <f t="shared" si="89"/>
        <v/>
      </c>
      <c r="BD87" s="528" t="str">
        <f t="shared" si="89"/>
        <v/>
      </c>
      <c r="BE87" s="528" t="str">
        <f t="shared" si="89"/>
        <v/>
      </c>
      <c r="BF87" s="528" t="str">
        <f t="shared" si="89"/>
        <v/>
      </c>
      <c r="BG87" s="528" t="str">
        <f t="shared" si="89"/>
        <v/>
      </c>
      <c r="BH87" s="528" t="str">
        <f t="shared" si="89"/>
        <v/>
      </c>
      <c r="BI87" s="528" t="str">
        <f t="shared" si="89"/>
        <v/>
      </c>
      <c r="BJ87" s="528" t="str">
        <f t="shared" si="89"/>
        <v/>
      </c>
      <c r="BK87" s="528" t="str">
        <f t="shared" si="89"/>
        <v/>
      </c>
      <c r="BL87" s="528" t="str">
        <f t="shared" si="89"/>
        <v/>
      </c>
      <c r="BM87" s="528" t="str">
        <f t="shared" si="89"/>
        <v/>
      </c>
    </row>
    <row r="88" spans="6:65" ht="15.75" customHeight="1" x14ac:dyDescent="0.25">
      <c r="F88" s="197"/>
      <c r="G88" s="197">
        <f t="shared" si="3"/>
        <v>0</v>
      </c>
      <c r="H88" s="197">
        <f t="shared" si="4"/>
        <v>402</v>
      </c>
      <c r="I88" s="523">
        <v>1</v>
      </c>
      <c r="J88" s="533">
        <f>'Monthly DCF'!$I$3</f>
        <v>46418</v>
      </c>
      <c r="K88" s="533">
        <f t="shared" si="5"/>
        <v>47603</v>
      </c>
      <c r="L88" s="536">
        <f t="shared" si="55"/>
        <v>40</v>
      </c>
      <c r="M88" s="20" t="s">
        <v>366</v>
      </c>
      <c r="N88" s="20">
        <f t="shared" si="6"/>
        <v>20</v>
      </c>
      <c r="O88" s="537">
        <v>2</v>
      </c>
      <c r="P88" s="528">
        <f t="shared" ref="P88:BM88" si="90">IFERROR(+IF(AND($M88="Flat",P$5&gt;=$J88,P$5&lt;=$K88),$I88/$L88,0)+IF(AND($M88="S-Curve",P$5&gt;=$J88,P$5&lt;=$K88),(_xlfn.NORM.DIST((YEAR(P$5)-YEAR($J88))*12+MONTH(P$5)-MONTH($J88)+1,$L88/2,$N88,TRUE)-_xlfn.NORM.DIST((YEAR(P$5)-YEAR($J88))*12+MONTH(P$5)-MONTH($J88),$L88/2,$N88,TRUE))/(1-2*_xlfn.NORM.DIST(0,$L88/2,$N88,TRUE))*$I88," "),"")</f>
        <v>1.8164733044601675E-2</v>
      </c>
      <c r="Q88" s="528">
        <f t="shared" si="90"/>
        <v>1.904818982575816E-2</v>
      </c>
      <c r="R88" s="528">
        <f t="shared" si="90"/>
        <v>1.992475046503495E-2</v>
      </c>
      <c r="S88" s="528">
        <f t="shared" si="90"/>
        <v>2.0789620499760471E-2</v>
      </c>
      <c r="T88" s="528">
        <f t="shared" si="90"/>
        <v>2.1637880710935781E-2</v>
      </c>
      <c r="U88" s="528">
        <f t="shared" si="90"/>
        <v>2.2464531859419913E-2</v>
      </c>
      <c r="V88" s="528">
        <f t="shared" si="90"/>
        <v>2.3264542322269179E-2</v>
      </c>
      <c r="W88" s="528">
        <f t="shared" si="90"/>
        <v>2.4032898020516631E-2</v>
      </c>
      <c r="X88" s="528">
        <f t="shared" si="90"/>
        <v>2.4764653964935969E-2</v>
      </c>
      <c r="Y88" s="528">
        <f t="shared" si="90"/>
        <v>2.5454986692765729E-2</v>
      </c>
      <c r="Z88" s="528">
        <f t="shared" si="90"/>
        <v>2.6099246827656228E-2</v>
      </c>
      <c r="AA88" s="528">
        <f t="shared" si="90"/>
        <v>2.669301096858915E-2</v>
      </c>
      <c r="AB88" s="528">
        <f t="shared" si="90"/>
        <v>2.7232132102264717E-2</v>
      </c>
      <c r="AC88" s="528">
        <f t="shared" si="90"/>
        <v>2.7712787738158693E-2</v>
      </c>
      <c r="AD88" s="528">
        <f t="shared" si="90"/>
        <v>2.8131524986431948E-2</v>
      </c>
      <c r="AE88" s="528">
        <f t="shared" si="90"/>
        <v>2.8485301836044256E-2</v>
      </c>
      <c r="AF88" s="528">
        <f t="shared" si="90"/>
        <v>2.877152394329861E-2</v>
      </c>
      <c r="AG88" s="528">
        <f t="shared" si="90"/>
        <v>2.8988076308694162E-2</v>
      </c>
      <c r="AH88" s="528">
        <f t="shared" si="90"/>
        <v>2.9133349301153043E-2</v>
      </c>
      <c r="AI88" s="528">
        <f t="shared" si="90"/>
        <v>2.9206258581710696E-2</v>
      </c>
      <c r="AJ88" s="528">
        <f t="shared" si="90"/>
        <v>2.9206258581710696E-2</v>
      </c>
      <c r="AK88" s="528">
        <f t="shared" si="90"/>
        <v>2.9133349301153043E-2</v>
      </c>
      <c r="AL88" s="528">
        <f t="shared" si="90"/>
        <v>2.8988076308694162E-2</v>
      </c>
      <c r="AM88" s="528">
        <f t="shared" si="90"/>
        <v>2.877152394329853E-2</v>
      </c>
      <c r="AN88" s="528">
        <f t="shared" si="90"/>
        <v>2.8485301836044336E-2</v>
      </c>
      <c r="AO88" s="528">
        <f t="shared" si="90"/>
        <v>2.8131524986431948E-2</v>
      </c>
      <c r="AP88" s="528">
        <f t="shared" si="90"/>
        <v>2.7712787738158693E-2</v>
      </c>
      <c r="AQ88" s="528">
        <f t="shared" si="90"/>
        <v>2.7232132102264796E-2</v>
      </c>
      <c r="AR88" s="528">
        <f t="shared" si="90"/>
        <v>2.669301096858907E-2</v>
      </c>
      <c r="AS88" s="528">
        <f t="shared" si="90"/>
        <v>2.6099246827656228E-2</v>
      </c>
      <c r="AT88" s="528">
        <f t="shared" si="90"/>
        <v>2.5454986692765729E-2</v>
      </c>
      <c r="AU88" s="528">
        <f t="shared" si="90"/>
        <v>2.4764653964935969E-2</v>
      </c>
      <c r="AV88" s="528">
        <f t="shared" si="90"/>
        <v>2.4032898020516547E-2</v>
      </c>
      <c r="AW88" s="528">
        <f t="shared" si="90"/>
        <v>2.3264542322269179E-2</v>
      </c>
      <c r="AX88" s="528">
        <f t="shared" si="90"/>
        <v>2.2464531859419913E-2</v>
      </c>
      <c r="AY88" s="528">
        <f t="shared" si="90"/>
        <v>2.1637880710935819E-2</v>
      </c>
      <c r="AZ88" s="528">
        <f t="shared" si="90"/>
        <v>2.0789620499760512E-2</v>
      </c>
      <c r="BA88" s="528">
        <f t="shared" si="90"/>
        <v>1.9924750465034908E-2</v>
      </c>
      <c r="BB88" s="528">
        <f t="shared" si="90"/>
        <v>1.904818982575816E-2</v>
      </c>
      <c r="BC88" s="528">
        <f t="shared" si="90"/>
        <v>1.8164733044601755E-2</v>
      </c>
      <c r="BD88" s="528" t="str">
        <f t="shared" si="90"/>
        <v/>
      </c>
      <c r="BE88" s="528" t="str">
        <f t="shared" si="90"/>
        <v/>
      </c>
      <c r="BF88" s="528" t="str">
        <f t="shared" si="90"/>
        <v/>
      </c>
      <c r="BG88" s="528" t="str">
        <f t="shared" si="90"/>
        <v/>
      </c>
      <c r="BH88" s="528" t="str">
        <f t="shared" si="90"/>
        <v/>
      </c>
      <c r="BI88" s="528" t="str">
        <f t="shared" si="90"/>
        <v/>
      </c>
      <c r="BJ88" s="528" t="str">
        <f t="shared" si="90"/>
        <v/>
      </c>
      <c r="BK88" s="528" t="str">
        <f t="shared" si="90"/>
        <v/>
      </c>
      <c r="BL88" s="528" t="str">
        <f t="shared" si="90"/>
        <v/>
      </c>
      <c r="BM88" s="528" t="str">
        <f t="shared" si="90"/>
        <v/>
      </c>
    </row>
    <row r="89" spans="6:65" ht="15.75" customHeight="1" x14ac:dyDescent="0.25">
      <c r="F89" s="197"/>
      <c r="G89" s="197">
        <f t="shared" si="3"/>
        <v>0</v>
      </c>
      <c r="H89" s="197">
        <f t="shared" si="4"/>
        <v>412</v>
      </c>
      <c r="I89" s="523">
        <v>1</v>
      </c>
      <c r="J89" s="533">
        <f>'Monthly DCF'!$I$3</f>
        <v>46418</v>
      </c>
      <c r="K89" s="533">
        <f t="shared" si="5"/>
        <v>47634</v>
      </c>
      <c r="L89" s="536">
        <f t="shared" si="55"/>
        <v>41</v>
      </c>
      <c r="M89" s="20" t="s">
        <v>366</v>
      </c>
      <c r="N89" s="20">
        <f t="shared" si="6"/>
        <v>20.5</v>
      </c>
      <c r="O89" s="537">
        <v>2</v>
      </c>
      <c r="P89" s="528">
        <f t="shared" ref="P89:BM89" si="91">IFERROR(+IF(AND($M89="Flat",P$5&gt;=$J89,P$5&lt;=$K89),$I89/$L89,0)+IF(AND($M89="S-Curve",P$5&gt;=$J89,P$5&lt;=$K89),(_xlfn.NORM.DIST((YEAR(P$5)-YEAR($J89))*12+MONTH(P$5)-MONTH($J89)+1,$L89/2,$N89,TRUE)-_xlfn.NORM.DIST((YEAR(P$5)-YEAR($J89))*12+MONTH(P$5)-MONTH($J89),$L89/2,$N89,TRUE))/(1-2*_xlfn.NORM.DIST(0,$L89/2,$N89,TRUE))*$I89," "),"")</f>
        <v>1.7711161340091795E-2</v>
      </c>
      <c r="Q89" s="528">
        <f t="shared" si="91"/>
        <v>1.855217025046486E-2</v>
      </c>
      <c r="R89" s="528">
        <f t="shared" si="91"/>
        <v>1.9386936528493885E-2</v>
      </c>
      <c r="S89" s="528">
        <f t="shared" si="91"/>
        <v>2.0211122825623474E-2</v>
      </c>
      <c r="T89" s="528">
        <f t="shared" si="91"/>
        <v>2.102027917885145E-2</v>
      </c>
      <c r="U89" s="528">
        <f t="shared" si="91"/>
        <v>2.1809881390201312E-2</v>
      </c>
      <c r="V89" s="528">
        <f t="shared" si="91"/>
        <v>2.2575371887802655E-2</v>
      </c>
      <c r="W89" s="528">
        <f t="shared" si="91"/>
        <v>2.3312202574486005E-2</v>
      </c>
      <c r="X89" s="528">
        <f t="shared" si="91"/>
        <v>2.4015879117024085E-2</v>
      </c>
      <c r="Y89" s="528">
        <f t="shared" si="91"/>
        <v>2.4682006084960028E-2</v>
      </c>
      <c r="Z89" s="528">
        <f t="shared" si="91"/>
        <v>2.5306332313622254E-2</v>
      </c>
      <c r="AA89" s="528">
        <f t="shared" si="91"/>
        <v>2.5884795842538184E-2</v>
      </c>
      <c r="AB89" s="528">
        <f t="shared" si="91"/>
        <v>2.6413567768841788E-2</v>
      </c>
      <c r="AC89" s="528">
        <f t="shared" si="91"/>
        <v>2.6889094356038916E-2</v>
      </c>
      <c r="AD89" s="528">
        <f t="shared" si="91"/>
        <v>2.7308136751946807E-2</v>
      </c>
      <c r="AE89" s="528">
        <f t="shared" si="91"/>
        <v>2.7667807695793148E-2</v>
      </c>
      <c r="AF89" s="528">
        <f t="shared" si="91"/>
        <v>2.7965604633019111E-2</v>
      </c>
      <c r="AG89" s="528">
        <f t="shared" si="91"/>
        <v>2.8199438706739063E-2</v>
      </c>
      <c r="AH89" s="528">
        <f t="shared" si="91"/>
        <v>2.8367659156131722E-2</v>
      </c>
      <c r="AI89" s="528">
        <f t="shared" si="91"/>
        <v>2.8469072723144931E-2</v>
      </c>
      <c r="AJ89" s="528">
        <f t="shared" si="91"/>
        <v>2.850295774836897E-2</v>
      </c>
      <c r="AK89" s="528">
        <f t="shared" si="91"/>
        <v>2.8469072723144931E-2</v>
      </c>
      <c r="AL89" s="528">
        <f t="shared" si="91"/>
        <v>2.8367659156131639E-2</v>
      </c>
      <c r="AM89" s="528">
        <f t="shared" si="91"/>
        <v>2.8199438706739147E-2</v>
      </c>
      <c r="AN89" s="528">
        <f t="shared" si="91"/>
        <v>2.7965604633019194E-2</v>
      </c>
      <c r="AO89" s="528">
        <f t="shared" si="91"/>
        <v>2.7667807695792985E-2</v>
      </c>
      <c r="AP89" s="528">
        <f t="shared" si="91"/>
        <v>2.7308136751946887E-2</v>
      </c>
      <c r="AQ89" s="528">
        <f t="shared" si="91"/>
        <v>2.6889094356038836E-2</v>
      </c>
      <c r="AR89" s="528">
        <f t="shared" si="91"/>
        <v>2.6413567768841868E-2</v>
      </c>
      <c r="AS89" s="528">
        <f t="shared" si="91"/>
        <v>2.5884795842538184E-2</v>
      </c>
      <c r="AT89" s="528">
        <f t="shared" si="91"/>
        <v>2.5306332313622254E-2</v>
      </c>
      <c r="AU89" s="528">
        <f t="shared" si="91"/>
        <v>2.4682006084960108E-2</v>
      </c>
      <c r="AV89" s="528">
        <f t="shared" si="91"/>
        <v>2.4015879117024005E-2</v>
      </c>
      <c r="AW89" s="528">
        <f t="shared" si="91"/>
        <v>2.3312202574486005E-2</v>
      </c>
      <c r="AX89" s="528">
        <f t="shared" si="91"/>
        <v>2.2575371887802696E-2</v>
      </c>
      <c r="AY89" s="528">
        <f t="shared" si="91"/>
        <v>2.1809881390201274E-2</v>
      </c>
      <c r="AZ89" s="528">
        <f t="shared" si="91"/>
        <v>2.1020279178851371E-2</v>
      </c>
      <c r="BA89" s="528">
        <f t="shared" si="91"/>
        <v>2.0211122825623595E-2</v>
      </c>
      <c r="BB89" s="528">
        <f t="shared" si="91"/>
        <v>1.9386936528493846E-2</v>
      </c>
      <c r="BC89" s="528">
        <f t="shared" si="91"/>
        <v>1.8552170250464902E-2</v>
      </c>
      <c r="BD89" s="528">
        <f t="shared" si="91"/>
        <v>1.7711161340091795E-2</v>
      </c>
      <c r="BE89" s="528" t="str">
        <f t="shared" si="91"/>
        <v/>
      </c>
      <c r="BF89" s="528" t="str">
        <f t="shared" si="91"/>
        <v/>
      </c>
      <c r="BG89" s="528" t="str">
        <f t="shared" si="91"/>
        <v/>
      </c>
      <c r="BH89" s="528" t="str">
        <f t="shared" si="91"/>
        <v/>
      </c>
      <c r="BI89" s="528" t="str">
        <f t="shared" si="91"/>
        <v/>
      </c>
      <c r="BJ89" s="528" t="str">
        <f t="shared" si="91"/>
        <v/>
      </c>
      <c r="BK89" s="528" t="str">
        <f t="shared" si="91"/>
        <v/>
      </c>
      <c r="BL89" s="528" t="str">
        <f t="shared" si="91"/>
        <v/>
      </c>
      <c r="BM89" s="528" t="str">
        <f t="shared" si="91"/>
        <v/>
      </c>
    </row>
    <row r="90" spans="6:65" ht="15.75" customHeight="1" x14ac:dyDescent="0.25">
      <c r="F90" s="197"/>
      <c r="G90" s="197">
        <f t="shared" si="3"/>
        <v>0</v>
      </c>
      <c r="H90" s="197">
        <f t="shared" si="4"/>
        <v>422</v>
      </c>
      <c r="I90" s="523">
        <v>1</v>
      </c>
      <c r="J90" s="533">
        <f>'Monthly DCF'!$I$3</f>
        <v>46418</v>
      </c>
      <c r="K90" s="533">
        <f t="shared" si="5"/>
        <v>47664</v>
      </c>
      <c r="L90" s="536">
        <f t="shared" si="55"/>
        <v>42</v>
      </c>
      <c r="M90" s="20" t="s">
        <v>366</v>
      </c>
      <c r="N90" s="20">
        <f t="shared" si="6"/>
        <v>21</v>
      </c>
      <c r="O90" s="537">
        <v>2</v>
      </c>
      <c r="P90" s="528">
        <f t="shared" ref="P90:BM90" si="92">IFERROR(+IF(AND($M90="Flat",P$5&gt;=$J90,P$5&lt;=$K90),$I90/$L90,0)+IF(AND($M90="S-Curve",P$5&gt;=$J90,P$5&lt;=$K90),(_xlfn.NORM.DIST((YEAR(P$5)-YEAR($J90))*12+MONTH(P$5)-MONTH($J90)+1,$L90/2,$N90,TRUE)-_xlfn.NORM.DIST((YEAR(P$5)-YEAR($J90))*12+MONTH(P$5)-MONTH($J90),$L90/2,$N90,TRUE))/(1-2*_xlfn.NORM.DIST(0,$L90/2,$N90,TRUE))*$I90," "),"")</f>
        <v>1.7279677171652286E-2</v>
      </c>
      <c r="Q90" s="528">
        <f t="shared" si="92"/>
        <v>1.8081222811427568E-2</v>
      </c>
      <c r="R90" s="528">
        <f t="shared" si="92"/>
        <v>1.8877103748906224E-2</v>
      </c>
      <c r="S90" s="528">
        <f t="shared" si="92"/>
        <v>1.9663386640018043E-2</v>
      </c>
      <c r="T90" s="528">
        <f t="shared" si="92"/>
        <v>2.0436036336553352E-2</v>
      </c>
      <c r="U90" s="528">
        <f t="shared" si="92"/>
        <v>2.1190948934995228E-2</v>
      </c>
      <c r="V90" s="528">
        <f t="shared" si="92"/>
        <v>2.1923986955025444E-2</v>
      </c>
      <c r="W90" s="528">
        <f t="shared" si="92"/>
        <v>2.2631016244635163E-2</v>
      </c>
      <c r="X90" s="528">
        <f t="shared" si="92"/>
        <v>2.330794416557689E-2</v>
      </c>
      <c r="Y90" s="528">
        <f t="shared" si="92"/>
        <v>2.3950758576335111E-2</v>
      </c>
      <c r="Z90" s="528">
        <f t="shared" si="92"/>
        <v>2.4555567100854318E-2</v>
      </c>
      <c r="AA90" s="528">
        <f t="shared" si="92"/>
        <v>2.5118636150779319E-2</v>
      </c>
      <c r="AB90" s="528">
        <f t="shared" si="92"/>
        <v>2.5636429157645385E-2</v>
      </c>
      <c r="AC90" s="528">
        <f t="shared" si="92"/>
        <v>2.6105643469782541E-2</v>
      </c>
      <c r="AD90" s="528">
        <f t="shared" si="92"/>
        <v>2.6523245376966719E-2</v>
      </c>
      <c r="AE90" s="528">
        <f t="shared" si="92"/>
        <v>2.6886502744117795E-2</v>
      </c>
      <c r="AF90" s="528">
        <f t="shared" si="92"/>
        <v>2.7193014763481443E-2</v>
      </c>
      <c r="AG90" s="528">
        <f t="shared" si="92"/>
        <v>2.7440738372308419E-2</v>
      </c>
      <c r="AH90" s="528">
        <f t="shared" si="92"/>
        <v>2.7628010929493903E-2</v>
      </c>
      <c r="AI90" s="528">
        <f t="shared" si="92"/>
        <v>2.7753568799118097E-2</v>
      </c>
      <c r="AJ90" s="528">
        <f t="shared" si="92"/>
        <v>2.7816561550326704E-2</v>
      </c>
      <c r="AK90" s="528">
        <f t="shared" si="92"/>
        <v>2.7816561550326704E-2</v>
      </c>
      <c r="AL90" s="528">
        <f t="shared" si="92"/>
        <v>2.7753568799118097E-2</v>
      </c>
      <c r="AM90" s="528">
        <f t="shared" si="92"/>
        <v>2.7628010929493903E-2</v>
      </c>
      <c r="AN90" s="528">
        <f t="shared" si="92"/>
        <v>2.7440738372308419E-2</v>
      </c>
      <c r="AO90" s="528">
        <f t="shared" si="92"/>
        <v>2.7193014763481443E-2</v>
      </c>
      <c r="AP90" s="528">
        <f t="shared" si="92"/>
        <v>2.6886502744117795E-2</v>
      </c>
      <c r="AQ90" s="528">
        <f t="shared" si="92"/>
        <v>2.6523245376966799E-2</v>
      </c>
      <c r="AR90" s="528">
        <f t="shared" si="92"/>
        <v>2.6105643469782461E-2</v>
      </c>
      <c r="AS90" s="528">
        <f t="shared" si="92"/>
        <v>2.5636429157645385E-2</v>
      </c>
      <c r="AT90" s="528">
        <f t="shared" si="92"/>
        <v>2.5118636150779319E-2</v>
      </c>
      <c r="AU90" s="528">
        <f t="shared" si="92"/>
        <v>2.4555567100854318E-2</v>
      </c>
      <c r="AV90" s="528">
        <f t="shared" si="92"/>
        <v>2.3950758576335111E-2</v>
      </c>
      <c r="AW90" s="528">
        <f t="shared" si="92"/>
        <v>2.330794416557689E-2</v>
      </c>
      <c r="AX90" s="528">
        <f t="shared" si="92"/>
        <v>2.2631016244635163E-2</v>
      </c>
      <c r="AY90" s="528">
        <f t="shared" si="92"/>
        <v>2.1923986955025364E-2</v>
      </c>
      <c r="AZ90" s="528">
        <f t="shared" si="92"/>
        <v>2.1190948934995308E-2</v>
      </c>
      <c r="BA90" s="528">
        <f t="shared" si="92"/>
        <v>2.0436036336553352E-2</v>
      </c>
      <c r="BB90" s="528">
        <f t="shared" si="92"/>
        <v>1.9663386640018085E-2</v>
      </c>
      <c r="BC90" s="528">
        <f t="shared" si="92"/>
        <v>1.8877103748906145E-2</v>
      </c>
      <c r="BD90" s="528">
        <f t="shared" si="92"/>
        <v>1.8081222811427648E-2</v>
      </c>
      <c r="BE90" s="528">
        <f t="shared" si="92"/>
        <v>1.7279677171652286E-2</v>
      </c>
      <c r="BF90" s="528" t="str">
        <f t="shared" si="92"/>
        <v/>
      </c>
      <c r="BG90" s="528" t="str">
        <f t="shared" si="92"/>
        <v/>
      </c>
      <c r="BH90" s="528" t="str">
        <f t="shared" si="92"/>
        <v/>
      </c>
      <c r="BI90" s="528" t="str">
        <f t="shared" si="92"/>
        <v/>
      </c>
      <c r="BJ90" s="528" t="str">
        <f t="shared" si="92"/>
        <v/>
      </c>
      <c r="BK90" s="528" t="str">
        <f t="shared" si="92"/>
        <v/>
      </c>
      <c r="BL90" s="528" t="str">
        <f t="shared" si="92"/>
        <v/>
      </c>
      <c r="BM90" s="528" t="str">
        <f t="shared" si="92"/>
        <v/>
      </c>
    </row>
    <row r="91" spans="6:65" ht="15.75" customHeight="1" x14ac:dyDescent="0.25">
      <c r="F91" s="197"/>
      <c r="G91" s="197">
        <f t="shared" si="3"/>
        <v>0</v>
      </c>
      <c r="H91" s="197">
        <f t="shared" si="4"/>
        <v>432</v>
      </c>
      <c r="I91" s="523">
        <v>1</v>
      </c>
      <c r="J91" s="533">
        <f>'Monthly DCF'!$I$3</f>
        <v>46418</v>
      </c>
      <c r="K91" s="533">
        <f t="shared" si="5"/>
        <v>47695</v>
      </c>
      <c r="L91" s="536">
        <f t="shared" si="55"/>
        <v>43</v>
      </c>
      <c r="M91" s="20" t="s">
        <v>366</v>
      </c>
      <c r="N91" s="20">
        <f t="shared" si="6"/>
        <v>21.5</v>
      </c>
      <c r="O91" s="537">
        <v>2</v>
      </c>
      <c r="P91" s="528">
        <f t="shared" ref="P91:BM91" si="93">IFERROR(+IF(AND($M91="Flat",P$5&gt;=$J91,P$5&lt;=$K91),$I91/$L91,0)+IF(AND($M91="S-Curve",P$5&gt;=$J91,P$5&lt;=$K91),(_xlfn.NORM.DIST((YEAR(P$5)-YEAR($J91))*12+MONTH(P$5)-MONTH($J91)+1,$L91/2,$N91,TRUE)-_xlfn.NORM.DIST((YEAR(P$5)-YEAR($J91))*12+MONTH(P$5)-MONTH($J91),$L91/2,$N91,TRUE))/(1-2*_xlfn.NORM.DIST(0,$L91/2,$N91,TRUE))*$I91," "),"")</f>
        <v>1.686870628454375E-2</v>
      </c>
      <c r="Q91" s="528">
        <f t="shared" si="93"/>
        <v>1.7633500115280264E-2</v>
      </c>
      <c r="R91" s="528">
        <f t="shared" si="93"/>
        <v>1.8393141840939108E-2</v>
      </c>
      <c r="S91" s="528">
        <f t="shared" si="93"/>
        <v>1.9144056235898644E-2</v>
      </c>
      <c r="T91" s="528">
        <f t="shared" si="93"/>
        <v>1.9882575905736534E-2</v>
      </c>
      <c r="U91" s="528">
        <f t="shared" si="93"/>
        <v>2.0604969847023515E-2</v>
      </c>
      <c r="V91" s="528">
        <f t="shared" si="93"/>
        <v>2.130747383999913E-2</v>
      </c>
      <c r="W91" s="528">
        <f t="shared" si="93"/>
        <v>2.1986322343721974E-2</v>
      </c>
      <c r="X91" s="528">
        <f t="shared" si="93"/>
        <v>2.2637781527820363E-2</v>
      </c>
      <c r="Y91" s="528">
        <f t="shared" si="93"/>
        <v>2.3258183044635568E-2</v>
      </c>
      <c r="Z91" s="528">
        <f t="shared" si="93"/>
        <v>2.3843958121143868E-2</v>
      </c>
      <c r="AA91" s="528">
        <f t="shared" si="93"/>
        <v>2.4391671532221312E-2</v>
      </c>
      <c r="AB91" s="528">
        <f t="shared" si="93"/>
        <v>2.4898055006149319E-2</v>
      </c>
      <c r="AC91" s="528">
        <f t="shared" si="93"/>
        <v>2.5360039610146122E-2</v>
      </c>
      <c r="AD91" s="528">
        <f t="shared" si="93"/>
        <v>2.5774786668424286E-2</v>
      </c>
      <c r="AE91" s="528">
        <f t="shared" si="93"/>
        <v>2.6139716777900456E-2</v>
      </c>
      <c r="AF91" s="528">
        <f t="shared" si="93"/>
        <v>2.6452536507151306E-2</v>
      </c>
      <c r="AG91" s="528">
        <f t="shared" si="93"/>
        <v>2.6711262392271572E-2</v>
      </c>
      <c r="AH91" s="528">
        <f t="shared" si="93"/>
        <v>2.6914241878533446E-2</v>
      </c>
      <c r="AI91" s="528">
        <f t="shared" si="93"/>
        <v>2.7060170898580527E-2</v>
      </c>
      <c r="AJ91" s="528">
        <f t="shared" si="93"/>
        <v>2.7148107825593314E-2</v>
      </c>
      <c r="AK91" s="528">
        <f t="shared" si="93"/>
        <v>2.7177483592571168E-2</v>
      </c>
      <c r="AL91" s="528">
        <f t="shared" si="93"/>
        <v>2.7148107825593314E-2</v>
      </c>
      <c r="AM91" s="528">
        <f t="shared" si="93"/>
        <v>2.7060170898580527E-2</v>
      </c>
      <c r="AN91" s="528">
        <f t="shared" si="93"/>
        <v>2.6914241878533446E-2</v>
      </c>
      <c r="AO91" s="528">
        <f t="shared" si="93"/>
        <v>2.6711262392271493E-2</v>
      </c>
      <c r="AP91" s="528">
        <f t="shared" si="93"/>
        <v>2.6452536507151389E-2</v>
      </c>
      <c r="AQ91" s="528">
        <f t="shared" si="93"/>
        <v>2.6139716777900376E-2</v>
      </c>
      <c r="AR91" s="528">
        <f t="shared" si="93"/>
        <v>2.5774786668424365E-2</v>
      </c>
      <c r="AS91" s="528">
        <f t="shared" si="93"/>
        <v>2.5360039610146202E-2</v>
      </c>
      <c r="AT91" s="528">
        <f t="shared" si="93"/>
        <v>2.4898055006149319E-2</v>
      </c>
      <c r="AU91" s="528">
        <f t="shared" si="93"/>
        <v>2.4391671532221233E-2</v>
      </c>
      <c r="AV91" s="528">
        <f t="shared" si="93"/>
        <v>2.3843958121143868E-2</v>
      </c>
      <c r="AW91" s="528">
        <f t="shared" si="93"/>
        <v>2.3258183044635651E-2</v>
      </c>
      <c r="AX91" s="528">
        <f t="shared" si="93"/>
        <v>2.2637781527820283E-2</v>
      </c>
      <c r="AY91" s="528">
        <f t="shared" si="93"/>
        <v>2.1986322343721974E-2</v>
      </c>
      <c r="AZ91" s="528">
        <f t="shared" si="93"/>
        <v>2.130747383999913E-2</v>
      </c>
      <c r="BA91" s="528">
        <f t="shared" si="93"/>
        <v>2.0604969847023515E-2</v>
      </c>
      <c r="BB91" s="528">
        <f t="shared" si="93"/>
        <v>1.9882575905736534E-2</v>
      </c>
      <c r="BC91" s="528">
        <f t="shared" si="93"/>
        <v>1.9144056235898727E-2</v>
      </c>
      <c r="BD91" s="528">
        <f t="shared" si="93"/>
        <v>1.8393141840938945E-2</v>
      </c>
      <c r="BE91" s="528">
        <f t="shared" si="93"/>
        <v>1.7633500115280386E-2</v>
      </c>
      <c r="BF91" s="528">
        <f t="shared" si="93"/>
        <v>1.686870628454375E-2</v>
      </c>
      <c r="BG91" s="528" t="str">
        <f t="shared" si="93"/>
        <v/>
      </c>
      <c r="BH91" s="528" t="str">
        <f t="shared" si="93"/>
        <v/>
      </c>
      <c r="BI91" s="528" t="str">
        <f t="shared" si="93"/>
        <v/>
      </c>
      <c r="BJ91" s="528" t="str">
        <f t="shared" si="93"/>
        <v/>
      </c>
      <c r="BK91" s="528" t="str">
        <f t="shared" si="93"/>
        <v/>
      </c>
      <c r="BL91" s="528" t="str">
        <f t="shared" si="93"/>
        <v/>
      </c>
      <c r="BM91" s="528" t="str">
        <f t="shared" si="93"/>
        <v/>
      </c>
    </row>
    <row r="92" spans="6:65" ht="15.75" customHeight="1" x14ac:dyDescent="0.25">
      <c r="F92" s="197"/>
      <c r="G92" s="197">
        <f t="shared" si="3"/>
        <v>0</v>
      </c>
      <c r="H92" s="197">
        <f t="shared" si="4"/>
        <v>442</v>
      </c>
      <c r="I92" s="523">
        <v>1</v>
      </c>
      <c r="J92" s="533">
        <f>'Monthly DCF'!$I$3</f>
        <v>46418</v>
      </c>
      <c r="K92" s="533">
        <f t="shared" si="5"/>
        <v>47726</v>
      </c>
      <c r="L92" s="536">
        <f t="shared" si="55"/>
        <v>44</v>
      </c>
      <c r="M92" s="20" t="s">
        <v>366</v>
      </c>
      <c r="N92" s="20">
        <f t="shared" si="6"/>
        <v>22</v>
      </c>
      <c r="O92" s="537">
        <v>2</v>
      </c>
      <c r="P92" s="528">
        <f t="shared" ref="P92:BM92" si="94">IFERROR(+IF(AND($M92="Flat",P$5&gt;=$J92,P$5&lt;=$K92),$I92/$L92,0)+IF(AND($M92="S-Curve",P$5&gt;=$J92,P$5&lt;=$K92),(_xlfn.NORM.DIST((YEAR(P$5)-YEAR($J92))*12+MONTH(P$5)-MONTH($J92)+1,$L92/2,$N92,TRUE)-_xlfn.NORM.DIST((YEAR(P$5)-YEAR($J92))*12+MONTH(P$5)-MONTH($J92),$L92/2,$N92,TRUE))/(1-2*_xlfn.NORM.DIST(0,$L92/2,$N92,TRUE))*$I92," "),"")</f>
        <v>1.6476820487851013E-2</v>
      </c>
      <c r="Q92" s="528">
        <f t="shared" si="94"/>
        <v>1.7207331351085337E-2</v>
      </c>
      <c r="R92" s="528">
        <f t="shared" si="94"/>
        <v>1.7933146036166803E-2</v>
      </c>
      <c r="S92" s="528">
        <f t="shared" si="94"/>
        <v>1.865100765453645E-2</v>
      </c>
      <c r="T92" s="528">
        <f t="shared" si="94"/>
        <v>1.9357575747353025E-2</v>
      </c>
      <c r="U92" s="528">
        <f t="shared" si="94"/>
        <v>2.0049451049778896E-2</v>
      </c>
      <c r="V92" s="528">
        <f t="shared" si="94"/>
        <v>2.0723201837109767E-2</v>
      </c>
      <c r="W92" s="528">
        <f t="shared" si="94"/>
        <v>2.1375391580669867E-2</v>
      </c>
      <c r="X92" s="528">
        <f t="shared" si="94"/>
        <v>2.2002607612146886E-2</v>
      </c>
      <c r="Y92" s="528">
        <f t="shared" si="94"/>
        <v>2.2601490469814675E-2</v>
      </c>
      <c r="Z92" s="528">
        <f t="shared" si="94"/>
        <v>2.3168763579485736E-2</v>
      </c>
      <c r="AA92" s="528">
        <f t="shared" si="94"/>
        <v>2.3701262907590403E-2</v>
      </c>
      <c r="AB92" s="528">
        <f t="shared" si="94"/>
        <v>2.4195966213943938E-2</v>
      </c>
      <c r="AC92" s="528">
        <f t="shared" si="94"/>
        <v>2.4650021527887648E-2</v>
      </c>
      <c r="AD92" s="528">
        <f t="shared" si="94"/>
        <v>2.5060774473778514E-2</v>
      </c>
      <c r="AE92" s="528">
        <f t="shared" si="94"/>
        <v>2.5425794080401028E-2</v>
      </c>
      <c r="AF92" s="528">
        <f t="shared" si="94"/>
        <v>2.5742896723709538E-2</v>
      </c>
      <c r="AG92" s="528">
        <f t="shared" si="94"/>
        <v>2.6010167873279241E-2</v>
      </c>
      <c r="AH92" s="528">
        <f t="shared" si="94"/>
        <v>2.6225981339619394E-2</v>
      </c>
      <c r="AI92" s="528">
        <f t="shared" si="94"/>
        <v>2.6389015751704024E-2</v>
      </c>
      <c r="AJ92" s="528">
        <f t="shared" si="94"/>
        <v>2.6498268031164226E-2</v>
      </c>
      <c r="AK92" s="528">
        <f t="shared" si="94"/>
        <v>2.6553063670923555E-2</v>
      </c>
      <c r="AL92" s="528">
        <f t="shared" si="94"/>
        <v>2.6553063670923634E-2</v>
      </c>
      <c r="AM92" s="528">
        <f t="shared" si="94"/>
        <v>2.6498268031164063E-2</v>
      </c>
      <c r="AN92" s="528">
        <f t="shared" si="94"/>
        <v>2.6389015751704024E-2</v>
      </c>
      <c r="AO92" s="528">
        <f t="shared" si="94"/>
        <v>2.6225981339619474E-2</v>
      </c>
      <c r="AP92" s="528">
        <f t="shared" si="94"/>
        <v>2.6010167873279241E-2</v>
      </c>
      <c r="AQ92" s="528">
        <f t="shared" si="94"/>
        <v>2.5742896723709538E-2</v>
      </c>
      <c r="AR92" s="528">
        <f t="shared" si="94"/>
        <v>2.5425794080401028E-2</v>
      </c>
      <c r="AS92" s="528">
        <f t="shared" si="94"/>
        <v>2.5060774473778514E-2</v>
      </c>
      <c r="AT92" s="528">
        <f t="shared" si="94"/>
        <v>2.4650021527887568E-2</v>
      </c>
      <c r="AU92" s="528">
        <f t="shared" si="94"/>
        <v>2.4195966213944018E-2</v>
      </c>
      <c r="AV92" s="528">
        <f t="shared" si="94"/>
        <v>2.3701262907590403E-2</v>
      </c>
      <c r="AW92" s="528">
        <f t="shared" si="94"/>
        <v>2.3168763579485736E-2</v>
      </c>
      <c r="AX92" s="528">
        <f t="shared" si="94"/>
        <v>2.2601490469814675E-2</v>
      </c>
      <c r="AY92" s="528">
        <f t="shared" si="94"/>
        <v>2.2002607612146886E-2</v>
      </c>
      <c r="AZ92" s="528">
        <f t="shared" si="94"/>
        <v>2.1375391580669867E-2</v>
      </c>
      <c r="BA92" s="528">
        <f t="shared" si="94"/>
        <v>2.0723201837109729E-2</v>
      </c>
      <c r="BB92" s="528">
        <f t="shared" si="94"/>
        <v>2.0049451049778854E-2</v>
      </c>
      <c r="BC92" s="528">
        <f t="shared" si="94"/>
        <v>1.9357575747353105E-2</v>
      </c>
      <c r="BD92" s="528">
        <f t="shared" si="94"/>
        <v>1.865100765453645E-2</v>
      </c>
      <c r="BE92" s="528">
        <f t="shared" si="94"/>
        <v>1.7933146036166761E-2</v>
      </c>
      <c r="BF92" s="528">
        <f t="shared" si="94"/>
        <v>1.7207331351085417E-2</v>
      </c>
      <c r="BG92" s="528">
        <f t="shared" si="94"/>
        <v>1.6476820487851013E-2</v>
      </c>
      <c r="BH92" s="528" t="str">
        <f t="shared" si="94"/>
        <v/>
      </c>
      <c r="BI92" s="528" t="str">
        <f t="shared" si="94"/>
        <v/>
      </c>
      <c r="BJ92" s="528" t="str">
        <f t="shared" si="94"/>
        <v/>
      </c>
      <c r="BK92" s="528" t="str">
        <f t="shared" si="94"/>
        <v/>
      </c>
      <c r="BL92" s="528" t="str">
        <f t="shared" si="94"/>
        <v/>
      </c>
      <c r="BM92" s="528" t="str">
        <f t="shared" si="94"/>
        <v/>
      </c>
    </row>
    <row r="93" spans="6:65" ht="15.75" customHeight="1" x14ac:dyDescent="0.25">
      <c r="F93" s="197"/>
      <c r="G93" s="197">
        <f t="shared" si="3"/>
        <v>0</v>
      </c>
      <c r="H93" s="197">
        <f t="shared" si="4"/>
        <v>452</v>
      </c>
      <c r="I93" s="523">
        <v>1</v>
      </c>
      <c r="J93" s="533">
        <f>'Monthly DCF'!$I$3</f>
        <v>46418</v>
      </c>
      <c r="K93" s="533">
        <f t="shared" si="5"/>
        <v>47756</v>
      </c>
      <c r="L93" s="536">
        <f t="shared" si="55"/>
        <v>45</v>
      </c>
      <c r="M93" s="20" t="s">
        <v>366</v>
      </c>
      <c r="N93" s="20">
        <f t="shared" si="6"/>
        <v>22.5</v>
      </c>
      <c r="O93" s="537">
        <v>2</v>
      </c>
      <c r="P93" s="528">
        <f t="shared" ref="P93:BM93" si="95">IFERROR(+IF(AND($M93="Flat",P$5&gt;=$J93,P$5&lt;=$K93),$I93/$L93,0)+IF(AND($M93="S-Curve",P$5&gt;=$J93,P$5&lt;=$K93),(_xlfn.NORM.DIST((YEAR(P$5)-YEAR($J93))*12+MONTH(P$5)-MONTH($J93)+1,$L93/2,$N93,TRUE)-_xlfn.NORM.DIST((YEAR(P$5)-YEAR($J93))*12+MONTH(P$5)-MONTH($J93),$L93/2,$N93,TRUE))/(1-2*_xlfn.NORM.DIST(0,$L93/2,$N93,TRUE))*$I93," "),"")</f>
        <v>1.610272110539808E-2</v>
      </c>
      <c r="Q93" s="528">
        <f t="shared" si="95"/>
        <v>1.6801201742385287E-2</v>
      </c>
      <c r="R93" s="528">
        <f t="shared" si="95"/>
        <v>1.749539280997231E-2</v>
      </c>
      <c r="S93" s="528">
        <f t="shared" si="95"/>
        <v>1.8182321154467634E-2</v>
      </c>
      <c r="T93" s="528">
        <f t="shared" si="95"/>
        <v>1.885893773515078E-2</v>
      </c>
      <c r="U93" s="528">
        <f t="shared" si="95"/>
        <v>1.9522139167103433E-2</v>
      </c>
      <c r="V93" s="528">
        <f t="shared" si="95"/>
        <v>2.0168790632935914E-2</v>
      </c>
      <c r="W93" s="528">
        <f t="shared" si="95"/>
        <v>2.0795749938378454E-2</v>
      </c>
      <c r="X93" s="528">
        <f t="shared" si="95"/>
        <v>2.1399892462504868E-2</v>
      </c>
      <c r="Y93" s="528">
        <f t="shared" si="95"/>
        <v>2.197813673230745E-2</v>
      </c>
      <c r="Z93" s="528">
        <f t="shared" si="95"/>
        <v>2.2527470333940466E-2</v>
      </c>
      <c r="AA93" s="528">
        <f t="shared" si="95"/>
        <v>2.3044975859578876E-2</v>
      </c>
      <c r="AB93" s="528">
        <f t="shared" si="95"/>
        <v>2.3527856579927182E-2</v>
      </c>
      <c r="AC93" s="528">
        <f t="shared" si="95"/>
        <v>2.3973461528183224E-2</v>
      </c>
      <c r="AD93" s="528">
        <f t="shared" si="95"/>
        <v>2.437930968195292E-2</v>
      </c>
      <c r="AE93" s="528">
        <f t="shared" si="95"/>
        <v>2.4743112935309994E-2</v>
      </c>
      <c r="AF93" s="528">
        <f t="shared" si="95"/>
        <v>2.5062797563912522E-2</v>
      </c>
      <c r="AG93" s="528">
        <f t="shared" si="95"/>
        <v>2.5336523901734055E-2</v>
      </c>
      <c r="AH93" s="528">
        <f t="shared" si="95"/>
        <v>2.55627039683489E-2</v>
      </c>
      <c r="AI93" s="528">
        <f t="shared" si="95"/>
        <v>2.5740016810541829E-2</v>
      </c>
      <c r="AJ93" s="528">
        <f t="shared" si="95"/>
        <v>2.5867421350906403E-2</v>
      </c>
      <c r="AK93" s="528">
        <f t="shared" si="95"/>
        <v>2.5944166568594662E-2</v>
      </c>
      <c r="AL93" s="528">
        <f t="shared" si="95"/>
        <v>2.5969798872929429E-2</v>
      </c>
      <c r="AM93" s="528">
        <f t="shared" si="95"/>
        <v>2.5944166568594662E-2</v>
      </c>
      <c r="AN93" s="528">
        <f t="shared" si="95"/>
        <v>2.5867421350906403E-2</v>
      </c>
      <c r="AO93" s="528">
        <f t="shared" si="95"/>
        <v>2.5740016810541829E-2</v>
      </c>
      <c r="AP93" s="528">
        <f t="shared" si="95"/>
        <v>2.5562703968348817E-2</v>
      </c>
      <c r="AQ93" s="528">
        <f t="shared" si="95"/>
        <v>2.5336523901734135E-2</v>
      </c>
      <c r="AR93" s="528">
        <f t="shared" si="95"/>
        <v>2.5062797563912522E-2</v>
      </c>
      <c r="AS93" s="528">
        <f t="shared" si="95"/>
        <v>2.4743112935310074E-2</v>
      </c>
      <c r="AT93" s="528">
        <f t="shared" si="95"/>
        <v>2.4379309681952836E-2</v>
      </c>
      <c r="AU93" s="528">
        <f t="shared" si="95"/>
        <v>2.3973461528183224E-2</v>
      </c>
      <c r="AV93" s="528">
        <f t="shared" si="95"/>
        <v>2.3527856579927182E-2</v>
      </c>
      <c r="AW93" s="528">
        <f t="shared" si="95"/>
        <v>2.3044975859578876E-2</v>
      </c>
      <c r="AX93" s="528">
        <f t="shared" si="95"/>
        <v>2.252747033394055E-2</v>
      </c>
      <c r="AY93" s="528">
        <f t="shared" si="95"/>
        <v>2.197813673230737E-2</v>
      </c>
      <c r="AZ93" s="528">
        <f t="shared" si="95"/>
        <v>2.1399892462504868E-2</v>
      </c>
      <c r="BA93" s="528">
        <f t="shared" si="95"/>
        <v>2.0795749938378454E-2</v>
      </c>
      <c r="BB93" s="528">
        <f t="shared" si="95"/>
        <v>2.0168790632935873E-2</v>
      </c>
      <c r="BC93" s="528">
        <f t="shared" si="95"/>
        <v>1.9522139167103391E-2</v>
      </c>
      <c r="BD93" s="528">
        <f t="shared" si="95"/>
        <v>1.8858937735150943E-2</v>
      </c>
      <c r="BE93" s="528">
        <f t="shared" si="95"/>
        <v>1.8182321154467551E-2</v>
      </c>
      <c r="BF93" s="528">
        <f t="shared" si="95"/>
        <v>1.7495392809972227E-2</v>
      </c>
      <c r="BG93" s="528">
        <f t="shared" si="95"/>
        <v>1.680120174238537E-2</v>
      </c>
      <c r="BH93" s="528">
        <f t="shared" si="95"/>
        <v>1.6102721105398118E-2</v>
      </c>
      <c r="BI93" s="528" t="str">
        <f t="shared" si="95"/>
        <v/>
      </c>
      <c r="BJ93" s="528" t="str">
        <f t="shared" si="95"/>
        <v/>
      </c>
      <c r="BK93" s="528" t="str">
        <f t="shared" si="95"/>
        <v/>
      </c>
      <c r="BL93" s="528" t="str">
        <f t="shared" si="95"/>
        <v/>
      </c>
      <c r="BM93" s="528" t="str">
        <f t="shared" si="95"/>
        <v/>
      </c>
    </row>
    <row r="94" spans="6:65" ht="15.75" customHeight="1" x14ac:dyDescent="0.25">
      <c r="F94" s="197"/>
      <c r="G94" s="197">
        <f t="shared" si="3"/>
        <v>0</v>
      </c>
      <c r="H94" s="197">
        <f t="shared" si="4"/>
        <v>462</v>
      </c>
      <c r="I94" s="523">
        <v>1</v>
      </c>
      <c r="J94" s="533">
        <f>'Monthly DCF'!$I$3</f>
        <v>46418</v>
      </c>
      <c r="K94" s="533">
        <f t="shared" si="5"/>
        <v>47787</v>
      </c>
      <c r="L94" s="536">
        <f t="shared" si="55"/>
        <v>46</v>
      </c>
      <c r="M94" s="20" t="s">
        <v>366</v>
      </c>
      <c r="N94" s="20">
        <f t="shared" si="6"/>
        <v>23</v>
      </c>
      <c r="O94" s="537">
        <v>2</v>
      </c>
      <c r="P94" s="528">
        <f t="shared" ref="P94:BM94" si="96">IFERROR(+IF(AND($M94="Flat",P$5&gt;=$J94,P$5&lt;=$K94),$I94/$L94,0)+IF(AND($M94="S-Curve",P$5&gt;=$J94,P$5&lt;=$K94),(_xlfn.NORM.DIST((YEAR(P$5)-YEAR($J94))*12+MONTH(P$5)-MONTH($J94)+1,$L94/2,$N94,TRUE)-_xlfn.NORM.DIST((YEAR(P$5)-YEAR($J94))*12+MONTH(P$5)-MONTH($J94),$L94/2,$N94,TRUE))/(1-2*_xlfn.NORM.DIST(0,$L94/2,$N94,TRUE))*$I94," "),"")</f>
        <v>1.5745224625941759E-2</v>
      </c>
      <c r="Q94" s="528">
        <f t="shared" si="96"/>
        <v>1.641373479623788E-2</v>
      </c>
      <c r="R94" s="528">
        <f t="shared" si="96"/>
        <v>1.7078318951082541E-2</v>
      </c>
      <c r="S94" s="528">
        <f t="shared" si="96"/>
        <v>1.7736257479885123E-2</v>
      </c>
      <c r="T94" s="528">
        <f t="shared" si="96"/>
        <v>1.8384761759791864E-2</v>
      </c>
      <c r="U94" s="528">
        <f t="shared" si="96"/>
        <v>1.9020992954245947E-2</v>
      </c>
      <c r="V94" s="528">
        <f t="shared" si="96"/>
        <v>1.9642081999295631E-2</v>
      </c>
      <c r="W94" s="528">
        <f t="shared" si="96"/>
        <v>2.0245150590743971E-2</v>
      </c>
      <c r="X94" s="528">
        <f t="shared" si="96"/>
        <v>2.0827332965138095E-2</v>
      </c>
      <c r="Y94" s="528">
        <f t="shared" si="96"/>
        <v>2.138579825000584E-2</v>
      </c>
      <c r="Z94" s="528">
        <f t="shared" si="96"/>
        <v>2.1917773143988933E-2</v>
      </c>
      <c r="AA94" s="528">
        <f t="shared" si="96"/>
        <v>2.2420564676012566E-2</v>
      </c>
      <c r="AB94" s="528">
        <f t="shared" si="96"/>
        <v>2.2891582784600559E-2</v>
      </c>
      <c r="AC94" s="528">
        <f t="shared" si="96"/>
        <v>2.3328362454170696E-2</v>
      </c>
      <c r="AD94" s="528">
        <f t="shared" si="96"/>
        <v>2.3728585144777305E-2</v>
      </c>
      <c r="AE94" s="528">
        <f t="shared" si="96"/>
        <v>2.4090099255412157E-2</v>
      </c>
      <c r="AF94" s="528">
        <f t="shared" si="96"/>
        <v>2.4410939368649465E-2</v>
      </c>
      <c r="AG94" s="528">
        <f t="shared" si="96"/>
        <v>2.4689344036097374E-2</v>
      </c>
      <c r="AH94" s="528">
        <f t="shared" si="96"/>
        <v>2.4923771879632909E-2</v>
      </c>
      <c r="AI94" s="528">
        <f t="shared" si="96"/>
        <v>2.5112915802578947E-2</v>
      </c>
      <c r="AJ94" s="528">
        <f t="shared" si="96"/>
        <v>2.5255715127548085E-2</v>
      </c>
      <c r="AK94" s="528">
        <f t="shared" si="96"/>
        <v>2.5351365503262755E-2</v>
      </c>
      <c r="AL94" s="528">
        <f t="shared" si="96"/>
        <v>2.5399326450899554E-2</v>
      </c>
      <c r="AM94" s="528">
        <f t="shared" si="96"/>
        <v>2.5399326450899554E-2</v>
      </c>
      <c r="AN94" s="528">
        <f t="shared" si="96"/>
        <v>2.5351365503262675E-2</v>
      </c>
      <c r="AO94" s="528">
        <f t="shared" si="96"/>
        <v>2.5255715127548085E-2</v>
      </c>
      <c r="AP94" s="528">
        <f t="shared" si="96"/>
        <v>2.511291580257911E-2</v>
      </c>
      <c r="AQ94" s="528">
        <f t="shared" si="96"/>
        <v>2.4923771879632829E-2</v>
      </c>
      <c r="AR94" s="528">
        <f t="shared" si="96"/>
        <v>2.4689344036097374E-2</v>
      </c>
      <c r="AS94" s="528">
        <f t="shared" si="96"/>
        <v>2.4410939368649465E-2</v>
      </c>
      <c r="AT94" s="528">
        <f t="shared" si="96"/>
        <v>2.4090099255412157E-2</v>
      </c>
      <c r="AU94" s="528">
        <f t="shared" si="96"/>
        <v>2.3728585144777305E-2</v>
      </c>
      <c r="AV94" s="528">
        <f t="shared" si="96"/>
        <v>2.3328362454170696E-2</v>
      </c>
      <c r="AW94" s="528">
        <f t="shared" si="96"/>
        <v>2.2891582784600642E-2</v>
      </c>
      <c r="AX94" s="528">
        <f t="shared" si="96"/>
        <v>2.2420564676012483E-2</v>
      </c>
      <c r="AY94" s="528">
        <f t="shared" si="96"/>
        <v>2.1917773143988933E-2</v>
      </c>
      <c r="AZ94" s="528">
        <f t="shared" si="96"/>
        <v>2.138579825000584E-2</v>
      </c>
      <c r="BA94" s="528">
        <f t="shared" si="96"/>
        <v>2.0827332965138095E-2</v>
      </c>
      <c r="BB94" s="528">
        <f t="shared" si="96"/>
        <v>2.0245150590743971E-2</v>
      </c>
      <c r="BC94" s="528">
        <f t="shared" si="96"/>
        <v>1.9642081999295589E-2</v>
      </c>
      <c r="BD94" s="528">
        <f t="shared" si="96"/>
        <v>1.9020992954245905E-2</v>
      </c>
      <c r="BE94" s="528">
        <f t="shared" si="96"/>
        <v>1.8384761759791989E-2</v>
      </c>
      <c r="BF94" s="528">
        <f t="shared" si="96"/>
        <v>1.7736257479885085E-2</v>
      </c>
      <c r="BG94" s="528">
        <f t="shared" si="96"/>
        <v>1.7078318951082541E-2</v>
      </c>
      <c r="BH94" s="528">
        <f t="shared" si="96"/>
        <v>1.6413734796237839E-2</v>
      </c>
      <c r="BI94" s="528">
        <f t="shared" si="96"/>
        <v>1.5745224625941839E-2</v>
      </c>
      <c r="BJ94" s="528" t="str">
        <f t="shared" si="96"/>
        <v/>
      </c>
      <c r="BK94" s="528" t="str">
        <f t="shared" si="96"/>
        <v/>
      </c>
      <c r="BL94" s="528" t="str">
        <f t="shared" si="96"/>
        <v/>
      </c>
      <c r="BM94" s="528" t="str">
        <f t="shared" si="96"/>
        <v/>
      </c>
    </row>
    <row r="95" spans="6:65" ht="15.75" customHeight="1" x14ac:dyDescent="0.25">
      <c r="F95" s="197"/>
      <c r="G95" s="197">
        <f t="shared" si="3"/>
        <v>0</v>
      </c>
      <c r="H95" s="197">
        <f t="shared" si="4"/>
        <v>472</v>
      </c>
      <c r="I95" s="523">
        <v>1</v>
      </c>
      <c r="J95" s="533">
        <f>'Monthly DCF'!$I$3</f>
        <v>46418</v>
      </c>
      <c r="K95" s="533">
        <f t="shared" si="5"/>
        <v>47817</v>
      </c>
      <c r="L95" s="536">
        <f t="shared" si="55"/>
        <v>47</v>
      </c>
      <c r="M95" s="20" t="s">
        <v>366</v>
      </c>
      <c r="N95" s="20">
        <f t="shared" si="6"/>
        <v>23.5</v>
      </c>
      <c r="O95" s="537">
        <v>2</v>
      </c>
      <c r="P95" s="528">
        <f t="shared" ref="P95:BM95" si="97">IFERROR(+IF(AND($M95="Flat",P$5&gt;=$J95,P$5&lt;=$K95),$I95/$L95,0)+IF(AND($M95="S-Curve",P$5&gt;=$J95,P$5&lt;=$K95),(_xlfn.NORM.DIST((YEAR(P$5)-YEAR($J95))*12+MONTH(P$5)-MONTH($J95)+1,$L95/2,$N95,TRUE)-_xlfn.NORM.DIST((YEAR(P$5)-YEAR($J95))*12+MONTH(P$5)-MONTH($J95),$L95/2,$N95,TRUE))/(1-2*_xlfn.NORM.DIST(0,$L95/2,$N95,TRUE))*$I95," "),"")</f>
        <v>1.5403250219173664E-2</v>
      </c>
      <c r="Q95" s="528">
        <f t="shared" si="97"/>
        <v>1.6043676915888455E-2</v>
      </c>
      <c r="R95" s="528">
        <f t="shared" si="97"/>
        <v>1.6680503451277896E-2</v>
      </c>
      <c r="S95" s="528">
        <f t="shared" si="97"/>
        <v>1.7311237335266395E-2</v>
      </c>
      <c r="T95" s="528">
        <f t="shared" si="97"/>
        <v>1.7933323225499065E-2</v>
      </c>
      <c r="U95" s="528">
        <f t="shared" si="97"/>
        <v>1.8544159379918459E-2</v>
      </c>
      <c r="V95" s="528">
        <f t="shared" si="97"/>
        <v>1.9141115142551689E-2</v>
      </c>
      <c r="W95" s="528">
        <f t="shared" si="97"/>
        <v>1.97215493066542E-2</v>
      </c>
      <c r="X95" s="528">
        <f t="shared" si="97"/>
        <v>2.0282829182598702E-2</v>
      </c>
      <c r="Y95" s="528">
        <f t="shared" si="97"/>
        <v>2.0822350183149874E-2</v>
      </c>
      <c r="Z95" s="528">
        <f t="shared" si="97"/>
        <v>2.1337555726250866E-2</v>
      </c>
      <c r="AA95" s="528">
        <f t="shared" si="97"/>
        <v>2.1825957245523522E-2</v>
      </c>
      <c r="AB95" s="528">
        <f t="shared" si="97"/>
        <v>2.2285154091522669E-2</v>
      </c>
      <c r="AC95" s="528">
        <f t="shared" si="97"/>
        <v>2.2712853102623727E-2</v>
      </c>
      <c r="AD95" s="528">
        <f t="shared" si="97"/>
        <v>2.3106887623389426E-2</v>
      </c>
      <c r="AE95" s="528">
        <f t="shared" si="97"/>
        <v>2.3465235750452756E-2</v>
      </c>
      <c r="AF95" s="528">
        <f t="shared" si="97"/>
        <v>2.3786037591392875E-2</v>
      </c>
      <c r="AG95" s="528">
        <f t="shared" si="97"/>
        <v>2.4067611330766351E-2</v>
      </c>
      <c r="AH95" s="528">
        <f t="shared" si="97"/>
        <v>2.4308467909279756E-2</v>
      </c>
      <c r="AI95" s="528">
        <f t="shared" si="97"/>
        <v>2.4507324136931911E-2</v>
      </c>
      <c r="AJ95" s="528">
        <f t="shared" si="97"/>
        <v>2.4663114078591536E-2</v>
      </c>
      <c r="AK95" s="528">
        <f t="shared" si="97"/>
        <v>2.4774998570686529E-2</v>
      </c>
      <c r="AL95" s="528">
        <f t="shared" si="97"/>
        <v>2.4842372750128152E-2</v>
      </c>
      <c r="AM95" s="528">
        <f t="shared" si="97"/>
        <v>2.4864871500962976E-2</v>
      </c>
      <c r="AN95" s="528">
        <f t="shared" si="97"/>
        <v>2.4842372750128152E-2</v>
      </c>
      <c r="AO95" s="528">
        <f t="shared" si="97"/>
        <v>2.4774998570686529E-2</v>
      </c>
      <c r="AP95" s="528">
        <f t="shared" si="97"/>
        <v>2.4663114078591456E-2</v>
      </c>
      <c r="AQ95" s="528">
        <f t="shared" si="97"/>
        <v>2.4507324136932074E-2</v>
      </c>
      <c r="AR95" s="528">
        <f t="shared" si="97"/>
        <v>2.4308467909279593E-2</v>
      </c>
      <c r="AS95" s="528">
        <f t="shared" si="97"/>
        <v>2.4067611330766434E-2</v>
      </c>
      <c r="AT95" s="528">
        <f t="shared" si="97"/>
        <v>2.3786037591392875E-2</v>
      </c>
      <c r="AU95" s="528">
        <f t="shared" si="97"/>
        <v>2.3465235750452756E-2</v>
      </c>
      <c r="AV95" s="528">
        <f t="shared" si="97"/>
        <v>2.3106887623389426E-2</v>
      </c>
      <c r="AW95" s="528">
        <f t="shared" si="97"/>
        <v>2.2712853102623647E-2</v>
      </c>
      <c r="AX95" s="528">
        <f t="shared" si="97"/>
        <v>2.2285154091522749E-2</v>
      </c>
      <c r="AY95" s="528">
        <f t="shared" si="97"/>
        <v>2.1825957245523605E-2</v>
      </c>
      <c r="AZ95" s="528">
        <f t="shared" si="97"/>
        <v>2.1337555726250786E-2</v>
      </c>
      <c r="BA95" s="528">
        <f t="shared" si="97"/>
        <v>2.082235018314979E-2</v>
      </c>
      <c r="BB95" s="528">
        <f t="shared" si="97"/>
        <v>2.0282829182598782E-2</v>
      </c>
      <c r="BC95" s="528">
        <f t="shared" si="97"/>
        <v>1.97215493066542E-2</v>
      </c>
      <c r="BD95" s="528">
        <f t="shared" si="97"/>
        <v>1.9141115142551648E-2</v>
      </c>
      <c r="BE95" s="528">
        <f t="shared" si="97"/>
        <v>1.8544159379918459E-2</v>
      </c>
      <c r="BF95" s="528">
        <f t="shared" si="97"/>
        <v>1.7933323225499145E-2</v>
      </c>
      <c r="BG95" s="528">
        <f t="shared" si="97"/>
        <v>1.7311237335266395E-2</v>
      </c>
      <c r="BH95" s="528">
        <f t="shared" si="97"/>
        <v>1.6680503451277775E-2</v>
      </c>
      <c r="BI95" s="528">
        <f t="shared" si="97"/>
        <v>1.6043676915888497E-2</v>
      </c>
      <c r="BJ95" s="528">
        <f t="shared" si="97"/>
        <v>1.5403250219173745E-2</v>
      </c>
      <c r="BK95" s="528" t="str">
        <f t="shared" si="97"/>
        <v/>
      </c>
      <c r="BL95" s="528" t="str">
        <f t="shared" si="97"/>
        <v/>
      </c>
      <c r="BM95" s="528" t="str">
        <f t="shared" si="97"/>
        <v/>
      </c>
    </row>
    <row r="96" spans="6:65" ht="15.75" customHeight="1" x14ac:dyDescent="0.25">
      <c r="F96" s="197"/>
      <c r="G96" s="197">
        <f t="shared" si="3"/>
        <v>0</v>
      </c>
      <c r="H96" s="197">
        <f t="shared" si="4"/>
        <v>482</v>
      </c>
      <c r="I96" s="523">
        <v>1</v>
      </c>
      <c r="J96" s="533">
        <f>'Monthly DCF'!$I$3</f>
        <v>46418</v>
      </c>
      <c r="K96" s="533">
        <f t="shared" si="5"/>
        <v>47848</v>
      </c>
      <c r="L96" s="536">
        <f t="shared" si="55"/>
        <v>48</v>
      </c>
      <c r="M96" s="20" t="s">
        <v>366</v>
      </c>
      <c r="N96" s="20">
        <f t="shared" si="6"/>
        <v>24</v>
      </c>
      <c r="O96" s="537">
        <v>2</v>
      </c>
      <c r="P96" s="528">
        <f t="shared" ref="P96:BM96" si="98">IFERROR(+IF(AND($M96="Flat",P$5&gt;=$J96,P$5&lt;=$K96),$I96/$L96,0)+IF(AND($M96="S-Curve",P$5&gt;=$J96,P$5&lt;=$K96),(_xlfn.NORM.DIST((YEAR(P$5)-YEAR($J96))*12+MONTH(P$5)-MONTH($J96)+1,$L96/2,$N96,TRUE)-_xlfn.NORM.DIST((YEAR(P$5)-YEAR($J96))*12+MONTH(P$5)-MONTH($J96),$L96/2,$N96,TRUE))/(1-2*_xlfn.NORM.DIST(0,$L96/2,$N96,TRUE))*$I96," "),"")</f>
        <v>1.5075808840604488E-2</v>
      </c>
      <c r="Q96" s="528">
        <f t="shared" si="98"/>
        <v>1.5689884018647637E-2</v>
      </c>
      <c r="R96" s="528">
        <f t="shared" si="98"/>
        <v>1.6300651783711113E-2</v>
      </c>
      <c r="S96" s="528">
        <f t="shared" si="98"/>
        <v>1.6905823575815122E-2</v>
      </c>
      <c r="T96" s="528">
        <f t="shared" si="98"/>
        <v>1.7503053510111801E-2</v>
      </c>
      <c r="U96" s="528">
        <f t="shared" si="98"/>
        <v>1.8089952817200869E-2</v>
      </c>
      <c r="V96" s="528">
        <f t="shared" si="98"/>
        <v>1.8664105184473964E-2</v>
      </c>
      <c r="W96" s="528">
        <f t="shared" si="98"/>
        <v>1.9223082868013153E-2</v>
      </c>
      <c r="X96" s="528">
        <f t="shared" si="98"/>
        <v>1.9764463430569604E-2</v>
      </c>
      <c r="Y96" s="528">
        <f t="shared" si="98"/>
        <v>2.0285846948738823E-2</v>
      </c>
      <c r="Z96" s="528">
        <f t="shared" si="98"/>
        <v>2.0784873521820079E-2</v>
      </c>
      <c r="AA96" s="528">
        <f t="shared" si="98"/>
        <v>2.1259240906291797E-2</v>
      </c>
      <c r="AB96" s="528">
        <f t="shared" si="98"/>
        <v>2.1706722093486445E-2</v>
      </c>
      <c r="AC96" s="528">
        <f t="shared" si="98"/>
        <v>2.2125182644098133E-2</v>
      </c>
      <c r="AD96" s="528">
        <f t="shared" si="98"/>
        <v>2.2512597591732592E-2</v>
      </c>
      <c r="AE96" s="528">
        <f t="shared" si="98"/>
        <v>2.2867067728871253E-2</v>
      </c>
      <c r="AF96" s="528">
        <f t="shared" si="98"/>
        <v>2.3186835092424304E-2</v>
      </c>
      <c r="AG96" s="528">
        <f t="shared" si="98"/>
        <v>2.3470297472488012E-2</v>
      </c>
      <c r="AH96" s="528">
        <f t="shared" si="98"/>
        <v>2.371602177692532E-2</v>
      </c>
      <c r="AI96" s="528">
        <f t="shared" si="98"/>
        <v>2.3922756095884578E-2</v>
      </c>
      <c r="AJ96" s="528">
        <f t="shared" si="98"/>
        <v>2.4089440324194137E-2</v>
      </c>
      <c r="AK96" s="528">
        <f t="shared" si="98"/>
        <v>2.4215215215544972E-2</v>
      </c>
      <c r="AL96" s="528">
        <f t="shared" si="98"/>
        <v>2.4299429760269092E-2</v>
      </c>
      <c r="AM96" s="528">
        <f t="shared" si="98"/>
        <v>2.4341646798082667E-2</v>
      </c>
      <c r="AN96" s="528">
        <f t="shared" si="98"/>
        <v>2.4341646798082667E-2</v>
      </c>
      <c r="AO96" s="528">
        <f t="shared" si="98"/>
        <v>2.4299429760269008E-2</v>
      </c>
      <c r="AP96" s="528">
        <f t="shared" si="98"/>
        <v>2.4215215215545052E-2</v>
      </c>
      <c r="AQ96" s="528">
        <f t="shared" si="98"/>
        <v>2.4089440324194137E-2</v>
      </c>
      <c r="AR96" s="528">
        <f t="shared" si="98"/>
        <v>2.3922756095884578E-2</v>
      </c>
      <c r="AS96" s="528">
        <f t="shared" si="98"/>
        <v>2.371602177692532E-2</v>
      </c>
      <c r="AT96" s="528">
        <f t="shared" si="98"/>
        <v>2.3470297472488012E-2</v>
      </c>
      <c r="AU96" s="528">
        <f t="shared" si="98"/>
        <v>2.3186835092424384E-2</v>
      </c>
      <c r="AV96" s="528">
        <f t="shared" si="98"/>
        <v>2.2867067728871173E-2</v>
      </c>
      <c r="AW96" s="528">
        <f t="shared" si="98"/>
        <v>2.2512597591732512E-2</v>
      </c>
      <c r="AX96" s="528">
        <f t="shared" si="98"/>
        <v>2.2125182644098296E-2</v>
      </c>
      <c r="AY96" s="528">
        <f t="shared" si="98"/>
        <v>2.1706722093486366E-2</v>
      </c>
      <c r="AZ96" s="528">
        <f t="shared" si="98"/>
        <v>2.1259240906291797E-2</v>
      </c>
      <c r="BA96" s="528">
        <f t="shared" si="98"/>
        <v>2.0784873521820079E-2</v>
      </c>
      <c r="BB96" s="528">
        <f t="shared" si="98"/>
        <v>2.0285846948738744E-2</v>
      </c>
      <c r="BC96" s="528">
        <f t="shared" si="98"/>
        <v>1.9764463430569687E-2</v>
      </c>
      <c r="BD96" s="528">
        <f t="shared" si="98"/>
        <v>1.9223082868013153E-2</v>
      </c>
      <c r="BE96" s="528">
        <f t="shared" si="98"/>
        <v>1.8664105184473881E-2</v>
      </c>
      <c r="BF96" s="528">
        <f t="shared" si="98"/>
        <v>1.8089952817200952E-2</v>
      </c>
      <c r="BG96" s="528">
        <f t="shared" si="98"/>
        <v>1.7503053510111801E-2</v>
      </c>
      <c r="BH96" s="528">
        <f t="shared" si="98"/>
        <v>1.6905823575815201E-2</v>
      </c>
      <c r="BI96" s="528">
        <f t="shared" si="98"/>
        <v>1.6300651783710953E-2</v>
      </c>
      <c r="BJ96" s="528">
        <f t="shared" si="98"/>
        <v>1.5689884018647758E-2</v>
      </c>
      <c r="BK96" s="528">
        <f t="shared" si="98"/>
        <v>1.5075808840604488E-2</v>
      </c>
      <c r="BL96" s="528" t="str">
        <f t="shared" si="98"/>
        <v/>
      </c>
      <c r="BM96" s="528" t="str">
        <f t="shared" si="98"/>
        <v/>
      </c>
    </row>
    <row r="97" spans="6:65" ht="15.75" customHeight="1" x14ac:dyDescent="0.25">
      <c r="F97" s="197"/>
      <c r="G97" s="197">
        <f t="shared" si="3"/>
        <v>0</v>
      </c>
      <c r="H97" s="197">
        <f t="shared" si="4"/>
        <v>492</v>
      </c>
      <c r="I97" s="523">
        <v>1</v>
      </c>
      <c r="J97" s="533">
        <f>'Monthly DCF'!$I$3</f>
        <v>46418</v>
      </c>
      <c r="K97" s="533">
        <f t="shared" si="5"/>
        <v>47879</v>
      </c>
      <c r="L97" s="536">
        <f t="shared" si="55"/>
        <v>49</v>
      </c>
      <c r="M97" s="20" t="s">
        <v>366</v>
      </c>
      <c r="N97" s="20">
        <f t="shared" si="6"/>
        <v>24.5</v>
      </c>
      <c r="O97" s="537">
        <v>2</v>
      </c>
      <c r="P97" s="528">
        <f t="shared" ref="P97:BM97" si="99">IFERROR(+IF(AND($M97="Flat",P$5&gt;=$J97,P$5&lt;=$K97),$I97/$L97,0)+IF(AND($M97="S-Curve",P$5&gt;=$J97,P$5&lt;=$K97),(_xlfn.NORM.DIST((YEAR(P$5)-YEAR($J97))*12+MONTH(P$5)-MONTH($J97)+1,$L97/2,$N97,TRUE)-_xlfn.NORM.DIST((YEAR(P$5)-YEAR($J97))*12+MONTH(P$5)-MONTH($J97),$L97/2,$N97,TRUE))/(1-2*_xlfn.NORM.DIST(0,$L97/2,$N97,TRUE))*$I97," "),"")</f>
        <v>1.4761993694384381E-2</v>
      </c>
      <c r="Q97" s="528">
        <f t="shared" si="99"/>
        <v>1.5351309861224061E-2</v>
      </c>
      <c r="R97" s="528">
        <f t="shared" si="99"/>
        <v>1.593758221182168E-2</v>
      </c>
      <c r="S97" s="528">
        <f t="shared" si="99"/>
        <v>1.6518705706606785E-2</v>
      </c>
      <c r="T97" s="528">
        <f t="shared" si="99"/>
        <v>1.7092522948097683E-2</v>
      </c>
      <c r="U97" s="528">
        <f t="shared" si="99"/>
        <v>1.7656836889636068E-2</v>
      </c>
      <c r="V97" s="528">
        <f t="shared" si="99"/>
        <v>1.8209424331782048E-2</v>
      </c>
      <c r="W97" s="528">
        <f t="shared" si="99"/>
        <v>1.8748050096737467E-2</v>
      </c>
      <c r="X97" s="528">
        <f t="shared" si="99"/>
        <v>1.9270481759434358E-2</v>
      </c>
      <c r="Y97" s="528">
        <f t="shared" si="99"/>
        <v>1.9774504803443733E-2</v>
      </c>
      <c r="Z97" s="528">
        <f t="shared" si="99"/>
        <v>2.0257938060837848E-2</v>
      </c>
      <c r="AA97" s="528">
        <f t="shared" si="99"/>
        <v>2.0718649287738363E-2</v>
      </c>
      <c r="AB97" s="528">
        <f t="shared" si="99"/>
        <v>2.1154570721691274E-2</v>
      </c>
      <c r="AC97" s="528">
        <f t="shared" si="99"/>
        <v>2.1563714463323204E-2</v>
      </c>
      <c r="AD97" s="528">
        <f t="shared" si="99"/>
        <v>2.1944187523102086E-2</v>
      </c>
      <c r="AE97" s="528">
        <f t="shared" si="99"/>
        <v>2.2294206374469567E-2</v>
      </c>
      <c r="AF97" s="528">
        <f t="shared" si="99"/>
        <v>2.2612110857227405E-2</v>
      </c>
      <c r="AG97" s="528">
        <f t="shared" si="99"/>
        <v>2.2896377279786707E-2</v>
      </c>
      <c r="AH97" s="528">
        <f t="shared" si="99"/>
        <v>2.3145630575773204E-2</v>
      </c>
      <c r="AI97" s="528">
        <f t="shared" si="99"/>
        <v>2.3358655379361888E-2</v>
      </c>
      <c r="AJ97" s="528">
        <f t="shared" si="99"/>
        <v>2.3534405894581438E-2</v>
      </c>
      <c r="AK97" s="528">
        <f t="shared" si="99"/>
        <v>2.3672014446473669E-2</v>
      </c>
      <c r="AL97" s="528">
        <f t="shared" si="99"/>
        <v>2.3770798616283836E-2</v>
      </c>
      <c r="AM97" s="528">
        <f t="shared" si="99"/>
        <v>2.3830266878585943E-2</v>
      </c>
      <c r="AN97" s="528">
        <f t="shared" si="99"/>
        <v>2.3850122675190603E-2</v>
      </c>
      <c r="AO97" s="528">
        <f t="shared" si="99"/>
        <v>2.383026687858578E-2</v>
      </c>
      <c r="AP97" s="528">
        <f t="shared" si="99"/>
        <v>2.3770798616283915E-2</v>
      </c>
      <c r="AQ97" s="528">
        <f t="shared" si="99"/>
        <v>2.3672014446473669E-2</v>
      </c>
      <c r="AR97" s="528">
        <f t="shared" si="99"/>
        <v>2.3534405894581438E-2</v>
      </c>
      <c r="AS97" s="528">
        <f t="shared" si="99"/>
        <v>2.3358655379361888E-2</v>
      </c>
      <c r="AT97" s="528">
        <f t="shared" si="99"/>
        <v>2.3145630575773204E-2</v>
      </c>
      <c r="AU97" s="528">
        <f t="shared" si="99"/>
        <v>2.2896377279786707E-2</v>
      </c>
      <c r="AV97" s="528">
        <f t="shared" si="99"/>
        <v>2.2612110857227405E-2</v>
      </c>
      <c r="AW97" s="528">
        <f t="shared" si="99"/>
        <v>2.2294206374469567E-2</v>
      </c>
      <c r="AX97" s="528">
        <f t="shared" si="99"/>
        <v>2.1944187523102086E-2</v>
      </c>
      <c r="AY97" s="528">
        <f t="shared" si="99"/>
        <v>2.1563714463323204E-2</v>
      </c>
      <c r="AZ97" s="528">
        <f t="shared" si="99"/>
        <v>2.1154570721691194E-2</v>
      </c>
      <c r="BA97" s="528">
        <f t="shared" si="99"/>
        <v>2.0718649287738363E-2</v>
      </c>
      <c r="BB97" s="528">
        <f t="shared" si="99"/>
        <v>2.0257938060837932E-2</v>
      </c>
      <c r="BC97" s="528">
        <f t="shared" si="99"/>
        <v>1.9774504803443733E-2</v>
      </c>
      <c r="BD97" s="528">
        <f t="shared" si="99"/>
        <v>1.9270481759434358E-2</v>
      </c>
      <c r="BE97" s="528">
        <f t="shared" si="99"/>
        <v>1.8748050096737388E-2</v>
      </c>
      <c r="BF97" s="528">
        <f t="shared" si="99"/>
        <v>1.8209424331782211E-2</v>
      </c>
      <c r="BG97" s="528">
        <f t="shared" si="99"/>
        <v>1.7656836889636027E-2</v>
      </c>
      <c r="BH97" s="528">
        <f t="shared" si="99"/>
        <v>1.7092522948097683E-2</v>
      </c>
      <c r="BI97" s="528">
        <f t="shared" si="99"/>
        <v>1.6518705706606743E-2</v>
      </c>
      <c r="BJ97" s="528">
        <f t="shared" si="99"/>
        <v>1.5937582211821642E-2</v>
      </c>
      <c r="BK97" s="528">
        <f t="shared" si="99"/>
        <v>1.5351309861224061E-2</v>
      </c>
      <c r="BL97" s="528">
        <f t="shared" si="99"/>
        <v>1.4761993694384462E-2</v>
      </c>
      <c r="BM97" s="528" t="str">
        <f t="shared" si="99"/>
        <v/>
      </c>
    </row>
    <row r="98" spans="6:65" ht="15.75" customHeight="1" x14ac:dyDescent="0.25">
      <c r="F98" s="197"/>
      <c r="G98" s="197">
        <f t="shared" si="3"/>
        <v>0</v>
      </c>
      <c r="H98" s="197">
        <f t="shared" si="4"/>
        <v>502</v>
      </c>
      <c r="I98" s="523">
        <v>1</v>
      </c>
      <c r="J98" s="533">
        <f>'Monthly DCF'!$I$3</f>
        <v>46418</v>
      </c>
      <c r="K98" s="533">
        <f t="shared" si="5"/>
        <v>47907</v>
      </c>
      <c r="L98" s="536">
        <f t="shared" si="55"/>
        <v>50</v>
      </c>
      <c r="M98" s="20" t="s">
        <v>366</v>
      </c>
      <c r="N98" s="20">
        <f t="shared" si="6"/>
        <v>25</v>
      </c>
      <c r="O98" s="537">
        <v>2</v>
      </c>
      <c r="P98" s="528">
        <f t="shared" ref="P98:BM98" si="100">IFERROR(+IF(AND($M98="Flat",P$5&gt;=$J98,P$5&lt;=$K98),$I98/$L98,0)+IF(AND($M98="S-Curve",P$5&gt;=$J98,P$5&lt;=$K98),(_xlfn.NORM.DIST((YEAR(P$5)-YEAR($J98))*12+MONTH(P$5)-MONTH($J98)+1,$L98/2,$N98,TRUE)-_xlfn.NORM.DIST((YEAR(P$5)-YEAR($J98))*12+MONTH(P$5)-MONTH($J98),$L98/2,$N98,TRUE))/(1-2*_xlfn.NORM.DIST(0,$L98/2,$N98,TRUE))*$I98," "),"")</f>
        <v>1.4460971860686553E-2</v>
      </c>
      <c r="Q98" s="528">
        <f t="shared" si="100"/>
        <v>1.5026995824148319E-2</v>
      </c>
      <c r="R98" s="528">
        <f t="shared" si="100"/>
        <v>1.5590213830628577E-2</v>
      </c>
      <c r="S98" s="528">
        <f t="shared" si="100"/>
        <v>1.6148686351135109E-2</v>
      </c>
      <c r="T98" s="528">
        <f t="shared" si="100"/>
        <v>1.6700425968556691E-2</v>
      </c>
      <c r="U98" s="528">
        <f t="shared" si="100"/>
        <v>1.7243408591733483E-2</v>
      </c>
      <c r="V98" s="528">
        <f t="shared" si="100"/>
        <v>1.7775585359698177E-2</v>
      </c>
      <c r="W98" s="528">
        <f t="shared" si="100"/>
        <v>1.8294895143649469E-2</v>
      </c>
      <c r="X98" s="528">
        <f t="shared" si="100"/>
        <v>1.8799277544342099E-2</v>
      </c>
      <c r="Y98" s="528">
        <f t="shared" si="100"/>
        <v>1.9286686273718275E-2</v>
      </c>
      <c r="Z98" s="528">
        <f t="shared" si="100"/>
        <v>1.9755102801912394E-2</v>
      </c>
      <c r="AA98" s="528">
        <f t="shared" si="100"/>
        <v>2.0202550144377576E-2</v>
      </c>
      <c r="AB98" s="528">
        <f t="shared" si="100"/>
        <v>2.0627106658950428E-2</v>
      </c>
      <c r="AC98" s="528">
        <f t="shared" si="100"/>
        <v>2.1026919719292488E-2</v>
      </c>
      <c r="AD98" s="528">
        <f t="shared" si="100"/>
        <v>2.1400219129414193E-2</v>
      </c>
      <c r="AE98" s="528">
        <f t="shared" si="100"/>
        <v>2.1745330143959532E-2</v>
      </c>
      <c r="AF98" s="528">
        <f t="shared" si="100"/>
        <v>2.2060685960648946E-2</v>
      </c>
      <c r="AG98" s="528">
        <f t="shared" si="100"/>
        <v>2.2344839554758592E-2</v>
      </c>
      <c r="AH98" s="528">
        <f t="shared" si="100"/>
        <v>2.2596474730716555E-2</v>
      </c>
      <c r="AI98" s="528">
        <f t="shared" si="100"/>
        <v>2.2814416272815989E-2</v>
      </c>
      <c r="AJ98" s="528">
        <f t="shared" si="100"/>
        <v>2.2997639085555986E-2</v>
      </c>
      <c r="AK98" s="528">
        <f t="shared" si="100"/>
        <v>2.3145276224166702E-2</v>
      </c>
      <c r="AL98" s="528">
        <f t="shared" si="100"/>
        <v>2.3256625727305531E-2</v>
      </c>
      <c r="AM98" s="528">
        <f t="shared" si="100"/>
        <v>2.3331156176574445E-2</v>
      </c>
      <c r="AN98" s="528">
        <f t="shared" si="100"/>
        <v>2.3368510921253846E-2</v>
      </c>
      <c r="AO98" s="528">
        <f t="shared" si="100"/>
        <v>2.3368510921253766E-2</v>
      </c>
      <c r="AP98" s="528">
        <f t="shared" si="100"/>
        <v>2.3331156176574608E-2</v>
      </c>
      <c r="AQ98" s="528">
        <f t="shared" si="100"/>
        <v>2.3256625727305448E-2</v>
      </c>
      <c r="AR98" s="528">
        <f t="shared" si="100"/>
        <v>2.3145276224166785E-2</v>
      </c>
      <c r="AS98" s="528">
        <f t="shared" si="100"/>
        <v>2.2997639085555823E-2</v>
      </c>
      <c r="AT98" s="528">
        <f t="shared" si="100"/>
        <v>2.2814416272815989E-2</v>
      </c>
      <c r="AU98" s="528">
        <f t="shared" si="100"/>
        <v>2.2596474730716638E-2</v>
      </c>
      <c r="AV98" s="528">
        <f t="shared" si="100"/>
        <v>2.2344839554758592E-2</v>
      </c>
      <c r="AW98" s="528">
        <f t="shared" si="100"/>
        <v>2.2060685960649026E-2</v>
      </c>
      <c r="AX98" s="528">
        <f t="shared" si="100"/>
        <v>2.1745330143959532E-2</v>
      </c>
      <c r="AY98" s="528">
        <f t="shared" si="100"/>
        <v>2.1400219129414109E-2</v>
      </c>
      <c r="AZ98" s="528">
        <f t="shared" si="100"/>
        <v>2.1026919719292408E-2</v>
      </c>
      <c r="BA98" s="528">
        <f t="shared" si="100"/>
        <v>2.0627106658950508E-2</v>
      </c>
      <c r="BB98" s="528">
        <f t="shared" si="100"/>
        <v>2.0202550144377576E-2</v>
      </c>
      <c r="BC98" s="528">
        <f t="shared" si="100"/>
        <v>1.9755102801912394E-2</v>
      </c>
      <c r="BD98" s="528">
        <f t="shared" si="100"/>
        <v>1.9286686273718191E-2</v>
      </c>
      <c r="BE98" s="528">
        <f t="shared" si="100"/>
        <v>1.8799277544342182E-2</v>
      </c>
      <c r="BF98" s="528">
        <f t="shared" si="100"/>
        <v>1.8294895143649469E-2</v>
      </c>
      <c r="BG98" s="528">
        <f t="shared" si="100"/>
        <v>1.7775585359698219E-2</v>
      </c>
      <c r="BH98" s="528">
        <f t="shared" si="100"/>
        <v>1.72434085917334E-2</v>
      </c>
      <c r="BI98" s="528">
        <f t="shared" si="100"/>
        <v>1.6700425968556691E-2</v>
      </c>
      <c r="BJ98" s="528">
        <f t="shared" si="100"/>
        <v>1.6148686351135109E-2</v>
      </c>
      <c r="BK98" s="528">
        <f t="shared" si="100"/>
        <v>1.5590213830628618E-2</v>
      </c>
      <c r="BL98" s="528">
        <f t="shared" si="100"/>
        <v>1.5026995824148279E-2</v>
      </c>
      <c r="BM98" s="528">
        <f t="shared" si="100"/>
        <v>1.4460971860686634E-2</v>
      </c>
    </row>
    <row r="99" spans="6:65" ht="15.75" customHeight="1" x14ac:dyDescent="0.25">
      <c r="F99" s="197"/>
      <c r="G99" s="197">
        <f t="shared" si="3"/>
        <v>0</v>
      </c>
      <c r="H99" s="197">
        <f t="shared" si="4"/>
        <v>53</v>
      </c>
      <c r="I99" s="523">
        <v>1</v>
      </c>
      <c r="J99" s="533">
        <f>'Monthly DCF'!$I$3</f>
        <v>46418</v>
      </c>
      <c r="K99" s="533">
        <f t="shared" si="5"/>
        <v>46538</v>
      </c>
      <c r="L99" s="536">
        <v>5</v>
      </c>
      <c r="M99" s="20" t="s">
        <v>366</v>
      </c>
      <c r="N99" s="20">
        <f t="shared" si="6"/>
        <v>1.6666666666666667</v>
      </c>
      <c r="O99" s="537">
        <v>3</v>
      </c>
      <c r="P99" s="528">
        <f t="shared" ref="P99:BM99" si="101">IFERROR(+IF(AND($M99="Flat",P$5&gt;=$J99,P$5&lt;=$K99),$I99/$L99,0)+IF(AND($M99="S-Curve",P$5&gt;=$J99,P$5&lt;=$K99),(_xlfn.NORM.DIST((YEAR(P$5)-YEAR($J99))*12+MONTH(P$5)-MONTH($J99)+1,$L99/2,$N99,TRUE)-_xlfn.NORM.DIST((YEAR(P$5)-YEAR($J99))*12+MONTH(P$5)-MONTH($J99),$L99/2,$N99,TRUE))/(1-2*_xlfn.NORM.DIST(0,$L99/2,$N99,TRUE))*$I99," "),"")</f>
        <v>0.135335726287862</v>
      </c>
      <c r="Q99" s="528">
        <f t="shared" si="101"/>
        <v>0.22856849541858704</v>
      </c>
      <c r="R99" s="528">
        <f t="shared" si="101"/>
        <v>0.27219155658710192</v>
      </c>
      <c r="S99" s="528">
        <f t="shared" si="101"/>
        <v>0.22856849541858701</v>
      </c>
      <c r="T99" s="528">
        <f t="shared" si="101"/>
        <v>0.135335726287862</v>
      </c>
      <c r="U99" s="528" t="str">
        <f t="shared" si="101"/>
        <v/>
      </c>
      <c r="V99" s="528" t="str">
        <f t="shared" si="101"/>
        <v/>
      </c>
      <c r="W99" s="528" t="str">
        <f t="shared" si="101"/>
        <v/>
      </c>
      <c r="X99" s="528" t="str">
        <f t="shared" si="101"/>
        <v/>
      </c>
      <c r="Y99" s="528" t="str">
        <f t="shared" si="101"/>
        <v/>
      </c>
      <c r="Z99" s="528" t="str">
        <f t="shared" si="101"/>
        <v/>
      </c>
      <c r="AA99" s="528" t="str">
        <f t="shared" si="101"/>
        <v/>
      </c>
      <c r="AB99" s="528" t="str">
        <f t="shared" si="101"/>
        <v/>
      </c>
      <c r="AC99" s="528" t="str">
        <f t="shared" si="101"/>
        <v/>
      </c>
      <c r="AD99" s="528" t="str">
        <f t="shared" si="101"/>
        <v/>
      </c>
      <c r="AE99" s="528" t="str">
        <f t="shared" si="101"/>
        <v/>
      </c>
      <c r="AF99" s="528" t="str">
        <f t="shared" si="101"/>
        <v/>
      </c>
      <c r="AG99" s="528" t="str">
        <f t="shared" si="101"/>
        <v/>
      </c>
      <c r="AH99" s="528" t="str">
        <f t="shared" si="101"/>
        <v/>
      </c>
      <c r="AI99" s="528" t="str">
        <f t="shared" si="101"/>
        <v/>
      </c>
      <c r="AJ99" s="528" t="str">
        <f t="shared" si="101"/>
        <v/>
      </c>
      <c r="AK99" s="528" t="str">
        <f t="shared" si="101"/>
        <v/>
      </c>
      <c r="AL99" s="528" t="str">
        <f t="shared" si="101"/>
        <v/>
      </c>
      <c r="AM99" s="528" t="str">
        <f t="shared" si="101"/>
        <v/>
      </c>
      <c r="AN99" s="528" t="str">
        <f t="shared" si="101"/>
        <v/>
      </c>
      <c r="AO99" s="528" t="str">
        <f t="shared" si="101"/>
        <v/>
      </c>
      <c r="AP99" s="528" t="str">
        <f t="shared" si="101"/>
        <v/>
      </c>
      <c r="AQ99" s="528" t="str">
        <f t="shared" si="101"/>
        <v/>
      </c>
      <c r="AR99" s="528" t="str">
        <f t="shared" si="101"/>
        <v/>
      </c>
      <c r="AS99" s="528" t="str">
        <f t="shared" si="101"/>
        <v/>
      </c>
      <c r="AT99" s="528" t="str">
        <f t="shared" si="101"/>
        <v/>
      </c>
      <c r="AU99" s="528" t="str">
        <f t="shared" si="101"/>
        <v/>
      </c>
      <c r="AV99" s="528" t="str">
        <f t="shared" si="101"/>
        <v/>
      </c>
      <c r="AW99" s="528" t="str">
        <f t="shared" si="101"/>
        <v/>
      </c>
      <c r="AX99" s="528" t="str">
        <f t="shared" si="101"/>
        <v/>
      </c>
      <c r="AY99" s="528" t="str">
        <f t="shared" si="101"/>
        <v/>
      </c>
      <c r="AZ99" s="528" t="str">
        <f t="shared" si="101"/>
        <v/>
      </c>
      <c r="BA99" s="528" t="str">
        <f t="shared" si="101"/>
        <v/>
      </c>
      <c r="BB99" s="528" t="str">
        <f t="shared" si="101"/>
        <v/>
      </c>
      <c r="BC99" s="528" t="str">
        <f t="shared" si="101"/>
        <v/>
      </c>
      <c r="BD99" s="528" t="str">
        <f t="shared" si="101"/>
        <v/>
      </c>
      <c r="BE99" s="528" t="str">
        <f t="shared" si="101"/>
        <v/>
      </c>
      <c r="BF99" s="528" t="str">
        <f t="shared" si="101"/>
        <v/>
      </c>
      <c r="BG99" s="528" t="str">
        <f t="shared" si="101"/>
        <v/>
      </c>
      <c r="BH99" s="528" t="str">
        <f t="shared" si="101"/>
        <v/>
      </c>
      <c r="BI99" s="528" t="str">
        <f t="shared" si="101"/>
        <v/>
      </c>
      <c r="BJ99" s="528" t="str">
        <f t="shared" si="101"/>
        <v/>
      </c>
      <c r="BK99" s="528" t="str">
        <f t="shared" si="101"/>
        <v/>
      </c>
      <c r="BL99" s="528" t="str">
        <f t="shared" si="101"/>
        <v/>
      </c>
      <c r="BM99" s="528" t="str">
        <f t="shared" si="101"/>
        <v/>
      </c>
    </row>
    <row r="100" spans="6:65" ht="15.75" customHeight="1" x14ac:dyDescent="0.25">
      <c r="F100" s="197"/>
      <c r="G100" s="197">
        <f t="shared" si="3"/>
        <v>0</v>
      </c>
      <c r="H100" s="197">
        <f t="shared" si="4"/>
        <v>63</v>
      </c>
      <c r="I100" s="523">
        <v>1</v>
      </c>
      <c r="J100" s="533">
        <f>'Monthly DCF'!$I$3</f>
        <v>46418</v>
      </c>
      <c r="K100" s="533">
        <f t="shared" si="5"/>
        <v>46568</v>
      </c>
      <c r="L100" s="536">
        <f t="shared" ref="L100:L144" si="102">L99+1</f>
        <v>6</v>
      </c>
      <c r="M100" s="20" t="s">
        <v>366</v>
      </c>
      <c r="N100" s="20">
        <f t="shared" si="6"/>
        <v>2</v>
      </c>
      <c r="O100" s="537">
        <v>3</v>
      </c>
      <c r="P100" s="528">
        <f t="shared" ref="P100:BM100" si="103">IFERROR(+IF(AND($M100="Flat",P$5&gt;=$J100,P$5&lt;=$K100),$I100/$L100,0)+IF(AND($M100="S-Curve",P$5&gt;=$J100,P$5&lt;=$K100),(_xlfn.NORM.DIST((YEAR(P$5)-YEAR($J100))*12+MONTH(P$5)-MONTH($J100)+1,$L100/2,$N100,TRUE)-_xlfn.NORM.DIST((YEAR(P$5)-YEAR($J100))*12+MONTH(P$5)-MONTH($J100),$L100/2,$N100,TRUE))/(1-2*_xlfn.NORM.DIST(0,$L100/2,$N100,TRUE))*$I100," "),"")</f>
        <v>0.10601290341347963</v>
      </c>
      <c r="Q100" s="528">
        <f t="shared" si="103"/>
        <v>0.17299720266997476</v>
      </c>
      <c r="R100" s="528">
        <f t="shared" si="103"/>
        <v>0.22098989391654564</v>
      </c>
      <c r="S100" s="528">
        <f t="shared" si="103"/>
        <v>0.22098989391654564</v>
      </c>
      <c r="T100" s="528">
        <f t="shared" si="103"/>
        <v>0.17299720266997479</v>
      </c>
      <c r="U100" s="528">
        <f t="shared" si="103"/>
        <v>0.10601290341347956</v>
      </c>
      <c r="V100" s="528" t="str">
        <f t="shared" si="103"/>
        <v/>
      </c>
      <c r="W100" s="528" t="str">
        <f t="shared" si="103"/>
        <v/>
      </c>
      <c r="X100" s="528" t="str">
        <f t="shared" si="103"/>
        <v/>
      </c>
      <c r="Y100" s="528" t="str">
        <f t="shared" si="103"/>
        <v/>
      </c>
      <c r="Z100" s="528" t="str">
        <f t="shared" si="103"/>
        <v/>
      </c>
      <c r="AA100" s="528" t="str">
        <f t="shared" si="103"/>
        <v/>
      </c>
      <c r="AB100" s="528" t="str">
        <f t="shared" si="103"/>
        <v/>
      </c>
      <c r="AC100" s="528" t="str">
        <f t="shared" si="103"/>
        <v/>
      </c>
      <c r="AD100" s="528" t="str">
        <f t="shared" si="103"/>
        <v/>
      </c>
      <c r="AE100" s="528" t="str">
        <f t="shared" si="103"/>
        <v/>
      </c>
      <c r="AF100" s="528" t="str">
        <f t="shared" si="103"/>
        <v/>
      </c>
      <c r="AG100" s="528" t="str">
        <f t="shared" si="103"/>
        <v/>
      </c>
      <c r="AH100" s="528" t="str">
        <f t="shared" si="103"/>
        <v/>
      </c>
      <c r="AI100" s="528" t="str">
        <f t="shared" si="103"/>
        <v/>
      </c>
      <c r="AJ100" s="528" t="str">
        <f t="shared" si="103"/>
        <v/>
      </c>
      <c r="AK100" s="528" t="str">
        <f t="shared" si="103"/>
        <v/>
      </c>
      <c r="AL100" s="528" t="str">
        <f t="shared" si="103"/>
        <v/>
      </c>
      <c r="AM100" s="528" t="str">
        <f t="shared" si="103"/>
        <v/>
      </c>
      <c r="AN100" s="528" t="str">
        <f t="shared" si="103"/>
        <v/>
      </c>
      <c r="AO100" s="528" t="str">
        <f t="shared" si="103"/>
        <v/>
      </c>
      <c r="AP100" s="528" t="str">
        <f t="shared" si="103"/>
        <v/>
      </c>
      <c r="AQ100" s="528" t="str">
        <f t="shared" si="103"/>
        <v/>
      </c>
      <c r="AR100" s="528" t="str">
        <f t="shared" si="103"/>
        <v/>
      </c>
      <c r="AS100" s="528" t="str">
        <f t="shared" si="103"/>
        <v/>
      </c>
      <c r="AT100" s="528" t="str">
        <f t="shared" si="103"/>
        <v/>
      </c>
      <c r="AU100" s="528" t="str">
        <f t="shared" si="103"/>
        <v/>
      </c>
      <c r="AV100" s="528" t="str">
        <f t="shared" si="103"/>
        <v/>
      </c>
      <c r="AW100" s="528" t="str">
        <f t="shared" si="103"/>
        <v/>
      </c>
      <c r="AX100" s="528" t="str">
        <f t="shared" si="103"/>
        <v/>
      </c>
      <c r="AY100" s="528" t="str">
        <f t="shared" si="103"/>
        <v/>
      </c>
      <c r="AZ100" s="528" t="str">
        <f t="shared" si="103"/>
        <v/>
      </c>
      <c r="BA100" s="528" t="str">
        <f t="shared" si="103"/>
        <v/>
      </c>
      <c r="BB100" s="528" t="str">
        <f t="shared" si="103"/>
        <v/>
      </c>
      <c r="BC100" s="528" t="str">
        <f t="shared" si="103"/>
        <v/>
      </c>
      <c r="BD100" s="528" t="str">
        <f t="shared" si="103"/>
        <v/>
      </c>
      <c r="BE100" s="528" t="str">
        <f t="shared" si="103"/>
        <v/>
      </c>
      <c r="BF100" s="528" t="str">
        <f t="shared" si="103"/>
        <v/>
      </c>
      <c r="BG100" s="528" t="str">
        <f t="shared" si="103"/>
        <v/>
      </c>
      <c r="BH100" s="528" t="str">
        <f t="shared" si="103"/>
        <v/>
      </c>
      <c r="BI100" s="528" t="str">
        <f t="shared" si="103"/>
        <v/>
      </c>
      <c r="BJ100" s="528" t="str">
        <f t="shared" si="103"/>
        <v/>
      </c>
      <c r="BK100" s="528" t="str">
        <f t="shared" si="103"/>
        <v/>
      </c>
      <c r="BL100" s="528" t="str">
        <f t="shared" si="103"/>
        <v/>
      </c>
      <c r="BM100" s="528" t="str">
        <f t="shared" si="103"/>
        <v/>
      </c>
    </row>
    <row r="101" spans="6:65" ht="15.75" customHeight="1" x14ac:dyDescent="0.25">
      <c r="F101" s="197"/>
      <c r="G101" s="197">
        <f t="shared" si="3"/>
        <v>0</v>
      </c>
      <c r="H101" s="197">
        <f t="shared" si="4"/>
        <v>73</v>
      </c>
      <c r="I101" s="523">
        <v>1</v>
      </c>
      <c r="J101" s="533">
        <f>'Monthly DCF'!$I$3</f>
        <v>46418</v>
      </c>
      <c r="K101" s="533">
        <f t="shared" si="5"/>
        <v>46599</v>
      </c>
      <c r="L101" s="536">
        <f t="shared" si="102"/>
        <v>7</v>
      </c>
      <c r="M101" s="20" t="s">
        <v>366</v>
      </c>
      <c r="N101" s="20">
        <f t="shared" si="6"/>
        <v>2.3333333333333335</v>
      </c>
      <c r="O101" s="537">
        <v>3</v>
      </c>
      <c r="P101" s="528">
        <f t="shared" ref="P101:BM101" si="104">IFERROR(+IF(AND($M101="Flat",P$5&gt;=$J101,P$5&lt;=$K101),$I101/$L101,0)+IF(AND($M101="S-Curve",P$5&gt;=$J101,P$5&lt;=$K101),(_xlfn.NORM.DIST((YEAR(P$5)-YEAR($J101))*12+MONTH(P$5)-MONTH($J101)+1,$L101/2,$N101,TRUE)-_xlfn.NORM.DIST((YEAR(P$5)-YEAR($J101))*12+MONTH(P$5)-MONTH($J101),$L101/2,$N101,TRUE))/(1-2*_xlfn.NORM.DIST(0,$L101/2,$N101,TRUE))*$I101," "),"")</f>
        <v>8.6775662969017273E-2</v>
      </c>
      <c r="Q101" s="528">
        <f t="shared" si="104"/>
        <v>0.13639425069432987</v>
      </c>
      <c r="R101" s="528">
        <f t="shared" si="104"/>
        <v>0.17890847796666193</v>
      </c>
      <c r="S101" s="528">
        <f t="shared" si="104"/>
        <v>0.19584321673998192</v>
      </c>
      <c r="T101" s="528">
        <f t="shared" si="104"/>
        <v>0.17890847796666187</v>
      </c>
      <c r="U101" s="528">
        <f t="shared" si="104"/>
        <v>0.13639425069432998</v>
      </c>
      <c r="V101" s="528">
        <f t="shared" si="104"/>
        <v>8.6775662969017175E-2</v>
      </c>
      <c r="W101" s="528" t="str">
        <f t="shared" si="104"/>
        <v/>
      </c>
      <c r="X101" s="528" t="str">
        <f t="shared" si="104"/>
        <v/>
      </c>
      <c r="Y101" s="528" t="str">
        <f t="shared" si="104"/>
        <v/>
      </c>
      <c r="Z101" s="528" t="str">
        <f t="shared" si="104"/>
        <v/>
      </c>
      <c r="AA101" s="528" t="str">
        <f t="shared" si="104"/>
        <v/>
      </c>
      <c r="AB101" s="528" t="str">
        <f t="shared" si="104"/>
        <v/>
      </c>
      <c r="AC101" s="528" t="str">
        <f t="shared" si="104"/>
        <v/>
      </c>
      <c r="AD101" s="528" t="str">
        <f t="shared" si="104"/>
        <v/>
      </c>
      <c r="AE101" s="528" t="str">
        <f t="shared" si="104"/>
        <v/>
      </c>
      <c r="AF101" s="528" t="str">
        <f t="shared" si="104"/>
        <v/>
      </c>
      <c r="AG101" s="528" t="str">
        <f t="shared" si="104"/>
        <v/>
      </c>
      <c r="AH101" s="528" t="str">
        <f t="shared" si="104"/>
        <v/>
      </c>
      <c r="AI101" s="528" t="str">
        <f t="shared" si="104"/>
        <v/>
      </c>
      <c r="AJ101" s="528" t="str">
        <f t="shared" si="104"/>
        <v/>
      </c>
      <c r="AK101" s="528" t="str">
        <f t="shared" si="104"/>
        <v/>
      </c>
      <c r="AL101" s="528" t="str">
        <f t="shared" si="104"/>
        <v/>
      </c>
      <c r="AM101" s="528" t="str">
        <f t="shared" si="104"/>
        <v/>
      </c>
      <c r="AN101" s="528" t="str">
        <f t="shared" si="104"/>
        <v/>
      </c>
      <c r="AO101" s="528" t="str">
        <f t="shared" si="104"/>
        <v/>
      </c>
      <c r="AP101" s="528" t="str">
        <f t="shared" si="104"/>
        <v/>
      </c>
      <c r="AQ101" s="528" t="str">
        <f t="shared" si="104"/>
        <v/>
      </c>
      <c r="AR101" s="528" t="str">
        <f t="shared" si="104"/>
        <v/>
      </c>
      <c r="AS101" s="528" t="str">
        <f t="shared" si="104"/>
        <v/>
      </c>
      <c r="AT101" s="528" t="str">
        <f t="shared" si="104"/>
        <v/>
      </c>
      <c r="AU101" s="528" t="str">
        <f t="shared" si="104"/>
        <v/>
      </c>
      <c r="AV101" s="528" t="str">
        <f t="shared" si="104"/>
        <v/>
      </c>
      <c r="AW101" s="528" t="str">
        <f t="shared" si="104"/>
        <v/>
      </c>
      <c r="AX101" s="528" t="str">
        <f t="shared" si="104"/>
        <v/>
      </c>
      <c r="AY101" s="528" t="str">
        <f t="shared" si="104"/>
        <v/>
      </c>
      <c r="AZ101" s="528" t="str">
        <f t="shared" si="104"/>
        <v/>
      </c>
      <c r="BA101" s="528" t="str">
        <f t="shared" si="104"/>
        <v/>
      </c>
      <c r="BB101" s="528" t="str">
        <f t="shared" si="104"/>
        <v/>
      </c>
      <c r="BC101" s="528" t="str">
        <f t="shared" si="104"/>
        <v/>
      </c>
      <c r="BD101" s="528" t="str">
        <f t="shared" si="104"/>
        <v/>
      </c>
      <c r="BE101" s="528" t="str">
        <f t="shared" si="104"/>
        <v/>
      </c>
      <c r="BF101" s="528" t="str">
        <f t="shared" si="104"/>
        <v/>
      </c>
      <c r="BG101" s="528" t="str">
        <f t="shared" si="104"/>
        <v/>
      </c>
      <c r="BH101" s="528" t="str">
        <f t="shared" si="104"/>
        <v/>
      </c>
      <c r="BI101" s="528" t="str">
        <f t="shared" si="104"/>
        <v/>
      </c>
      <c r="BJ101" s="528" t="str">
        <f t="shared" si="104"/>
        <v/>
      </c>
      <c r="BK101" s="528" t="str">
        <f t="shared" si="104"/>
        <v/>
      </c>
      <c r="BL101" s="528" t="str">
        <f t="shared" si="104"/>
        <v/>
      </c>
      <c r="BM101" s="528" t="str">
        <f t="shared" si="104"/>
        <v/>
      </c>
    </row>
    <row r="102" spans="6:65" ht="15.75" customHeight="1" x14ac:dyDescent="0.25">
      <c r="F102" s="197"/>
      <c r="G102" s="197">
        <f t="shared" si="3"/>
        <v>0</v>
      </c>
      <c r="H102" s="197">
        <f t="shared" si="4"/>
        <v>83</v>
      </c>
      <c r="I102" s="523">
        <v>1</v>
      </c>
      <c r="J102" s="533">
        <f>'Monthly DCF'!$I$3</f>
        <v>46418</v>
      </c>
      <c r="K102" s="533">
        <f t="shared" si="5"/>
        <v>46630</v>
      </c>
      <c r="L102" s="536">
        <f t="shared" si="102"/>
        <v>8</v>
      </c>
      <c r="M102" s="20" t="s">
        <v>366</v>
      </c>
      <c r="N102" s="20">
        <f t="shared" si="6"/>
        <v>2.6666666666666665</v>
      </c>
      <c r="O102" s="537">
        <v>3</v>
      </c>
      <c r="P102" s="528">
        <f t="shared" ref="P102:BM102" si="105">IFERROR(+IF(AND($M102="Flat",P$5&gt;=$J102,P$5&lt;=$K102),$I102/$L102,0)+IF(AND($M102="S-Curve",P$5&gt;=$J102,P$5&lt;=$K102),(_xlfn.NORM.DIST((YEAR(P$5)-YEAR($J102))*12+MONTH(P$5)-MONTH($J102)+1,$L102/2,$N102,TRUE)-_xlfn.NORM.DIST((YEAR(P$5)-YEAR($J102))*12+MONTH(P$5)-MONTH($J102),$L102/2,$N102,TRUE))/(1-2*_xlfn.NORM.DIST(0,$L102/2,$N102,TRUE))*$I102," "),"")</f>
        <v>7.3278360182706684E-2</v>
      </c>
      <c r="Q102" s="528">
        <f t="shared" si="105"/>
        <v>0.11118933131186201</v>
      </c>
      <c r="R102" s="528">
        <f t="shared" si="105"/>
        <v>0.14682017028329633</v>
      </c>
      <c r="S102" s="528">
        <f t="shared" si="105"/>
        <v>0.16871213822213502</v>
      </c>
      <c r="T102" s="528">
        <f t="shared" si="105"/>
        <v>0.16871213822213502</v>
      </c>
      <c r="U102" s="528">
        <f t="shared" si="105"/>
        <v>0.14682017028329628</v>
      </c>
      <c r="V102" s="528">
        <f t="shared" si="105"/>
        <v>0.11118933131186205</v>
      </c>
      <c r="W102" s="528">
        <f t="shared" si="105"/>
        <v>7.3278360182706684E-2</v>
      </c>
      <c r="X102" s="528" t="str">
        <f t="shared" si="105"/>
        <v/>
      </c>
      <c r="Y102" s="528" t="str">
        <f t="shared" si="105"/>
        <v/>
      </c>
      <c r="Z102" s="528" t="str">
        <f t="shared" si="105"/>
        <v/>
      </c>
      <c r="AA102" s="528" t="str">
        <f t="shared" si="105"/>
        <v/>
      </c>
      <c r="AB102" s="528" t="str">
        <f t="shared" si="105"/>
        <v/>
      </c>
      <c r="AC102" s="528" t="str">
        <f t="shared" si="105"/>
        <v/>
      </c>
      <c r="AD102" s="528" t="str">
        <f t="shared" si="105"/>
        <v/>
      </c>
      <c r="AE102" s="528" t="str">
        <f t="shared" si="105"/>
        <v/>
      </c>
      <c r="AF102" s="528" t="str">
        <f t="shared" si="105"/>
        <v/>
      </c>
      <c r="AG102" s="528" t="str">
        <f t="shared" si="105"/>
        <v/>
      </c>
      <c r="AH102" s="528" t="str">
        <f t="shared" si="105"/>
        <v/>
      </c>
      <c r="AI102" s="528" t="str">
        <f t="shared" si="105"/>
        <v/>
      </c>
      <c r="AJ102" s="528" t="str">
        <f t="shared" si="105"/>
        <v/>
      </c>
      <c r="AK102" s="528" t="str">
        <f t="shared" si="105"/>
        <v/>
      </c>
      <c r="AL102" s="528" t="str">
        <f t="shared" si="105"/>
        <v/>
      </c>
      <c r="AM102" s="528" t="str">
        <f t="shared" si="105"/>
        <v/>
      </c>
      <c r="AN102" s="528" t="str">
        <f t="shared" si="105"/>
        <v/>
      </c>
      <c r="AO102" s="528" t="str">
        <f t="shared" si="105"/>
        <v/>
      </c>
      <c r="AP102" s="528" t="str">
        <f t="shared" si="105"/>
        <v/>
      </c>
      <c r="AQ102" s="528" t="str">
        <f t="shared" si="105"/>
        <v/>
      </c>
      <c r="AR102" s="528" t="str">
        <f t="shared" si="105"/>
        <v/>
      </c>
      <c r="AS102" s="528" t="str">
        <f t="shared" si="105"/>
        <v/>
      </c>
      <c r="AT102" s="528" t="str">
        <f t="shared" si="105"/>
        <v/>
      </c>
      <c r="AU102" s="528" t="str">
        <f t="shared" si="105"/>
        <v/>
      </c>
      <c r="AV102" s="528" t="str">
        <f t="shared" si="105"/>
        <v/>
      </c>
      <c r="AW102" s="528" t="str">
        <f t="shared" si="105"/>
        <v/>
      </c>
      <c r="AX102" s="528" t="str">
        <f t="shared" si="105"/>
        <v/>
      </c>
      <c r="AY102" s="528" t="str">
        <f t="shared" si="105"/>
        <v/>
      </c>
      <c r="AZ102" s="528" t="str">
        <f t="shared" si="105"/>
        <v/>
      </c>
      <c r="BA102" s="528" t="str">
        <f t="shared" si="105"/>
        <v/>
      </c>
      <c r="BB102" s="528" t="str">
        <f t="shared" si="105"/>
        <v/>
      </c>
      <c r="BC102" s="528" t="str">
        <f t="shared" si="105"/>
        <v/>
      </c>
      <c r="BD102" s="528" t="str">
        <f t="shared" si="105"/>
        <v/>
      </c>
      <c r="BE102" s="528" t="str">
        <f t="shared" si="105"/>
        <v/>
      </c>
      <c r="BF102" s="528" t="str">
        <f t="shared" si="105"/>
        <v/>
      </c>
      <c r="BG102" s="528" t="str">
        <f t="shared" si="105"/>
        <v/>
      </c>
      <c r="BH102" s="528" t="str">
        <f t="shared" si="105"/>
        <v/>
      </c>
      <c r="BI102" s="528" t="str">
        <f t="shared" si="105"/>
        <v/>
      </c>
      <c r="BJ102" s="528" t="str">
        <f t="shared" si="105"/>
        <v/>
      </c>
      <c r="BK102" s="528" t="str">
        <f t="shared" si="105"/>
        <v/>
      </c>
      <c r="BL102" s="528" t="str">
        <f t="shared" si="105"/>
        <v/>
      </c>
      <c r="BM102" s="528" t="str">
        <f t="shared" si="105"/>
        <v/>
      </c>
    </row>
    <row r="103" spans="6:65" ht="15.75" customHeight="1" x14ac:dyDescent="0.25">
      <c r="F103" s="197"/>
      <c r="G103" s="197">
        <f t="shared" si="3"/>
        <v>0</v>
      </c>
      <c r="H103" s="197">
        <f t="shared" si="4"/>
        <v>93</v>
      </c>
      <c r="I103" s="523">
        <v>1</v>
      </c>
      <c r="J103" s="533">
        <f>'Monthly DCF'!$I$3</f>
        <v>46418</v>
      </c>
      <c r="K103" s="533">
        <f t="shared" si="5"/>
        <v>46660</v>
      </c>
      <c r="L103" s="536">
        <f t="shared" si="102"/>
        <v>9</v>
      </c>
      <c r="M103" s="20" t="s">
        <v>366</v>
      </c>
      <c r="N103" s="20">
        <f t="shared" si="6"/>
        <v>3</v>
      </c>
      <c r="O103" s="537">
        <v>3</v>
      </c>
      <c r="P103" s="528">
        <f t="shared" ref="P103:BM103" si="106">IFERROR(+IF(AND($M103="Flat",P$5&gt;=$J103,P$5&lt;=$K103),$I103/$L103,0)+IF(AND($M103="S-Curve",P$5&gt;=$J103,P$5&lt;=$K103),(_xlfn.NORM.DIST((YEAR(P$5)-YEAR($J103))*12+MONTH(P$5)-MONTH($J103)+1,$L103/2,$N103,TRUE)-_xlfn.NORM.DIST((YEAR(P$5)-YEAR($J103))*12+MONTH(P$5)-MONTH($J103),$L103/2,$N103,TRUE))/(1-2*_xlfn.NORM.DIST(0,$L103/2,$N103,TRUE))*$I103," "),"")</f>
        <v>6.3326656706007428E-2</v>
      </c>
      <c r="Q103" s="528">
        <f t="shared" si="106"/>
        <v>9.3094664345194117E-2</v>
      </c>
      <c r="R103" s="528">
        <f t="shared" si="106"/>
        <v>0.12258878503225284</v>
      </c>
      <c r="S103" s="528">
        <f t="shared" si="106"/>
        <v>0.14459915888498273</v>
      </c>
      <c r="T103" s="528">
        <f t="shared" si="106"/>
        <v>0.15278147006312584</v>
      </c>
      <c r="U103" s="528">
        <f t="shared" si="106"/>
        <v>0.14459915888498273</v>
      </c>
      <c r="V103" s="528">
        <f t="shared" si="106"/>
        <v>0.12258878503225284</v>
      </c>
      <c r="W103" s="528">
        <f t="shared" si="106"/>
        <v>9.3094664345194089E-2</v>
      </c>
      <c r="X103" s="528">
        <f t="shared" si="106"/>
        <v>6.3326656706007428E-2</v>
      </c>
      <c r="Y103" s="528" t="str">
        <f t="shared" si="106"/>
        <v/>
      </c>
      <c r="Z103" s="528" t="str">
        <f t="shared" si="106"/>
        <v/>
      </c>
      <c r="AA103" s="528" t="str">
        <f t="shared" si="106"/>
        <v/>
      </c>
      <c r="AB103" s="528" t="str">
        <f t="shared" si="106"/>
        <v/>
      </c>
      <c r="AC103" s="528" t="str">
        <f t="shared" si="106"/>
        <v/>
      </c>
      <c r="AD103" s="528" t="str">
        <f t="shared" si="106"/>
        <v/>
      </c>
      <c r="AE103" s="528" t="str">
        <f t="shared" si="106"/>
        <v/>
      </c>
      <c r="AF103" s="528" t="str">
        <f t="shared" si="106"/>
        <v/>
      </c>
      <c r="AG103" s="528" t="str">
        <f t="shared" si="106"/>
        <v/>
      </c>
      <c r="AH103" s="528" t="str">
        <f t="shared" si="106"/>
        <v/>
      </c>
      <c r="AI103" s="528" t="str">
        <f t="shared" si="106"/>
        <v/>
      </c>
      <c r="AJ103" s="528" t="str">
        <f t="shared" si="106"/>
        <v/>
      </c>
      <c r="AK103" s="528" t="str">
        <f t="shared" si="106"/>
        <v/>
      </c>
      <c r="AL103" s="528" t="str">
        <f t="shared" si="106"/>
        <v/>
      </c>
      <c r="AM103" s="528" t="str">
        <f t="shared" si="106"/>
        <v/>
      </c>
      <c r="AN103" s="528" t="str">
        <f t="shared" si="106"/>
        <v/>
      </c>
      <c r="AO103" s="528" t="str">
        <f t="shared" si="106"/>
        <v/>
      </c>
      <c r="AP103" s="528" t="str">
        <f t="shared" si="106"/>
        <v/>
      </c>
      <c r="AQ103" s="528" t="str">
        <f t="shared" si="106"/>
        <v/>
      </c>
      <c r="AR103" s="528" t="str">
        <f t="shared" si="106"/>
        <v/>
      </c>
      <c r="AS103" s="528" t="str">
        <f t="shared" si="106"/>
        <v/>
      </c>
      <c r="AT103" s="528" t="str">
        <f t="shared" si="106"/>
        <v/>
      </c>
      <c r="AU103" s="528" t="str">
        <f t="shared" si="106"/>
        <v/>
      </c>
      <c r="AV103" s="528" t="str">
        <f t="shared" si="106"/>
        <v/>
      </c>
      <c r="AW103" s="528" t="str">
        <f t="shared" si="106"/>
        <v/>
      </c>
      <c r="AX103" s="528" t="str">
        <f t="shared" si="106"/>
        <v/>
      </c>
      <c r="AY103" s="528" t="str">
        <f t="shared" si="106"/>
        <v/>
      </c>
      <c r="AZ103" s="528" t="str">
        <f t="shared" si="106"/>
        <v/>
      </c>
      <c r="BA103" s="528" t="str">
        <f t="shared" si="106"/>
        <v/>
      </c>
      <c r="BB103" s="528" t="str">
        <f t="shared" si="106"/>
        <v/>
      </c>
      <c r="BC103" s="528" t="str">
        <f t="shared" si="106"/>
        <v/>
      </c>
      <c r="BD103" s="528" t="str">
        <f t="shared" si="106"/>
        <v/>
      </c>
      <c r="BE103" s="528" t="str">
        <f t="shared" si="106"/>
        <v/>
      </c>
      <c r="BF103" s="528" t="str">
        <f t="shared" si="106"/>
        <v/>
      </c>
      <c r="BG103" s="528" t="str">
        <f t="shared" si="106"/>
        <v/>
      </c>
      <c r="BH103" s="528" t="str">
        <f t="shared" si="106"/>
        <v/>
      </c>
      <c r="BI103" s="528" t="str">
        <f t="shared" si="106"/>
        <v/>
      </c>
      <c r="BJ103" s="528" t="str">
        <f t="shared" si="106"/>
        <v/>
      </c>
      <c r="BK103" s="528" t="str">
        <f t="shared" si="106"/>
        <v/>
      </c>
      <c r="BL103" s="528" t="str">
        <f t="shared" si="106"/>
        <v/>
      </c>
      <c r="BM103" s="528" t="str">
        <f t="shared" si="106"/>
        <v/>
      </c>
    </row>
    <row r="104" spans="6:65" ht="15.75" customHeight="1" x14ac:dyDescent="0.25">
      <c r="F104" s="197"/>
      <c r="G104" s="197">
        <f t="shared" si="3"/>
        <v>0</v>
      </c>
      <c r="H104" s="197">
        <f t="shared" si="4"/>
        <v>103</v>
      </c>
      <c r="I104" s="523">
        <v>1</v>
      </c>
      <c r="J104" s="533">
        <f>'Monthly DCF'!$I$3</f>
        <v>46418</v>
      </c>
      <c r="K104" s="533">
        <f t="shared" si="5"/>
        <v>46691</v>
      </c>
      <c r="L104" s="536">
        <f t="shared" si="102"/>
        <v>10</v>
      </c>
      <c r="M104" s="20" t="s">
        <v>366</v>
      </c>
      <c r="N104" s="20">
        <f t="shared" si="6"/>
        <v>3.3333333333333335</v>
      </c>
      <c r="O104" s="537">
        <v>3</v>
      </c>
      <c r="P104" s="528">
        <f t="shared" ref="P104:BM104" si="107">IFERROR(+IF(AND($M104="Flat",P$5&gt;=$J104,P$5&lt;=$K104),$I104/$L104,0)+IF(AND($M104="S-Curve",P$5&gt;=$J104,P$5&lt;=$K104),(_xlfn.NORM.DIST((YEAR(P$5)-YEAR($J104))*12+MONTH(P$5)-MONTH($J104)+1,$L104/2,$N104,TRUE)-_xlfn.NORM.DIST((YEAR(P$5)-YEAR($J104))*12+MONTH(P$5)-MONTH($J104),$L104/2,$N104,TRUE))/(1-2*_xlfn.NORM.DIST(0,$L104/2,$N104,TRUE))*$I104," "),"")</f>
        <v>5.5705530071385123E-2</v>
      </c>
      <c r="Q104" s="528">
        <f t="shared" si="107"/>
        <v>7.9630196216476892E-2</v>
      </c>
      <c r="R104" s="528">
        <f t="shared" si="107"/>
        <v>0.10410259896689984</v>
      </c>
      <c r="S104" s="528">
        <f t="shared" si="107"/>
        <v>0.12446589645168721</v>
      </c>
      <c r="T104" s="528">
        <f t="shared" si="107"/>
        <v>0.13609577829355096</v>
      </c>
      <c r="U104" s="528">
        <f t="shared" si="107"/>
        <v>0.13609577829355096</v>
      </c>
      <c r="V104" s="528">
        <f t="shared" si="107"/>
        <v>0.12446589645168721</v>
      </c>
      <c r="W104" s="528">
        <f t="shared" si="107"/>
        <v>0.1041025989668998</v>
      </c>
      <c r="X104" s="528">
        <f t="shared" si="107"/>
        <v>7.9630196216476989E-2</v>
      </c>
      <c r="Y104" s="528">
        <f t="shared" si="107"/>
        <v>5.5705530071385026E-2</v>
      </c>
      <c r="Z104" s="528" t="str">
        <f t="shared" si="107"/>
        <v/>
      </c>
      <c r="AA104" s="528" t="str">
        <f t="shared" si="107"/>
        <v/>
      </c>
      <c r="AB104" s="528" t="str">
        <f t="shared" si="107"/>
        <v/>
      </c>
      <c r="AC104" s="528" t="str">
        <f t="shared" si="107"/>
        <v/>
      </c>
      <c r="AD104" s="528" t="str">
        <f t="shared" si="107"/>
        <v/>
      </c>
      <c r="AE104" s="528" t="str">
        <f t="shared" si="107"/>
        <v/>
      </c>
      <c r="AF104" s="528" t="str">
        <f t="shared" si="107"/>
        <v/>
      </c>
      <c r="AG104" s="528" t="str">
        <f t="shared" si="107"/>
        <v/>
      </c>
      <c r="AH104" s="528" t="str">
        <f t="shared" si="107"/>
        <v/>
      </c>
      <c r="AI104" s="528" t="str">
        <f t="shared" si="107"/>
        <v/>
      </c>
      <c r="AJ104" s="528" t="str">
        <f t="shared" si="107"/>
        <v/>
      </c>
      <c r="AK104" s="528" t="str">
        <f t="shared" si="107"/>
        <v/>
      </c>
      <c r="AL104" s="528" t="str">
        <f t="shared" si="107"/>
        <v/>
      </c>
      <c r="AM104" s="528" t="str">
        <f t="shared" si="107"/>
        <v/>
      </c>
      <c r="AN104" s="528" t="str">
        <f t="shared" si="107"/>
        <v/>
      </c>
      <c r="AO104" s="528" t="str">
        <f t="shared" si="107"/>
        <v/>
      </c>
      <c r="AP104" s="528" t="str">
        <f t="shared" si="107"/>
        <v/>
      </c>
      <c r="AQ104" s="528" t="str">
        <f t="shared" si="107"/>
        <v/>
      </c>
      <c r="AR104" s="528" t="str">
        <f t="shared" si="107"/>
        <v/>
      </c>
      <c r="AS104" s="528" t="str">
        <f t="shared" si="107"/>
        <v/>
      </c>
      <c r="AT104" s="528" t="str">
        <f t="shared" si="107"/>
        <v/>
      </c>
      <c r="AU104" s="528" t="str">
        <f t="shared" si="107"/>
        <v/>
      </c>
      <c r="AV104" s="528" t="str">
        <f t="shared" si="107"/>
        <v/>
      </c>
      <c r="AW104" s="528" t="str">
        <f t="shared" si="107"/>
        <v/>
      </c>
      <c r="AX104" s="528" t="str">
        <f t="shared" si="107"/>
        <v/>
      </c>
      <c r="AY104" s="528" t="str">
        <f t="shared" si="107"/>
        <v/>
      </c>
      <c r="AZ104" s="528" t="str">
        <f t="shared" si="107"/>
        <v/>
      </c>
      <c r="BA104" s="528" t="str">
        <f t="shared" si="107"/>
        <v/>
      </c>
      <c r="BB104" s="528" t="str">
        <f t="shared" si="107"/>
        <v/>
      </c>
      <c r="BC104" s="528" t="str">
        <f t="shared" si="107"/>
        <v/>
      </c>
      <c r="BD104" s="528" t="str">
        <f t="shared" si="107"/>
        <v/>
      </c>
      <c r="BE104" s="528" t="str">
        <f t="shared" si="107"/>
        <v/>
      </c>
      <c r="BF104" s="528" t="str">
        <f t="shared" si="107"/>
        <v/>
      </c>
      <c r="BG104" s="528" t="str">
        <f t="shared" si="107"/>
        <v/>
      </c>
      <c r="BH104" s="528" t="str">
        <f t="shared" si="107"/>
        <v/>
      </c>
      <c r="BI104" s="528" t="str">
        <f t="shared" si="107"/>
        <v/>
      </c>
      <c r="BJ104" s="528" t="str">
        <f t="shared" si="107"/>
        <v/>
      </c>
      <c r="BK104" s="528" t="str">
        <f t="shared" si="107"/>
        <v/>
      </c>
      <c r="BL104" s="528" t="str">
        <f t="shared" si="107"/>
        <v/>
      </c>
      <c r="BM104" s="528" t="str">
        <f t="shared" si="107"/>
        <v/>
      </c>
    </row>
    <row r="105" spans="6:65" ht="15.75" customHeight="1" x14ac:dyDescent="0.25">
      <c r="F105" s="197"/>
      <c r="G105" s="197">
        <f t="shared" si="3"/>
        <v>0</v>
      </c>
      <c r="H105" s="197">
        <f t="shared" si="4"/>
        <v>113</v>
      </c>
      <c r="I105" s="523">
        <v>1</v>
      </c>
      <c r="J105" s="533">
        <f>'Monthly DCF'!$I$3</f>
        <v>46418</v>
      </c>
      <c r="K105" s="533">
        <f t="shared" si="5"/>
        <v>46721</v>
      </c>
      <c r="L105" s="536">
        <f t="shared" si="102"/>
        <v>11</v>
      </c>
      <c r="M105" s="20" t="s">
        <v>366</v>
      </c>
      <c r="N105" s="20">
        <f t="shared" si="6"/>
        <v>3.6666666666666665</v>
      </c>
      <c r="O105" s="537">
        <v>3</v>
      </c>
      <c r="P105" s="528">
        <f t="shared" ref="P105:BM105" si="108">IFERROR(+IF(AND($M105="Flat",P$5&gt;=$J105,P$5&lt;=$K105),$I105/$L105,0)+IF(AND($M105="S-Curve",P$5&gt;=$J105,P$5&lt;=$K105),(_xlfn.NORM.DIST((YEAR(P$5)-YEAR($J105))*12+MONTH(P$5)-MONTH($J105)+1,$L105/2,$N105,TRUE)-_xlfn.NORM.DIST((YEAR(P$5)-YEAR($J105))*12+MONTH(P$5)-MONTH($J105),$L105/2,$N105,TRUE))/(1-2*_xlfn.NORM.DIST(0,$L105/2,$N105,TRUE))*$I105," "),"")</f>
        <v>4.9692481202790371E-2</v>
      </c>
      <c r="Q105" s="528">
        <f t="shared" si="108"/>
        <v>6.930373154066069E-2</v>
      </c>
      <c r="R105" s="528">
        <f t="shared" si="108"/>
        <v>8.9767370418760137E-2</v>
      </c>
      <c r="S105" s="528">
        <f t="shared" si="108"/>
        <v>0.1079883033935085</v>
      </c>
      <c r="T105" s="528">
        <f t="shared" si="108"/>
        <v>0.12065116975399272</v>
      </c>
      <c r="U105" s="528">
        <f t="shared" si="108"/>
        <v>0.12519388738057519</v>
      </c>
      <c r="V105" s="528">
        <f t="shared" si="108"/>
        <v>0.12065116975399272</v>
      </c>
      <c r="W105" s="528">
        <f t="shared" si="108"/>
        <v>0.10798830339350857</v>
      </c>
      <c r="X105" s="528">
        <f t="shared" si="108"/>
        <v>8.9767370418760165E-2</v>
      </c>
      <c r="Y105" s="528">
        <f t="shared" si="108"/>
        <v>6.9303731540660676E-2</v>
      </c>
      <c r="Z105" s="528">
        <f t="shared" si="108"/>
        <v>4.9692481202790323E-2</v>
      </c>
      <c r="AA105" s="528" t="str">
        <f t="shared" si="108"/>
        <v/>
      </c>
      <c r="AB105" s="528" t="str">
        <f t="shared" si="108"/>
        <v/>
      </c>
      <c r="AC105" s="528" t="str">
        <f t="shared" si="108"/>
        <v/>
      </c>
      <c r="AD105" s="528" t="str">
        <f t="shared" si="108"/>
        <v/>
      </c>
      <c r="AE105" s="528" t="str">
        <f t="shared" si="108"/>
        <v/>
      </c>
      <c r="AF105" s="528" t="str">
        <f t="shared" si="108"/>
        <v/>
      </c>
      <c r="AG105" s="528" t="str">
        <f t="shared" si="108"/>
        <v/>
      </c>
      <c r="AH105" s="528" t="str">
        <f t="shared" si="108"/>
        <v/>
      </c>
      <c r="AI105" s="528" t="str">
        <f t="shared" si="108"/>
        <v/>
      </c>
      <c r="AJ105" s="528" t="str">
        <f t="shared" si="108"/>
        <v/>
      </c>
      <c r="AK105" s="528" t="str">
        <f t="shared" si="108"/>
        <v/>
      </c>
      <c r="AL105" s="528" t="str">
        <f t="shared" si="108"/>
        <v/>
      </c>
      <c r="AM105" s="528" t="str">
        <f t="shared" si="108"/>
        <v/>
      </c>
      <c r="AN105" s="528" t="str">
        <f t="shared" si="108"/>
        <v/>
      </c>
      <c r="AO105" s="528" t="str">
        <f t="shared" si="108"/>
        <v/>
      </c>
      <c r="AP105" s="528" t="str">
        <f t="shared" si="108"/>
        <v/>
      </c>
      <c r="AQ105" s="528" t="str">
        <f t="shared" si="108"/>
        <v/>
      </c>
      <c r="AR105" s="528" t="str">
        <f t="shared" si="108"/>
        <v/>
      </c>
      <c r="AS105" s="528" t="str">
        <f t="shared" si="108"/>
        <v/>
      </c>
      <c r="AT105" s="528" t="str">
        <f t="shared" si="108"/>
        <v/>
      </c>
      <c r="AU105" s="528" t="str">
        <f t="shared" si="108"/>
        <v/>
      </c>
      <c r="AV105" s="528" t="str">
        <f t="shared" si="108"/>
        <v/>
      </c>
      <c r="AW105" s="528" t="str">
        <f t="shared" si="108"/>
        <v/>
      </c>
      <c r="AX105" s="528" t="str">
        <f t="shared" si="108"/>
        <v/>
      </c>
      <c r="AY105" s="528" t="str">
        <f t="shared" si="108"/>
        <v/>
      </c>
      <c r="AZ105" s="528" t="str">
        <f t="shared" si="108"/>
        <v/>
      </c>
      <c r="BA105" s="528" t="str">
        <f t="shared" si="108"/>
        <v/>
      </c>
      <c r="BB105" s="528" t="str">
        <f t="shared" si="108"/>
        <v/>
      </c>
      <c r="BC105" s="528" t="str">
        <f t="shared" si="108"/>
        <v/>
      </c>
      <c r="BD105" s="528" t="str">
        <f t="shared" si="108"/>
        <v/>
      </c>
      <c r="BE105" s="528" t="str">
        <f t="shared" si="108"/>
        <v/>
      </c>
      <c r="BF105" s="528" t="str">
        <f t="shared" si="108"/>
        <v/>
      </c>
      <c r="BG105" s="528" t="str">
        <f t="shared" si="108"/>
        <v/>
      </c>
      <c r="BH105" s="528" t="str">
        <f t="shared" si="108"/>
        <v/>
      </c>
      <c r="BI105" s="528" t="str">
        <f t="shared" si="108"/>
        <v/>
      </c>
      <c r="BJ105" s="528" t="str">
        <f t="shared" si="108"/>
        <v/>
      </c>
      <c r="BK105" s="528" t="str">
        <f t="shared" si="108"/>
        <v/>
      </c>
      <c r="BL105" s="528" t="str">
        <f t="shared" si="108"/>
        <v/>
      </c>
      <c r="BM105" s="528" t="str">
        <f t="shared" si="108"/>
        <v/>
      </c>
    </row>
    <row r="106" spans="6:65" ht="15.75" customHeight="1" x14ac:dyDescent="0.25">
      <c r="F106" s="197"/>
      <c r="G106" s="197">
        <f t="shared" si="3"/>
        <v>0</v>
      </c>
      <c r="H106" s="197">
        <f t="shared" si="4"/>
        <v>123</v>
      </c>
      <c r="I106" s="523">
        <v>1</v>
      </c>
      <c r="J106" s="533">
        <f>'Monthly DCF'!$I$3</f>
        <v>46418</v>
      </c>
      <c r="K106" s="533">
        <f t="shared" si="5"/>
        <v>46752</v>
      </c>
      <c r="L106" s="536">
        <f t="shared" si="102"/>
        <v>12</v>
      </c>
      <c r="M106" s="20" t="s">
        <v>366</v>
      </c>
      <c r="N106" s="20">
        <f t="shared" si="6"/>
        <v>4</v>
      </c>
      <c r="O106" s="537">
        <v>3</v>
      </c>
      <c r="P106" s="528">
        <f t="shared" ref="P106:BM106" si="109">IFERROR(+IF(AND($M106="Flat",P$5&gt;=$J106,P$5&lt;=$K106),$I106/$L106,0)+IF(AND($M106="S-Curve",P$5&gt;=$J106,P$5&lt;=$K106),(_xlfn.NORM.DIST((YEAR(P$5)-YEAR($J106))*12+MONTH(P$5)-MONTH($J106)+1,$L106/2,$N106,TRUE)-_xlfn.NORM.DIST((YEAR(P$5)-YEAR($J106))*12+MONTH(P$5)-MONTH($J106),$L106/2,$N106,TRUE))/(1-2*_xlfn.NORM.DIST(0,$L106/2,$N106,TRUE))*$I106," "),"")</f>
        <v>4.483289255011897E-2</v>
      </c>
      <c r="Q106" s="528">
        <f t="shared" si="109"/>
        <v>6.1180010863360654E-2</v>
      </c>
      <c r="R106" s="528">
        <f t="shared" si="109"/>
        <v>7.8454788081089064E-2</v>
      </c>
      <c r="S106" s="528">
        <f t="shared" si="109"/>
        <v>9.4542414588885695E-2</v>
      </c>
      <c r="T106" s="528">
        <f t="shared" si="109"/>
        <v>0.10706103132690563</v>
      </c>
      <c r="U106" s="528">
        <f t="shared" si="109"/>
        <v>0.11392886258964001</v>
      </c>
      <c r="V106" s="528">
        <f t="shared" si="109"/>
        <v>0.11392886258964001</v>
      </c>
      <c r="W106" s="528">
        <f t="shared" si="109"/>
        <v>0.10706103132690563</v>
      </c>
      <c r="X106" s="528">
        <f t="shared" si="109"/>
        <v>9.454241458888564E-2</v>
      </c>
      <c r="Y106" s="528">
        <f t="shared" si="109"/>
        <v>7.8454788081089161E-2</v>
      </c>
      <c r="Z106" s="528">
        <f t="shared" si="109"/>
        <v>6.118001086336064E-2</v>
      </c>
      <c r="AA106" s="528">
        <f t="shared" si="109"/>
        <v>4.4832892550118922E-2</v>
      </c>
      <c r="AB106" s="528" t="str">
        <f t="shared" si="109"/>
        <v/>
      </c>
      <c r="AC106" s="528" t="str">
        <f t="shared" si="109"/>
        <v/>
      </c>
      <c r="AD106" s="528" t="str">
        <f t="shared" si="109"/>
        <v/>
      </c>
      <c r="AE106" s="528" t="str">
        <f t="shared" si="109"/>
        <v/>
      </c>
      <c r="AF106" s="528" t="str">
        <f t="shared" si="109"/>
        <v/>
      </c>
      <c r="AG106" s="528" t="str">
        <f t="shared" si="109"/>
        <v/>
      </c>
      <c r="AH106" s="528" t="str">
        <f t="shared" si="109"/>
        <v/>
      </c>
      <c r="AI106" s="528" t="str">
        <f t="shared" si="109"/>
        <v/>
      </c>
      <c r="AJ106" s="528" t="str">
        <f t="shared" si="109"/>
        <v/>
      </c>
      <c r="AK106" s="528" t="str">
        <f t="shared" si="109"/>
        <v/>
      </c>
      <c r="AL106" s="528" t="str">
        <f t="shared" si="109"/>
        <v/>
      </c>
      <c r="AM106" s="528" t="str">
        <f t="shared" si="109"/>
        <v/>
      </c>
      <c r="AN106" s="528" t="str">
        <f t="shared" si="109"/>
        <v/>
      </c>
      <c r="AO106" s="528" t="str">
        <f t="shared" si="109"/>
        <v/>
      </c>
      <c r="AP106" s="528" t="str">
        <f t="shared" si="109"/>
        <v/>
      </c>
      <c r="AQ106" s="528" t="str">
        <f t="shared" si="109"/>
        <v/>
      </c>
      <c r="AR106" s="528" t="str">
        <f t="shared" si="109"/>
        <v/>
      </c>
      <c r="AS106" s="528" t="str">
        <f t="shared" si="109"/>
        <v/>
      </c>
      <c r="AT106" s="528" t="str">
        <f t="shared" si="109"/>
        <v/>
      </c>
      <c r="AU106" s="528" t="str">
        <f t="shared" si="109"/>
        <v/>
      </c>
      <c r="AV106" s="528" t="str">
        <f t="shared" si="109"/>
        <v/>
      </c>
      <c r="AW106" s="528" t="str">
        <f t="shared" si="109"/>
        <v/>
      </c>
      <c r="AX106" s="528" t="str">
        <f t="shared" si="109"/>
        <v/>
      </c>
      <c r="AY106" s="528" t="str">
        <f t="shared" si="109"/>
        <v/>
      </c>
      <c r="AZ106" s="528" t="str">
        <f t="shared" si="109"/>
        <v/>
      </c>
      <c r="BA106" s="528" t="str">
        <f t="shared" si="109"/>
        <v/>
      </c>
      <c r="BB106" s="528" t="str">
        <f t="shared" si="109"/>
        <v/>
      </c>
      <c r="BC106" s="528" t="str">
        <f t="shared" si="109"/>
        <v/>
      </c>
      <c r="BD106" s="528" t="str">
        <f t="shared" si="109"/>
        <v/>
      </c>
      <c r="BE106" s="528" t="str">
        <f t="shared" si="109"/>
        <v/>
      </c>
      <c r="BF106" s="528" t="str">
        <f t="shared" si="109"/>
        <v/>
      </c>
      <c r="BG106" s="528" t="str">
        <f t="shared" si="109"/>
        <v/>
      </c>
      <c r="BH106" s="528" t="str">
        <f t="shared" si="109"/>
        <v/>
      </c>
      <c r="BI106" s="528" t="str">
        <f t="shared" si="109"/>
        <v/>
      </c>
      <c r="BJ106" s="528" t="str">
        <f t="shared" si="109"/>
        <v/>
      </c>
      <c r="BK106" s="528" t="str">
        <f t="shared" si="109"/>
        <v/>
      </c>
      <c r="BL106" s="528" t="str">
        <f t="shared" si="109"/>
        <v/>
      </c>
      <c r="BM106" s="528" t="str">
        <f t="shared" si="109"/>
        <v/>
      </c>
    </row>
    <row r="107" spans="6:65" ht="15.75" customHeight="1" x14ac:dyDescent="0.25">
      <c r="F107" s="197"/>
      <c r="G107" s="197">
        <f t="shared" si="3"/>
        <v>0</v>
      </c>
      <c r="H107" s="197">
        <f t="shared" si="4"/>
        <v>133</v>
      </c>
      <c r="I107" s="523">
        <v>1</v>
      </c>
      <c r="J107" s="533">
        <f>'Monthly DCF'!$I$3</f>
        <v>46418</v>
      </c>
      <c r="K107" s="533">
        <f t="shared" si="5"/>
        <v>46783</v>
      </c>
      <c r="L107" s="536">
        <f t="shared" si="102"/>
        <v>13</v>
      </c>
      <c r="M107" s="20" t="s">
        <v>366</v>
      </c>
      <c r="N107" s="20">
        <f t="shared" si="6"/>
        <v>4.333333333333333</v>
      </c>
      <c r="O107" s="537">
        <v>3</v>
      </c>
      <c r="P107" s="528">
        <f t="shared" ref="P107:BM107" si="110">IFERROR(+IF(AND($M107="Flat",P$5&gt;=$J107,P$5&lt;=$K107),$I107/$L107,0)+IF(AND($M107="S-Curve",P$5&gt;=$J107,P$5&lt;=$K107),(_xlfn.NORM.DIST((YEAR(P$5)-YEAR($J107))*12+MONTH(P$5)-MONTH($J107)+1,$L107/2,$N107,TRUE)-_xlfn.NORM.DIST((YEAR(P$5)-YEAR($J107))*12+MONTH(P$5)-MONTH($J107),$L107/2,$N107,TRUE))/(1-2*_xlfn.NORM.DIST(0,$L107/2,$N107,TRUE))*$I107," "),"")</f>
        <v>4.082729882820265E-2</v>
      </c>
      <c r="Q107" s="528">
        <f t="shared" si="110"/>
        <v>5.4650298245337514E-2</v>
      </c>
      <c r="R107" s="528">
        <f t="shared" si="110"/>
        <v>6.9375864952710115E-2</v>
      </c>
      <c r="S107" s="528">
        <f t="shared" si="110"/>
        <v>8.352152212680107E-2</v>
      </c>
      <c r="T107" s="528">
        <f t="shared" si="110"/>
        <v>9.5359201654925965E-2</v>
      </c>
      <c r="U107" s="528">
        <f t="shared" si="110"/>
        <v>0.10325262490792554</v>
      </c>
      <c r="V107" s="528">
        <f t="shared" si="110"/>
        <v>0.10602637856819437</v>
      </c>
      <c r="W107" s="528">
        <f t="shared" si="110"/>
        <v>0.10325262490792542</v>
      </c>
      <c r="X107" s="528">
        <f t="shared" si="110"/>
        <v>9.5359201654926035E-2</v>
      </c>
      <c r="Y107" s="528">
        <f t="shared" si="110"/>
        <v>8.3521522126801015E-2</v>
      </c>
      <c r="Z107" s="528">
        <f t="shared" si="110"/>
        <v>6.9375864952710142E-2</v>
      </c>
      <c r="AA107" s="528">
        <f t="shared" si="110"/>
        <v>5.4650298245337563E-2</v>
      </c>
      <c r="AB107" s="528">
        <f t="shared" si="110"/>
        <v>4.0827298828202602E-2</v>
      </c>
      <c r="AC107" s="528" t="str">
        <f t="shared" si="110"/>
        <v/>
      </c>
      <c r="AD107" s="528" t="str">
        <f t="shared" si="110"/>
        <v/>
      </c>
      <c r="AE107" s="528" t="str">
        <f t="shared" si="110"/>
        <v/>
      </c>
      <c r="AF107" s="528" t="str">
        <f t="shared" si="110"/>
        <v/>
      </c>
      <c r="AG107" s="528" t="str">
        <f t="shared" si="110"/>
        <v/>
      </c>
      <c r="AH107" s="528" t="str">
        <f t="shared" si="110"/>
        <v/>
      </c>
      <c r="AI107" s="528" t="str">
        <f t="shared" si="110"/>
        <v/>
      </c>
      <c r="AJ107" s="528" t="str">
        <f t="shared" si="110"/>
        <v/>
      </c>
      <c r="AK107" s="528" t="str">
        <f t="shared" si="110"/>
        <v/>
      </c>
      <c r="AL107" s="528" t="str">
        <f t="shared" si="110"/>
        <v/>
      </c>
      <c r="AM107" s="528" t="str">
        <f t="shared" si="110"/>
        <v/>
      </c>
      <c r="AN107" s="528" t="str">
        <f t="shared" si="110"/>
        <v/>
      </c>
      <c r="AO107" s="528" t="str">
        <f t="shared" si="110"/>
        <v/>
      </c>
      <c r="AP107" s="528" t="str">
        <f t="shared" si="110"/>
        <v/>
      </c>
      <c r="AQ107" s="528" t="str">
        <f t="shared" si="110"/>
        <v/>
      </c>
      <c r="AR107" s="528" t="str">
        <f t="shared" si="110"/>
        <v/>
      </c>
      <c r="AS107" s="528" t="str">
        <f t="shared" si="110"/>
        <v/>
      </c>
      <c r="AT107" s="528" t="str">
        <f t="shared" si="110"/>
        <v/>
      </c>
      <c r="AU107" s="528" t="str">
        <f t="shared" si="110"/>
        <v/>
      </c>
      <c r="AV107" s="528" t="str">
        <f t="shared" si="110"/>
        <v/>
      </c>
      <c r="AW107" s="528" t="str">
        <f t="shared" si="110"/>
        <v/>
      </c>
      <c r="AX107" s="528" t="str">
        <f t="shared" si="110"/>
        <v/>
      </c>
      <c r="AY107" s="528" t="str">
        <f t="shared" si="110"/>
        <v/>
      </c>
      <c r="AZ107" s="528" t="str">
        <f t="shared" si="110"/>
        <v/>
      </c>
      <c r="BA107" s="528" t="str">
        <f t="shared" si="110"/>
        <v/>
      </c>
      <c r="BB107" s="528" t="str">
        <f t="shared" si="110"/>
        <v/>
      </c>
      <c r="BC107" s="528" t="str">
        <f t="shared" si="110"/>
        <v/>
      </c>
      <c r="BD107" s="528" t="str">
        <f t="shared" si="110"/>
        <v/>
      </c>
      <c r="BE107" s="528" t="str">
        <f t="shared" si="110"/>
        <v/>
      </c>
      <c r="BF107" s="528" t="str">
        <f t="shared" si="110"/>
        <v/>
      </c>
      <c r="BG107" s="528" t="str">
        <f t="shared" si="110"/>
        <v/>
      </c>
      <c r="BH107" s="528" t="str">
        <f t="shared" si="110"/>
        <v/>
      </c>
      <c r="BI107" s="528" t="str">
        <f t="shared" si="110"/>
        <v/>
      </c>
      <c r="BJ107" s="528" t="str">
        <f t="shared" si="110"/>
        <v/>
      </c>
      <c r="BK107" s="528" t="str">
        <f t="shared" si="110"/>
        <v/>
      </c>
      <c r="BL107" s="528" t="str">
        <f t="shared" si="110"/>
        <v/>
      </c>
      <c r="BM107" s="528" t="str">
        <f t="shared" si="110"/>
        <v/>
      </c>
    </row>
    <row r="108" spans="6:65" ht="15.75" customHeight="1" x14ac:dyDescent="0.25">
      <c r="F108" s="197"/>
      <c r="G108" s="197">
        <f t="shared" si="3"/>
        <v>0</v>
      </c>
      <c r="H108" s="197">
        <f t="shared" si="4"/>
        <v>143</v>
      </c>
      <c r="I108" s="523">
        <v>1</v>
      </c>
      <c r="J108" s="533">
        <f>'Monthly DCF'!$I$3</f>
        <v>46418</v>
      </c>
      <c r="K108" s="533">
        <f t="shared" si="5"/>
        <v>46812</v>
      </c>
      <c r="L108" s="536">
        <f t="shared" si="102"/>
        <v>14</v>
      </c>
      <c r="M108" s="20" t="s">
        <v>366</v>
      </c>
      <c r="N108" s="20">
        <f t="shared" si="6"/>
        <v>4.666666666666667</v>
      </c>
      <c r="O108" s="537">
        <v>3</v>
      </c>
      <c r="P108" s="528">
        <f t="shared" ref="P108:BM108" si="111">IFERROR(+IF(AND($M108="Flat",P$5&gt;=$J108,P$5&lt;=$K108),$I108/$L108,0)+IF(AND($M108="S-Curve",P$5&gt;=$J108,P$5&lt;=$K108),(_xlfn.NORM.DIST((YEAR(P$5)-YEAR($J108))*12+MONTH(P$5)-MONTH($J108)+1,$L108/2,$N108,TRUE)-_xlfn.NORM.DIST((YEAR(P$5)-YEAR($J108))*12+MONTH(P$5)-MONTH($J108),$L108/2,$N108,TRUE))/(1-2*_xlfn.NORM.DIST(0,$L108/2,$N108,TRUE))*$I108," "),"")</f>
        <v>3.7470839392486785E-2</v>
      </c>
      <c r="Q108" s="528">
        <f t="shared" si="111"/>
        <v>4.9304823576530495E-2</v>
      </c>
      <c r="R108" s="528">
        <f t="shared" si="111"/>
        <v>6.1975387674490463E-2</v>
      </c>
      <c r="S108" s="528">
        <f t="shared" si="111"/>
        <v>7.4418863019839396E-2</v>
      </c>
      <c r="T108" s="528">
        <f t="shared" si="111"/>
        <v>8.5365189426710092E-2</v>
      </c>
      <c r="U108" s="528">
        <f t="shared" si="111"/>
        <v>9.3543288539951849E-2</v>
      </c>
      <c r="V108" s="528">
        <f t="shared" si="111"/>
        <v>9.7921608369990962E-2</v>
      </c>
      <c r="W108" s="528">
        <f t="shared" si="111"/>
        <v>9.7921608369990962E-2</v>
      </c>
      <c r="X108" s="528">
        <f t="shared" si="111"/>
        <v>9.3543288539951849E-2</v>
      </c>
      <c r="Y108" s="528">
        <f t="shared" si="111"/>
        <v>8.5365189426710023E-2</v>
      </c>
      <c r="Z108" s="528">
        <f t="shared" si="111"/>
        <v>7.4418863019839493E-2</v>
      </c>
      <c r="AA108" s="528">
        <f t="shared" si="111"/>
        <v>6.1975387674490491E-2</v>
      </c>
      <c r="AB108" s="528">
        <f t="shared" si="111"/>
        <v>4.930482357653046E-2</v>
      </c>
      <c r="AC108" s="528">
        <f t="shared" si="111"/>
        <v>3.7470839392486723E-2</v>
      </c>
      <c r="AD108" s="528" t="str">
        <f t="shared" si="111"/>
        <v/>
      </c>
      <c r="AE108" s="528" t="str">
        <f t="shared" si="111"/>
        <v/>
      </c>
      <c r="AF108" s="528" t="str">
        <f t="shared" si="111"/>
        <v/>
      </c>
      <c r="AG108" s="528" t="str">
        <f t="shared" si="111"/>
        <v/>
      </c>
      <c r="AH108" s="528" t="str">
        <f t="shared" si="111"/>
        <v/>
      </c>
      <c r="AI108" s="528" t="str">
        <f t="shared" si="111"/>
        <v/>
      </c>
      <c r="AJ108" s="528" t="str">
        <f t="shared" si="111"/>
        <v/>
      </c>
      <c r="AK108" s="528" t="str">
        <f t="shared" si="111"/>
        <v/>
      </c>
      <c r="AL108" s="528" t="str">
        <f t="shared" si="111"/>
        <v/>
      </c>
      <c r="AM108" s="528" t="str">
        <f t="shared" si="111"/>
        <v/>
      </c>
      <c r="AN108" s="528" t="str">
        <f t="shared" si="111"/>
        <v/>
      </c>
      <c r="AO108" s="528" t="str">
        <f t="shared" si="111"/>
        <v/>
      </c>
      <c r="AP108" s="528" t="str">
        <f t="shared" si="111"/>
        <v/>
      </c>
      <c r="AQ108" s="528" t="str">
        <f t="shared" si="111"/>
        <v/>
      </c>
      <c r="AR108" s="528" t="str">
        <f t="shared" si="111"/>
        <v/>
      </c>
      <c r="AS108" s="528" t="str">
        <f t="shared" si="111"/>
        <v/>
      </c>
      <c r="AT108" s="528" t="str">
        <f t="shared" si="111"/>
        <v/>
      </c>
      <c r="AU108" s="528" t="str">
        <f t="shared" si="111"/>
        <v/>
      </c>
      <c r="AV108" s="528" t="str">
        <f t="shared" si="111"/>
        <v/>
      </c>
      <c r="AW108" s="528" t="str">
        <f t="shared" si="111"/>
        <v/>
      </c>
      <c r="AX108" s="528" t="str">
        <f t="shared" si="111"/>
        <v/>
      </c>
      <c r="AY108" s="528" t="str">
        <f t="shared" si="111"/>
        <v/>
      </c>
      <c r="AZ108" s="528" t="str">
        <f t="shared" si="111"/>
        <v/>
      </c>
      <c r="BA108" s="528" t="str">
        <f t="shared" si="111"/>
        <v/>
      </c>
      <c r="BB108" s="528" t="str">
        <f t="shared" si="111"/>
        <v/>
      </c>
      <c r="BC108" s="528" t="str">
        <f t="shared" si="111"/>
        <v/>
      </c>
      <c r="BD108" s="528" t="str">
        <f t="shared" si="111"/>
        <v/>
      </c>
      <c r="BE108" s="528" t="str">
        <f t="shared" si="111"/>
        <v/>
      </c>
      <c r="BF108" s="528" t="str">
        <f t="shared" si="111"/>
        <v/>
      </c>
      <c r="BG108" s="528" t="str">
        <f t="shared" si="111"/>
        <v/>
      </c>
      <c r="BH108" s="528" t="str">
        <f t="shared" si="111"/>
        <v/>
      </c>
      <c r="BI108" s="528" t="str">
        <f t="shared" si="111"/>
        <v/>
      </c>
      <c r="BJ108" s="528" t="str">
        <f t="shared" si="111"/>
        <v/>
      </c>
      <c r="BK108" s="528" t="str">
        <f t="shared" si="111"/>
        <v/>
      </c>
      <c r="BL108" s="528" t="str">
        <f t="shared" si="111"/>
        <v/>
      </c>
      <c r="BM108" s="528" t="str">
        <f t="shared" si="111"/>
        <v/>
      </c>
    </row>
    <row r="109" spans="6:65" ht="15.75" customHeight="1" x14ac:dyDescent="0.25">
      <c r="F109" s="197"/>
      <c r="G109" s="197">
        <f t="shared" si="3"/>
        <v>0</v>
      </c>
      <c r="H109" s="197">
        <f t="shared" si="4"/>
        <v>153</v>
      </c>
      <c r="I109" s="523">
        <v>1</v>
      </c>
      <c r="J109" s="533">
        <f>'Monthly DCF'!$I$3</f>
        <v>46418</v>
      </c>
      <c r="K109" s="533">
        <f t="shared" si="5"/>
        <v>46843</v>
      </c>
      <c r="L109" s="536">
        <f t="shared" si="102"/>
        <v>15</v>
      </c>
      <c r="M109" s="20" t="s">
        <v>366</v>
      </c>
      <c r="N109" s="20">
        <f t="shared" si="6"/>
        <v>5</v>
      </c>
      <c r="O109" s="537">
        <v>3</v>
      </c>
      <c r="P109" s="528">
        <f t="shared" ref="P109:BM109" si="112">IFERROR(+IF(AND($M109="Flat",P$5&gt;=$J109,P$5&lt;=$K109),$I109/$L109,0)+IF(AND($M109="S-Curve",P$5&gt;=$J109,P$5&lt;=$K109),(_xlfn.NORM.DIST((YEAR(P$5)-YEAR($J109))*12+MONTH(P$5)-MONTH($J109)+1,$L109/2,$N109,TRUE)-_xlfn.NORM.DIST((YEAR(P$5)-YEAR($J109))*12+MONTH(P$5)-MONTH($J109),$L109/2,$N109,TRUE))/(1-2*_xlfn.NORM.DIST(0,$L109/2,$N109,TRUE))*$I109," "),"")</f>
        <v>3.4618861860821679E-2</v>
      </c>
      <c r="Q109" s="528">
        <f t="shared" si="112"/>
        <v>4.4859444195070722E-2</v>
      </c>
      <c r="R109" s="528">
        <f t="shared" si="112"/>
        <v>5.5857420231969615E-2</v>
      </c>
      <c r="S109" s="528">
        <f t="shared" si="112"/>
        <v>6.6833436573643157E-2</v>
      </c>
      <c r="T109" s="528">
        <f t="shared" si="112"/>
        <v>7.6840943221949218E-2</v>
      </c>
      <c r="U109" s="528">
        <f t="shared" si="112"/>
        <v>8.4894115622994676E-2</v>
      </c>
      <c r="V109" s="528">
        <f t="shared" si="112"/>
        <v>9.0125672842019847E-2</v>
      </c>
      <c r="W109" s="528">
        <f t="shared" si="112"/>
        <v>9.1940210903062258E-2</v>
      </c>
      <c r="X109" s="528">
        <f t="shared" si="112"/>
        <v>9.0125672842019847E-2</v>
      </c>
      <c r="Y109" s="528">
        <f t="shared" si="112"/>
        <v>8.4894115622994676E-2</v>
      </c>
      <c r="Z109" s="528">
        <f t="shared" si="112"/>
        <v>7.6840943221949162E-2</v>
      </c>
      <c r="AA109" s="528">
        <f t="shared" si="112"/>
        <v>6.6833436573643185E-2</v>
      </c>
      <c r="AB109" s="528">
        <f t="shared" si="112"/>
        <v>5.5857420231969615E-2</v>
      </c>
      <c r="AC109" s="528">
        <f t="shared" si="112"/>
        <v>4.485944419507077E-2</v>
      </c>
      <c r="AD109" s="528">
        <f t="shared" si="112"/>
        <v>3.461886186082163E-2</v>
      </c>
      <c r="AE109" s="528" t="str">
        <f t="shared" si="112"/>
        <v/>
      </c>
      <c r="AF109" s="528" t="str">
        <f t="shared" si="112"/>
        <v/>
      </c>
      <c r="AG109" s="528" t="str">
        <f t="shared" si="112"/>
        <v/>
      </c>
      <c r="AH109" s="528" t="str">
        <f t="shared" si="112"/>
        <v/>
      </c>
      <c r="AI109" s="528" t="str">
        <f t="shared" si="112"/>
        <v/>
      </c>
      <c r="AJ109" s="528" t="str">
        <f t="shared" si="112"/>
        <v/>
      </c>
      <c r="AK109" s="528" t="str">
        <f t="shared" si="112"/>
        <v/>
      </c>
      <c r="AL109" s="528" t="str">
        <f t="shared" si="112"/>
        <v/>
      </c>
      <c r="AM109" s="528" t="str">
        <f t="shared" si="112"/>
        <v/>
      </c>
      <c r="AN109" s="528" t="str">
        <f t="shared" si="112"/>
        <v/>
      </c>
      <c r="AO109" s="528" t="str">
        <f t="shared" si="112"/>
        <v/>
      </c>
      <c r="AP109" s="528" t="str">
        <f t="shared" si="112"/>
        <v/>
      </c>
      <c r="AQ109" s="528" t="str">
        <f t="shared" si="112"/>
        <v/>
      </c>
      <c r="AR109" s="528" t="str">
        <f t="shared" si="112"/>
        <v/>
      </c>
      <c r="AS109" s="528" t="str">
        <f t="shared" si="112"/>
        <v/>
      </c>
      <c r="AT109" s="528" t="str">
        <f t="shared" si="112"/>
        <v/>
      </c>
      <c r="AU109" s="528" t="str">
        <f t="shared" si="112"/>
        <v/>
      </c>
      <c r="AV109" s="528" t="str">
        <f t="shared" si="112"/>
        <v/>
      </c>
      <c r="AW109" s="528" t="str">
        <f t="shared" si="112"/>
        <v/>
      </c>
      <c r="AX109" s="528" t="str">
        <f t="shared" si="112"/>
        <v/>
      </c>
      <c r="AY109" s="528" t="str">
        <f t="shared" si="112"/>
        <v/>
      </c>
      <c r="AZ109" s="528" t="str">
        <f t="shared" si="112"/>
        <v/>
      </c>
      <c r="BA109" s="528" t="str">
        <f t="shared" si="112"/>
        <v/>
      </c>
      <c r="BB109" s="528" t="str">
        <f t="shared" si="112"/>
        <v/>
      </c>
      <c r="BC109" s="528" t="str">
        <f t="shared" si="112"/>
        <v/>
      </c>
      <c r="BD109" s="528" t="str">
        <f t="shared" si="112"/>
        <v/>
      </c>
      <c r="BE109" s="528" t="str">
        <f t="shared" si="112"/>
        <v/>
      </c>
      <c r="BF109" s="528" t="str">
        <f t="shared" si="112"/>
        <v/>
      </c>
      <c r="BG109" s="528" t="str">
        <f t="shared" si="112"/>
        <v/>
      </c>
      <c r="BH109" s="528" t="str">
        <f t="shared" si="112"/>
        <v/>
      </c>
      <c r="BI109" s="528" t="str">
        <f t="shared" si="112"/>
        <v/>
      </c>
      <c r="BJ109" s="528" t="str">
        <f t="shared" si="112"/>
        <v/>
      </c>
      <c r="BK109" s="528" t="str">
        <f t="shared" si="112"/>
        <v/>
      </c>
      <c r="BL109" s="528" t="str">
        <f t="shared" si="112"/>
        <v/>
      </c>
      <c r="BM109" s="528" t="str">
        <f t="shared" si="112"/>
        <v/>
      </c>
    </row>
    <row r="110" spans="6:65" ht="15.75" customHeight="1" x14ac:dyDescent="0.25">
      <c r="F110" s="197"/>
      <c r="G110" s="197">
        <f t="shared" si="3"/>
        <v>0</v>
      </c>
      <c r="H110" s="197">
        <f t="shared" si="4"/>
        <v>163</v>
      </c>
      <c r="I110" s="523">
        <v>1</v>
      </c>
      <c r="J110" s="533">
        <f>'Monthly DCF'!$I$3</f>
        <v>46418</v>
      </c>
      <c r="K110" s="533">
        <f t="shared" si="5"/>
        <v>46873</v>
      </c>
      <c r="L110" s="536">
        <f t="shared" si="102"/>
        <v>16</v>
      </c>
      <c r="M110" s="20" t="s">
        <v>366</v>
      </c>
      <c r="N110" s="20">
        <f t="shared" si="6"/>
        <v>5.333333333333333</v>
      </c>
      <c r="O110" s="537">
        <v>3</v>
      </c>
      <c r="P110" s="528">
        <f t="shared" ref="P110:BM110" si="113">IFERROR(+IF(AND($M110="Flat",P$5&gt;=$J110,P$5&lt;=$K110),$I110/$L110,0)+IF(AND($M110="S-Curve",P$5&gt;=$J110,P$5&lt;=$K110),(_xlfn.NORM.DIST((YEAR(P$5)-YEAR($J110))*12+MONTH(P$5)-MONTH($J110)+1,$L110/2,$N110,TRUE)-_xlfn.NORM.DIST((YEAR(P$5)-YEAR($J110))*12+MONTH(P$5)-MONTH($J110),$L110/2,$N110,TRUE))/(1-2*_xlfn.NORM.DIST(0,$L110/2,$N110,TRUE))*$I110," "),"")</f>
        <v>3.2166441633394875E-2</v>
      </c>
      <c r="Q110" s="528">
        <f t="shared" si="113"/>
        <v>4.1111918549311802E-2</v>
      </c>
      <c r="R110" s="528">
        <f t="shared" si="113"/>
        <v>5.0735140187561943E-2</v>
      </c>
      <c r="S110" s="528">
        <f t="shared" si="113"/>
        <v>6.0454191124300075E-2</v>
      </c>
      <c r="T110" s="528">
        <f t="shared" si="113"/>
        <v>6.9553729443338569E-2</v>
      </c>
      <c r="U110" s="528">
        <f t="shared" si="113"/>
        <v>7.7266440839957762E-2</v>
      </c>
      <c r="V110" s="528">
        <f t="shared" si="113"/>
        <v>8.2877737957725531E-2</v>
      </c>
      <c r="W110" s="528">
        <f t="shared" si="113"/>
        <v>8.5834400264409486E-2</v>
      </c>
      <c r="X110" s="528">
        <f t="shared" si="113"/>
        <v>8.5834400264409416E-2</v>
      </c>
      <c r="Y110" s="528">
        <f t="shared" si="113"/>
        <v>8.2877737957725586E-2</v>
      </c>
      <c r="Z110" s="528">
        <f t="shared" si="113"/>
        <v>7.7266440839957762E-2</v>
      </c>
      <c r="AA110" s="528">
        <f t="shared" si="113"/>
        <v>6.9553729443338513E-2</v>
      </c>
      <c r="AB110" s="528">
        <f t="shared" si="113"/>
        <v>6.0454191124300109E-2</v>
      </c>
      <c r="AC110" s="528">
        <f t="shared" si="113"/>
        <v>5.0735140187561943E-2</v>
      </c>
      <c r="AD110" s="528">
        <f t="shared" si="113"/>
        <v>4.1111918549311899E-2</v>
      </c>
      <c r="AE110" s="528">
        <f t="shared" si="113"/>
        <v>3.2166441633394778E-2</v>
      </c>
      <c r="AF110" s="528" t="str">
        <f t="shared" si="113"/>
        <v/>
      </c>
      <c r="AG110" s="528" t="str">
        <f t="shared" si="113"/>
        <v/>
      </c>
      <c r="AH110" s="528" t="str">
        <f t="shared" si="113"/>
        <v/>
      </c>
      <c r="AI110" s="528" t="str">
        <f t="shared" si="113"/>
        <v/>
      </c>
      <c r="AJ110" s="528" t="str">
        <f t="shared" si="113"/>
        <v/>
      </c>
      <c r="AK110" s="528" t="str">
        <f t="shared" si="113"/>
        <v/>
      </c>
      <c r="AL110" s="528" t="str">
        <f t="shared" si="113"/>
        <v/>
      </c>
      <c r="AM110" s="528" t="str">
        <f t="shared" si="113"/>
        <v/>
      </c>
      <c r="AN110" s="528" t="str">
        <f t="shared" si="113"/>
        <v/>
      </c>
      <c r="AO110" s="528" t="str">
        <f t="shared" si="113"/>
        <v/>
      </c>
      <c r="AP110" s="528" t="str">
        <f t="shared" si="113"/>
        <v/>
      </c>
      <c r="AQ110" s="528" t="str">
        <f t="shared" si="113"/>
        <v/>
      </c>
      <c r="AR110" s="528" t="str">
        <f t="shared" si="113"/>
        <v/>
      </c>
      <c r="AS110" s="528" t="str">
        <f t="shared" si="113"/>
        <v/>
      </c>
      <c r="AT110" s="528" t="str">
        <f t="shared" si="113"/>
        <v/>
      </c>
      <c r="AU110" s="528" t="str">
        <f t="shared" si="113"/>
        <v/>
      </c>
      <c r="AV110" s="528" t="str">
        <f t="shared" si="113"/>
        <v/>
      </c>
      <c r="AW110" s="528" t="str">
        <f t="shared" si="113"/>
        <v/>
      </c>
      <c r="AX110" s="528" t="str">
        <f t="shared" si="113"/>
        <v/>
      </c>
      <c r="AY110" s="528" t="str">
        <f t="shared" si="113"/>
        <v/>
      </c>
      <c r="AZ110" s="528" t="str">
        <f t="shared" si="113"/>
        <v/>
      </c>
      <c r="BA110" s="528" t="str">
        <f t="shared" si="113"/>
        <v/>
      </c>
      <c r="BB110" s="528" t="str">
        <f t="shared" si="113"/>
        <v/>
      </c>
      <c r="BC110" s="528" t="str">
        <f t="shared" si="113"/>
        <v/>
      </c>
      <c r="BD110" s="528" t="str">
        <f t="shared" si="113"/>
        <v/>
      </c>
      <c r="BE110" s="528" t="str">
        <f t="shared" si="113"/>
        <v/>
      </c>
      <c r="BF110" s="528" t="str">
        <f t="shared" si="113"/>
        <v/>
      </c>
      <c r="BG110" s="528" t="str">
        <f t="shared" si="113"/>
        <v/>
      </c>
      <c r="BH110" s="528" t="str">
        <f t="shared" si="113"/>
        <v/>
      </c>
      <c r="BI110" s="528" t="str">
        <f t="shared" si="113"/>
        <v/>
      </c>
      <c r="BJ110" s="528" t="str">
        <f t="shared" si="113"/>
        <v/>
      </c>
      <c r="BK110" s="528" t="str">
        <f t="shared" si="113"/>
        <v/>
      </c>
      <c r="BL110" s="528" t="str">
        <f t="shared" si="113"/>
        <v/>
      </c>
      <c r="BM110" s="528" t="str">
        <f t="shared" si="113"/>
        <v/>
      </c>
    </row>
    <row r="111" spans="6:65" ht="15.75" customHeight="1" x14ac:dyDescent="0.25">
      <c r="F111" s="197"/>
      <c r="G111" s="197">
        <f t="shared" si="3"/>
        <v>0</v>
      </c>
      <c r="H111" s="197">
        <f t="shared" si="4"/>
        <v>173</v>
      </c>
      <c r="I111" s="523">
        <v>1</v>
      </c>
      <c r="J111" s="533">
        <f>'Monthly DCF'!$I$3</f>
        <v>46418</v>
      </c>
      <c r="K111" s="533">
        <f t="shared" si="5"/>
        <v>46904</v>
      </c>
      <c r="L111" s="536">
        <f t="shared" si="102"/>
        <v>17</v>
      </c>
      <c r="M111" s="20" t="s">
        <v>366</v>
      </c>
      <c r="N111" s="20">
        <f t="shared" si="6"/>
        <v>5.666666666666667</v>
      </c>
      <c r="O111" s="537">
        <v>3</v>
      </c>
      <c r="P111" s="528">
        <f t="shared" ref="P111:BM111" si="114">IFERROR(+IF(AND($M111="Flat",P$5&gt;=$J111,P$5&lt;=$K111),$I111/$L111,0)+IF(AND($M111="S-Curve",P$5&gt;=$J111,P$5&lt;=$K111),(_xlfn.NORM.DIST((YEAR(P$5)-YEAR($J111))*12+MONTH(P$5)-MONTH($J111)+1,$L111/2,$N111,TRUE)-_xlfn.NORM.DIST((YEAR(P$5)-YEAR($J111))*12+MONTH(P$5)-MONTH($J111),$L111/2,$N111,TRUE))/(1-2*_xlfn.NORM.DIST(0,$L111/2,$N111,TRUE))*$I111," "),"")</f>
        <v>3.0035690571176402E-2</v>
      </c>
      <c r="Q111" s="528">
        <f t="shared" si="114"/>
        <v>3.7914947188841308E-2</v>
      </c>
      <c r="R111" s="528">
        <f t="shared" si="114"/>
        <v>4.6397387425641909E-2</v>
      </c>
      <c r="S111" s="528">
        <f t="shared" si="114"/>
        <v>5.5041068663932442E-2</v>
      </c>
      <c r="T111" s="528">
        <f t="shared" si="114"/>
        <v>6.3298069709158827E-2</v>
      </c>
      <c r="U111" s="528">
        <f t="shared" si="114"/>
        <v>7.0567440940491166E-2</v>
      </c>
      <c r="V111" s="528">
        <f t="shared" si="114"/>
        <v>7.6265579715107237E-2</v>
      </c>
      <c r="W111" s="528">
        <f t="shared" si="114"/>
        <v>7.9903002093251421E-2</v>
      </c>
      <c r="X111" s="528">
        <f t="shared" si="114"/>
        <v>8.1153627384798588E-2</v>
      </c>
      <c r="Y111" s="528">
        <f t="shared" si="114"/>
        <v>7.9903002093251491E-2</v>
      </c>
      <c r="Z111" s="528">
        <f t="shared" si="114"/>
        <v>7.6265579715107237E-2</v>
      </c>
      <c r="AA111" s="528">
        <f t="shared" si="114"/>
        <v>7.0567440940491166E-2</v>
      </c>
      <c r="AB111" s="528">
        <f t="shared" si="114"/>
        <v>6.32980697091588E-2</v>
      </c>
      <c r="AC111" s="528">
        <f t="shared" si="114"/>
        <v>5.5041068663932505E-2</v>
      </c>
      <c r="AD111" s="528">
        <f t="shared" si="114"/>
        <v>4.6397387425641909E-2</v>
      </c>
      <c r="AE111" s="528">
        <f t="shared" si="114"/>
        <v>3.7914947188841336E-2</v>
      </c>
      <c r="AF111" s="528">
        <f t="shared" si="114"/>
        <v>3.0035690571176308E-2</v>
      </c>
      <c r="AG111" s="528" t="str">
        <f t="shared" si="114"/>
        <v/>
      </c>
      <c r="AH111" s="528" t="str">
        <f t="shared" si="114"/>
        <v/>
      </c>
      <c r="AI111" s="528" t="str">
        <f t="shared" si="114"/>
        <v/>
      </c>
      <c r="AJ111" s="528" t="str">
        <f t="shared" si="114"/>
        <v/>
      </c>
      <c r="AK111" s="528" t="str">
        <f t="shared" si="114"/>
        <v/>
      </c>
      <c r="AL111" s="528" t="str">
        <f t="shared" si="114"/>
        <v/>
      </c>
      <c r="AM111" s="528" t="str">
        <f t="shared" si="114"/>
        <v/>
      </c>
      <c r="AN111" s="528" t="str">
        <f t="shared" si="114"/>
        <v/>
      </c>
      <c r="AO111" s="528" t="str">
        <f t="shared" si="114"/>
        <v/>
      </c>
      <c r="AP111" s="528" t="str">
        <f t="shared" si="114"/>
        <v/>
      </c>
      <c r="AQ111" s="528" t="str">
        <f t="shared" si="114"/>
        <v/>
      </c>
      <c r="AR111" s="528" t="str">
        <f t="shared" si="114"/>
        <v/>
      </c>
      <c r="AS111" s="528" t="str">
        <f t="shared" si="114"/>
        <v/>
      </c>
      <c r="AT111" s="528" t="str">
        <f t="shared" si="114"/>
        <v/>
      </c>
      <c r="AU111" s="528" t="str">
        <f t="shared" si="114"/>
        <v/>
      </c>
      <c r="AV111" s="528" t="str">
        <f t="shared" si="114"/>
        <v/>
      </c>
      <c r="AW111" s="528" t="str">
        <f t="shared" si="114"/>
        <v/>
      </c>
      <c r="AX111" s="528" t="str">
        <f t="shared" si="114"/>
        <v/>
      </c>
      <c r="AY111" s="528" t="str">
        <f t="shared" si="114"/>
        <v/>
      </c>
      <c r="AZ111" s="528" t="str">
        <f t="shared" si="114"/>
        <v/>
      </c>
      <c r="BA111" s="528" t="str">
        <f t="shared" si="114"/>
        <v/>
      </c>
      <c r="BB111" s="528" t="str">
        <f t="shared" si="114"/>
        <v/>
      </c>
      <c r="BC111" s="528" t="str">
        <f t="shared" si="114"/>
        <v/>
      </c>
      <c r="BD111" s="528" t="str">
        <f t="shared" si="114"/>
        <v/>
      </c>
      <c r="BE111" s="528" t="str">
        <f t="shared" si="114"/>
        <v/>
      </c>
      <c r="BF111" s="528" t="str">
        <f t="shared" si="114"/>
        <v/>
      </c>
      <c r="BG111" s="528" t="str">
        <f t="shared" si="114"/>
        <v/>
      </c>
      <c r="BH111" s="528" t="str">
        <f t="shared" si="114"/>
        <v/>
      </c>
      <c r="BI111" s="528" t="str">
        <f t="shared" si="114"/>
        <v/>
      </c>
      <c r="BJ111" s="528" t="str">
        <f t="shared" si="114"/>
        <v/>
      </c>
      <c r="BK111" s="528" t="str">
        <f t="shared" si="114"/>
        <v/>
      </c>
      <c r="BL111" s="528" t="str">
        <f t="shared" si="114"/>
        <v/>
      </c>
      <c r="BM111" s="528" t="str">
        <f t="shared" si="114"/>
        <v/>
      </c>
    </row>
    <row r="112" spans="6:65" ht="15.75" customHeight="1" x14ac:dyDescent="0.25">
      <c r="F112" s="197"/>
      <c r="G112" s="197">
        <f t="shared" si="3"/>
        <v>0</v>
      </c>
      <c r="H112" s="197">
        <f t="shared" si="4"/>
        <v>183</v>
      </c>
      <c r="I112" s="523">
        <v>1</v>
      </c>
      <c r="J112" s="533">
        <f>'Monthly DCF'!$I$3</f>
        <v>46418</v>
      </c>
      <c r="K112" s="533">
        <f t="shared" si="5"/>
        <v>46934</v>
      </c>
      <c r="L112" s="536">
        <f t="shared" si="102"/>
        <v>18</v>
      </c>
      <c r="M112" s="20" t="s">
        <v>366</v>
      </c>
      <c r="N112" s="20">
        <f t="shared" si="6"/>
        <v>6</v>
      </c>
      <c r="O112" s="537">
        <v>3</v>
      </c>
      <c r="P112" s="528">
        <f t="shared" ref="P112:BM112" si="115">IFERROR(+IF(AND($M112="Flat",P$5&gt;=$J112,P$5&lt;=$K112),$I112/$L112,0)+IF(AND($M112="S-Curve",P$5&gt;=$J112,P$5&lt;=$K112),(_xlfn.NORM.DIST((YEAR(P$5)-YEAR($J112))*12+MONTH(P$5)-MONTH($J112)+1,$L112/2,$N112,TRUE)-_xlfn.NORM.DIST((YEAR(P$5)-YEAR($J112))*12+MONTH(P$5)-MONTH($J112),$L112/2,$N112,TRUE))/(1-2*_xlfn.NORM.DIST(0,$L112/2,$N112,TRUE))*$I112," "),"")</f>
        <v>2.8167617892646459E-2</v>
      </c>
      <c r="Q112" s="528">
        <f t="shared" si="115"/>
        <v>3.5159038813360979E-2</v>
      </c>
      <c r="R112" s="528">
        <f t="shared" si="115"/>
        <v>4.2686246707472189E-2</v>
      </c>
      <c r="S112" s="528">
        <f t="shared" si="115"/>
        <v>5.0408417637721928E-2</v>
      </c>
      <c r="T112" s="528">
        <f t="shared" si="115"/>
        <v>5.7900496880620954E-2</v>
      </c>
      <c r="U112" s="528">
        <f t="shared" si="115"/>
        <v>6.4688288151631884E-2</v>
      </c>
      <c r="V112" s="528">
        <f t="shared" si="115"/>
        <v>7.029641493830123E-2</v>
      </c>
      <c r="W112" s="528">
        <f t="shared" si="115"/>
        <v>7.4302743946681488E-2</v>
      </c>
      <c r="X112" s="528">
        <f t="shared" si="115"/>
        <v>7.639073503156292E-2</v>
      </c>
      <c r="Y112" s="528">
        <f t="shared" si="115"/>
        <v>7.639073503156292E-2</v>
      </c>
      <c r="Z112" s="528">
        <f t="shared" si="115"/>
        <v>7.4302743946681543E-2</v>
      </c>
      <c r="AA112" s="528">
        <f t="shared" si="115"/>
        <v>7.0296414938301174E-2</v>
      </c>
      <c r="AB112" s="528">
        <f t="shared" si="115"/>
        <v>6.4688288151631884E-2</v>
      </c>
      <c r="AC112" s="528">
        <f t="shared" si="115"/>
        <v>5.7900496880620954E-2</v>
      </c>
      <c r="AD112" s="528">
        <f t="shared" si="115"/>
        <v>5.0408417637721956E-2</v>
      </c>
      <c r="AE112" s="528">
        <f t="shared" si="115"/>
        <v>4.2686246707472127E-2</v>
      </c>
      <c r="AF112" s="528">
        <f t="shared" si="115"/>
        <v>3.5159038813361007E-2</v>
      </c>
      <c r="AG112" s="528">
        <f t="shared" si="115"/>
        <v>2.8167617892646428E-2</v>
      </c>
      <c r="AH112" s="528" t="str">
        <f t="shared" si="115"/>
        <v/>
      </c>
      <c r="AI112" s="528" t="str">
        <f t="shared" si="115"/>
        <v/>
      </c>
      <c r="AJ112" s="528" t="str">
        <f t="shared" si="115"/>
        <v/>
      </c>
      <c r="AK112" s="528" t="str">
        <f t="shared" si="115"/>
        <v/>
      </c>
      <c r="AL112" s="528" t="str">
        <f t="shared" si="115"/>
        <v/>
      </c>
      <c r="AM112" s="528" t="str">
        <f t="shared" si="115"/>
        <v/>
      </c>
      <c r="AN112" s="528" t="str">
        <f t="shared" si="115"/>
        <v/>
      </c>
      <c r="AO112" s="528" t="str">
        <f t="shared" si="115"/>
        <v/>
      </c>
      <c r="AP112" s="528" t="str">
        <f t="shared" si="115"/>
        <v/>
      </c>
      <c r="AQ112" s="528" t="str">
        <f t="shared" si="115"/>
        <v/>
      </c>
      <c r="AR112" s="528" t="str">
        <f t="shared" si="115"/>
        <v/>
      </c>
      <c r="AS112" s="528" t="str">
        <f t="shared" si="115"/>
        <v/>
      </c>
      <c r="AT112" s="528" t="str">
        <f t="shared" si="115"/>
        <v/>
      </c>
      <c r="AU112" s="528" t="str">
        <f t="shared" si="115"/>
        <v/>
      </c>
      <c r="AV112" s="528" t="str">
        <f t="shared" si="115"/>
        <v/>
      </c>
      <c r="AW112" s="528" t="str">
        <f t="shared" si="115"/>
        <v/>
      </c>
      <c r="AX112" s="528" t="str">
        <f t="shared" si="115"/>
        <v/>
      </c>
      <c r="AY112" s="528" t="str">
        <f t="shared" si="115"/>
        <v/>
      </c>
      <c r="AZ112" s="528" t="str">
        <f t="shared" si="115"/>
        <v/>
      </c>
      <c r="BA112" s="528" t="str">
        <f t="shared" si="115"/>
        <v/>
      </c>
      <c r="BB112" s="528" t="str">
        <f t="shared" si="115"/>
        <v/>
      </c>
      <c r="BC112" s="528" t="str">
        <f t="shared" si="115"/>
        <v/>
      </c>
      <c r="BD112" s="528" t="str">
        <f t="shared" si="115"/>
        <v/>
      </c>
      <c r="BE112" s="528" t="str">
        <f t="shared" si="115"/>
        <v/>
      </c>
      <c r="BF112" s="528" t="str">
        <f t="shared" si="115"/>
        <v/>
      </c>
      <c r="BG112" s="528" t="str">
        <f t="shared" si="115"/>
        <v/>
      </c>
      <c r="BH112" s="528" t="str">
        <f t="shared" si="115"/>
        <v/>
      </c>
      <c r="BI112" s="528" t="str">
        <f t="shared" si="115"/>
        <v/>
      </c>
      <c r="BJ112" s="528" t="str">
        <f t="shared" si="115"/>
        <v/>
      </c>
      <c r="BK112" s="528" t="str">
        <f t="shared" si="115"/>
        <v/>
      </c>
      <c r="BL112" s="528" t="str">
        <f t="shared" si="115"/>
        <v/>
      </c>
      <c r="BM112" s="528" t="str">
        <f t="shared" si="115"/>
        <v/>
      </c>
    </row>
    <row r="113" spans="6:65" ht="15.75" customHeight="1" x14ac:dyDescent="0.25">
      <c r="F113" s="197"/>
      <c r="G113" s="197">
        <f t="shared" si="3"/>
        <v>0</v>
      </c>
      <c r="H113" s="197">
        <f t="shared" si="4"/>
        <v>193</v>
      </c>
      <c r="I113" s="523">
        <v>1</v>
      </c>
      <c r="J113" s="533">
        <f>'Monthly DCF'!$I$3</f>
        <v>46418</v>
      </c>
      <c r="K113" s="533">
        <f t="shared" si="5"/>
        <v>46965</v>
      </c>
      <c r="L113" s="536">
        <f t="shared" si="102"/>
        <v>19</v>
      </c>
      <c r="M113" s="20" t="s">
        <v>366</v>
      </c>
      <c r="N113" s="20">
        <f t="shared" si="6"/>
        <v>6.333333333333333</v>
      </c>
      <c r="O113" s="537">
        <v>3</v>
      </c>
      <c r="P113" s="528">
        <f t="shared" ref="P113:BM113" si="116">IFERROR(+IF(AND($M113="Flat",P$5&gt;=$J113,P$5&lt;=$K113),$I113/$L113,0)+IF(AND($M113="S-Curve",P$5&gt;=$J113,P$5&lt;=$K113),(_xlfn.NORM.DIST((YEAR(P$5)-YEAR($J113))*12+MONTH(P$5)-MONTH($J113)+1,$L113/2,$N113,TRUE)-_xlfn.NORM.DIST((YEAR(P$5)-YEAR($J113))*12+MONTH(P$5)-MONTH($J113),$L113/2,$N113,TRUE))/(1-2*_xlfn.NORM.DIST(0,$L113/2,$N113,TRUE))*$I113," "),"")</f>
        <v>2.651675259216791E-2</v>
      </c>
      <c r="Q113" s="528">
        <f t="shared" si="116"/>
        <v>3.2761318325414235E-2</v>
      </c>
      <c r="R113" s="528">
        <f t="shared" si="116"/>
        <v>3.9481854831406392E-2</v>
      </c>
      <c r="S113" s="528">
        <f t="shared" si="116"/>
        <v>4.6411850033948369E-2</v>
      </c>
      <c r="T113" s="528">
        <f t="shared" si="116"/>
        <v>5.3217611339165888E-2</v>
      </c>
      <c r="U113" s="528">
        <f t="shared" si="116"/>
        <v>5.9521935715932811E-2</v>
      </c>
      <c r="V113" s="528">
        <f t="shared" si="116"/>
        <v>6.4937250111551395E-2</v>
      </c>
      <c r="W113" s="528">
        <f t="shared" si="116"/>
        <v>6.9104435537517397E-2</v>
      </c>
      <c r="X113" s="528">
        <f t="shared" si="116"/>
        <v>7.1732033169812137E-2</v>
      </c>
      <c r="Y113" s="528">
        <f t="shared" si="116"/>
        <v>7.2629916686166918E-2</v>
      </c>
      <c r="Z113" s="528">
        <f t="shared" si="116"/>
        <v>7.1732033169812207E-2</v>
      </c>
      <c r="AA113" s="528">
        <f t="shared" si="116"/>
        <v>6.9104435537517397E-2</v>
      </c>
      <c r="AB113" s="528">
        <f t="shared" si="116"/>
        <v>6.4937250111551395E-2</v>
      </c>
      <c r="AC113" s="528">
        <f t="shared" si="116"/>
        <v>5.9521935715932811E-2</v>
      </c>
      <c r="AD113" s="528">
        <f t="shared" si="116"/>
        <v>5.3217611339165923E-2</v>
      </c>
      <c r="AE113" s="528">
        <f t="shared" si="116"/>
        <v>4.6411850033948404E-2</v>
      </c>
      <c r="AF113" s="528">
        <f t="shared" si="116"/>
        <v>3.9481854831406357E-2</v>
      </c>
      <c r="AG113" s="528">
        <f t="shared" si="116"/>
        <v>3.27613183254142E-2</v>
      </c>
      <c r="AH113" s="528">
        <f t="shared" si="116"/>
        <v>2.6516752592167878E-2</v>
      </c>
      <c r="AI113" s="528" t="str">
        <f t="shared" si="116"/>
        <v/>
      </c>
      <c r="AJ113" s="528" t="str">
        <f t="shared" si="116"/>
        <v/>
      </c>
      <c r="AK113" s="528" t="str">
        <f t="shared" si="116"/>
        <v/>
      </c>
      <c r="AL113" s="528" t="str">
        <f t="shared" si="116"/>
        <v/>
      </c>
      <c r="AM113" s="528" t="str">
        <f t="shared" si="116"/>
        <v/>
      </c>
      <c r="AN113" s="528" t="str">
        <f t="shared" si="116"/>
        <v/>
      </c>
      <c r="AO113" s="528" t="str">
        <f t="shared" si="116"/>
        <v/>
      </c>
      <c r="AP113" s="528" t="str">
        <f t="shared" si="116"/>
        <v/>
      </c>
      <c r="AQ113" s="528" t="str">
        <f t="shared" si="116"/>
        <v/>
      </c>
      <c r="AR113" s="528" t="str">
        <f t="shared" si="116"/>
        <v/>
      </c>
      <c r="AS113" s="528" t="str">
        <f t="shared" si="116"/>
        <v/>
      </c>
      <c r="AT113" s="528" t="str">
        <f t="shared" si="116"/>
        <v/>
      </c>
      <c r="AU113" s="528" t="str">
        <f t="shared" si="116"/>
        <v/>
      </c>
      <c r="AV113" s="528" t="str">
        <f t="shared" si="116"/>
        <v/>
      </c>
      <c r="AW113" s="528" t="str">
        <f t="shared" si="116"/>
        <v/>
      </c>
      <c r="AX113" s="528" t="str">
        <f t="shared" si="116"/>
        <v/>
      </c>
      <c r="AY113" s="528" t="str">
        <f t="shared" si="116"/>
        <v/>
      </c>
      <c r="AZ113" s="528" t="str">
        <f t="shared" si="116"/>
        <v/>
      </c>
      <c r="BA113" s="528" t="str">
        <f t="shared" si="116"/>
        <v/>
      </c>
      <c r="BB113" s="528" t="str">
        <f t="shared" si="116"/>
        <v/>
      </c>
      <c r="BC113" s="528" t="str">
        <f t="shared" si="116"/>
        <v/>
      </c>
      <c r="BD113" s="528" t="str">
        <f t="shared" si="116"/>
        <v/>
      </c>
      <c r="BE113" s="528" t="str">
        <f t="shared" si="116"/>
        <v/>
      </c>
      <c r="BF113" s="528" t="str">
        <f t="shared" si="116"/>
        <v/>
      </c>
      <c r="BG113" s="528" t="str">
        <f t="shared" si="116"/>
        <v/>
      </c>
      <c r="BH113" s="528" t="str">
        <f t="shared" si="116"/>
        <v/>
      </c>
      <c r="BI113" s="528" t="str">
        <f t="shared" si="116"/>
        <v/>
      </c>
      <c r="BJ113" s="528" t="str">
        <f t="shared" si="116"/>
        <v/>
      </c>
      <c r="BK113" s="528" t="str">
        <f t="shared" si="116"/>
        <v/>
      </c>
      <c r="BL113" s="528" t="str">
        <f t="shared" si="116"/>
        <v/>
      </c>
      <c r="BM113" s="528" t="str">
        <f t="shared" si="116"/>
        <v/>
      </c>
    </row>
    <row r="114" spans="6:65" ht="15.75" customHeight="1" x14ac:dyDescent="0.25">
      <c r="F114" s="197"/>
      <c r="G114" s="197">
        <f t="shared" si="3"/>
        <v>0</v>
      </c>
      <c r="H114" s="197">
        <f t="shared" si="4"/>
        <v>203</v>
      </c>
      <c r="I114" s="523">
        <v>1</v>
      </c>
      <c r="J114" s="533">
        <f>'Monthly DCF'!$I$3</f>
        <v>46418</v>
      </c>
      <c r="K114" s="533">
        <f t="shared" si="5"/>
        <v>46996</v>
      </c>
      <c r="L114" s="536">
        <f t="shared" si="102"/>
        <v>20</v>
      </c>
      <c r="M114" s="20" t="s">
        <v>366</v>
      </c>
      <c r="N114" s="20">
        <f t="shared" si="6"/>
        <v>6.666666666666667</v>
      </c>
      <c r="O114" s="537">
        <v>3</v>
      </c>
      <c r="P114" s="528">
        <f t="shared" ref="P114:BM114" si="117">IFERROR(+IF(AND($M114="Flat",P$5&gt;=$J114,P$5&lt;=$K114),$I114/$L114,0)+IF(AND($M114="S-Curve",P$5&gt;=$J114,P$5&lt;=$K114),(_xlfn.NORM.DIST((YEAR(P$5)-YEAR($J114))*12+MONTH(P$5)-MONTH($J114)+1,$L114/2,$N114,TRUE)-_xlfn.NORM.DIST((YEAR(P$5)-YEAR($J114))*12+MONTH(P$5)-MONTH($J114),$L114/2,$N114,TRUE))/(1-2*_xlfn.NORM.DIST(0,$L114/2,$N114,TRUE))*$I114," "),"")</f>
        <v>2.5047496440508018E-2</v>
      </c>
      <c r="Q114" s="528">
        <f t="shared" si="117"/>
        <v>3.0658033630877105E-2</v>
      </c>
      <c r="R114" s="528">
        <f t="shared" si="117"/>
        <v>3.6691960539627443E-2</v>
      </c>
      <c r="S114" s="528">
        <f t="shared" si="117"/>
        <v>4.293823567684945E-2</v>
      </c>
      <c r="T114" s="528">
        <f t="shared" si="117"/>
        <v>4.9131965206706679E-2</v>
      </c>
      <c r="U114" s="528">
        <f t="shared" si="117"/>
        <v>5.4970633760193163E-2</v>
      </c>
      <c r="V114" s="528">
        <f t="shared" si="117"/>
        <v>6.0137313790139063E-2</v>
      </c>
      <c r="W114" s="528">
        <f t="shared" si="117"/>
        <v>6.4328582661548145E-2</v>
      </c>
      <c r="X114" s="528">
        <f t="shared" si="117"/>
        <v>6.728381680103801E-2</v>
      </c>
      <c r="Y114" s="528">
        <f t="shared" si="117"/>
        <v>6.8811961492512952E-2</v>
      </c>
      <c r="Z114" s="528">
        <f t="shared" si="117"/>
        <v>6.8811961492512952E-2</v>
      </c>
      <c r="AA114" s="528">
        <f t="shared" si="117"/>
        <v>6.728381680103801E-2</v>
      </c>
      <c r="AB114" s="528">
        <f t="shared" si="117"/>
        <v>6.4328582661548075E-2</v>
      </c>
      <c r="AC114" s="528">
        <f t="shared" si="117"/>
        <v>6.0137313790139126E-2</v>
      </c>
      <c r="AD114" s="528">
        <f t="shared" si="117"/>
        <v>5.4970633760193094E-2</v>
      </c>
      <c r="AE114" s="528">
        <f t="shared" si="117"/>
        <v>4.9131965206706707E-2</v>
      </c>
      <c r="AF114" s="528">
        <f t="shared" si="117"/>
        <v>4.2938235676849512E-2</v>
      </c>
      <c r="AG114" s="528">
        <f t="shared" si="117"/>
        <v>3.6691960539627477E-2</v>
      </c>
      <c r="AH114" s="528">
        <f t="shared" si="117"/>
        <v>3.0658033630876991E-2</v>
      </c>
      <c r="AI114" s="528">
        <f t="shared" si="117"/>
        <v>2.5047496440508035E-2</v>
      </c>
      <c r="AJ114" s="528" t="str">
        <f t="shared" si="117"/>
        <v/>
      </c>
      <c r="AK114" s="528" t="str">
        <f t="shared" si="117"/>
        <v/>
      </c>
      <c r="AL114" s="528" t="str">
        <f t="shared" si="117"/>
        <v/>
      </c>
      <c r="AM114" s="528" t="str">
        <f t="shared" si="117"/>
        <v/>
      </c>
      <c r="AN114" s="528" t="str">
        <f t="shared" si="117"/>
        <v/>
      </c>
      <c r="AO114" s="528" t="str">
        <f t="shared" si="117"/>
        <v/>
      </c>
      <c r="AP114" s="528" t="str">
        <f t="shared" si="117"/>
        <v/>
      </c>
      <c r="AQ114" s="528" t="str">
        <f t="shared" si="117"/>
        <v/>
      </c>
      <c r="AR114" s="528" t="str">
        <f t="shared" si="117"/>
        <v/>
      </c>
      <c r="AS114" s="528" t="str">
        <f t="shared" si="117"/>
        <v/>
      </c>
      <c r="AT114" s="528" t="str">
        <f t="shared" si="117"/>
        <v/>
      </c>
      <c r="AU114" s="528" t="str">
        <f t="shared" si="117"/>
        <v/>
      </c>
      <c r="AV114" s="528" t="str">
        <f t="shared" si="117"/>
        <v/>
      </c>
      <c r="AW114" s="528" t="str">
        <f t="shared" si="117"/>
        <v/>
      </c>
      <c r="AX114" s="528" t="str">
        <f t="shared" si="117"/>
        <v/>
      </c>
      <c r="AY114" s="528" t="str">
        <f t="shared" si="117"/>
        <v/>
      </c>
      <c r="AZ114" s="528" t="str">
        <f t="shared" si="117"/>
        <v/>
      </c>
      <c r="BA114" s="528" t="str">
        <f t="shared" si="117"/>
        <v/>
      </c>
      <c r="BB114" s="528" t="str">
        <f t="shared" si="117"/>
        <v/>
      </c>
      <c r="BC114" s="528" t="str">
        <f t="shared" si="117"/>
        <v/>
      </c>
      <c r="BD114" s="528" t="str">
        <f t="shared" si="117"/>
        <v/>
      </c>
      <c r="BE114" s="528" t="str">
        <f t="shared" si="117"/>
        <v/>
      </c>
      <c r="BF114" s="528" t="str">
        <f t="shared" si="117"/>
        <v/>
      </c>
      <c r="BG114" s="528" t="str">
        <f t="shared" si="117"/>
        <v/>
      </c>
      <c r="BH114" s="528" t="str">
        <f t="shared" si="117"/>
        <v/>
      </c>
      <c r="BI114" s="528" t="str">
        <f t="shared" si="117"/>
        <v/>
      </c>
      <c r="BJ114" s="528" t="str">
        <f t="shared" si="117"/>
        <v/>
      </c>
      <c r="BK114" s="528" t="str">
        <f t="shared" si="117"/>
        <v/>
      </c>
      <c r="BL114" s="528" t="str">
        <f t="shared" si="117"/>
        <v/>
      </c>
      <c r="BM114" s="528" t="str">
        <f t="shared" si="117"/>
        <v/>
      </c>
    </row>
    <row r="115" spans="6:65" ht="15.75" customHeight="1" x14ac:dyDescent="0.25">
      <c r="F115" s="197"/>
      <c r="G115" s="197">
        <f t="shared" si="3"/>
        <v>0</v>
      </c>
      <c r="H115" s="197">
        <f t="shared" si="4"/>
        <v>213</v>
      </c>
      <c r="I115" s="523">
        <v>1</v>
      </c>
      <c r="J115" s="533">
        <f>'Monthly DCF'!$I$3</f>
        <v>46418</v>
      </c>
      <c r="K115" s="533">
        <f t="shared" si="5"/>
        <v>47026</v>
      </c>
      <c r="L115" s="536">
        <f t="shared" si="102"/>
        <v>21</v>
      </c>
      <c r="M115" s="20" t="s">
        <v>366</v>
      </c>
      <c r="N115" s="20">
        <f t="shared" si="6"/>
        <v>7</v>
      </c>
      <c r="O115" s="537">
        <v>3</v>
      </c>
      <c r="P115" s="528">
        <f t="shared" ref="P115:BM115" si="118">IFERROR(+IF(AND($M115="Flat",P$5&gt;=$J115,P$5&lt;=$K115),$I115/$L115,0)+IF(AND($M115="S-Curve",P$5&gt;=$J115,P$5&lt;=$K115),(_xlfn.NORM.DIST((YEAR(P$5)-YEAR($J115))*12+MONTH(P$5)-MONTH($J115)+1,$L115/2,$N115,TRUE)-_xlfn.NORM.DIST((YEAR(P$5)-YEAR($J115))*12+MONTH(P$5)-MONTH($J115),$L115/2,$N115,TRUE))/(1-2*_xlfn.NORM.DIST(0,$L115/2,$N115,TRUE))*$I115," "),"")</f>
        <v>2.373159295236384E-2</v>
      </c>
      <c r="Q115" s="528">
        <f t="shared" si="118"/>
        <v>2.8799425945388975E-2</v>
      </c>
      <c r="R115" s="528">
        <f t="shared" si="118"/>
        <v>3.4244644071264464E-2</v>
      </c>
      <c r="S115" s="528">
        <f t="shared" si="118"/>
        <v>3.9898206386160172E-2</v>
      </c>
      <c r="T115" s="528">
        <f t="shared" si="118"/>
        <v>4.5547650913274645E-2</v>
      </c>
      <c r="U115" s="528">
        <f t="shared" si="118"/>
        <v>5.0948393394894979E-2</v>
      </c>
      <c r="V115" s="528">
        <f t="shared" si="118"/>
        <v>5.5840192420107321E-2</v>
      </c>
      <c r="W115" s="528">
        <f t="shared" si="118"/>
        <v>5.9967400632038079E-2</v>
      </c>
      <c r="X115" s="528">
        <f t="shared" si="118"/>
        <v>6.3100884914516597E-2</v>
      </c>
      <c r="Y115" s="528">
        <f t="shared" si="118"/>
        <v>6.5059030090903192E-2</v>
      </c>
      <c r="Z115" s="528">
        <f t="shared" si="118"/>
        <v>6.5725156558175554E-2</v>
      </c>
      <c r="AA115" s="528">
        <f t="shared" si="118"/>
        <v>6.5059030090903192E-2</v>
      </c>
      <c r="AB115" s="528">
        <f t="shared" si="118"/>
        <v>6.3100884914516653E-2</v>
      </c>
      <c r="AC115" s="528">
        <f t="shared" si="118"/>
        <v>5.9967400632038016E-2</v>
      </c>
      <c r="AD115" s="528">
        <f t="shared" si="118"/>
        <v>5.5840192420107321E-2</v>
      </c>
      <c r="AE115" s="528">
        <f t="shared" si="118"/>
        <v>5.0948393394895007E-2</v>
      </c>
      <c r="AF115" s="528">
        <f t="shared" si="118"/>
        <v>4.5547650913274645E-2</v>
      </c>
      <c r="AG115" s="528">
        <f t="shared" si="118"/>
        <v>3.98982063861602E-2</v>
      </c>
      <c r="AH115" s="528">
        <f t="shared" si="118"/>
        <v>3.4244644071264443E-2</v>
      </c>
      <c r="AI115" s="528">
        <f t="shared" si="118"/>
        <v>2.8799425945388861E-2</v>
      </c>
      <c r="AJ115" s="528">
        <f t="shared" si="118"/>
        <v>2.3731592952363871E-2</v>
      </c>
      <c r="AK115" s="528" t="str">
        <f t="shared" si="118"/>
        <v/>
      </c>
      <c r="AL115" s="528" t="str">
        <f t="shared" si="118"/>
        <v/>
      </c>
      <c r="AM115" s="528" t="str">
        <f t="shared" si="118"/>
        <v/>
      </c>
      <c r="AN115" s="528" t="str">
        <f t="shared" si="118"/>
        <v/>
      </c>
      <c r="AO115" s="528" t="str">
        <f t="shared" si="118"/>
        <v/>
      </c>
      <c r="AP115" s="528" t="str">
        <f t="shared" si="118"/>
        <v/>
      </c>
      <c r="AQ115" s="528" t="str">
        <f t="shared" si="118"/>
        <v/>
      </c>
      <c r="AR115" s="528" t="str">
        <f t="shared" si="118"/>
        <v/>
      </c>
      <c r="AS115" s="528" t="str">
        <f t="shared" si="118"/>
        <v/>
      </c>
      <c r="AT115" s="528" t="str">
        <f t="shared" si="118"/>
        <v/>
      </c>
      <c r="AU115" s="528" t="str">
        <f t="shared" si="118"/>
        <v/>
      </c>
      <c r="AV115" s="528" t="str">
        <f t="shared" si="118"/>
        <v/>
      </c>
      <c r="AW115" s="528" t="str">
        <f t="shared" si="118"/>
        <v/>
      </c>
      <c r="AX115" s="528" t="str">
        <f t="shared" si="118"/>
        <v/>
      </c>
      <c r="AY115" s="528" t="str">
        <f t="shared" si="118"/>
        <v/>
      </c>
      <c r="AZ115" s="528" t="str">
        <f t="shared" si="118"/>
        <v/>
      </c>
      <c r="BA115" s="528" t="str">
        <f t="shared" si="118"/>
        <v/>
      </c>
      <c r="BB115" s="528" t="str">
        <f t="shared" si="118"/>
        <v/>
      </c>
      <c r="BC115" s="528" t="str">
        <f t="shared" si="118"/>
        <v/>
      </c>
      <c r="BD115" s="528" t="str">
        <f t="shared" si="118"/>
        <v/>
      </c>
      <c r="BE115" s="528" t="str">
        <f t="shared" si="118"/>
        <v/>
      </c>
      <c r="BF115" s="528" t="str">
        <f t="shared" si="118"/>
        <v/>
      </c>
      <c r="BG115" s="528" t="str">
        <f t="shared" si="118"/>
        <v/>
      </c>
      <c r="BH115" s="528" t="str">
        <f t="shared" si="118"/>
        <v/>
      </c>
      <c r="BI115" s="528" t="str">
        <f t="shared" si="118"/>
        <v/>
      </c>
      <c r="BJ115" s="528" t="str">
        <f t="shared" si="118"/>
        <v/>
      </c>
      <c r="BK115" s="528" t="str">
        <f t="shared" si="118"/>
        <v/>
      </c>
      <c r="BL115" s="528" t="str">
        <f t="shared" si="118"/>
        <v/>
      </c>
      <c r="BM115" s="528" t="str">
        <f t="shared" si="118"/>
        <v/>
      </c>
    </row>
    <row r="116" spans="6:65" ht="15.75" customHeight="1" x14ac:dyDescent="0.25">
      <c r="F116" s="197"/>
      <c r="G116" s="197">
        <f t="shared" si="3"/>
        <v>0</v>
      </c>
      <c r="H116" s="197">
        <f t="shared" si="4"/>
        <v>223</v>
      </c>
      <c r="I116" s="523">
        <v>1</v>
      </c>
      <c r="J116" s="533">
        <f>'Monthly DCF'!$I$3</f>
        <v>46418</v>
      </c>
      <c r="K116" s="533">
        <f t="shared" si="5"/>
        <v>47057</v>
      </c>
      <c r="L116" s="536">
        <f t="shared" si="102"/>
        <v>22</v>
      </c>
      <c r="M116" s="20" t="s">
        <v>366</v>
      </c>
      <c r="N116" s="20">
        <f t="shared" si="6"/>
        <v>7.333333333333333</v>
      </c>
      <c r="O116" s="537">
        <v>3</v>
      </c>
      <c r="P116" s="528">
        <f t="shared" ref="P116:BM116" si="119">IFERROR(+IF(AND($M116="Flat",P$5&gt;=$J116,P$5&lt;=$K116),$I116/$L116,0)+IF(AND($M116="S-Curve",P$5&gt;=$J116,P$5&lt;=$K116),(_xlfn.NORM.DIST((YEAR(P$5)-YEAR($J116))*12+MONTH(P$5)-MONTH($J116)+1,$L116/2,$N116,TRUE)-_xlfn.NORM.DIST((YEAR(P$5)-YEAR($J116))*12+MONTH(P$5)-MONTH($J116),$L116/2,$N116,TRUE))/(1-2*_xlfn.NORM.DIST(0,$L116/2,$N116,TRUE))*$I116," "),"")</f>
        <v>2.2546334447077938E-2</v>
      </c>
      <c r="Q116" s="528">
        <f t="shared" si="119"/>
        <v>2.714614675571243E-2</v>
      </c>
      <c r="R116" s="528">
        <f t="shared" si="119"/>
        <v>3.2083164883255556E-2</v>
      </c>
      <c r="S116" s="528">
        <f t="shared" si="119"/>
        <v>3.7220566657405134E-2</v>
      </c>
      <c r="T116" s="528">
        <f t="shared" si="119"/>
        <v>4.2386302025383057E-2</v>
      </c>
      <c r="U116" s="528">
        <f t="shared" si="119"/>
        <v>4.7381068393377072E-2</v>
      </c>
      <c r="V116" s="528">
        <f t="shared" si="119"/>
        <v>5.1990135132880928E-2</v>
      </c>
      <c r="W116" s="528">
        <f t="shared" si="119"/>
        <v>5.5998168260627569E-2</v>
      </c>
      <c r="X116" s="528">
        <f t="shared" si="119"/>
        <v>5.9205693947690402E-2</v>
      </c>
      <c r="Y116" s="528">
        <f t="shared" si="119"/>
        <v>6.1445475806302316E-2</v>
      </c>
      <c r="Z116" s="528">
        <f t="shared" si="119"/>
        <v>6.2596943690287621E-2</v>
      </c>
      <c r="AA116" s="528">
        <f t="shared" si="119"/>
        <v>6.2596943690287565E-2</v>
      </c>
      <c r="AB116" s="528">
        <f t="shared" si="119"/>
        <v>6.1445475806302378E-2</v>
      </c>
      <c r="AC116" s="528">
        <f t="shared" si="119"/>
        <v>5.9205693947690333E-2</v>
      </c>
      <c r="AD116" s="528">
        <f t="shared" si="119"/>
        <v>5.5998168260627701E-2</v>
      </c>
      <c r="AE116" s="528">
        <f t="shared" si="119"/>
        <v>5.1990135132880866E-2</v>
      </c>
      <c r="AF116" s="528">
        <f t="shared" si="119"/>
        <v>4.7381068393377072E-2</v>
      </c>
      <c r="AG116" s="528">
        <f t="shared" si="119"/>
        <v>4.2386302025383092E-2</v>
      </c>
      <c r="AH116" s="528">
        <f t="shared" si="119"/>
        <v>3.7220566657405071E-2</v>
      </c>
      <c r="AI116" s="528">
        <f t="shared" si="119"/>
        <v>3.2083164883255605E-2</v>
      </c>
      <c r="AJ116" s="528">
        <f t="shared" si="119"/>
        <v>2.7146146755712464E-2</v>
      </c>
      <c r="AK116" s="528">
        <f t="shared" si="119"/>
        <v>2.2546334447077859E-2</v>
      </c>
      <c r="AL116" s="528" t="str">
        <f t="shared" si="119"/>
        <v/>
      </c>
      <c r="AM116" s="528" t="str">
        <f t="shared" si="119"/>
        <v/>
      </c>
      <c r="AN116" s="528" t="str">
        <f t="shared" si="119"/>
        <v/>
      </c>
      <c r="AO116" s="528" t="str">
        <f t="shared" si="119"/>
        <v/>
      </c>
      <c r="AP116" s="528" t="str">
        <f t="shared" si="119"/>
        <v/>
      </c>
      <c r="AQ116" s="528" t="str">
        <f t="shared" si="119"/>
        <v/>
      </c>
      <c r="AR116" s="528" t="str">
        <f t="shared" si="119"/>
        <v/>
      </c>
      <c r="AS116" s="528" t="str">
        <f t="shared" si="119"/>
        <v/>
      </c>
      <c r="AT116" s="528" t="str">
        <f t="shared" si="119"/>
        <v/>
      </c>
      <c r="AU116" s="528" t="str">
        <f t="shared" si="119"/>
        <v/>
      </c>
      <c r="AV116" s="528" t="str">
        <f t="shared" si="119"/>
        <v/>
      </c>
      <c r="AW116" s="528" t="str">
        <f t="shared" si="119"/>
        <v/>
      </c>
      <c r="AX116" s="528" t="str">
        <f t="shared" si="119"/>
        <v/>
      </c>
      <c r="AY116" s="528" t="str">
        <f t="shared" si="119"/>
        <v/>
      </c>
      <c r="AZ116" s="528" t="str">
        <f t="shared" si="119"/>
        <v/>
      </c>
      <c r="BA116" s="528" t="str">
        <f t="shared" si="119"/>
        <v/>
      </c>
      <c r="BB116" s="528" t="str">
        <f t="shared" si="119"/>
        <v/>
      </c>
      <c r="BC116" s="528" t="str">
        <f t="shared" si="119"/>
        <v/>
      </c>
      <c r="BD116" s="528" t="str">
        <f t="shared" si="119"/>
        <v/>
      </c>
      <c r="BE116" s="528" t="str">
        <f t="shared" si="119"/>
        <v/>
      </c>
      <c r="BF116" s="528" t="str">
        <f t="shared" si="119"/>
        <v/>
      </c>
      <c r="BG116" s="528" t="str">
        <f t="shared" si="119"/>
        <v/>
      </c>
      <c r="BH116" s="528" t="str">
        <f t="shared" si="119"/>
        <v/>
      </c>
      <c r="BI116" s="528" t="str">
        <f t="shared" si="119"/>
        <v/>
      </c>
      <c r="BJ116" s="528" t="str">
        <f t="shared" si="119"/>
        <v/>
      </c>
      <c r="BK116" s="528" t="str">
        <f t="shared" si="119"/>
        <v/>
      </c>
      <c r="BL116" s="528" t="str">
        <f t="shared" si="119"/>
        <v/>
      </c>
      <c r="BM116" s="528" t="str">
        <f t="shared" si="119"/>
        <v/>
      </c>
    </row>
    <row r="117" spans="6:65" ht="15.75" customHeight="1" x14ac:dyDescent="0.25">
      <c r="F117" s="197"/>
      <c r="G117" s="197">
        <f t="shared" si="3"/>
        <v>0</v>
      </c>
      <c r="H117" s="197">
        <f t="shared" si="4"/>
        <v>233</v>
      </c>
      <c r="I117" s="523">
        <v>1</v>
      </c>
      <c r="J117" s="533">
        <f>'Monthly DCF'!$I$3</f>
        <v>46418</v>
      </c>
      <c r="K117" s="533">
        <f t="shared" si="5"/>
        <v>47087</v>
      </c>
      <c r="L117" s="536">
        <f t="shared" si="102"/>
        <v>23</v>
      </c>
      <c r="M117" s="20" t="s">
        <v>366</v>
      </c>
      <c r="N117" s="20">
        <f t="shared" si="6"/>
        <v>7.666666666666667</v>
      </c>
      <c r="O117" s="537">
        <v>3</v>
      </c>
      <c r="P117" s="528">
        <f t="shared" ref="P117:BM117" si="120">IFERROR(+IF(AND($M117="Flat",P$5&gt;=$J117,P$5&lt;=$K117),$I117/$L117,0)+IF(AND($M117="S-Curve",P$5&gt;=$J117,P$5&lt;=$K117),(_xlfn.NORM.DIST((YEAR(P$5)-YEAR($J117))*12+MONTH(P$5)-MONTH($J117)+1,$L117/2,$N117,TRUE)-_xlfn.NORM.DIST((YEAR(P$5)-YEAR($J117))*12+MONTH(P$5)-MONTH($J117),$L117/2,$N117,TRUE))/(1-2*_xlfn.NORM.DIST(0,$L117/2,$N117,TRUE))*$I117," "),"")</f>
        <v>2.1473268435410815E-2</v>
      </c>
      <c r="Q117" s="528">
        <f t="shared" si="120"/>
        <v>2.566670903356379E-2</v>
      </c>
      <c r="R117" s="528">
        <f t="shared" si="120"/>
        <v>3.0162263030442234E-2</v>
      </c>
      <c r="S117" s="528">
        <f t="shared" si="120"/>
        <v>3.4848120740718226E-2</v>
      </c>
      <c r="T117" s="528">
        <f t="shared" si="120"/>
        <v>3.9583711222100811E-2</v>
      </c>
      <c r="U117" s="528">
        <f t="shared" si="120"/>
        <v>4.4205404162360143E-2</v>
      </c>
      <c r="V117" s="528">
        <f t="shared" si="120"/>
        <v>4.8535100442027766E-2</v>
      </c>
      <c r="W117" s="528">
        <f t="shared" si="120"/>
        <v>5.2391183923164178E-2</v>
      </c>
      <c r="X117" s="528">
        <f t="shared" si="120"/>
        <v>5.5600949321573591E-2</v>
      </c>
      <c r="Y117" s="528">
        <f t="shared" si="120"/>
        <v>5.8013346172808428E-2</v>
      </c>
      <c r="Z117" s="528">
        <f t="shared" si="120"/>
        <v>5.9510738720563311E-2</v>
      </c>
      <c r="AA117" s="528">
        <f t="shared" si="120"/>
        <v>6.0018409590533492E-2</v>
      </c>
      <c r="AB117" s="528">
        <f t="shared" si="120"/>
        <v>5.9510738720563311E-2</v>
      </c>
      <c r="AC117" s="528">
        <f t="shared" si="120"/>
        <v>5.8013346172808428E-2</v>
      </c>
      <c r="AD117" s="528">
        <f t="shared" si="120"/>
        <v>5.5600949321573591E-2</v>
      </c>
      <c r="AE117" s="528">
        <f t="shared" si="120"/>
        <v>5.2391183923164178E-2</v>
      </c>
      <c r="AF117" s="528">
        <f t="shared" si="120"/>
        <v>4.8535100442027732E-2</v>
      </c>
      <c r="AG117" s="528">
        <f t="shared" si="120"/>
        <v>4.4205404162360143E-2</v>
      </c>
      <c r="AH117" s="528">
        <f t="shared" si="120"/>
        <v>3.9583711222100811E-2</v>
      </c>
      <c r="AI117" s="528">
        <f t="shared" si="120"/>
        <v>3.4848120740718198E-2</v>
      </c>
      <c r="AJ117" s="528">
        <f t="shared" si="120"/>
        <v>3.0162263030442327E-2</v>
      </c>
      <c r="AK117" s="528">
        <f t="shared" si="120"/>
        <v>2.566670903356379E-2</v>
      </c>
      <c r="AL117" s="528">
        <f t="shared" si="120"/>
        <v>2.1473268435410749E-2</v>
      </c>
      <c r="AM117" s="528" t="str">
        <f t="shared" si="120"/>
        <v/>
      </c>
      <c r="AN117" s="528" t="str">
        <f t="shared" si="120"/>
        <v/>
      </c>
      <c r="AO117" s="528" t="str">
        <f t="shared" si="120"/>
        <v/>
      </c>
      <c r="AP117" s="528" t="str">
        <f t="shared" si="120"/>
        <v/>
      </c>
      <c r="AQ117" s="528" t="str">
        <f t="shared" si="120"/>
        <v/>
      </c>
      <c r="AR117" s="528" t="str">
        <f t="shared" si="120"/>
        <v/>
      </c>
      <c r="AS117" s="528" t="str">
        <f t="shared" si="120"/>
        <v/>
      </c>
      <c r="AT117" s="528" t="str">
        <f t="shared" si="120"/>
        <v/>
      </c>
      <c r="AU117" s="528" t="str">
        <f t="shared" si="120"/>
        <v/>
      </c>
      <c r="AV117" s="528" t="str">
        <f t="shared" si="120"/>
        <v/>
      </c>
      <c r="AW117" s="528" t="str">
        <f t="shared" si="120"/>
        <v/>
      </c>
      <c r="AX117" s="528" t="str">
        <f t="shared" si="120"/>
        <v/>
      </c>
      <c r="AY117" s="528" t="str">
        <f t="shared" si="120"/>
        <v/>
      </c>
      <c r="AZ117" s="528" t="str">
        <f t="shared" si="120"/>
        <v/>
      </c>
      <c r="BA117" s="528" t="str">
        <f t="shared" si="120"/>
        <v/>
      </c>
      <c r="BB117" s="528" t="str">
        <f t="shared" si="120"/>
        <v/>
      </c>
      <c r="BC117" s="528" t="str">
        <f t="shared" si="120"/>
        <v/>
      </c>
      <c r="BD117" s="528" t="str">
        <f t="shared" si="120"/>
        <v/>
      </c>
      <c r="BE117" s="528" t="str">
        <f t="shared" si="120"/>
        <v/>
      </c>
      <c r="BF117" s="528" t="str">
        <f t="shared" si="120"/>
        <v/>
      </c>
      <c r="BG117" s="528" t="str">
        <f t="shared" si="120"/>
        <v/>
      </c>
      <c r="BH117" s="528" t="str">
        <f t="shared" si="120"/>
        <v/>
      </c>
      <c r="BI117" s="528" t="str">
        <f t="shared" si="120"/>
        <v/>
      </c>
      <c r="BJ117" s="528" t="str">
        <f t="shared" si="120"/>
        <v/>
      </c>
      <c r="BK117" s="528" t="str">
        <f t="shared" si="120"/>
        <v/>
      </c>
      <c r="BL117" s="528" t="str">
        <f t="shared" si="120"/>
        <v/>
      </c>
      <c r="BM117" s="528" t="str">
        <f t="shared" si="120"/>
        <v/>
      </c>
    </row>
    <row r="118" spans="6:65" ht="15.75" customHeight="1" x14ac:dyDescent="0.25">
      <c r="F118" s="197"/>
      <c r="G118" s="197">
        <f t="shared" si="3"/>
        <v>0</v>
      </c>
      <c r="H118" s="197">
        <f t="shared" si="4"/>
        <v>243</v>
      </c>
      <c r="I118" s="523">
        <v>1</v>
      </c>
      <c r="J118" s="533">
        <f>'Monthly DCF'!$I$3</f>
        <v>46418</v>
      </c>
      <c r="K118" s="533">
        <f t="shared" si="5"/>
        <v>47118</v>
      </c>
      <c r="L118" s="536">
        <f t="shared" si="102"/>
        <v>24</v>
      </c>
      <c r="M118" s="20" t="s">
        <v>366</v>
      </c>
      <c r="N118" s="20">
        <f t="shared" si="6"/>
        <v>8</v>
      </c>
      <c r="O118" s="537">
        <v>3</v>
      </c>
      <c r="P118" s="528">
        <f t="shared" ref="P118:BM118" si="121">IFERROR(+IF(AND($M118="Flat",P$5&gt;=$J118,P$5&lt;=$K118),$I118/$L118,0)+IF(AND($M118="S-Curve",P$5&gt;=$J118,P$5&lt;=$K118),(_xlfn.NORM.DIST((YEAR(P$5)-YEAR($J118))*12+MONTH(P$5)-MONTH($J118)+1,$L118/2,$N118,TRUE)-_xlfn.NORM.DIST((YEAR(P$5)-YEAR($J118))*12+MONTH(P$5)-MONTH($J118),$L118/2,$N118,TRUE))/(1-2*_xlfn.NORM.DIST(0,$L118/2,$N118,TRUE))*$I118," "),"")</f>
        <v>2.0497248724463835E-2</v>
      </c>
      <c r="Q118" s="528">
        <f t="shared" si="121"/>
        <v>2.4335643825655135E-2</v>
      </c>
      <c r="R118" s="528">
        <f t="shared" si="121"/>
        <v>2.844546763258771E-2</v>
      </c>
      <c r="S118" s="528">
        <f t="shared" si="121"/>
        <v>3.2734543230772947E-2</v>
      </c>
      <c r="T118" s="528">
        <f t="shared" si="121"/>
        <v>3.7087064945643233E-2</v>
      </c>
      <c r="U118" s="528">
        <f t="shared" si="121"/>
        <v>4.1367723135445837E-2</v>
      </c>
      <c r="V118" s="528">
        <f t="shared" si="121"/>
        <v>4.5428013562454968E-2</v>
      </c>
      <c r="W118" s="528">
        <f t="shared" si="121"/>
        <v>4.9114401026430735E-2</v>
      </c>
      <c r="X118" s="528">
        <f t="shared" si="121"/>
        <v>5.2277755694410628E-2</v>
      </c>
      <c r="Y118" s="528">
        <f t="shared" si="121"/>
        <v>5.4783275632495E-2</v>
      </c>
      <c r="Z118" s="528">
        <f t="shared" si="121"/>
        <v>5.6519984861524084E-2</v>
      </c>
      <c r="AA118" s="528">
        <f t="shared" si="121"/>
        <v>5.7408877728115933E-2</v>
      </c>
      <c r="AB118" s="528">
        <f t="shared" si="121"/>
        <v>5.7408877728115933E-2</v>
      </c>
      <c r="AC118" s="528">
        <f t="shared" si="121"/>
        <v>5.6519984861524084E-2</v>
      </c>
      <c r="AD118" s="528">
        <f t="shared" si="121"/>
        <v>5.4783275632495E-2</v>
      </c>
      <c r="AE118" s="528">
        <f t="shared" si="121"/>
        <v>5.2277755694410628E-2</v>
      </c>
      <c r="AF118" s="528">
        <f t="shared" si="121"/>
        <v>4.9114401026430665E-2</v>
      </c>
      <c r="AG118" s="528">
        <f t="shared" si="121"/>
        <v>4.5428013562454968E-2</v>
      </c>
      <c r="AH118" s="528">
        <f t="shared" si="121"/>
        <v>4.1367723135445962E-2</v>
      </c>
      <c r="AI118" s="528">
        <f t="shared" si="121"/>
        <v>3.7087064945643199E-2</v>
      </c>
      <c r="AJ118" s="528">
        <f t="shared" si="121"/>
        <v>3.2734543230772885E-2</v>
      </c>
      <c r="AK118" s="528">
        <f t="shared" si="121"/>
        <v>2.8445467632587759E-2</v>
      </c>
      <c r="AL118" s="528">
        <f t="shared" si="121"/>
        <v>2.433564382565518E-2</v>
      </c>
      <c r="AM118" s="528">
        <f t="shared" si="121"/>
        <v>2.0497248724463738E-2</v>
      </c>
      <c r="AN118" s="528" t="str">
        <f t="shared" si="121"/>
        <v/>
      </c>
      <c r="AO118" s="528" t="str">
        <f t="shared" si="121"/>
        <v/>
      </c>
      <c r="AP118" s="528" t="str">
        <f t="shared" si="121"/>
        <v/>
      </c>
      <c r="AQ118" s="528" t="str">
        <f t="shared" si="121"/>
        <v/>
      </c>
      <c r="AR118" s="528" t="str">
        <f t="shared" si="121"/>
        <v/>
      </c>
      <c r="AS118" s="528" t="str">
        <f t="shared" si="121"/>
        <v/>
      </c>
      <c r="AT118" s="528" t="str">
        <f t="shared" si="121"/>
        <v/>
      </c>
      <c r="AU118" s="528" t="str">
        <f t="shared" si="121"/>
        <v/>
      </c>
      <c r="AV118" s="528" t="str">
        <f t="shared" si="121"/>
        <v/>
      </c>
      <c r="AW118" s="528" t="str">
        <f t="shared" si="121"/>
        <v/>
      </c>
      <c r="AX118" s="528" t="str">
        <f t="shared" si="121"/>
        <v/>
      </c>
      <c r="AY118" s="528" t="str">
        <f t="shared" si="121"/>
        <v/>
      </c>
      <c r="AZ118" s="528" t="str">
        <f t="shared" si="121"/>
        <v/>
      </c>
      <c r="BA118" s="528" t="str">
        <f t="shared" si="121"/>
        <v/>
      </c>
      <c r="BB118" s="528" t="str">
        <f t="shared" si="121"/>
        <v/>
      </c>
      <c r="BC118" s="528" t="str">
        <f t="shared" si="121"/>
        <v/>
      </c>
      <c r="BD118" s="528" t="str">
        <f t="shared" si="121"/>
        <v/>
      </c>
      <c r="BE118" s="528" t="str">
        <f t="shared" si="121"/>
        <v/>
      </c>
      <c r="BF118" s="528" t="str">
        <f t="shared" si="121"/>
        <v/>
      </c>
      <c r="BG118" s="528" t="str">
        <f t="shared" si="121"/>
        <v/>
      </c>
      <c r="BH118" s="528" t="str">
        <f t="shared" si="121"/>
        <v/>
      </c>
      <c r="BI118" s="528" t="str">
        <f t="shared" si="121"/>
        <v/>
      </c>
      <c r="BJ118" s="528" t="str">
        <f t="shared" si="121"/>
        <v/>
      </c>
      <c r="BK118" s="528" t="str">
        <f t="shared" si="121"/>
        <v/>
      </c>
      <c r="BL118" s="528" t="str">
        <f t="shared" si="121"/>
        <v/>
      </c>
      <c r="BM118" s="528" t="str">
        <f t="shared" si="121"/>
        <v/>
      </c>
    </row>
    <row r="119" spans="6:65" ht="15.75" customHeight="1" x14ac:dyDescent="0.25">
      <c r="F119" s="197"/>
      <c r="G119" s="197">
        <f t="shared" si="3"/>
        <v>0</v>
      </c>
      <c r="H119" s="197">
        <f t="shared" si="4"/>
        <v>253</v>
      </c>
      <c r="I119" s="523">
        <v>1</v>
      </c>
      <c r="J119" s="533">
        <f>'Monthly DCF'!$I$3</f>
        <v>46418</v>
      </c>
      <c r="K119" s="533">
        <f t="shared" si="5"/>
        <v>47149</v>
      </c>
      <c r="L119" s="536">
        <f t="shared" si="102"/>
        <v>25</v>
      </c>
      <c r="M119" s="20" t="s">
        <v>366</v>
      </c>
      <c r="N119" s="20">
        <f t="shared" si="6"/>
        <v>8.3333333333333339</v>
      </c>
      <c r="O119" s="537">
        <v>3</v>
      </c>
      <c r="P119" s="528">
        <f t="shared" ref="P119:BM119" si="122">IFERROR(+IF(AND($M119="Flat",P$5&gt;=$J119,P$5&lt;=$K119),$I119/$L119,0)+IF(AND($M119="S-Curve",P$5&gt;=$J119,P$5&lt;=$K119),(_xlfn.NORM.DIST((YEAR(P$5)-YEAR($J119))*12+MONTH(P$5)-MONTH($J119)+1,$L119/2,$N119,TRUE)-_xlfn.NORM.DIST((YEAR(P$5)-YEAR($J119))*12+MONTH(P$5)-MONTH($J119),$L119/2,$N119,TRUE))/(1-2*_xlfn.NORM.DIST(0,$L119/2,$N119,TRUE))*$I119," "),"")</f>
        <v>1.9605728899360724E-2</v>
      </c>
      <c r="Q119" s="528">
        <f t="shared" si="122"/>
        <v>2.3132146661935436E-2</v>
      </c>
      <c r="R119" s="528">
        <f t="shared" si="122"/>
        <v>2.6903112782311167E-2</v>
      </c>
      <c r="S119" s="528">
        <f t="shared" si="122"/>
        <v>3.0842017559161748E-2</v>
      </c>
      <c r="T119" s="528">
        <f t="shared" si="122"/>
        <v>3.485272038509294E-2</v>
      </c>
      <c r="U119" s="528">
        <f t="shared" si="122"/>
        <v>3.8822566230895722E-2</v>
      </c>
      <c r="V119" s="528">
        <f t="shared" si="122"/>
        <v>4.2627067201692133E-2</v>
      </c>
      <c r="W119" s="528">
        <f t="shared" si="122"/>
        <v>4.613604111315104E-2</v>
      </c>
      <c r="X119" s="528">
        <f t="shared" si="122"/>
        <v>4.922082125725543E-2</v>
      </c>
      <c r="Y119" s="528">
        <f t="shared" si="122"/>
        <v>5.1761999615592719E-2</v>
      </c>
      <c r="Z119" s="528">
        <f t="shared" si="122"/>
        <v>5.3657062656879716E-2</v>
      </c>
      <c r="AA119" s="528">
        <f t="shared" si="122"/>
        <v>5.4827242495639222E-2</v>
      </c>
      <c r="AB119" s="528">
        <f t="shared" si="122"/>
        <v>5.5222946282064062E-2</v>
      </c>
      <c r="AC119" s="528">
        <f t="shared" si="122"/>
        <v>5.4827242495639285E-2</v>
      </c>
      <c r="AD119" s="528">
        <f t="shared" si="122"/>
        <v>5.3657062656879653E-2</v>
      </c>
      <c r="AE119" s="528">
        <f t="shared" si="122"/>
        <v>5.1761999615592719E-2</v>
      </c>
      <c r="AF119" s="528">
        <f t="shared" si="122"/>
        <v>4.922082125725543E-2</v>
      </c>
      <c r="AG119" s="528">
        <f t="shared" si="122"/>
        <v>4.613604111315104E-2</v>
      </c>
      <c r="AH119" s="528">
        <f t="shared" si="122"/>
        <v>4.2627067201692133E-2</v>
      </c>
      <c r="AI119" s="528">
        <f t="shared" si="122"/>
        <v>3.8822566230895687E-2</v>
      </c>
      <c r="AJ119" s="528">
        <f t="shared" si="122"/>
        <v>3.4852720385092913E-2</v>
      </c>
      <c r="AK119" s="528">
        <f t="shared" si="122"/>
        <v>3.084201755916181E-2</v>
      </c>
      <c r="AL119" s="528">
        <f t="shared" si="122"/>
        <v>2.6903112782311198E-2</v>
      </c>
      <c r="AM119" s="528">
        <f t="shared" si="122"/>
        <v>2.3132146661935422E-2</v>
      </c>
      <c r="AN119" s="528">
        <f t="shared" si="122"/>
        <v>1.9605728899360676E-2</v>
      </c>
      <c r="AO119" s="528" t="str">
        <f t="shared" si="122"/>
        <v/>
      </c>
      <c r="AP119" s="528" t="str">
        <f t="shared" si="122"/>
        <v/>
      </c>
      <c r="AQ119" s="528" t="str">
        <f t="shared" si="122"/>
        <v/>
      </c>
      <c r="AR119" s="528" t="str">
        <f t="shared" si="122"/>
        <v/>
      </c>
      <c r="AS119" s="528" t="str">
        <f t="shared" si="122"/>
        <v/>
      </c>
      <c r="AT119" s="528" t="str">
        <f t="shared" si="122"/>
        <v/>
      </c>
      <c r="AU119" s="528" t="str">
        <f t="shared" si="122"/>
        <v/>
      </c>
      <c r="AV119" s="528" t="str">
        <f t="shared" si="122"/>
        <v/>
      </c>
      <c r="AW119" s="528" t="str">
        <f t="shared" si="122"/>
        <v/>
      </c>
      <c r="AX119" s="528" t="str">
        <f t="shared" si="122"/>
        <v/>
      </c>
      <c r="AY119" s="528" t="str">
        <f t="shared" si="122"/>
        <v/>
      </c>
      <c r="AZ119" s="528" t="str">
        <f t="shared" si="122"/>
        <v/>
      </c>
      <c r="BA119" s="528" t="str">
        <f t="shared" si="122"/>
        <v/>
      </c>
      <c r="BB119" s="528" t="str">
        <f t="shared" si="122"/>
        <v/>
      </c>
      <c r="BC119" s="528" t="str">
        <f t="shared" si="122"/>
        <v/>
      </c>
      <c r="BD119" s="528" t="str">
        <f t="shared" si="122"/>
        <v/>
      </c>
      <c r="BE119" s="528" t="str">
        <f t="shared" si="122"/>
        <v/>
      </c>
      <c r="BF119" s="528" t="str">
        <f t="shared" si="122"/>
        <v/>
      </c>
      <c r="BG119" s="528" t="str">
        <f t="shared" si="122"/>
        <v/>
      </c>
      <c r="BH119" s="528" t="str">
        <f t="shared" si="122"/>
        <v/>
      </c>
      <c r="BI119" s="528" t="str">
        <f t="shared" si="122"/>
        <v/>
      </c>
      <c r="BJ119" s="528" t="str">
        <f t="shared" si="122"/>
        <v/>
      </c>
      <c r="BK119" s="528" t="str">
        <f t="shared" si="122"/>
        <v/>
      </c>
      <c r="BL119" s="528" t="str">
        <f t="shared" si="122"/>
        <v/>
      </c>
      <c r="BM119" s="528" t="str">
        <f t="shared" si="122"/>
        <v/>
      </c>
    </row>
    <row r="120" spans="6:65" ht="15.75" customHeight="1" x14ac:dyDescent="0.25">
      <c r="F120" s="197"/>
      <c r="G120" s="197">
        <f t="shared" si="3"/>
        <v>0</v>
      </c>
      <c r="H120" s="197">
        <f t="shared" si="4"/>
        <v>263</v>
      </c>
      <c r="I120" s="523">
        <v>1</v>
      </c>
      <c r="J120" s="533">
        <f>'Monthly DCF'!$I$3</f>
        <v>46418</v>
      </c>
      <c r="K120" s="533">
        <f t="shared" si="5"/>
        <v>47177</v>
      </c>
      <c r="L120" s="536">
        <f t="shared" si="102"/>
        <v>26</v>
      </c>
      <c r="M120" s="20" t="s">
        <v>366</v>
      </c>
      <c r="N120" s="20">
        <f t="shared" si="6"/>
        <v>8.6666666666666661</v>
      </c>
      <c r="O120" s="537">
        <v>3</v>
      </c>
      <c r="P120" s="528">
        <f t="shared" ref="P120:BM120" si="123">IFERROR(+IF(AND($M120="Flat",P$5&gt;=$J120,P$5&lt;=$K120),$I120/$L120,0)+IF(AND($M120="S-Curve",P$5&gt;=$J120,P$5&lt;=$K120),(_xlfn.NORM.DIST((YEAR(P$5)-YEAR($J120))*12+MONTH(P$5)-MONTH($J120)+1,$L120/2,$N120,TRUE)-_xlfn.NORM.DIST((YEAR(P$5)-YEAR($J120))*12+MONTH(P$5)-MONTH($J120),$L120/2,$N120,TRUE))/(1-2*_xlfn.NORM.DIST(0,$L120/2,$N120,TRUE))*$I120," "),"")</f>
        <v>1.8788229075205234E-2</v>
      </c>
      <c r="Q120" s="528">
        <f t="shared" si="123"/>
        <v>2.2039069752997419E-2</v>
      </c>
      <c r="R120" s="528">
        <f t="shared" si="123"/>
        <v>2.551085707845183E-2</v>
      </c>
      <c r="S120" s="528">
        <f t="shared" si="123"/>
        <v>2.9139441166885688E-2</v>
      </c>
      <c r="T120" s="528">
        <f t="shared" si="123"/>
        <v>3.284443289054547E-2</v>
      </c>
      <c r="U120" s="528">
        <f t="shared" si="123"/>
        <v>3.6531432062164644E-2</v>
      </c>
      <c r="V120" s="528">
        <f t="shared" si="123"/>
        <v>4.0095534638165481E-2</v>
      </c>
      <c r="W120" s="528">
        <f t="shared" si="123"/>
        <v>4.3425987488635596E-2</v>
      </c>
      <c r="X120" s="528">
        <f t="shared" si="123"/>
        <v>4.6411732482281254E-2</v>
      </c>
      <c r="Y120" s="528">
        <f t="shared" si="123"/>
        <v>4.8947469172644718E-2</v>
      </c>
      <c r="Z120" s="528">
        <f t="shared" si="123"/>
        <v>5.0939782589469212E-2</v>
      </c>
      <c r="AA120" s="528">
        <f t="shared" si="123"/>
        <v>5.2312842318456336E-2</v>
      </c>
      <c r="AB120" s="528">
        <f t="shared" si="123"/>
        <v>5.3013189284097151E-2</v>
      </c>
      <c r="AC120" s="528">
        <f t="shared" si="123"/>
        <v>5.301318928409722E-2</v>
      </c>
      <c r="AD120" s="528">
        <f t="shared" si="123"/>
        <v>5.2312842318456274E-2</v>
      </c>
      <c r="AE120" s="528">
        <f t="shared" si="123"/>
        <v>5.0939782589469143E-2</v>
      </c>
      <c r="AF120" s="528">
        <f t="shared" si="123"/>
        <v>4.8947469172644788E-2</v>
      </c>
      <c r="AG120" s="528">
        <f t="shared" si="123"/>
        <v>4.6411732482281254E-2</v>
      </c>
      <c r="AH120" s="528">
        <f t="shared" si="123"/>
        <v>4.3425987488635596E-2</v>
      </c>
      <c r="AI120" s="528">
        <f t="shared" si="123"/>
        <v>4.0095534638165418E-2</v>
      </c>
      <c r="AJ120" s="528">
        <f t="shared" si="123"/>
        <v>3.6531432062164644E-2</v>
      </c>
      <c r="AK120" s="528">
        <f t="shared" si="123"/>
        <v>3.2844432890545505E-2</v>
      </c>
      <c r="AL120" s="528">
        <f t="shared" si="123"/>
        <v>2.913944116688575E-2</v>
      </c>
      <c r="AM120" s="528">
        <f t="shared" si="123"/>
        <v>2.5510857078451812E-2</v>
      </c>
      <c r="AN120" s="528">
        <f t="shared" si="123"/>
        <v>2.2039069752997353E-2</v>
      </c>
      <c r="AO120" s="528">
        <f t="shared" si="123"/>
        <v>1.8788229075205248E-2</v>
      </c>
      <c r="AP120" s="528" t="str">
        <f t="shared" si="123"/>
        <v/>
      </c>
      <c r="AQ120" s="528" t="str">
        <f t="shared" si="123"/>
        <v/>
      </c>
      <c r="AR120" s="528" t="str">
        <f t="shared" si="123"/>
        <v/>
      </c>
      <c r="AS120" s="528" t="str">
        <f t="shared" si="123"/>
        <v/>
      </c>
      <c r="AT120" s="528" t="str">
        <f t="shared" si="123"/>
        <v/>
      </c>
      <c r="AU120" s="528" t="str">
        <f t="shared" si="123"/>
        <v/>
      </c>
      <c r="AV120" s="528" t="str">
        <f t="shared" si="123"/>
        <v/>
      </c>
      <c r="AW120" s="528" t="str">
        <f t="shared" si="123"/>
        <v/>
      </c>
      <c r="AX120" s="528" t="str">
        <f t="shared" si="123"/>
        <v/>
      </c>
      <c r="AY120" s="528" t="str">
        <f t="shared" si="123"/>
        <v/>
      </c>
      <c r="AZ120" s="528" t="str">
        <f t="shared" si="123"/>
        <v/>
      </c>
      <c r="BA120" s="528" t="str">
        <f t="shared" si="123"/>
        <v/>
      </c>
      <c r="BB120" s="528" t="str">
        <f t="shared" si="123"/>
        <v/>
      </c>
      <c r="BC120" s="528" t="str">
        <f t="shared" si="123"/>
        <v/>
      </c>
      <c r="BD120" s="528" t="str">
        <f t="shared" si="123"/>
        <v/>
      </c>
      <c r="BE120" s="528" t="str">
        <f t="shared" si="123"/>
        <v/>
      </c>
      <c r="BF120" s="528" t="str">
        <f t="shared" si="123"/>
        <v/>
      </c>
      <c r="BG120" s="528" t="str">
        <f t="shared" si="123"/>
        <v/>
      </c>
      <c r="BH120" s="528" t="str">
        <f t="shared" si="123"/>
        <v/>
      </c>
      <c r="BI120" s="528" t="str">
        <f t="shared" si="123"/>
        <v/>
      </c>
      <c r="BJ120" s="528" t="str">
        <f t="shared" si="123"/>
        <v/>
      </c>
      <c r="BK120" s="528" t="str">
        <f t="shared" si="123"/>
        <v/>
      </c>
      <c r="BL120" s="528" t="str">
        <f t="shared" si="123"/>
        <v/>
      </c>
      <c r="BM120" s="528" t="str">
        <f t="shared" si="123"/>
        <v/>
      </c>
    </row>
    <row r="121" spans="6:65" ht="15.75" customHeight="1" x14ac:dyDescent="0.25">
      <c r="F121" s="197"/>
      <c r="G121" s="197">
        <f t="shared" si="3"/>
        <v>0</v>
      </c>
      <c r="H121" s="197">
        <f t="shared" si="4"/>
        <v>273</v>
      </c>
      <c r="I121" s="523">
        <v>1</v>
      </c>
      <c r="J121" s="533">
        <f>'Monthly DCF'!$I$3</f>
        <v>46418</v>
      </c>
      <c r="K121" s="533">
        <f t="shared" si="5"/>
        <v>47208</v>
      </c>
      <c r="L121" s="536">
        <f t="shared" si="102"/>
        <v>27</v>
      </c>
      <c r="M121" s="20" t="s">
        <v>366</v>
      </c>
      <c r="N121" s="20">
        <f t="shared" si="6"/>
        <v>9</v>
      </c>
      <c r="O121" s="537">
        <v>3</v>
      </c>
      <c r="P121" s="528">
        <f t="shared" ref="P121:BM121" si="124">IFERROR(+IF(AND($M121="Flat",P$5&gt;=$J121,P$5&lt;=$K121),$I121/$L121,0)+IF(AND($M121="S-Curve",P$5&gt;=$J121,P$5&lt;=$K121),(_xlfn.NORM.DIST((YEAR(P$5)-YEAR($J121))*12+MONTH(P$5)-MONTH($J121)+1,$L121/2,$N121,TRUE)-_xlfn.NORM.DIST((YEAR(P$5)-YEAR($J121))*12+MONTH(P$5)-MONTH($J121),$L121/2,$N121,TRUE))/(1-2*_xlfn.NORM.DIST(0,$L121/2,$N121,TRUE))*$I121," "),"")</f>
        <v>1.8035928402857282E-2</v>
      </c>
      <c r="Q121" s="528">
        <f t="shared" si="124"/>
        <v>2.104216202455949E-2</v>
      </c>
      <c r="R121" s="528">
        <f t="shared" si="124"/>
        <v>2.4248566278590664E-2</v>
      </c>
      <c r="S121" s="528">
        <f t="shared" si="124"/>
        <v>2.760105098505377E-2</v>
      </c>
      <c r="T121" s="528">
        <f t="shared" si="124"/>
        <v>3.1031946826452921E-2</v>
      </c>
      <c r="U121" s="528">
        <f t="shared" si="124"/>
        <v>3.4461666533687429E-2</v>
      </c>
      <c r="V121" s="528">
        <f t="shared" si="124"/>
        <v>3.7801356071847113E-2</v>
      </c>
      <c r="W121" s="528">
        <f t="shared" si="124"/>
        <v>4.0956452774532671E-2</v>
      </c>
      <c r="X121" s="528">
        <f t="shared" si="124"/>
        <v>4.3830976185873054E-2</v>
      </c>
      <c r="Y121" s="528">
        <f t="shared" si="124"/>
        <v>4.6332293992800935E-2</v>
      </c>
      <c r="Z121" s="528">
        <f t="shared" si="124"/>
        <v>4.8376040203809631E-2</v>
      </c>
      <c r="AA121" s="528">
        <f t="shared" si="124"/>
        <v>4.9890824688372151E-2</v>
      </c>
      <c r="AB121" s="528">
        <f t="shared" si="124"/>
        <v>5.0822368698295796E-2</v>
      </c>
      <c r="AC121" s="528">
        <f t="shared" si="124"/>
        <v>5.1136732666534256E-2</v>
      </c>
      <c r="AD121" s="528">
        <f t="shared" si="124"/>
        <v>5.0822368698295796E-2</v>
      </c>
      <c r="AE121" s="528">
        <f t="shared" si="124"/>
        <v>4.9890824688372151E-2</v>
      </c>
      <c r="AF121" s="528">
        <f t="shared" si="124"/>
        <v>4.8376040203809631E-2</v>
      </c>
      <c r="AG121" s="528">
        <f t="shared" si="124"/>
        <v>4.6332293992800935E-2</v>
      </c>
      <c r="AH121" s="528">
        <f t="shared" si="124"/>
        <v>4.3830976185873054E-2</v>
      </c>
      <c r="AI121" s="528">
        <f t="shared" si="124"/>
        <v>4.0956452774532644E-2</v>
      </c>
      <c r="AJ121" s="528">
        <f t="shared" si="124"/>
        <v>3.7801356071847148E-2</v>
      </c>
      <c r="AK121" s="528">
        <f t="shared" si="124"/>
        <v>3.4461666533687457E-2</v>
      </c>
      <c r="AL121" s="528">
        <f t="shared" si="124"/>
        <v>3.1031946826452952E-2</v>
      </c>
      <c r="AM121" s="528">
        <f t="shared" si="124"/>
        <v>2.7601050985053673E-2</v>
      </c>
      <c r="AN121" s="528">
        <f t="shared" si="124"/>
        <v>2.4248566278590664E-2</v>
      </c>
      <c r="AO121" s="528">
        <f t="shared" si="124"/>
        <v>2.1042162024559569E-2</v>
      </c>
      <c r="AP121" s="528">
        <f t="shared" si="124"/>
        <v>1.8035928402857202E-2</v>
      </c>
      <c r="AQ121" s="528" t="str">
        <f t="shared" si="124"/>
        <v/>
      </c>
      <c r="AR121" s="528" t="str">
        <f t="shared" si="124"/>
        <v/>
      </c>
      <c r="AS121" s="528" t="str">
        <f t="shared" si="124"/>
        <v/>
      </c>
      <c r="AT121" s="528" t="str">
        <f t="shared" si="124"/>
        <v/>
      </c>
      <c r="AU121" s="528" t="str">
        <f t="shared" si="124"/>
        <v/>
      </c>
      <c r="AV121" s="528" t="str">
        <f t="shared" si="124"/>
        <v/>
      </c>
      <c r="AW121" s="528" t="str">
        <f t="shared" si="124"/>
        <v/>
      </c>
      <c r="AX121" s="528" t="str">
        <f t="shared" si="124"/>
        <v/>
      </c>
      <c r="AY121" s="528" t="str">
        <f t="shared" si="124"/>
        <v/>
      </c>
      <c r="AZ121" s="528" t="str">
        <f t="shared" si="124"/>
        <v/>
      </c>
      <c r="BA121" s="528" t="str">
        <f t="shared" si="124"/>
        <v/>
      </c>
      <c r="BB121" s="528" t="str">
        <f t="shared" si="124"/>
        <v/>
      </c>
      <c r="BC121" s="528" t="str">
        <f t="shared" si="124"/>
        <v/>
      </c>
      <c r="BD121" s="528" t="str">
        <f t="shared" si="124"/>
        <v/>
      </c>
      <c r="BE121" s="528" t="str">
        <f t="shared" si="124"/>
        <v/>
      </c>
      <c r="BF121" s="528" t="str">
        <f t="shared" si="124"/>
        <v/>
      </c>
      <c r="BG121" s="528" t="str">
        <f t="shared" si="124"/>
        <v/>
      </c>
      <c r="BH121" s="528" t="str">
        <f t="shared" si="124"/>
        <v/>
      </c>
      <c r="BI121" s="528" t="str">
        <f t="shared" si="124"/>
        <v/>
      </c>
      <c r="BJ121" s="528" t="str">
        <f t="shared" si="124"/>
        <v/>
      </c>
      <c r="BK121" s="528" t="str">
        <f t="shared" si="124"/>
        <v/>
      </c>
      <c r="BL121" s="528" t="str">
        <f t="shared" si="124"/>
        <v/>
      </c>
      <c r="BM121" s="528" t="str">
        <f t="shared" si="124"/>
        <v/>
      </c>
    </row>
    <row r="122" spans="6:65" ht="15.75" customHeight="1" x14ac:dyDescent="0.25">
      <c r="F122" s="197"/>
      <c r="G122" s="197">
        <f t="shared" si="3"/>
        <v>0</v>
      </c>
      <c r="H122" s="197">
        <f t="shared" si="4"/>
        <v>283</v>
      </c>
      <c r="I122" s="523">
        <v>1</v>
      </c>
      <c r="J122" s="533">
        <f>'Monthly DCF'!$I$3</f>
        <v>46418</v>
      </c>
      <c r="K122" s="533">
        <f t="shared" si="5"/>
        <v>47238</v>
      </c>
      <c r="L122" s="536">
        <f t="shared" si="102"/>
        <v>28</v>
      </c>
      <c r="M122" s="20" t="s">
        <v>366</v>
      </c>
      <c r="N122" s="20">
        <f t="shared" si="6"/>
        <v>9.3333333333333339</v>
      </c>
      <c r="O122" s="537">
        <v>3</v>
      </c>
      <c r="P122" s="528">
        <f t="shared" ref="P122:BM122" si="125">IFERROR(+IF(AND($M122="Flat",P$5&gt;=$J122,P$5&lt;=$K122),$I122/$L122,0)+IF(AND($M122="S-Curve",P$5&gt;=$J122,P$5&lt;=$K122),(_xlfn.NORM.DIST((YEAR(P$5)-YEAR($J122))*12+MONTH(P$5)-MONTH($J122)+1,$L122/2,$N122,TRUE)-_xlfn.NORM.DIST((YEAR(P$5)-YEAR($J122))*12+MONTH(P$5)-MONTH($J122),$L122/2,$N122,TRUE))/(1-2*_xlfn.NORM.DIST(0,$L122/2,$N122,TRUE))*$I122," "),"")</f>
        <v>1.7341350113056923E-2</v>
      </c>
      <c r="Q122" s="528">
        <f t="shared" si="125"/>
        <v>2.0129489279429862E-2</v>
      </c>
      <c r="R122" s="528">
        <f t="shared" si="125"/>
        <v>2.3099460940168133E-2</v>
      </c>
      <c r="S122" s="528">
        <f t="shared" si="125"/>
        <v>2.6205362636362358E-2</v>
      </c>
      <c r="T122" s="528">
        <f t="shared" si="125"/>
        <v>2.9389875303633815E-2</v>
      </c>
      <c r="U122" s="528">
        <f t="shared" si="125"/>
        <v>3.2585512370856648E-2</v>
      </c>
      <c r="V122" s="528">
        <f t="shared" si="125"/>
        <v>3.5716640851060952E-2</v>
      </c>
      <c r="W122" s="528">
        <f t="shared" si="125"/>
        <v>3.8702222168778444E-2</v>
      </c>
      <c r="X122" s="528">
        <f t="shared" si="125"/>
        <v>4.1459154337271618E-2</v>
      </c>
      <c r="Y122" s="528">
        <f t="shared" si="125"/>
        <v>4.3906035089438467E-2</v>
      </c>
      <c r="Z122" s="528">
        <f t="shared" si="125"/>
        <v>4.5967114695595369E-2</v>
      </c>
      <c r="AA122" s="528">
        <f t="shared" si="125"/>
        <v>4.757617384435648E-2</v>
      </c>
      <c r="AB122" s="528">
        <f t="shared" si="125"/>
        <v>4.8680050972355733E-2</v>
      </c>
      <c r="AC122" s="528">
        <f t="shared" si="125"/>
        <v>4.9241557397635236E-2</v>
      </c>
      <c r="AD122" s="528">
        <f t="shared" si="125"/>
        <v>4.9241557397635298E-2</v>
      </c>
      <c r="AE122" s="528">
        <f t="shared" si="125"/>
        <v>4.8680050972355671E-2</v>
      </c>
      <c r="AF122" s="528">
        <f t="shared" si="125"/>
        <v>4.757617384435648E-2</v>
      </c>
      <c r="AG122" s="528">
        <f t="shared" si="125"/>
        <v>4.5967114695595369E-2</v>
      </c>
      <c r="AH122" s="528">
        <f t="shared" si="125"/>
        <v>4.3906035089438467E-2</v>
      </c>
      <c r="AI122" s="528">
        <f t="shared" si="125"/>
        <v>4.1459154337271549E-2</v>
      </c>
      <c r="AJ122" s="528">
        <f t="shared" si="125"/>
        <v>3.8702222168778444E-2</v>
      </c>
      <c r="AK122" s="528">
        <f t="shared" si="125"/>
        <v>3.5716640851061049E-2</v>
      </c>
      <c r="AL122" s="528">
        <f t="shared" si="125"/>
        <v>3.2585512370856586E-2</v>
      </c>
      <c r="AM122" s="528">
        <f t="shared" si="125"/>
        <v>2.9389875303633909E-2</v>
      </c>
      <c r="AN122" s="528">
        <f t="shared" si="125"/>
        <v>2.620536263636223E-2</v>
      </c>
      <c r="AO122" s="528">
        <f t="shared" si="125"/>
        <v>2.309946094016823E-2</v>
      </c>
      <c r="AP122" s="528">
        <f t="shared" si="125"/>
        <v>2.0129489279429862E-2</v>
      </c>
      <c r="AQ122" s="528">
        <f t="shared" si="125"/>
        <v>1.7341350113056861E-2</v>
      </c>
      <c r="AR122" s="528" t="str">
        <f t="shared" si="125"/>
        <v/>
      </c>
      <c r="AS122" s="528" t="str">
        <f t="shared" si="125"/>
        <v/>
      </c>
      <c r="AT122" s="528" t="str">
        <f t="shared" si="125"/>
        <v/>
      </c>
      <c r="AU122" s="528" t="str">
        <f t="shared" si="125"/>
        <v/>
      </c>
      <c r="AV122" s="528" t="str">
        <f t="shared" si="125"/>
        <v/>
      </c>
      <c r="AW122" s="528" t="str">
        <f t="shared" si="125"/>
        <v/>
      </c>
      <c r="AX122" s="528" t="str">
        <f t="shared" si="125"/>
        <v/>
      </c>
      <c r="AY122" s="528" t="str">
        <f t="shared" si="125"/>
        <v/>
      </c>
      <c r="AZ122" s="528" t="str">
        <f t="shared" si="125"/>
        <v/>
      </c>
      <c r="BA122" s="528" t="str">
        <f t="shared" si="125"/>
        <v/>
      </c>
      <c r="BB122" s="528" t="str">
        <f t="shared" si="125"/>
        <v/>
      </c>
      <c r="BC122" s="528" t="str">
        <f t="shared" si="125"/>
        <v/>
      </c>
      <c r="BD122" s="528" t="str">
        <f t="shared" si="125"/>
        <v/>
      </c>
      <c r="BE122" s="528" t="str">
        <f t="shared" si="125"/>
        <v/>
      </c>
      <c r="BF122" s="528" t="str">
        <f t="shared" si="125"/>
        <v/>
      </c>
      <c r="BG122" s="528" t="str">
        <f t="shared" si="125"/>
        <v/>
      </c>
      <c r="BH122" s="528" t="str">
        <f t="shared" si="125"/>
        <v/>
      </c>
      <c r="BI122" s="528" t="str">
        <f t="shared" si="125"/>
        <v/>
      </c>
      <c r="BJ122" s="528" t="str">
        <f t="shared" si="125"/>
        <v/>
      </c>
      <c r="BK122" s="528" t="str">
        <f t="shared" si="125"/>
        <v/>
      </c>
      <c r="BL122" s="528" t="str">
        <f t="shared" si="125"/>
        <v/>
      </c>
      <c r="BM122" s="528" t="str">
        <f t="shared" si="125"/>
        <v/>
      </c>
    </row>
    <row r="123" spans="6:65" ht="15.75" customHeight="1" x14ac:dyDescent="0.25">
      <c r="F123" s="197"/>
      <c r="G123" s="197">
        <f t="shared" si="3"/>
        <v>0</v>
      </c>
      <c r="H123" s="197">
        <f t="shared" si="4"/>
        <v>293</v>
      </c>
      <c r="I123" s="523">
        <v>1</v>
      </c>
      <c r="J123" s="533">
        <f>'Monthly DCF'!$I$3</f>
        <v>46418</v>
      </c>
      <c r="K123" s="533">
        <f t="shared" si="5"/>
        <v>47269</v>
      </c>
      <c r="L123" s="536">
        <f t="shared" si="102"/>
        <v>29</v>
      </c>
      <c r="M123" s="20" t="s">
        <v>366</v>
      </c>
      <c r="N123" s="20">
        <f t="shared" si="6"/>
        <v>9.6666666666666661</v>
      </c>
      <c r="O123" s="537">
        <v>3</v>
      </c>
      <c r="P123" s="528">
        <f t="shared" ref="P123:BM123" si="126">IFERROR(+IF(AND($M123="Flat",P$5&gt;=$J123,P$5&lt;=$K123),$I123/$L123,0)+IF(AND($M123="S-Curve",P$5&gt;=$J123,P$5&lt;=$K123),(_xlfn.NORM.DIST((YEAR(P$5)-YEAR($J123))*12+MONTH(P$5)-MONTH($J123)+1,$L123/2,$N123,TRUE)-_xlfn.NORM.DIST((YEAR(P$5)-YEAR($J123))*12+MONTH(P$5)-MONTH($J123),$L123/2,$N123,TRUE))/(1-2*_xlfn.NORM.DIST(0,$L123/2,$N123,TRUE))*$I123," "),"")</f>
        <v>1.6698115526341303E-2</v>
      </c>
      <c r="Q123" s="528">
        <f t="shared" si="126"/>
        <v>1.9290986973322318E-2</v>
      </c>
      <c r="R123" s="528">
        <f t="shared" si="126"/>
        <v>2.2049459654425129E-2</v>
      </c>
      <c r="S123" s="528">
        <f t="shared" si="126"/>
        <v>2.4934345443884197E-2</v>
      </c>
      <c r="T123" s="528">
        <f t="shared" si="126"/>
        <v>2.789680784118798E-2</v>
      </c>
      <c r="U123" s="528">
        <f t="shared" si="126"/>
        <v>3.0879308653999828E-2</v>
      </c>
      <c r="V123" s="528">
        <f t="shared" si="126"/>
        <v>3.381716099905463E-2</v>
      </c>
      <c r="W123" s="528">
        <f t="shared" si="126"/>
        <v>3.6640656058114625E-2</v>
      </c>
      <c r="X123" s="528">
        <f t="shared" si="126"/>
        <v>3.9277682668318173E-2</v>
      </c>
      <c r="Y123" s="528">
        <f t="shared" si="126"/>
        <v>4.165671251078347E-2</v>
      </c>
      <c r="Z123" s="528">
        <f t="shared" si="126"/>
        <v>4.370998419105819E-2</v>
      </c>
      <c r="AA123" s="528">
        <f t="shared" si="126"/>
        <v>4.5376691383851114E-2</v>
      </c>
      <c r="AB123" s="528">
        <f t="shared" si="126"/>
        <v>4.6605967079235047E-2</v>
      </c>
      <c r="AC123" s="528">
        <f t="shared" si="126"/>
        <v>4.7359460086103547E-2</v>
      </c>
      <c r="AD123" s="528">
        <f t="shared" si="126"/>
        <v>4.7613321860641031E-2</v>
      </c>
      <c r="AE123" s="528">
        <f t="shared" si="126"/>
        <v>4.7359460086103485E-2</v>
      </c>
      <c r="AF123" s="528">
        <f t="shared" si="126"/>
        <v>4.6605967079235047E-2</v>
      </c>
      <c r="AG123" s="528">
        <f t="shared" si="126"/>
        <v>4.5376691383851114E-2</v>
      </c>
      <c r="AH123" s="528">
        <f t="shared" si="126"/>
        <v>4.3709984191058128E-2</v>
      </c>
      <c r="AI123" s="528">
        <f t="shared" si="126"/>
        <v>4.165671251078347E-2</v>
      </c>
      <c r="AJ123" s="528">
        <f t="shared" si="126"/>
        <v>3.9277682668318242E-2</v>
      </c>
      <c r="AK123" s="528">
        <f t="shared" si="126"/>
        <v>3.6640656058114694E-2</v>
      </c>
      <c r="AL123" s="528">
        <f t="shared" si="126"/>
        <v>3.3817160999054567E-2</v>
      </c>
      <c r="AM123" s="528">
        <f t="shared" si="126"/>
        <v>3.0879308653999828E-2</v>
      </c>
      <c r="AN123" s="528">
        <f t="shared" si="126"/>
        <v>2.7896807841187948E-2</v>
      </c>
      <c r="AO123" s="528">
        <f t="shared" si="126"/>
        <v>2.4934345443884263E-2</v>
      </c>
      <c r="AP123" s="528">
        <f t="shared" si="126"/>
        <v>2.2049459654425129E-2</v>
      </c>
      <c r="AQ123" s="528">
        <f t="shared" si="126"/>
        <v>1.9290986973322349E-2</v>
      </c>
      <c r="AR123" s="528">
        <f t="shared" si="126"/>
        <v>1.669811552634121E-2</v>
      </c>
      <c r="AS123" s="528" t="str">
        <f t="shared" si="126"/>
        <v/>
      </c>
      <c r="AT123" s="528" t="str">
        <f t="shared" si="126"/>
        <v/>
      </c>
      <c r="AU123" s="528" t="str">
        <f t="shared" si="126"/>
        <v/>
      </c>
      <c r="AV123" s="528" t="str">
        <f t="shared" si="126"/>
        <v/>
      </c>
      <c r="AW123" s="528" t="str">
        <f t="shared" si="126"/>
        <v/>
      </c>
      <c r="AX123" s="528" t="str">
        <f t="shared" si="126"/>
        <v/>
      </c>
      <c r="AY123" s="528" t="str">
        <f t="shared" si="126"/>
        <v/>
      </c>
      <c r="AZ123" s="528" t="str">
        <f t="shared" si="126"/>
        <v/>
      </c>
      <c r="BA123" s="528" t="str">
        <f t="shared" si="126"/>
        <v/>
      </c>
      <c r="BB123" s="528" t="str">
        <f t="shared" si="126"/>
        <v/>
      </c>
      <c r="BC123" s="528" t="str">
        <f t="shared" si="126"/>
        <v/>
      </c>
      <c r="BD123" s="528" t="str">
        <f t="shared" si="126"/>
        <v/>
      </c>
      <c r="BE123" s="528" t="str">
        <f t="shared" si="126"/>
        <v/>
      </c>
      <c r="BF123" s="528" t="str">
        <f t="shared" si="126"/>
        <v/>
      </c>
      <c r="BG123" s="528" t="str">
        <f t="shared" si="126"/>
        <v/>
      </c>
      <c r="BH123" s="528" t="str">
        <f t="shared" si="126"/>
        <v/>
      </c>
      <c r="BI123" s="528" t="str">
        <f t="shared" si="126"/>
        <v/>
      </c>
      <c r="BJ123" s="528" t="str">
        <f t="shared" si="126"/>
        <v/>
      </c>
      <c r="BK123" s="528" t="str">
        <f t="shared" si="126"/>
        <v/>
      </c>
      <c r="BL123" s="528" t="str">
        <f t="shared" si="126"/>
        <v/>
      </c>
      <c r="BM123" s="528" t="str">
        <f t="shared" si="126"/>
        <v/>
      </c>
    </row>
    <row r="124" spans="6:65" ht="15.75" customHeight="1" x14ac:dyDescent="0.25">
      <c r="F124" s="197"/>
      <c r="G124" s="197">
        <f t="shared" si="3"/>
        <v>0</v>
      </c>
      <c r="H124" s="197">
        <f t="shared" si="4"/>
        <v>303</v>
      </c>
      <c r="I124" s="523">
        <v>1</v>
      </c>
      <c r="J124" s="533">
        <f>'Monthly DCF'!$I$3</f>
        <v>46418</v>
      </c>
      <c r="K124" s="533">
        <f t="shared" si="5"/>
        <v>47299</v>
      </c>
      <c r="L124" s="536">
        <f t="shared" si="102"/>
        <v>30</v>
      </c>
      <c r="M124" s="20" t="s">
        <v>366</v>
      </c>
      <c r="N124" s="20">
        <f t="shared" si="6"/>
        <v>10</v>
      </c>
      <c r="O124" s="537">
        <v>3</v>
      </c>
      <c r="P124" s="528">
        <f t="shared" ref="P124:BM124" si="127">IFERROR(+IF(AND($M124="Flat",P$5&gt;=$J124,P$5&lt;=$K124),$I124/$L124,0)+IF(AND($M124="S-Curve",P$5&gt;=$J124,P$5&lt;=$K124),(_xlfn.NORM.DIST((YEAR(P$5)-YEAR($J124))*12+MONTH(P$5)-MONTH($J124)+1,$L124/2,$N124,TRUE)-_xlfn.NORM.DIST((YEAR(P$5)-YEAR($J124))*12+MONTH(P$5)-MONTH($J124),$L124/2,$N124,TRUE))/(1-2*_xlfn.NORM.DIST(0,$L124/2,$N124,TRUE))*$I124," "),"")</f>
        <v>1.6100750065296709E-2</v>
      </c>
      <c r="Q124" s="528">
        <f t="shared" si="127"/>
        <v>1.8518111795524966E-2</v>
      </c>
      <c r="R124" s="528">
        <f t="shared" si="127"/>
        <v>2.1086668210563448E-2</v>
      </c>
      <c r="S124" s="528">
        <f t="shared" si="127"/>
        <v>2.3772775984507274E-2</v>
      </c>
      <c r="T124" s="528">
        <f t="shared" si="127"/>
        <v>2.6534597357587227E-2</v>
      </c>
      <c r="U124" s="528">
        <f t="shared" si="127"/>
        <v>2.9322822874382391E-2</v>
      </c>
      <c r="V124" s="528">
        <f t="shared" si="127"/>
        <v>3.2081873611532551E-2</v>
      </c>
      <c r="W124" s="528">
        <f t="shared" si="127"/>
        <v>3.4751562962110606E-2</v>
      </c>
      <c r="X124" s="528">
        <f t="shared" si="127"/>
        <v>3.7269162393256686E-2</v>
      </c>
      <c r="Y124" s="528">
        <f t="shared" si="127"/>
        <v>3.9571780828692539E-2</v>
      </c>
      <c r="Z124" s="528">
        <f t="shared" si="127"/>
        <v>4.1598936742779632E-2</v>
      </c>
      <c r="AA124" s="528">
        <f t="shared" si="127"/>
        <v>4.3295178880215043E-2</v>
      </c>
      <c r="AB124" s="528">
        <f t="shared" si="127"/>
        <v>4.4612598435458464E-2</v>
      </c>
      <c r="AC124" s="528">
        <f t="shared" si="127"/>
        <v>4.5513074406561375E-2</v>
      </c>
      <c r="AD124" s="528">
        <f t="shared" si="127"/>
        <v>4.5970105451531129E-2</v>
      </c>
      <c r="AE124" s="528">
        <f t="shared" si="127"/>
        <v>4.5970105451531129E-2</v>
      </c>
      <c r="AF124" s="528">
        <f t="shared" si="127"/>
        <v>4.5513074406561313E-2</v>
      </c>
      <c r="AG124" s="528">
        <f t="shared" si="127"/>
        <v>4.4612598435458527E-2</v>
      </c>
      <c r="AH124" s="528">
        <f t="shared" si="127"/>
        <v>4.3295178880215106E-2</v>
      </c>
      <c r="AI124" s="528">
        <f t="shared" si="127"/>
        <v>4.1598936742779563E-2</v>
      </c>
      <c r="AJ124" s="528">
        <f t="shared" si="127"/>
        <v>3.9571780828692539E-2</v>
      </c>
      <c r="AK124" s="528">
        <f t="shared" si="127"/>
        <v>3.7269162393256616E-2</v>
      </c>
      <c r="AL124" s="528">
        <f t="shared" si="127"/>
        <v>3.4751562962110634E-2</v>
      </c>
      <c r="AM124" s="528">
        <f t="shared" si="127"/>
        <v>3.2081873611532551E-2</v>
      </c>
      <c r="AN124" s="528">
        <f t="shared" si="127"/>
        <v>2.9322822874382454E-2</v>
      </c>
      <c r="AO124" s="528">
        <f t="shared" si="127"/>
        <v>2.6534597357587161E-2</v>
      </c>
      <c r="AP124" s="528">
        <f t="shared" si="127"/>
        <v>2.3772775984507371E-2</v>
      </c>
      <c r="AQ124" s="528">
        <f t="shared" si="127"/>
        <v>2.1086668210563399E-2</v>
      </c>
      <c r="AR124" s="528">
        <f t="shared" si="127"/>
        <v>1.8518111795524934E-2</v>
      </c>
      <c r="AS124" s="528">
        <f t="shared" si="127"/>
        <v>1.6100750065296692E-2</v>
      </c>
      <c r="AT124" s="528" t="str">
        <f t="shared" si="127"/>
        <v/>
      </c>
      <c r="AU124" s="528" t="str">
        <f t="shared" si="127"/>
        <v/>
      </c>
      <c r="AV124" s="528" t="str">
        <f t="shared" si="127"/>
        <v/>
      </c>
      <c r="AW124" s="528" t="str">
        <f t="shared" si="127"/>
        <v/>
      </c>
      <c r="AX124" s="528" t="str">
        <f t="shared" si="127"/>
        <v/>
      </c>
      <c r="AY124" s="528" t="str">
        <f t="shared" si="127"/>
        <v/>
      </c>
      <c r="AZ124" s="528" t="str">
        <f t="shared" si="127"/>
        <v/>
      </c>
      <c r="BA124" s="528" t="str">
        <f t="shared" si="127"/>
        <v/>
      </c>
      <c r="BB124" s="528" t="str">
        <f t="shared" si="127"/>
        <v/>
      </c>
      <c r="BC124" s="528" t="str">
        <f t="shared" si="127"/>
        <v/>
      </c>
      <c r="BD124" s="528" t="str">
        <f t="shared" si="127"/>
        <v/>
      </c>
      <c r="BE124" s="528" t="str">
        <f t="shared" si="127"/>
        <v/>
      </c>
      <c r="BF124" s="528" t="str">
        <f t="shared" si="127"/>
        <v/>
      </c>
      <c r="BG124" s="528" t="str">
        <f t="shared" si="127"/>
        <v/>
      </c>
      <c r="BH124" s="528" t="str">
        <f t="shared" si="127"/>
        <v/>
      </c>
      <c r="BI124" s="528" t="str">
        <f t="shared" si="127"/>
        <v/>
      </c>
      <c r="BJ124" s="528" t="str">
        <f t="shared" si="127"/>
        <v/>
      </c>
      <c r="BK124" s="528" t="str">
        <f t="shared" si="127"/>
        <v/>
      </c>
      <c r="BL124" s="528" t="str">
        <f t="shared" si="127"/>
        <v/>
      </c>
      <c r="BM124" s="528" t="str">
        <f t="shared" si="127"/>
        <v/>
      </c>
    </row>
    <row r="125" spans="6:65" ht="15.75" customHeight="1" x14ac:dyDescent="0.25">
      <c r="F125" s="197"/>
      <c r="G125" s="197">
        <f t="shared" si="3"/>
        <v>0</v>
      </c>
      <c r="H125" s="197">
        <f t="shared" si="4"/>
        <v>313</v>
      </c>
      <c r="I125" s="523">
        <v>1</v>
      </c>
      <c r="J125" s="533">
        <f>'Monthly DCF'!$I$3</f>
        <v>46418</v>
      </c>
      <c r="K125" s="533">
        <f t="shared" si="5"/>
        <v>47330</v>
      </c>
      <c r="L125" s="536">
        <f t="shared" si="102"/>
        <v>31</v>
      </c>
      <c r="M125" s="20" t="s">
        <v>366</v>
      </c>
      <c r="N125" s="20">
        <f t="shared" si="6"/>
        <v>10.333333333333334</v>
      </c>
      <c r="O125" s="537">
        <v>3</v>
      </c>
      <c r="P125" s="528">
        <f t="shared" ref="P125:BM125" si="128">IFERROR(+IF(AND($M125="Flat",P$5&gt;=$J125,P$5&lt;=$K125),$I125/$L125,0)+IF(AND($M125="S-Curve",P$5&gt;=$J125,P$5&lt;=$K125),(_xlfn.NORM.DIST((YEAR(P$5)-YEAR($J125))*12+MONTH(P$5)-MONTH($J125)+1,$L125/2,$N125,TRUE)-_xlfn.NORM.DIST((YEAR(P$5)-YEAR($J125))*12+MONTH(P$5)-MONTH($J125),$L125/2,$N125,TRUE))/(1-2*_xlfn.NORM.DIST(0,$L125/2,$N125,TRUE))*$I125," "),"")</f>
        <v>1.5544528904104366E-2</v>
      </c>
      <c r="Q125" s="528">
        <f t="shared" si="128"/>
        <v>1.780356768436683E-2</v>
      </c>
      <c r="R125" s="528">
        <f t="shared" si="128"/>
        <v>2.0200978745424886E-2</v>
      </c>
      <c r="S125" s="528">
        <f t="shared" si="128"/>
        <v>2.2707727834369036E-2</v>
      </c>
      <c r="T125" s="528">
        <f t="shared" si="128"/>
        <v>2.5287788245013043E-2</v>
      </c>
      <c r="U125" s="528">
        <f t="shared" si="128"/>
        <v>2.7898696318216828E-2</v>
      </c>
      <c r="V125" s="528">
        <f t="shared" si="128"/>
        <v>3.04924886464009E-2</v>
      </c>
      <c r="W125" s="528">
        <f t="shared" si="128"/>
        <v>3.301700915327796E-2</v>
      </c>
      <c r="X125" s="528">
        <f t="shared" si="128"/>
        <v>3.5417547727834717E-2</v>
      </c>
      <c r="Y125" s="528">
        <f t="shared" si="128"/>
        <v>3.763874585626497E-2</v>
      </c>
      <c r="Z125" s="528">
        <f t="shared" si="128"/>
        <v>3.9626681023459356E-2</v>
      </c>
      <c r="AA125" s="528">
        <f t="shared" si="128"/>
        <v>4.1331022819363329E-2</v>
      </c>
      <c r="AB125" s="528">
        <f t="shared" si="128"/>
        <v>4.2707141680964907E-2</v>
      </c>
      <c r="AC125" s="528">
        <f t="shared" si="128"/>
        <v>4.3718047516385493E-2</v>
      </c>
      <c r="AD125" s="528">
        <f t="shared" si="128"/>
        <v>4.4336040885007193E-2</v>
      </c>
      <c r="AE125" s="528">
        <f t="shared" si="128"/>
        <v>4.4543973919092414E-2</v>
      </c>
      <c r="AF125" s="528">
        <f t="shared" si="128"/>
        <v>4.4336040885007193E-2</v>
      </c>
      <c r="AG125" s="528">
        <f t="shared" si="128"/>
        <v>4.3718047516385555E-2</v>
      </c>
      <c r="AH125" s="528">
        <f t="shared" si="128"/>
        <v>4.2707141680964844E-2</v>
      </c>
      <c r="AI125" s="528">
        <f t="shared" si="128"/>
        <v>4.1331022819363329E-2</v>
      </c>
      <c r="AJ125" s="528">
        <f t="shared" si="128"/>
        <v>3.9626681023459419E-2</v>
      </c>
      <c r="AK125" s="528">
        <f t="shared" si="128"/>
        <v>3.76387458562649E-2</v>
      </c>
      <c r="AL125" s="528">
        <f t="shared" si="128"/>
        <v>3.5417547727834786E-2</v>
      </c>
      <c r="AM125" s="528">
        <f t="shared" si="128"/>
        <v>3.3017009153277932E-2</v>
      </c>
      <c r="AN125" s="528">
        <f t="shared" si="128"/>
        <v>3.0492488646400834E-2</v>
      </c>
      <c r="AO125" s="528">
        <f t="shared" si="128"/>
        <v>2.7898696318216797E-2</v>
      </c>
      <c r="AP125" s="528">
        <f t="shared" si="128"/>
        <v>2.528778824501314E-2</v>
      </c>
      <c r="AQ125" s="528">
        <f t="shared" si="128"/>
        <v>2.2707727834369036E-2</v>
      </c>
      <c r="AR125" s="528">
        <f t="shared" si="128"/>
        <v>2.020097874542482E-2</v>
      </c>
      <c r="AS125" s="528">
        <f t="shared" si="128"/>
        <v>1.7803567684366799E-2</v>
      </c>
      <c r="AT125" s="528">
        <f t="shared" si="128"/>
        <v>1.5544528904104397E-2</v>
      </c>
      <c r="AU125" s="528" t="str">
        <f t="shared" si="128"/>
        <v/>
      </c>
      <c r="AV125" s="528" t="str">
        <f t="shared" si="128"/>
        <v/>
      </c>
      <c r="AW125" s="528" t="str">
        <f t="shared" si="128"/>
        <v/>
      </c>
      <c r="AX125" s="528" t="str">
        <f t="shared" si="128"/>
        <v/>
      </c>
      <c r="AY125" s="528" t="str">
        <f t="shared" si="128"/>
        <v/>
      </c>
      <c r="AZ125" s="528" t="str">
        <f t="shared" si="128"/>
        <v/>
      </c>
      <c r="BA125" s="528" t="str">
        <f t="shared" si="128"/>
        <v/>
      </c>
      <c r="BB125" s="528" t="str">
        <f t="shared" si="128"/>
        <v/>
      </c>
      <c r="BC125" s="528" t="str">
        <f t="shared" si="128"/>
        <v/>
      </c>
      <c r="BD125" s="528" t="str">
        <f t="shared" si="128"/>
        <v/>
      </c>
      <c r="BE125" s="528" t="str">
        <f t="shared" si="128"/>
        <v/>
      </c>
      <c r="BF125" s="528" t="str">
        <f t="shared" si="128"/>
        <v/>
      </c>
      <c r="BG125" s="528" t="str">
        <f t="shared" si="128"/>
        <v/>
      </c>
      <c r="BH125" s="528" t="str">
        <f t="shared" si="128"/>
        <v/>
      </c>
      <c r="BI125" s="528" t="str">
        <f t="shared" si="128"/>
        <v/>
      </c>
      <c r="BJ125" s="528" t="str">
        <f t="shared" si="128"/>
        <v/>
      </c>
      <c r="BK125" s="528" t="str">
        <f t="shared" si="128"/>
        <v/>
      </c>
      <c r="BL125" s="528" t="str">
        <f t="shared" si="128"/>
        <v/>
      </c>
      <c r="BM125" s="528" t="str">
        <f t="shared" si="128"/>
        <v/>
      </c>
    </row>
    <row r="126" spans="6:65" ht="15.75" customHeight="1" x14ac:dyDescent="0.25">
      <c r="F126" s="197"/>
      <c r="G126" s="197">
        <f t="shared" si="3"/>
        <v>0</v>
      </c>
      <c r="H126" s="197">
        <f t="shared" si="4"/>
        <v>323</v>
      </c>
      <c r="I126" s="523">
        <v>1</v>
      </c>
      <c r="J126" s="533">
        <f>'Monthly DCF'!$I$3</f>
        <v>46418</v>
      </c>
      <c r="K126" s="533">
        <f t="shared" si="5"/>
        <v>47361</v>
      </c>
      <c r="L126" s="536">
        <f t="shared" si="102"/>
        <v>32</v>
      </c>
      <c r="M126" s="20" t="s">
        <v>366</v>
      </c>
      <c r="N126" s="20">
        <f t="shared" si="6"/>
        <v>10.666666666666666</v>
      </c>
      <c r="O126" s="537">
        <v>3</v>
      </c>
      <c r="P126" s="528">
        <f t="shared" ref="P126:BM126" si="129">IFERROR(+IF(AND($M126="Flat",P$5&gt;=$J126,P$5&lt;=$K126),$I126/$L126,0)+IF(AND($M126="S-Curve",P$5&gt;=$J126,P$5&lt;=$K126),(_xlfn.NORM.DIST((YEAR(P$5)-YEAR($J126))*12+MONTH(P$5)-MONTH($J126)+1,$L126/2,$N126,TRUE)-_xlfn.NORM.DIST((YEAR(P$5)-YEAR($J126))*12+MONTH(P$5)-MONTH($J126),$L126/2,$N126,TRUE))/(1-2*_xlfn.NORM.DIST(0,$L126/2,$N126,TRUE))*$I126," "),"")</f>
        <v>1.5025353134536444E-2</v>
      </c>
      <c r="Q126" s="528">
        <f t="shared" si="129"/>
        <v>1.7141088498858429E-2</v>
      </c>
      <c r="R126" s="528">
        <f t="shared" si="129"/>
        <v>1.9383752582474167E-2</v>
      </c>
      <c r="S126" s="528">
        <f t="shared" si="129"/>
        <v>2.1728165966837638E-2</v>
      </c>
      <c r="T126" s="528">
        <f t="shared" si="129"/>
        <v>2.4143155627775081E-2</v>
      </c>
      <c r="U126" s="528">
        <f t="shared" si="129"/>
        <v>2.6591984559786862E-2</v>
      </c>
      <c r="V126" s="528">
        <f t="shared" si="129"/>
        <v>2.903308718947787E-2</v>
      </c>
      <c r="W126" s="528">
        <f t="shared" si="129"/>
        <v>3.1421103934822205E-2</v>
      </c>
      <c r="X126" s="528">
        <f t="shared" si="129"/>
        <v>3.370818842857904E-2</v>
      </c>
      <c r="Y126" s="528">
        <f t="shared" si="129"/>
        <v>3.5845541014759529E-2</v>
      </c>
      <c r="Z126" s="528">
        <f t="shared" si="129"/>
        <v>3.7785103765159832E-2</v>
      </c>
      <c r="AA126" s="528">
        <f t="shared" si="129"/>
        <v>3.9481337074797923E-2</v>
      </c>
      <c r="AB126" s="528">
        <f t="shared" si="129"/>
        <v>4.0892987353940237E-2</v>
      </c>
      <c r="AC126" s="528">
        <f t="shared" si="129"/>
        <v>4.1984750603785294E-2</v>
      </c>
      <c r="AD126" s="528">
        <f t="shared" si="129"/>
        <v>4.2728738461262426E-2</v>
      </c>
      <c r="AE126" s="528">
        <f t="shared" si="129"/>
        <v>4.3105661803147059E-2</v>
      </c>
      <c r="AF126" s="528">
        <f t="shared" si="129"/>
        <v>4.3105661803147059E-2</v>
      </c>
      <c r="AG126" s="528">
        <f t="shared" si="129"/>
        <v>4.2728738461262364E-2</v>
      </c>
      <c r="AH126" s="528">
        <f t="shared" si="129"/>
        <v>4.1984750603785294E-2</v>
      </c>
      <c r="AI126" s="528">
        <f t="shared" si="129"/>
        <v>4.0892987353940299E-2</v>
      </c>
      <c r="AJ126" s="528">
        <f t="shared" si="129"/>
        <v>3.9481337074797923E-2</v>
      </c>
      <c r="AK126" s="528">
        <f t="shared" si="129"/>
        <v>3.7785103765159832E-2</v>
      </c>
      <c r="AL126" s="528">
        <f t="shared" si="129"/>
        <v>3.5845541014759529E-2</v>
      </c>
      <c r="AM126" s="528">
        <f t="shared" si="129"/>
        <v>3.3708188428578978E-2</v>
      </c>
      <c r="AN126" s="528">
        <f t="shared" si="129"/>
        <v>3.1421103934822239E-2</v>
      </c>
      <c r="AO126" s="528">
        <f t="shared" si="129"/>
        <v>2.903308718947787E-2</v>
      </c>
      <c r="AP126" s="528">
        <f t="shared" si="129"/>
        <v>2.6591984559786893E-2</v>
      </c>
      <c r="AQ126" s="528">
        <f t="shared" si="129"/>
        <v>2.4143155627775047E-2</v>
      </c>
      <c r="AR126" s="528">
        <f t="shared" si="129"/>
        <v>2.1728165966837736E-2</v>
      </c>
      <c r="AS126" s="528">
        <f t="shared" si="129"/>
        <v>1.9383752582474167E-2</v>
      </c>
      <c r="AT126" s="528">
        <f t="shared" si="129"/>
        <v>1.7141088498858412E-2</v>
      </c>
      <c r="AU126" s="528">
        <f t="shared" si="129"/>
        <v>1.5025353134536363E-2</v>
      </c>
      <c r="AV126" s="528" t="str">
        <f t="shared" si="129"/>
        <v/>
      </c>
      <c r="AW126" s="528" t="str">
        <f t="shared" si="129"/>
        <v/>
      </c>
      <c r="AX126" s="528" t="str">
        <f t="shared" si="129"/>
        <v/>
      </c>
      <c r="AY126" s="528" t="str">
        <f t="shared" si="129"/>
        <v/>
      </c>
      <c r="AZ126" s="528" t="str">
        <f t="shared" si="129"/>
        <v/>
      </c>
      <c r="BA126" s="528" t="str">
        <f t="shared" si="129"/>
        <v/>
      </c>
      <c r="BB126" s="528" t="str">
        <f t="shared" si="129"/>
        <v/>
      </c>
      <c r="BC126" s="528" t="str">
        <f t="shared" si="129"/>
        <v/>
      </c>
      <c r="BD126" s="528" t="str">
        <f t="shared" si="129"/>
        <v/>
      </c>
      <c r="BE126" s="528" t="str">
        <f t="shared" si="129"/>
        <v/>
      </c>
      <c r="BF126" s="528" t="str">
        <f t="shared" si="129"/>
        <v/>
      </c>
      <c r="BG126" s="528" t="str">
        <f t="shared" si="129"/>
        <v/>
      </c>
      <c r="BH126" s="528" t="str">
        <f t="shared" si="129"/>
        <v/>
      </c>
      <c r="BI126" s="528" t="str">
        <f t="shared" si="129"/>
        <v/>
      </c>
      <c r="BJ126" s="528" t="str">
        <f t="shared" si="129"/>
        <v/>
      </c>
      <c r="BK126" s="528" t="str">
        <f t="shared" si="129"/>
        <v/>
      </c>
      <c r="BL126" s="528" t="str">
        <f t="shared" si="129"/>
        <v/>
      </c>
      <c r="BM126" s="528" t="str">
        <f t="shared" si="129"/>
        <v/>
      </c>
    </row>
    <row r="127" spans="6:65" ht="15.75" customHeight="1" x14ac:dyDescent="0.25">
      <c r="F127" s="197"/>
      <c r="G127" s="197">
        <f t="shared" si="3"/>
        <v>0</v>
      </c>
      <c r="H127" s="197">
        <f t="shared" si="4"/>
        <v>333</v>
      </c>
      <c r="I127" s="523">
        <v>1</v>
      </c>
      <c r="J127" s="533">
        <f>'Monthly DCF'!$I$3</f>
        <v>46418</v>
      </c>
      <c r="K127" s="533">
        <f t="shared" si="5"/>
        <v>47391</v>
      </c>
      <c r="L127" s="536">
        <f t="shared" si="102"/>
        <v>33</v>
      </c>
      <c r="M127" s="20" t="s">
        <v>366</v>
      </c>
      <c r="N127" s="20">
        <f t="shared" si="6"/>
        <v>11</v>
      </c>
      <c r="O127" s="537">
        <v>3</v>
      </c>
      <c r="P127" s="528">
        <f t="shared" ref="P127:BM127" si="130">IFERROR(+IF(AND($M127="Flat",P$5&gt;=$J127,P$5&lt;=$K127),$I127/$L127,0)+IF(AND($M127="S-Curve",P$5&gt;=$J127,P$5&lt;=$K127),(_xlfn.NORM.DIST((YEAR(P$5)-YEAR($J127))*12+MONTH(P$5)-MONTH($J127)+1,$L127/2,$N127,TRUE)-_xlfn.NORM.DIST((YEAR(P$5)-YEAR($J127))*12+MONTH(P$5)-MONTH($J127),$L127/2,$N127,TRUE))/(1-2*_xlfn.NORM.DIST(0,$L127/2,$N127,TRUE))*$I127," "),"")</f>
        <v>1.4539649646011153E-2</v>
      </c>
      <c r="Q127" s="528">
        <f t="shared" si="130"/>
        <v>1.6525264230467681E-2</v>
      </c>
      <c r="R127" s="528">
        <f t="shared" si="130"/>
        <v>1.8627567326311538E-2</v>
      </c>
      <c r="S127" s="528">
        <f t="shared" si="130"/>
        <v>2.0824622149807497E-2</v>
      </c>
      <c r="T127" s="528">
        <f t="shared" si="130"/>
        <v>2.3089332491690311E-2</v>
      </c>
      <c r="U127" s="528">
        <f t="shared" si="130"/>
        <v>2.5389776899162882E-2</v>
      </c>
      <c r="V127" s="528">
        <f t="shared" si="130"/>
        <v>2.7689789316935491E-2</v>
      </c>
      <c r="W127" s="528">
        <f t="shared" si="130"/>
        <v>2.994978283975409E-2</v>
      </c>
      <c r="X127" s="528">
        <f t="shared" si="130"/>
        <v>3.2127798262070552E-2</v>
      </c>
      <c r="Y127" s="528">
        <f t="shared" si="130"/>
        <v>3.41807439154206E-2</v>
      </c>
      <c r="Z127" s="528">
        <f t="shared" si="130"/>
        <v>3.6065779005822599E-2</v>
      </c>
      <c r="AA127" s="528">
        <f t="shared" si="130"/>
        <v>3.7741780472265299E-2</v>
      </c>
      <c r="AB127" s="528">
        <f t="shared" si="130"/>
        <v>3.917082437140252E-2</v>
      </c>
      <c r="AC127" s="528">
        <f t="shared" si="130"/>
        <v>4.0319607852089816E-2</v>
      </c>
      <c r="AD127" s="528">
        <f t="shared" si="130"/>
        <v>4.1160737530500376E-2</v>
      </c>
      <c r="AE127" s="528">
        <f t="shared" si="130"/>
        <v>4.1673814767919259E-2</v>
      </c>
      <c r="AF127" s="528">
        <f t="shared" si="130"/>
        <v>4.1846257844736806E-2</v>
      </c>
      <c r="AG127" s="528">
        <f t="shared" si="130"/>
        <v>4.1673814767919128E-2</v>
      </c>
      <c r="AH127" s="528">
        <f t="shared" si="130"/>
        <v>4.1160737530500438E-2</v>
      </c>
      <c r="AI127" s="528">
        <f t="shared" si="130"/>
        <v>4.0319607852089816E-2</v>
      </c>
      <c r="AJ127" s="528">
        <f t="shared" si="130"/>
        <v>3.9170824371402457E-2</v>
      </c>
      <c r="AK127" s="528">
        <f t="shared" si="130"/>
        <v>3.7741780472265361E-2</v>
      </c>
      <c r="AL127" s="528">
        <f t="shared" si="130"/>
        <v>3.6065779005822599E-2</v>
      </c>
      <c r="AM127" s="528">
        <f t="shared" si="130"/>
        <v>3.41807439154206E-2</v>
      </c>
      <c r="AN127" s="528">
        <f t="shared" si="130"/>
        <v>3.2127798262070482E-2</v>
      </c>
      <c r="AO127" s="528">
        <f t="shared" si="130"/>
        <v>2.9949782839754153E-2</v>
      </c>
      <c r="AP127" s="528">
        <f t="shared" si="130"/>
        <v>2.7689789316935526E-2</v>
      </c>
      <c r="AQ127" s="528">
        <f t="shared" si="130"/>
        <v>2.5389776899162816E-2</v>
      </c>
      <c r="AR127" s="528">
        <f t="shared" si="130"/>
        <v>2.3089332491690311E-2</v>
      </c>
      <c r="AS127" s="528">
        <f t="shared" si="130"/>
        <v>2.0824622149807546E-2</v>
      </c>
      <c r="AT127" s="528">
        <f t="shared" si="130"/>
        <v>1.8627567326311583E-2</v>
      </c>
      <c r="AU127" s="528">
        <f t="shared" si="130"/>
        <v>1.6525264230467566E-2</v>
      </c>
      <c r="AV127" s="528">
        <f t="shared" si="130"/>
        <v>1.4539649646011168E-2</v>
      </c>
      <c r="AW127" s="528" t="str">
        <f t="shared" si="130"/>
        <v/>
      </c>
      <c r="AX127" s="528" t="str">
        <f t="shared" si="130"/>
        <v/>
      </c>
      <c r="AY127" s="528" t="str">
        <f t="shared" si="130"/>
        <v/>
      </c>
      <c r="AZ127" s="528" t="str">
        <f t="shared" si="130"/>
        <v/>
      </c>
      <c r="BA127" s="528" t="str">
        <f t="shared" si="130"/>
        <v/>
      </c>
      <c r="BB127" s="528" t="str">
        <f t="shared" si="130"/>
        <v/>
      </c>
      <c r="BC127" s="528" t="str">
        <f t="shared" si="130"/>
        <v/>
      </c>
      <c r="BD127" s="528" t="str">
        <f t="shared" si="130"/>
        <v/>
      </c>
      <c r="BE127" s="528" t="str">
        <f t="shared" si="130"/>
        <v/>
      </c>
      <c r="BF127" s="528" t="str">
        <f t="shared" si="130"/>
        <v/>
      </c>
      <c r="BG127" s="528" t="str">
        <f t="shared" si="130"/>
        <v/>
      </c>
      <c r="BH127" s="528" t="str">
        <f t="shared" si="130"/>
        <v/>
      </c>
      <c r="BI127" s="528" t="str">
        <f t="shared" si="130"/>
        <v/>
      </c>
      <c r="BJ127" s="528" t="str">
        <f t="shared" si="130"/>
        <v/>
      </c>
      <c r="BK127" s="528" t="str">
        <f t="shared" si="130"/>
        <v/>
      </c>
      <c r="BL127" s="528" t="str">
        <f t="shared" si="130"/>
        <v/>
      </c>
      <c r="BM127" s="528" t="str">
        <f t="shared" si="130"/>
        <v/>
      </c>
    </row>
    <row r="128" spans="6:65" ht="15.75" customHeight="1" x14ac:dyDescent="0.25">
      <c r="F128" s="197"/>
      <c r="G128" s="197">
        <f t="shared" si="3"/>
        <v>0</v>
      </c>
      <c r="H128" s="197">
        <f t="shared" si="4"/>
        <v>343</v>
      </c>
      <c r="I128" s="523">
        <v>1</v>
      </c>
      <c r="J128" s="533">
        <f>'Monthly DCF'!$I$3</f>
        <v>46418</v>
      </c>
      <c r="K128" s="533">
        <f t="shared" si="5"/>
        <v>47422</v>
      </c>
      <c r="L128" s="536">
        <f t="shared" si="102"/>
        <v>34</v>
      </c>
      <c r="M128" s="20" t="s">
        <v>366</v>
      </c>
      <c r="N128" s="20">
        <f t="shared" si="6"/>
        <v>11.333333333333334</v>
      </c>
      <c r="O128" s="537">
        <v>3</v>
      </c>
      <c r="P128" s="528">
        <f t="shared" ref="P128:BM128" si="131">IFERROR(+IF(AND($M128="Flat",P$5&gt;=$J128,P$5&lt;=$K128),$I128/$L128,0)+IF(AND($M128="S-Curve",P$5&gt;=$J128,P$5&lt;=$K128),(_xlfn.NORM.DIST((YEAR(P$5)-YEAR($J128))*12+MONTH(P$5)-MONTH($J128)+1,$L128/2,$N128,TRUE)-_xlfn.NORM.DIST((YEAR(P$5)-YEAR($J128))*12+MONTH(P$5)-MONTH($J128),$L128/2,$N128,TRUE))/(1-2*_xlfn.NORM.DIST(0,$L128/2,$N128,TRUE))*$I128," "),"")</f>
        <v>1.4084289594129145E-2</v>
      </c>
      <c r="Q128" s="528">
        <f t="shared" si="131"/>
        <v>1.595140097704726E-2</v>
      </c>
      <c r="R128" s="528">
        <f t="shared" si="131"/>
        <v>1.7926013711975608E-2</v>
      </c>
      <c r="S128" s="528">
        <f t="shared" si="131"/>
        <v>1.9988933476865697E-2</v>
      </c>
      <c r="T128" s="528">
        <f t="shared" si="131"/>
        <v>2.2116506508134754E-2</v>
      </c>
      <c r="U128" s="528">
        <f t="shared" si="131"/>
        <v>2.4280880917507155E-2</v>
      </c>
      <c r="V128" s="528">
        <f t="shared" si="131"/>
        <v>2.6450467801265438E-2</v>
      </c>
      <c r="W128" s="528">
        <f t="shared" si="131"/>
        <v>2.8590600862667001E-2</v>
      </c>
      <c r="X128" s="528">
        <f t="shared" si="131"/>
        <v>3.0664381895540705E-2</v>
      </c>
      <c r="Y128" s="528">
        <f t="shared" si="131"/>
        <v>3.2633687813618126E-2</v>
      </c>
      <c r="Z128" s="528">
        <f t="shared" si="131"/>
        <v>3.4460303772648963E-2</v>
      </c>
      <c r="AA128" s="528">
        <f t="shared" si="131"/>
        <v>3.6107137167842203E-2</v>
      </c>
      <c r="AB128" s="528">
        <f t="shared" si="131"/>
        <v>3.7539459703164052E-2</v>
      </c>
      <c r="AC128" s="528">
        <f t="shared" si="131"/>
        <v>3.8726120011943178E-2</v>
      </c>
      <c r="AD128" s="528">
        <f t="shared" si="131"/>
        <v>3.9640667967358302E-2</v>
      </c>
      <c r="AE128" s="528">
        <f t="shared" si="131"/>
        <v>4.0262334125893119E-2</v>
      </c>
      <c r="AF128" s="528">
        <f t="shared" si="131"/>
        <v>4.0576813692399329E-2</v>
      </c>
      <c r="AG128" s="528">
        <f t="shared" si="131"/>
        <v>4.0576813692399259E-2</v>
      </c>
      <c r="AH128" s="528">
        <f t="shared" si="131"/>
        <v>4.0262334125893182E-2</v>
      </c>
      <c r="AI128" s="528">
        <f t="shared" si="131"/>
        <v>3.9640667967358302E-2</v>
      </c>
      <c r="AJ128" s="528">
        <f t="shared" si="131"/>
        <v>3.8726120011943178E-2</v>
      </c>
      <c r="AK128" s="528">
        <f t="shared" si="131"/>
        <v>3.7539459703164052E-2</v>
      </c>
      <c r="AL128" s="528">
        <f t="shared" si="131"/>
        <v>3.6107137167842203E-2</v>
      </c>
      <c r="AM128" s="528">
        <f t="shared" si="131"/>
        <v>3.4460303772648963E-2</v>
      </c>
      <c r="AN128" s="528">
        <f t="shared" si="131"/>
        <v>3.2633687813618126E-2</v>
      </c>
      <c r="AO128" s="528">
        <f t="shared" si="131"/>
        <v>3.0664381895540674E-2</v>
      </c>
      <c r="AP128" s="528">
        <f t="shared" si="131"/>
        <v>2.8590600862667067E-2</v>
      </c>
      <c r="AQ128" s="528">
        <f t="shared" si="131"/>
        <v>2.6450467801265438E-2</v>
      </c>
      <c r="AR128" s="528">
        <f t="shared" si="131"/>
        <v>2.4280880917507058E-2</v>
      </c>
      <c r="AS128" s="528">
        <f t="shared" si="131"/>
        <v>2.2116506508134851E-2</v>
      </c>
      <c r="AT128" s="528">
        <f t="shared" si="131"/>
        <v>1.9988933476865603E-2</v>
      </c>
      <c r="AU128" s="528">
        <f t="shared" si="131"/>
        <v>1.7926013711975736E-2</v>
      </c>
      <c r="AV128" s="528">
        <f t="shared" si="131"/>
        <v>1.5951400977047146E-2</v>
      </c>
      <c r="AW128" s="528">
        <f t="shared" si="131"/>
        <v>1.4084289594129161E-2</v>
      </c>
      <c r="AX128" s="528" t="str">
        <f t="shared" si="131"/>
        <v/>
      </c>
      <c r="AY128" s="528" t="str">
        <f t="shared" si="131"/>
        <v/>
      </c>
      <c r="AZ128" s="528" t="str">
        <f t="shared" si="131"/>
        <v/>
      </c>
      <c r="BA128" s="528" t="str">
        <f t="shared" si="131"/>
        <v/>
      </c>
      <c r="BB128" s="528" t="str">
        <f t="shared" si="131"/>
        <v/>
      </c>
      <c r="BC128" s="528" t="str">
        <f t="shared" si="131"/>
        <v/>
      </c>
      <c r="BD128" s="528" t="str">
        <f t="shared" si="131"/>
        <v/>
      </c>
      <c r="BE128" s="528" t="str">
        <f t="shared" si="131"/>
        <v/>
      </c>
      <c r="BF128" s="528" t="str">
        <f t="shared" si="131"/>
        <v/>
      </c>
      <c r="BG128" s="528" t="str">
        <f t="shared" si="131"/>
        <v/>
      </c>
      <c r="BH128" s="528" t="str">
        <f t="shared" si="131"/>
        <v/>
      </c>
      <c r="BI128" s="528" t="str">
        <f t="shared" si="131"/>
        <v/>
      </c>
      <c r="BJ128" s="528" t="str">
        <f t="shared" si="131"/>
        <v/>
      </c>
      <c r="BK128" s="528" t="str">
        <f t="shared" si="131"/>
        <v/>
      </c>
      <c r="BL128" s="528" t="str">
        <f t="shared" si="131"/>
        <v/>
      </c>
      <c r="BM128" s="528" t="str">
        <f t="shared" si="131"/>
        <v/>
      </c>
    </row>
    <row r="129" spans="6:65" ht="15.75" customHeight="1" x14ac:dyDescent="0.25">
      <c r="F129" s="197"/>
      <c r="G129" s="197">
        <f t="shared" si="3"/>
        <v>0</v>
      </c>
      <c r="H129" s="197">
        <f t="shared" si="4"/>
        <v>353</v>
      </c>
      <c r="I129" s="523">
        <v>1</v>
      </c>
      <c r="J129" s="533">
        <f>'Monthly DCF'!$I$3</f>
        <v>46418</v>
      </c>
      <c r="K129" s="533">
        <f t="shared" si="5"/>
        <v>47452</v>
      </c>
      <c r="L129" s="536">
        <f t="shared" si="102"/>
        <v>35</v>
      </c>
      <c r="M129" s="20" t="s">
        <v>366</v>
      </c>
      <c r="N129" s="20">
        <f t="shared" si="6"/>
        <v>11.666666666666666</v>
      </c>
      <c r="O129" s="537">
        <v>3</v>
      </c>
      <c r="P129" s="528">
        <f t="shared" ref="P129:BM129" si="132">IFERROR(+IF(AND($M129="Flat",P$5&gt;=$J129,P$5&lt;=$K129),$I129/$L129,0)+IF(AND($M129="S-Curve",P$5&gt;=$J129,P$5&lt;=$K129),(_xlfn.NORM.DIST((YEAR(P$5)-YEAR($J129))*12+MONTH(P$5)-MONTH($J129)+1,$L129/2,$N129,TRUE)-_xlfn.NORM.DIST((YEAR(P$5)-YEAR($J129))*12+MONTH(P$5)-MONTH($J129),$L129/2,$N129,TRUE))/(1-2*_xlfn.NORM.DIST(0,$L129/2,$N129,TRUE))*$I129," "),"")</f>
        <v>1.3656521558454439E-2</v>
      </c>
      <c r="Q129" s="528">
        <f t="shared" si="132"/>
        <v>1.5415407317743888E-2</v>
      </c>
      <c r="R129" s="528">
        <f t="shared" si="132"/>
        <v>1.7273531290384551E-2</v>
      </c>
      <c r="S129" s="528">
        <f t="shared" si="132"/>
        <v>1.9214030442951956E-2</v>
      </c>
      <c r="T129" s="528">
        <f t="shared" si="132"/>
        <v>2.1216172359482446E-2</v>
      </c>
      <c r="U129" s="528">
        <f t="shared" si="132"/>
        <v>2.3255560571474796E-2</v>
      </c>
      <c r="V129" s="528">
        <f t="shared" si="132"/>
        <v>2.5304502747369943E-2</v>
      </c>
      <c r="W129" s="528">
        <f t="shared" si="132"/>
        <v>2.7332541732787621E-2</v>
      </c>
      <c r="X129" s="528">
        <f t="shared" si="132"/>
        <v>2.9307140731234943E-2</v>
      </c>
      <c r="Y129" s="528">
        <f t="shared" si="132"/>
        <v>3.119450491146249E-2</v>
      </c>
      <c r="Z129" s="528">
        <f t="shared" si="132"/>
        <v>3.2960513009165249E-2</v>
      </c>
      <c r="AA129" s="528">
        <f t="shared" si="132"/>
        <v>3.4571724674118669E-2</v>
      </c>
      <c r="AB129" s="528">
        <f t="shared" si="132"/>
        <v>3.599642299712684E-2</v>
      </c>
      <c r="AC129" s="528">
        <f t="shared" si="132"/>
        <v>3.720564736269124E-2</v>
      </c>
      <c r="AD129" s="528">
        <f t="shared" si="132"/>
        <v>3.817416992356E-2</v>
      </c>
      <c r="AE129" s="528">
        <f t="shared" si="132"/>
        <v>3.8881369834170641E-2</v>
      </c>
      <c r="AF129" s="528">
        <f t="shared" si="132"/>
        <v>3.9311962975783724E-2</v>
      </c>
      <c r="AG129" s="528">
        <f t="shared" si="132"/>
        <v>3.945655112007327E-2</v>
      </c>
      <c r="AH129" s="528">
        <f t="shared" si="132"/>
        <v>3.9311962975783661E-2</v>
      </c>
      <c r="AI129" s="528">
        <f t="shared" si="132"/>
        <v>3.8881369834170641E-2</v>
      </c>
      <c r="AJ129" s="528">
        <f t="shared" si="132"/>
        <v>3.817416992356E-2</v>
      </c>
      <c r="AK129" s="528">
        <f t="shared" si="132"/>
        <v>3.720564736269124E-2</v>
      </c>
      <c r="AL129" s="528">
        <f t="shared" si="132"/>
        <v>3.599642299712684E-2</v>
      </c>
      <c r="AM129" s="528">
        <f t="shared" si="132"/>
        <v>3.4571724674118669E-2</v>
      </c>
      <c r="AN129" s="528">
        <f t="shared" si="132"/>
        <v>3.2960513009165249E-2</v>
      </c>
      <c r="AO129" s="528">
        <f t="shared" si="132"/>
        <v>3.119450491146249E-2</v>
      </c>
      <c r="AP129" s="528">
        <f t="shared" si="132"/>
        <v>2.9307140731234912E-2</v>
      </c>
      <c r="AQ129" s="528">
        <f t="shared" si="132"/>
        <v>2.7332541732787621E-2</v>
      </c>
      <c r="AR129" s="528">
        <f t="shared" si="132"/>
        <v>2.5304502747370009E-2</v>
      </c>
      <c r="AS129" s="528">
        <f t="shared" si="132"/>
        <v>2.3255560571474827E-2</v>
      </c>
      <c r="AT129" s="528">
        <f t="shared" si="132"/>
        <v>2.1216172359482428E-2</v>
      </c>
      <c r="AU129" s="528">
        <f t="shared" si="132"/>
        <v>1.921403044295189E-2</v>
      </c>
      <c r="AV129" s="528">
        <f t="shared" si="132"/>
        <v>1.7273531290384614E-2</v>
      </c>
      <c r="AW129" s="528">
        <f t="shared" si="132"/>
        <v>1.5415407317743808E-2</v>
      </c>
      <c r="AX129" s="528">
        <f t="shared" si="132"/>
        <v>1.3656521558454439E-2</v>
      </c>
      <c r="AY129" s="528" t="str">
        <f t="shared" si="132"/>
        <v/>
      </c>
      <c r="AZ129" s="528" t="str">
        <f t="shared" si="132"/>
        <v/>
      </c>
      <c r="BA129" s="528" t="str">
        <f t="shared" si="132"/>
        <v/>
      </c>
      <c r="BB129" s="528" t="str">
        <f t="shared" si="132"/>
        <v/>
      </c>
      <c r="BC129" s="528" t="str">
        <f t="shared" si="132"/>
        <v/>
      </c>
      <c r="BD129" s="528" t="str">
        <f t="shared" si="132"/>
        <v/>
      </c>
      <c r="BE129" s="528" t="str">
        <f t="shared" si="132"/>
        <v/>
      </c>
      <c r="BF129" s="528" t="str">
        <f t="shared" si="132"/>
        <v/>
      </c>
      <c r="BG129" s="528" t="str">
        <f t="shared" si="132"/>
        <v/>
      </c>
      <c r="BH129" s="528" t="str">
        <f t="shared" si="132"/>
        <v/>
      </c>
      <c r="BI129" s="528" t="str">
        <f t="shared" si="132"/>
        <v/>
      </c>
      <c r="BJ129" s="528" t="str">
        <f t="shared" si="132"/>
        <v/>
      </c>
      <c r="BK129" s="528" t="str">
        <f t="shared" si="132"/>
        <v/>
      </c>
      <c r="BL129" s="528" t="str">
        <f t="shared" si="132"/>
        <v/>
      </c>
      <c r="BM129" s="528" t="str">
        <f t="shared" si="132"/>
        <v/>
      </c>
    </row>
    <row r="130" spans="6:65" ht="15.75" customHeight="1" x14ac:dyDescent="0.25">
      <c r="F130" s="197"/>
      <c r="G130" s="197">
        <f t="shared" si="3"/>
        <v>0</v>
      </c>
      <c r="H130" s="197">
        <f t="shared" si="4"/>
        <v>363</v>
      </c>
      <c r="I130" s="523">
        <v>1</v>
      </c>
      <c r="J130" s="533">
        <f>'Monthly DCF'!$I$3</f>
        <v>46418</v>
      </c>
      <c r="K130" s="533">
        <f t="shared" si="5"/>
        <v>47483</v>
      </c>
      <c r="L130" s="536">
        <f t="shared" si="102"/>
        <v>36</v>
      </c>
      <c r="M130" s="20" t="s">
        <v>366</v>
      </c>
      <c r="N130" s="20">
        <f t="shared" si="6"/>
        <v>12</v>
      </c>
      <c r="O130" s="537">
        <v>3</v>
      </c>
      <c r="P130" s="528">
        <f t="shared" ref="P130:BM130" si="133">IFERROR(+IF(AND($M130="Flat",P$5&gt;=$J130,P$5&lt;=$K130),$I130/$L130,0)+IF(AND($M130="S-Curve",P$5&gt;=$J130,P$5&lt;=$K130),(_xlfn.NORM.DIST((YEAR(P$5)-YEAR($J130))*12+MONTH(P$5)-MONTH($J130)+1,$L130/2,$N130,TRUE)-_xlfn.NORM.DIST((YEAR(P$5)-YEAR($J130))*12+MONTH(P$5)-MONTH($J130),$L130/2,$N130,TRUE))/(1-2*_xlfn.NORM.DIST(0,$L130/2,$N130,TRUE))*$I130," "),"")</f>
        <v>1.3253916396572144E-2</v>
      </c>
      <c r="Q130" s="528">
        <f t="shared" si="133"/>
        <v>1.4913701496074315E-2</v>
      </c>
      <c r="R130" s="528">
        <f t="shared" si="133"/>
        <v>1.6665274657472511E-2</v>
      </c>
      <c r="S130" s="528">
        <f t="shared" si="133"/>
        <v>1.8493764155888465E-2</v>
      </c>
      <c r="T130" s="528">
        <f t="shared" si="133"/>
        <v>2.0380928453752906E-2</v>
      </c>
      <c r="U130" s="528">
        <f t="shared" si="133"/>
        <v>2.2305318253719283E-2</v>
      </c>
      <c r="V130" s="528">
        <f t="shared" si="133"/>
        <v>2.4242572008178781E-2</v>
      </c>
      <c r="W130" s="528">
        <f t="shared" si="133"/>
        <v>2.6165845629543147E-2</v>
      </c>
      <c r="X130" s="528">
        <f t="shared" si="133"/>
        <v>2.8046370443367143E-2</v>
      </c>
      <c r="Y130" s="528">
        <f t="shared" si="133"/>
        <v>2.9854126437253811E-2</v>
      </c>
      <c r="Z130" s="528">
        <f t="shared" si="133"/>
        <v>3.1558611007465424E-2</v>
      </c>
      <c r="AA130" s="528">
        <f t="shared" si="133"/>
        <v>3.312967714416646E-2</v>
      </c>
      <c r="AB130" s="528">
        <f t="shared" si="133"/>
        <v>3.4538409770835797E-2</v>
      </c>
      <c r="AC130" s="528">
        <f t="shared" si="133"/>
        <v>3.575800516746544E-2</v>
      </c>
      <c r="AD130" s="528">
        <f t="shared" si="133"/>
        <v>3.6764616388604392E-2</v>
      </c>
      <c r="AE130" s="528">
        <f t="shared" si="133"/>
        <v>3.7538127558077089E-2</v>
      </c>
      <c r="AF130" s="528">
        <f t="shared" si="133"/>
        <v>3.8062821975427583E-2</v>
      </c>
      <c r="AG130" s="528">
        <f t="shared" si="133"/>
        <v>3.8327913056135338E-2</v>
      </c>
      <c r="AH130" s="528">
        <f t="shared" si="133"/>
        <v>3.8327913056135275E-2</v>
      </c>
      <c r="AI130" s="528">
        <f t="shared" si="133"/>
        <v>3.8062821975427645E-2</v>
      </c>
      <c r="AJ130" s="528">
        <f t="shared" si="133"/>
        <v>3.7538127558077089E-2</v>
      </c>
      <c r="AK130" s="528">
        <f t="shared" si="133"/>
        <v>3.6764616388604454E-2</v>
      </c>
      <c r="AL130" s="528">
        <f t="shared" si="133"/>
        <v>3.5758005167465308E-2</v>
      </c>
      <c r="AM130" s="528">
        <f t="shared" si="133"/>
        <v>3.453840977083586E-2</v>
      </c>
      <c r="AN130" s="528">
        <f t="shared" si="133"/>
        <v>3.312967714416646E-2</v>
      </c>
      <c r="AO130" s="528">
        <f t="shared" si="133"/>
        <v>3.1558611007465424E-2</v>
      </c>
      <c r="AP130" s="528">
        <f t="shared" si="133"/>
        <v>2.9854126437253745E-2</v>
      </c>
      <c r="AQ130" s="528">
        <f t="shared" si="133"/>
        <v>2.8046370443367205E-2</v>
      </c>
      <c r="AR130" s="528">
        <f t="shared" si="133"/>
        <v>2.6165845629543084E-2</v>
      </c>
      <c r="AS130" s="528">
        <f t="shared" si="133"/>
        <v>2.4242572008178875E-2</v>
      </c>
      <c r="AT130" s="528">
        <f t="shared" si="133"/>
        <v>2.2305318253719186E-2</v>
      </c>
      <c r="AU130" s="528">
        <f t="shared" si="133"/>
        <v>2.0380928453752938E-2</v>
      </c>
      <c r="AV130" s="528">
        <f t="shared" si="133"/>
        <v>1.8493764155888513E-2</v>
      </c>
      <c r="AW130" s="528">
        <f t="shared" si="133"/>
        <v>1.6665274657472494E-2</v>
      </c>
      <c r="AX130" s="528">
        <f t="shared" si="133"/>
        <v>1.4913701496074266E-2</v>
      </c>
      <c r="AY130" s="528">
        <f t="shared" si="133"/>
        <v>1.325391639657216E-2</v>
      </c>
      <c r="AZ130" s="528" t="str">
        <f t="shared" si="133"/>
        <v/>
      </c>
      <c r="BA130" s="528" t="str">
        <f t="shared" si="133"/>
        <v/>
      </c>
      <c r="BB130" s="528" t="str">
        <f t="shared" si="133"/>
        <v/>
      </c>
      <c r="BC130" s="528" t="str">
        <f t="shared" si="133"/>
        <v/>
      </c>
      <c r="BD130" s="528" t="str">
        <f t="shared" si="133"/>
        <v/>
      </c>
      <c r="BE130" s="528" t="str">
        <f t="shared" si="133"/>
        <v/>
      </c>
      <c r="BF130" s="528" t="str">
        <f t="shared" si="133"/>
        <v/>
      </c>
      <c r="BG130" s="528" t="str">
        <f t="shared" si="133"/>
        <v/>
      </c>
      <c r="BH130" s="528" t="str">
        <f t="shared" si="133"/>
        <v/>
      </c>
      <c r="BI130" s="528" t="str">
        <f t="shared" si="133"/>
        <v/>
      </c>
      <c r="BJ130" s="528" t="str">
        <f t="shared" si="133"/>
        <v/>
      </c>
      <c r="BK130" s="528" t="str">
        <f t="shared" si="133"/>
        <v/>
      </c>
      <c r="BL130" s="528" t="str">
        <f t="shared" si="133"/>
        <v/>
      </c>
      <c r="BM130" s="528" t="str">
        <f t="shared" si="133"/>
        <v/>
      </c>
    </row>
    <row r="131" spans="6:65" ht="15.75" customHeight="1" x14ac:dyDescent="0.25">
      <c r="F131" s="197"/>
      <c r="G131" s="197">
        <f t="shared" si="3"/>
        <v>0</v>
      </c>
      <c r="H131" s="197">
        <f t="shared" si="4"/>
        <v>373</v>
      </c>
      <c r="I131" s="523">
        <v>1</v>
      </c>
      <c r="J131" s="533">
        <f>'Monthly DCF'!$I$3</f>
        <v>46418</v>
      </c>
      <c r="K131" s="533">
        <f t="shared" si="5"/>
        <v>47514</v>
      </c>
      <c r="L131" s="536">
        <f t="shared" si="102"/>
        <v>37</v>
      </c>
      <c r="M131" s="20" t="s">
        <v>366</v>
      </c>
      <c r="N131" s="20">
        <f t="shared" si="6"/>
        <v>12.333333333333334</v>
      </c>
      <c r="O131" s="537">
        <v>3</v>
      </c>
      <c r="P131" s="528">
        <f t="shared" ref="P131:BM131" si="134">IFERROR(+IF(AND($M131="Flat",P$5&gt;=$J131,P$5&lt;=$K131),$I131/$L131,0)+IF(AND($M131="S-Curve",P$5&gt;=$J131,P$5&lt;=$K131),(_xlfn.NORM.DIST((YEAR(P$5)-YEAR($J131))*12+MONTH(P$5)-MONTH($J131)+1,$L131/2,$N131,TRUE)-_xlfn.NORM.DIST((YEAR(P$5)-YEAR($J131))*12+MONTH(P$5)-MONTH($J131),$L131/2,$N131,TRUE))/(1-2*_xlfn.NORM.DIST(0,$L131/2,$N131,TRUE))*$I131," "),"")</f>
        <v>1.287432147774705E-2</v>
      </c>
      <c r="Q131" s="528">
        <f t="shared" si="134"/>
        <v>1.4443135125105925E-2</v>
      </c>
      <c r="R131" s="528">
        <f t="shared" si="134"/>
        <v>1.6097003877593528E-2</v>
      </c>
      <c r="S131" s="528">
        <f t="shared" si="134"/>
        <v>1.7822764657402481E-2</v>
      </c>
      <c r="T131" s="528">
        <f t="shared" si="134"/>
        <v>1.9604309299575795E-2</v>
      </c>
      <c r="U131" s="528">
        <f t="shared" si="134"/>
        <v>2.1422712964094513E-2</v>
      </c>
      <c r="V131" s="528">
        <f t="shared" si="134"/>
        <v>2.3256472463303587E-2</v>
      </c>
      <c r="W131" s="528">
        <f t="shared" si="134"/>
        <v>2.5081855667473528E-2</v>
      </c>
      <c r="X131" s="528">
        <f t="shared" si="134"/>
        <v>2.6873357956244771E-2</v>
      </c>
      <c r="Y131" s="528">
        <f t="shared" si="134"/>
        <v>2.8604256228530977E-2</v>
      </c>
      <c r="Z131" s="528">
        <f t="shared" si="134"/>
        <v>3.0247245578313809E-2</v>
      </c>
      <c r="AA131" s="528">
        <f t="shared" si="134"/>
        <v>3.1775138721795153E-2</v>
      </c>
      <c r="AB131" s="528">
        <f t="shared" si="134"/>
        <v>3.31616039559086E-2</v>
      </c>
      <c r="AC131" s="528">
        <f t="shared" si="134"/>
        <v>3.438191414801129E-2</v>
      </c>
      <c r="AD131" s="528">
        <f t="shared" si="134"/>
        <v>3.541367726158777E-2</v>
      </c>
      <c r="AE131" s="528">
        <f t="shared" si="134"/>
        <v>3.6237518401842299E-2</v>
      </c>
      <c r="AF131" s="528">
        <f t="shared" si="134"/>
        <v>3.6837684418389707E-2</v>
      </c>
      <c r="AG131" s="528">
        <f t="shared" si="134"/>
        <v>3.720254472996995E-2</v>
      </c>
      <c r="AH131" s="528">
        <f t="shared" si="134"/>
        <v>3.7324966134218603E-2</v>
      </c>
      <c r="AI131" s="528">
        <f t="shared" si="134"/>
        <v>3.7202544729970019E-2</v>
      </c>
      <c r="AJ131" s="528">
        <f t="shared" si="134"/>
        <v>3.6837684418389645E-2</v>
      </c>
      <c r="AK131" s="528">
        <f t="shared" si="134"/>
        <v>3.6237518401842361E-2</v>
      </c>
      <c r="AL131" s="528">
        <f t="shared" si="134"/>
        <v>3.5413677261587707E-2</v>
      </c>
      <c r="AM131" s="528">
        <f t="shared" si="134"/>
        <v>3.438191414801129E-2</v>
      </c>
      <c r="AN131" s="528">
        <f t="shared" si="134"/>
        <v>3.31616039559086E-2</v>
      </c>
      <c r="AO131" s="528">
        <f t="shared" si="134"/>
        <v>3.1775138721795153E-2</v>
      </c>
      <c r="AP131" s="528">
        <f t="shared" si="134"/>
        <v>3.0247245578313871E-2</v>
      </c>
      <c r="AQ131" s="528">
        <f t="shared" si="134"/>
        <v>2.860425622853088E-2</v>
      </c>
      <c r="AR131" s="528">
        <f t="shared" si="134"/>
        <v>2.6873357956244803E-2</v>
      </c>
      <c r="AS131" s="528">
        <f t="shared" si="134"/>
        <v>2.5081855667473528E-2</v>
      </c>
      <c r="AT131" s="528">
        <f t="shared" si="134"/>
        <v>2.3256472463303618E-2</v>
      </c>
      <c r="AU131" s="528">
        <f t="shared" si="134"/>
        <v>2.1422712964094513E-2</v>
      </c>
      <c r="AV131" s="528">
        <f t="shared" si="134"/>
        <v>1.9604309299575826E-2</v>
      </c>
      <c r="AW131" s="528">
        <f t="shared" si="134"/>
        <v>1.7822764657402401E-2</v>
      </c>
      <c r="AX131" s="528">
        <f t="shared" si="134"/>
        <v>1.6097003877593528E-2</v>
      </c>
      <c r="AY131" s="528">
        <f t="shared" si="134"/>
        <v>1.4443135125105925E-2</v>
      </c>
      <c r="AZ131" s="528">
        <f t="shared" si="134"/>
        <v>1.2874321477747032E-2</v>
      </c>
      <c r="BA131" s="528" t="str">
        <f t="shared" si="134"/>
        <v/>
      </c>
      <c r="BB131" s="528" t="str">
        <f t="shared" si="134"/>
        <v/>
      </c>
      <c r="BC131" s="528" t="str">
        <f t="shared" si="134"/>
        <v/>
      </c>
      <c r="BD131" s="528" t="str">
        <f t="shared" si="134"/>
        <v/>
      </c>
      <c r="BE131" s="528" t="str">
        <f t="shared" si="134"/>
        <v/>
      </c>
      <c r="BF131" s="528" t="str">
        <f t="shared" si="134"/>
        <v/>
      </c>
      <c r="BG131" s="528" t="str">
        <f t="shared" si="134"/>
        <v/>
      </c>
      <c r="BH131" s="528" t="str">
        <f t="shared" si="134"/>
        <v/>
      </c>
      <c r="BI131" s="528" t="str">
        <f t="shared" si="134"/>
        <v/>
      </c>
      <c r="BJ131" s="528" t="str">
        <f t="shared" si="134"/>
        <v/>
      </c>
      <c r="BK131" s="528" t="str">
        <f t="shared" si="134"/>
        <v/>
      </c>
      <c r="BL131" s="528" t="str">
        <f t="shared" si="134"/>
        <v/>
      </c>
      <c r="BM131" s="528" t="str">
        <f t="shared" si="134"/>
        <v/>
      </c>
    </row>
    <row r="132" spans="6:65" ht="15.75" customHeight="1" x14ac:dyDescent="0.25">
      <c r="F132" s="197"/>
      <c r="G132" s="197">
        <f t="shared" si="3"/>
        <v>0</v>
      </c>
      <c r="H132" s="197">
        <f t="shared" si="4"/>
        <v>383</v>
      </c>
      <c r="I132" s="523">
        <v>1</v>
      </c>
      <c r="J132" s="533">
        <f>'Monthly DCF'!$I$3</f>
        <v>46418</v>
      </c>
      <c r="K132" s="533">
        <f t="shared" si="5"/>
        <v>47542</v>
      </c>
      <c r="L132" s="536">
        <f t="shared" si="102"/>
        <v>38</v>
      </c>
      <c r="M132" s="20" t="s">
        <v>366</v>
      </c>
      <c r="N132" s="20">
        <f t="shared" si="6"/>
        <v>12.666666666666666</v>
      </c>
      <c r="O132" s="537">
        <v>3</v>
      </c>
      <c r="P132" s="528">
        <f t="shared" ref="P132:BM132" si="135">IFERROR(+IF(AND($M132="Flat",P$5&gt;=$J132,P$5&lt;=$K132),$I132/$L132,0)+IF(AND($M132="S-Curve",P$5&gt;=$J132,P$5&lt;=$K132),(_xlfn.NORM.DIST((YEAR(P$5)-YEAR($J132))*12+MONTH(P$5)-MONTH($J132)+1,$L132/2,$N132,TRUE)-_xlfn.NORM.DIST((YEAR(P$5)-YEAR($J132))*12+MONTH(P$5)-MONTH($J132),$L132/2,$N132,TRUE))/(1-2*_xlfn.NORM.DIST(0,$L132/2,$N132,TRUE))*$I132," "),"")</f>
        <v>1.2515822488814403E-2</v>
      </c>
      <c r="Q132" s="528">
        <f t="shared" si="135"/>
        <v>1.4000930103353508E-2</v>
      </c>
      <c r="R132" s="528">
        <f t="shared" si="135"/>
        <v>1.5564994201838322E-2</v>
      </c>
      <c r="S132" s="528">
        <f t="shared" si="135"/>
        <v>1.7196324123575909E-2</v>
      </c>
      <c r="T132" s="528">
        <f t="shared" si="135"/>
        <v>1.8880646658722623E-2</v>
      </c>
      <c r="U132" s="528">
        <f t="shared" si="135"/>
        <v>2.0601208172683766E-2</v>
      </c>
      <c r="V132" s="528">
        <f t="shared" si="135"/>
        <v>2.2338967694833015E-2</v>
      </c>
      <c r="W132" s="528">
        <f t="shared" si="135"/>
        <v>2.4072882339115354E-2</v>
      </c>
      <c r="X132" s="528">
        <f t="shared" si="135"/>
        <v>2.5780282372510489E-2</v>
      </c>
      <c r="Y132" s="528">
        <f t="shared" si="135"/>
        <v>2.7437328966655398E-2</v>
      </c>
      <c r="Z132" s="528">
        <f t="shared" si="135"/>
        <v>2.9019543386014087E-2</v>
      </c>
      <c r="AA132" s="528">
        <f t="shared" si="135"/>
        <v>3.0502392329918727E-2</v>
      </c>
      <c r="AB132" s="528">
        <f t="shared" si="135"/>
        <v>3.1861910606014218E-2</v>
      </c>
      <c r="AC132" s="528">
        <f t="shared" si="135"/>
        <v>3.307533950553717E-2</v>
      </c>
      <c r="AD132" s="528">
        <f t="shared" si="135"/>
        <v>3.4121757381455273E-2</v>
      </c>
      <c r="AE132" s="528">
        <f t="shared" si="135"/>
        <v>3.4982678156062132E-2</v>
      </c>
      <c r="AF132" s="528">
        <f t="shared" si="135"/>
        <v>3.5642593901325306E-2</v>
      </c>
      <c r="AG132" s="528">
        <f t="shared" si="135"/>
        <v>3.6089439268486831E-2</v>
      </c>
      <c r="AH132" s="528">
        <f t="shared" si="135"/>
        <v>3.6314958343083494E-2</v>
      </c>
      <c r="AI132" s="528">
        <f t="shared" si="135"/>
        <v>3.6314958343083431E-2</v>
      </c>
      <c r="AJ132" s="528">
        <f t="shared" si="135"/>
        <v>3.6089439268486963E-2</v>
      </c>
      <c r="AK132" s="528">
        <f t="shared" si="135"/>
        <v>3.5642593901325237E-2</v>
      </c>
      <c r="AL132" s="528">
        <f t="shared" si="135"/>
        <v>3.4982678156062069E-2</v>
      </c>
      <c r="AM132" s="528">
        <f t="shared" si="135"/>
        <v>3.4121757381455335E-2</v>
      </c>
      <c r="AN132" s="528">
        <f t="shared" si="135"/>
        <v>3.307533950553717E-2</v>
      </c>
      <c r="AO132" s="528">
        <f t="shared" si="135"/>
        <v>3.1861910606014218E-2</v>
      </c>
      <c r="AP132" s="528">
        <f t="shared" si="135"/>
        <v>3.0502392329918727E-2</v>
      </c>
      <c r="AQ132" s="528">
        <f t="shared" si="135"/>
        <v>2.9019543386014087E-2</v>
      </c>
      <c r="AR132" s="528">
        <f t="shared" si="135"/>
        <v>2.7437328966655398E-2</v>
      </c>
      <c r="AS132" s="528">
        <f t="shared" si="135"/>
        <v>2.5780282372510521E-2</v>
      </c>
      <c r="AT132" s="528">
        <f t="shared" si="135"/>
        <v>2.4072882339115319E-2</v>
      </c>
      <c r="AU132" s="528">
        <f t="shared" si="135"/>
        <v>2.2338967694833081E-2</v>
      </c>
      <c r="AV132" s="528">
        <f t="shared" si="135"/>
        <v>2.0601208172683735E-2</v>
      </c>
      <c r="AW132" s="528">
        <f t="shared" si="135"/>
        <v>1.8880646658722623E-2</v>
      </c>
      <c r="AX132" s="528">
        <f t="shared" si="135"/>
        <v>1.7196324123575909E-2</v>
      </c>
      <c r="AY132" s="528">
        <f t="shared" si="135"/>
        <v>1.556499420183829E-2</v>
      </c>
      <c r="AZ132" s="528">
        <f t="shared" si="135"/>
        <v>1.4000930103353461E-2</v>
      </c>
      <c r="BA132" s="528">
        <f t="shared" si="135"/>
        <v>1.2515822488814419E-2</v>
      </c>
      <c r="BB132" s="528" t="str">
        <f t="shared" si="135"/>
        <v/>
      </c>
      <c r="BC132" s="528" t="str">
        <f t="shared" si="135"/>
        <v/>
      </c>
      <c r="BD132" s="528" t="str">
        <f t="shared" si="135"/>
        <v/>
      </c>
      <c r="BE132" s="528" t="str">
        <f t="shared" si="135"/>
        <v/>
      </c>
      <c r="BF132" s="528" t="str">
        <f t="shared" si="135"/>
        <v/>
      </c>
      <c r="BG132" s="528" t="str">
        <f t="shared" si="135"/>
        <v/>
      </c>
      <c r="BH132" s="528" t="str">
        <f t="shared" si="135"/>
        <v/>
      </c>
      <c r="BI132" s="528" t="str">
        <f t="shared" si="135"/>
        <v/>
      </c>
      <c r="BJ132" s="528" t="str">
        <f t="shared" si="135"/>
        <v/>
      </c>
      <c r="BK132" s="528" t="str">
        <f t="shared" si="135"/>
        <v/>
      </c>
      <c r="BL132" s="528" t="str">
        <f t="shared" si="135"/>
        <v/>
      </c>
      <c r="BM132" s="528" t="str">
        <f t="shared" si="135"/>
        <v/>
      </c>
    </row>
    <row r="133" spans="6:65" ht="15.75" customHeight="1" x14ac:dyDescent="0.25">
      <c r="F133" s="197"/>
      <c r="G133" s="197">
        <f t="shared" si="3"/>
        <v>0</v>
      </c>
      <c r="H133" s="197">
        <f t="shared" si="4"/>
        <v>393</v>
      </c>
      <c r="I133" s="523">
        <v>1</v>
      </c>
      <c r="J133" s="533">
        <f>'Monthly DCF'!$I$3</f>
        <v>46418</v>
      </c>
      <c r="K133" s="533">
        <f t="shared" si="5"/>
        <v>47573</v>
      </c>
      <c r="L133" s="536">
        <f t="shared" si="102"/>
        <v>39</v>
      </c>
      <c r="M133" s="20" t="s">
        <v>366</v>
      </c>
      <c r="N133" s="20">
        <f t="shared" si="6"/>
        <v>13</v>
      </c>
      <c r="O133" s="537">
        <v>3</v>
      </c>
      <c r="P133" s="528">
        <f t="shared" ref="P133:BM133" si="136">IFERROR(+IF(AND($M133="Flat",P$5&gt;=$J133,P$5&lt;=$K133),$I133/$L133,0)+IF(AND($M133="S-Curve",P$5&gt;=$J133,P$5&lt;=$K133),(_xlfn.NORM.DIST((YEAR(P$5)-YEAR($J133))*12+MONTH(P$5)-MONTH($J133)+1,$L133/2,$N133,TRUE)-_xlfn.NORM.DIST((YEAR(P$5)-YEAR($J133))*12+MONTH(P$5)-MONTH($J133),$L133/2,$N133,TRUE))/(1-2*_xlfn.NORM.DIST(0,$L133/2,$N133,TRUE))*$I133," "),"")</f>
        <v>1.2176711391793991E-2</v>
      </c>
      <c r="Q133" s="528">
        <f t="shared" si="136"/>
        <v>1.3584626163385552E-2</v>
      </c>
      <c r="R133" s="528">
        <f t="shared" si="136"/>
        <v>1.506596127302314E-2</v>
      </c>
      <c r="S133" s="528">
        <f t="shared" si="136"/>
        <v>1.6610300078200482E-2</v>
      </c>
      <c r="T133" s="528">
        <f t="shared" si="136"/>
        <v>1.8204954027044248E-2</v>
      </c>
      <c r="U133" s="528">
        <f t="shared" si="136"/>
        <v>1.9835044140092756E-2</v>
      </c>
      <c r="V133" s="528">
        <f t="shared" si="136"/>
        <v>2.1483658120792601E-2</v>
      </c>
      <c r="W133" s="528">
        <f t="shared" si="136"/>
        <v>2.313208453228428E-2</v>
      </c>
      <c r="X133" s="528">
        <f t="shared" si="136"/>
        <v>2.4760122299633237E-2</v>
      </c>
      <c r="Y133" s="528">
        <f t="shared" si="136"/>
        <v>2.6346460420110164E-2</v>
      </c>
      <c r="Z133" s="528">
        <f t="shared" si="136"/>
        <v>2.7869119357963806E-2</v>
      </c>
      <c r="AA133" s="528">
        <f t="shared" si="136"/>
        <v>2.9305942348727111E-2</v>
      </c>
      <c r="AB133" s="528">
        <f t="shared" si="136"/>
        <v>3.063512193040303E-2</v>
      </c>
      <c r="AC133" s="528">
        <f t="shared" si="136"/>
        <v>3.1835744636310497E-2</v>
      </c>
      <c r="AD133" s="528">
        <f t="shared" si="136"/>
        <v>3.2888335088212442E-2</v>
      </c>
      <c r="AE133" s="528">
        <f t="shared" si="136"/>
        <v>3.3775379847768114E-2</v>
      </c>
      <c r="AF133" s="528">
        <f t="shared" si="136"/>
        <v>3.4481811406276777E-2</v>
      </c>
      <c r="AG133" s="528">
        <f t="shared" si="136"/>
        <v>3.4995433653880657E-2</v>
      </c>
      <c r="AH133" s="528">
        <f t="shared" si="136"/>
        <v>3.5307272052050503E-2</v>
      </c>
      <c r="AI133" s="528">
        <f t="shared" si="136"/>
        <v>3.5411834464093302E-2</v>
      </c>
      <c r="AJ133" s="528">
        <f t="shared" si="136"/>
        <v>3.5307272052050566E-2</v>
      </c>
      <c r="AK133" s="528">
        <f t="shared" si="136"/>
        <v>3.4995433653880595E-2</v>
      </c>
      <c r="AL133" s="528">
        <f t="shared" si="136"/>
        <v>3.4481811406276715E-2</v>
      </c>
      <c r="AM133" s="528">
        <f t="shared" si="136"/>
        <v>3.3775379847768114E-2</v>
      </c>
      <c r="AN133" s="528">
        <f t="shared" si="136"/>
        <v>3.2888335088212574E-2</v>
      </c>
      <c r="AO133" s="528">
        <f t="shared" si="136"/>
        <v>3.1835744636310434E-2</v>
      </c>
      <c r="AP133" s="528">
        <f t="shared" si="136"/>
        <v>3.063512193040303E-2</v>
      </c>
      <c r="AQ133" s="528">
        <f t="shared" si="136"/>
        <v>2.9305942348727111E-2</v>
      </c>
      <c r="AR133" s="528">
        <f t="shared" si="136"/>
        <v>2.7869119357963806E-2</v>
      </c>
      <c r="AS133" s="528">
        <f t="shared" si="136"/>
        <v>2.6346460420110098E-2</v>
      </c>
      <c r="AT133" s="528">
        <f t="shared" si="136"/>
        <v>2.47601222996333E-2</v>
      </c>
      <c r="AU133" s="528">
        <f t="shared" si="136"/>
        <v>2.3132084532284214E-2</v>
      </c>
      <c r="AV133" s="528">
        <f t="shared" si="136"/>
        <v>2.1483658120792632E-2</v>
      </c>
      <c r="AW133" s="528">
        <f t="shared" si="136"/>
        <v>1.9835044140092819E-2</v>
      </c>
      <c r="AX133" s="528">
        <f t="shared" si="136"/>
        <v>1.8204954027044262E-2</v>
      </c>
      <c r="AY133" s="528">
        <f t="shared" si="136"/>
        <v>1.6610300078200482E-2</v>
      </c>
      <c r="AZ133" s="528">
        <f t="shared" si="136"/>
        <v>1.5065961273023155E-2</v>
      </c>
      <c r="BA133" s="528">
        <f t="shared" si="136"/>
        <v>1.3584626163385552E-2</v>
      </c>
      <c r="BB133" s="528">
        <f t="shared" si="136"/>
        <v>1.2176711391793894E-2</v>
      </c>
      <c r="BC133" s="528" t="str">
        <f t="shared" si="136"/>
        <v/>
      </c>
      <c r="BD133" s="528" t="str">
        <f t="shared" si="136"/>
        <v/>
      </c>
      <c r="BE133" s="528" t="str">
        <f t="shared" si="136"/>
        <v/>
      </c>
      <c r="BF133" s="528" t="str">
        <f t="shared" si="136"/>
        <v/>
      </c>
      <c r="BG133" s="528" t="str">
        <f t="shared" si="136"/>
        <v/>
      </c>
      <c r="BH133" s="528" t="str">
        <f t="shared" si="136"/>
        <v/>
      </c>
      <c r="BI133" s="528" t="str">
        <f t="shared" si="136"/>
        <v/>
      </c>
      <c r="BJ133" s="528" t="str">
        <f t="shared" si="136"/>
        <v/>
      </c>
      <c r="BK133" s="528" t="str">
        <f t="shared" si="136"/>
        <v/>
      </c>
      <c r="BL133" s="528" t="str">
        <f t="shared" si="136"/>
        <v/>
      </c>
      <c r="BM133" s="528" t="str">
        <f t="shared" si="136"/>
        <v/>
      </c>
    </row>
    <row r="134" spans="6:65" ht="15.75" customHeight="1" x14ac:dyDescent="0.25">
      <c r="F134" s="197"/>
      <c r="G134" s="197">
        <f t="shared" si="3"/>
        <v>0</v>
      </c>
      <c r="H134" s="197">
        <f t="shared" si="4"/>
        <v>403</v>
      </c>
      <c r="I134" s="523">
        <v>1</v>
      </c>
      <c r="J134" s="533">
        <f>'Monthly DCF'!$I$3</f>
        <v>46418</v>
      </c>
      <c r="K134" s="533">
        <f t="shared" si="5"/>
        <v>47603</v>
      </c>
      <c r="L134" s="536">
        <f t="shared" si="102"/>
        <v>40</v>
      </c>
      <c r="M134" s="20" t="s">
        <v>366</v>
      </c>
      <c r="N134" s="20">
        <f t="shared" si="6"/>
        <v>13.333333333333334</v>
      </c>
      <c r="O134" s="537">
        <v>3</v>
      </c>
      <c r="P134" s="528">
        <f t="shared" ref="P134:BM134" si="137">IFERROR(+IF(AND($M134="Flat",P$5&gt;=$J134,P$5&lt;=$K134),$I134/$L134,0)+IF(AND($M134="S-Curve",P$5&gt;=$J134,P$5&lt;=$K134),(_xlfn.NORM.DIST((YEAR(P$5)-YEAR($J134))*12+MONTH(P$5)-MONTH($J134)+1,$L134/2,$N134,TRUE)-_xlfn.NORM.DIST((YEAR(P$5)-YEAR($J134))*12+MONTH(P$5)-MONTH($J134),$L134/2,$N134,TRUE))/(1-2*_xlfn.NORM.DIST(0,$L134/2,$N134,TRUE))*$I134," "),"")</f>
        <v>1.185545940895094E-2</v>
      </c>
      <c r="Q134" s="528">
        <f t="shared" si="137"/>
        <v>1.319203703155708E-2</v>
      </c>
      <c r="R134" s="528">
        <f t="shared" si="137"/>
        <v>1.4596998836576801E-2</v>
      </c>
      <c r="S134" s="528">
        <f t="shared" si="137"/>
        <v>1.6061034794300304E-2</v>
      </c>
      <c r="T134" s="528">
        <f t="shared" si="137"/>
        <v>1.7572830111321554E-2</v>
      </c>
      <c r="U134" s="528">
        <f t="shared" si="137"/>
        <v>1.9119130428305889E-2</v>
      </c>
      <c r="V134" s="528">
        <f t="shared" si="137"/>
        <v>2.0684870174327366E-2</v>
      </c>
      <c r="W134" s="528">
        <f t="shared" si="137"/>
        <v>2.2253365502522084E-2</v>
      </c>
      <c r="X134" s="528">
        <f t="shared" si="137"/>
        <v>2.3806570724291199E-2</v>
      </c>
      <c r="Y134" s="528">
        <f t="shared" si="137"/>
        <v>2.5325394482415477E-2</v>
      </c>
      <c r="Z134" s="528">
        <f t="shared" si="137"/>
        <v>2.6790069182699189E-2</v>
      </c>
      <c r="AA134" s="528">
        <f t="shared" si="137"/>
        <v>2.8180564577493971E-2</v>
      </c>
      <c r="AB134" s="528">
        <f t="shared" si="137"/>
        <v>2.9477034005905248E-2</v>
      </c>
      <c r="AC134" s="528">
        <f t="shared" si="137"/>
        <v>3.0660279784233815E-2</v>
      </c>
      <c r="AD134" s="528">
        <f t="shared" si="137"/>
        <v>3.1712222732964104E-2</v>
      </c>
      <c r="AE134" s="528">
        <f t="shared" si="137"/>
        <v>3.2616359928584047E-2</v>
      </c>
      <c r="AF134" s="528">
        <f t="shared" si="137"/>
        <v>3.335819455549198E-2</v>
      </c>
      <c r="AG134" s="528">
        <f t="shared" si="137"/>
        <v>3.3925622245546037E-2</v>
      </c>
      <c r="AH134" s="528">
        <f t="shared" si="137"/>
        <v>3.4309259531108201E-2</v>
      </c>
      <c r="AI134" s="528">
        <f t="shared" si="137"/>
        <v>3.4502701961404751E-2</v>
      </c>
      <c r="AJ134" s="528">
        <f t="shared" si="137"/>
        <v>3.4502701961404814E-2</v>
      </c>
      <c r="AK134" s="528">
        <f t="shared" si="137"/>
        <v>3.4309259531108138E-2</v>
      </c>
      <c r="AL134" s="528">
        <f t="shared" si="137"/>
        <v>3.3925622245546037E-2</v>
      </c>
      <c r="AM134" s="528">
        <f t="shared" si="137"/>
        <v>3.335819455549198E-2</v>
      </c>
      <c r="AN134" s="528">
        <f t="shared" si="137"/>
        <v>3.2616359928584047E-2</v>
      </c>
      <c r="AO134" s="528">
        <f t="shared" si="137"/>
        <v>3.1712222732964035E-2</v>
      </c>
      <c r="AP134" s="528">
        <f t="shared" si="137"/>
        <v>3.0660279784233878E-2</v>
      </c>
      <c r="AQ134" s="528">
        <f t="shared" si="137"/>
        <v>2.9477034005905248E-2</v>
      </c>
      <c r="AR134" s="528">
        <f t="shared" si="137"/>
        <v>2.8180564577493971E-2</v>
      </c>
      <c r="AS134" s="528">
        <f t="shared" si="137"/>
        <v>2.6790069182699126E-2</v>
      </c>
      <c r="AT134" s="528">
        <f t="shared" si="137"/>
        <v>2.5325394482415574E-2</v>
      </c>
      <c r="AU134" s="528">
        <f t="shared" si="137"/>
        <v>2.3806570724291137E-2</v>
      </c>
      <c r="AV134" s="528">
        <f t="shared" si="137"/>
        <v>2.2253365502522115E-2</v>
      </c>
      <c r="AW134" s="528">
        <f t="shared" si="137"/>
        <v>2.0684870174327397E-2</v>
      </c>
      <c r="AX134" s="528">
        <f t="shared" si="137"/>
        <v>1.9119130428305826E-2</v>
      </c>
      <c r="AY134" s="528">
        <f t="shared" si="137"/>
        <v>1.7572830111321651E-2</v>
      </c>
      <c r="AZ134" s="528">
        <f t="shared" si="137"/>
        <v>1.606103479430019E-2</v>
      </c>
      <c r="BA134" s="528">
        <f t="shared" si="137"/>
        <v>1.4596998836576801E-2</v>
      </c>
      <c r="BB134" s="528">
        <f t="shared" si="137"/>
        <v>1.3192037031557175E-2</v>
      </c>
      <c r="BC134" s="528">
        <f t="shared" si="137"/>
        <v>1.185545940895086E-2</v>
      </c>
      <c r="BD134" s="528" t="str">
        <f t="shared" si="137"/>
        <v/>
      </c>
      <c r="BE134" s="528" t="str">
        <f t="shared" si="137"/>
        <v/>
      </c>
      <c r="BF134" s="528" t="str">
        <f t="shared" si="137"/>
        <v/>
      </c>
      <c r="BG134" s="528" t="str">
        <f t="shared" si="137"/>
        <v/>
      </c>
      <c r="BH134" s="528" t="str">
        <f t="shared" si="137"/>
        <v/>
      </c>
      <c r="BI134" s="528" t="str">
        <f t="shared" si="137"/>
        <v/>
      </c>
      <c r="BJ134" s="528" t="str">
        <f t="shared" si="137"/>
        <v/>
      </c>
      <c r="BK134" s="528" t="str">
        <f t="shared" si="137"/>
        <v/>
      </c>
      <c r="BL134" s="528" t="str">
        <f t="shared" si="137"/>
        <v/>
      </c>
      <c r="BM134" s="528" t="str">
        <f t="shared" si="137"/>
        <v/>
      </c>
    </row>
    <row r="135" spans="6:65" ht="15.75" customHeight="1" x14ac:dyDescent="0.25">
      <c r="F135" s="197"/>
      <c r="G135" s="197">
        <f t="shared" si="3"/>
        <v>0</v>
      </c>
      <c r="H135" s="197">
        <f t="shared" si="4"/>
        <v>413</v>
      </c>
      <c r="I135" s="523">
        <v>1</v>
      </c>
      <c r="J135" s="533">
        <f>'Monthly DCF'!$I$3</f>
        <v>46418</v>
      </c>
      <c r="K135" s="533">
        <f t="shared" si="5"/>
        <v>47634</v>
      </c>
      <c r="L135" s="536">
        <f t="shared" si="102"/>
        <v>41</v>
      </c>
      <c r="M135" s="20" t="s">
        <v>366</v>
      </c>
      <c r="N135" s="20">
        <f t="shared" si="6"/>
        <v>13.666666666666666</v>
      </c>
      <c r="O135" s="537">
        <v>3</v>
      </c>
      <c r="P135" s="528">
        <f t="shared" ref="P135:BM135" si="138">IFERROR(+IF(AND($M135="Flat",P$5&gt;=$J135,P$5&lt;=$K135),$I135/$L135,0)+IF(AND($M135="S-Curve",P$5&gt;=$J135,P$5&lt;=$K135),(_xlfn.NORM.DIST((YEAR(P$5)-YEAR($J135))*12+MONTH(P$5)-MONTH($J135)+1,$L135/2,$N135,TRUE)-_xlfn.NORM.DIST((YEAR(P$5)-YEAR($J135))*12+MONTH(P$5)-MONTH($J135),$L135/2,$N135,TRUE))/(1-2*_xlfn.NORM.DIST(0,$L135/2,$N135,TRUE))*$I135," "),"")</f>
        <v>1.1550694139608315E-2</v>
      </c>
      <c r="Q135" s="528">
        <f t="shared" si="138"/>
        <v>1.282121360274341E-2</v>
      </c>
      <c r="R135" s="528">
        <f t="shared" si="138"/>
        <v>1.4155526608761879E-2</v>
      </c>
      <c r="S135" s="528">
        <f t="shared" si="138"/>
        <v>1.5545287860087747E-2</v>
      </c>
      <c r="T135" s="528">
        <f t="shared" si="138"/>
        <v>1.6980377842477894E-2</v>
      </c>
      <c r="U135" s="528">
        <f t="shared" si="138"/>
        <v>1.844895512230034E-2</v>
      </c>
      <c r="V135" s="528">
        <f t="shared" si="138"/>
        <v>1.9937561608253575E-2</v>
      </c>
      <c r="W135" s="528">
        <f t="shared" si="138"/>
        <v>2.1431282140591583E-2</v>
      </c>
      <c r="X135" s="528">
        <f t="shared" si="138"/>
        <v>2.2913957781958778E-2</v>
      </c>
      <c r="Y135" s="528">
        <f t="shared" si="138"/>
        <v>2.4368450051349282E-2</v>
      </c>
      <c r="Z135" s="528">
        <f t="shared" si="138"/>
        <v>2.5776951160505927E-2</v>
      </c>
      <c r="AA135" s="528">
        <f t="shared" si="138"/>
        <v>2.7121333184688852E-2</v>
      </c>
      <c r="AB135" s="528">
        <f t="shared" si="138"/>
        <v>2.8383527136249195E-2</v>
      </c>
      <c r="AC135" s="528">
        <f t="shared" si="138"/>
        <v>2.9545921217562793E-2</v>
      </c>
      <c r="AD135" s="528">
        <f t="shared" si="138"/>
        <v>3.0591766209165205E-2</v>
      </c>
      <c r="AE135" s="528">
        <f t="shared" si="138"/>
        <v>3.1505575084562094E-2</v>
      </c>
      <c r="AF135" s="528">
        <f t="shared" si="138"/>
        <v>3.2273503599811071E-2</v>
      </c>
      <c r="AG135" s="528">
        <f t="shared" si="138"/>
        <v>3.2883698823087476E-2</v>
      </c>
      <c r="AH135" s="528">
        <f t="shared" si="138"/>
        <v>3.3326603357762184E-2</v>
      </c>
      <c r="AI135" s="528">
        <f t="shared" si="138"/>
        <v>3.3595204352365703E-2</v>
      </c>
      <c r="AJ135" s="528">
        <f t="shared" si="138"/>
        <v>3.3685218232213439E-2</v>
      </c>
      <c r="AK135" s="528">
        <f t="shared" si="138"/>
        <v>3.3595204352365703E-2</v>
      </c>
      <c r="AL135" s="528">
        <f t="shared" si="138"/>
        <v>3.3326603357762184E-2</v>
      </c>
      <c r="AM135" s="528">
        <f t="shared" si="138"/>
        <v>3.2883698823087476E-2</v>
      </c>
      <c r="AN135" s="528">
        <f t="shared" si="138"/>
        <v>3.2273503599811071E-2</v>
      </c>
      <c r="AO135" s="528">
        <f t="shared" si="138"/>
        <v>3.1505575084562094E-2</v>
      </c>
      <c r="AP135" s="528">
        <f t="shared" si="138"/>
        <v>3.0591766209165205E-2</v>
      </c>
      <c r="AQ135" s="528">
        <f t="shared" si="138"/>
        <v>2.9545921217562731E-2</v>
      </c>
      <c r="AR135" s="528">
        <f t="shared" si="138"/>
        <v>2.8383527136249195E-2</v>
      </c>
      <c r="AS135" s="528">
        <f t="shared" si="138"/>
        <v>2.7121333184688918E-2</v>
      </c>
      <c r="AT135" s="528">
        <f t="shared" si="138"/>
        <v>2.5776951160505993E-2</v>
      </c>
      <c r="AU135" s="528">
        <f t="shared" si="138"/>
        <v>2.4368450051349251E-2</v>
      </c>
      <c r="AV135" s="528">
        <f t="shared" si="138"/>
        <v>2.2913957781958746E-2</v>
      </c>
      <c r="AW135" s="528">
        <f t="shared" si="138"/>
        <v>2.1431282140591645E-2</v>
      </c>
      <c r="AX135" s="528">
        <f t="shared" si="138"/>
        <v>1.9937561608253544E-2</v>
      </c>
      <c r="AY135" s="528">
        <f t="shared" si="138"/>
        <v>1.8448955122300242E-2</v>
      </c>
      <c r="AZ135" s="528">
        <f t="shared" si="138"/>
        <v>1.6980377842477912E-2</v>
      </c>
      <c r="BA135" s="528">
        <f t="shared" si="138"/>
        <v>1.5545287860087858E-2</v>
      </c>
      <c r="BB135" s="528">
        <f t="shared" si="138"/>
        <v>1.41555266087618E-2</v>
      </c>
      <c r="BC135" s="528">
        <f t="shared" si="138"/>
        <v>1.2821213602743362E-2</v>
      </c>
      <c r="BD135" s="528">
        <f t="shared" si="138"/>
        <v>1.1550694139608346E-2</v>
      </c>
      <c r="BE135" s="528" t="str">
        <f t="shared" si="138"/>
        <v/>
      </c>
      <c r="BF135" s="528" t="str">
        <f t="shared" si="138"/>
        <v/>
      </c>
      <c r="BG135" s="528" t="str">
        <f t="shared" si="138"/>
        <v/>
      </c>
      <c r="BH135" s="528" t="str">
        <f t="shared" si="138"/>
        <v/>
      </c>
      <c r="BI135" s="528" t="str">
        <f t="shared" si="138"/>
        <v/>
      </c>
      <c r="BJ135" s="528" t="str">
        <f t="shared" si="138"/>
        <v/>
      </c>
      <c r="BK135" s="528" t="str">
        <f t="shared" si="138"/>
        <v/>
      </c>
      <c r="BL135" s="528" t="str">
        <f t="shared" si="138"/>
        <v/>
      </c>
      <c r="BM135" s="528" t="str">
        <f t="shared" si="138"/>
        <v/>
      </c>
    </row>
    <row r="136" spans="6:65" ht="15.75" customHeight="1" x14ac:dyDescent="0.25">
      <c r="F136" s="197"/>
      <c r="G136" s="197">
        <f t="shared" si="3"/>
        <v>0</v>
      </c>
      <c r="H136" s="197">
        <f t="shared" si="4"/>
        <v>423</v>
      </c>
      <c r="I136" s="523">
        <v>1</v>
      </c>
      <c r="J136" s="533">
        <f>'Monthly DCF'!$I$3</f>
        <v>46418</v>
      </c>
      <c r="K136" s="533">
        <f t="shared" si="5"/>
        <v>47664</v>
      </c>
      <c r="L136" s="536">
        <f t="shared" si="102"/>
        <v>42</v>
      </c>
      <c r="M136" s="20" t="s">
        <v>366</v>
      </c>
      <c r="N136" s="20">
        <f t="shared" si="6"/>
        <v>14</v>
      </c>
      <c r="O136" s="537">
        <v>3</v>
      </c>
      <c r="P136" s="528">
        <f t="shared" ref="P136:BM136" si="139">IFERROR(+IF(AND($M136="Flat",P$5&gt;=$J136,P$5&lt;=$K136),$I136/$L136,0)+IF(AND($M136="S-Curve",P$5&gt;=$J136,P$5&lt;=$K136),(_xlfn.NORM.DIST((YEAR(P$5)-YEAR($J136))*12+MONTH(P$5)-MONTH($J136)+1,$L136/2,$N136,TRUE)-_xlfn.NORM.DIST((YEAR(P$5)-YEAR($J136))*12+MONTH(P$5)-MONTH($J136),$L136/2,$N136,TRUE))/(1-2*_xlfn.NORM.DIST(0,$L136/2,$N136,TRUE))*$I136," "),"")</f>
        <v>1.1261180090659823E-2</v>
      </c>
      <c r="Q136" s="528">
        <f t="shared" si="139"/>
        <v>1.2470412861704017E-2</v>
      </c>
      <c r="R136" s="528">
        <f t="shared" si="139"/>
        <v>1.3739246440122895E-2</v>
      </c>
      <c r="S136" s="528">
        <f t="shared" si="139"/>
        <v>1.5060179505266079E-2</v>
      </c>
      <c r="T136" s="528">
        <f t="shared" si="139"/>
        <v>1.6424136150632512E-2</v>
      </c>
      <c r="U136" s="528">
        <f t="shared" si="139"/>
        <v>1.7820507920631952E-2</v>
      </c>
      <c r="V136" s="528">
        <f t="shared" si="139"/>
        <v>1.9237240444462348E-2</v>
      </c>
      <c r="W136" s="528">
        <f t="shared" si="139"/>
        <v>2.066096594169782E-2</v>
      </c>
      <c r="X136" s="528">
        <f t="shared" si="139"/>
        <v>2.2077181288330291E-2</v>
      </c>
      <c r="Y136" s="528">
        <f t="shared" si="139"/>
        <v>2.3470469624944357E-2</v>
      </c>
      <c r="Z136" s="528">
        <f t="shared" si="139"/>
        <v>2.4824761731347962E-2</v>
      </c>
      <c r="AA136" s="528">
        <f t="shared" si="139"/>
        <v>2.6123631663547017E-2</v>
      </c>
      <c r="AB136" s="528">
        <f t="shared" si="139"/>
        <v>2.7350619532920544E-2</v>
      </c>
      <c r="AC136" s="528">
        <f t="shared" si="139"/>
        <v>2.8489572887186777E-2</v>
      </c>
      <c r="AD136" s="528">
        <f t="shared" si="139"/>
        <v>2.952499700660283E-2</v>
      </c>
      <c r="AE136" s="528">
        <f t="shared" si="139"/>
        <v>3.0442403625435249E-2</v>
      </c>
      <c r="AF136" s="528">
        <f t="shared" si="139"/>
        <v>3.1228647182509093E-2</v>
      </c>
      <c r="AG136" s="528">
        <f t="shared" si="139"/>
        <v>3.1872237732007501E-2</v>
      </c>
      <c r="AH136" s="528">
        <f t="shared" si="139"/>
        <v>3.2363620122222575E-2</v>
      </c>
      <c r="AI136" s="528">
        <f t="shared" si="139"/>
        <v>3.2695409968680617E-2</v>
      </c>
      <c r="AJ136" s="528">
        <f t="shared" si="139"/>
        <v>3.2862578279087777E-2</v>
      </c>
      <c r="AK136" s="528">
        <f t="shared" si="139"/>
        <v>3.2862578279087777E-2</v>
      </c>
      <c r="AL136" s="528">
        <f t="shared" si="139"/>
        <v>3.2695409968680617E-2</v>
      </c>
      <c r="AM136" s="528">
        <f t="shared" si="139"/>
        <v>3.2363620122222575E-2</v>
      </c>
      <c r="AN136" s="528">
        <f t="shared" si="139"/>
        <v>3.1872237732007501E-2</v>
      </c>
      <c r="AO136" s="528">
        <f t="shared" si="139"/>
        <v>3.1228647182509155E-2</v>
      </c>
      <c r="AP136" s="528">
        <f t="shared" si="139"/>
        <v>3.0442403625435186E-2</v>
      </c>
      <c r="AQ136" s="528">
        <f t="shared" si="139"/>
        <v>2.952499700660283E-2</v>
      </c>
      <c r="AR136" s="528">
        <f t="shared" si="139"/>
        <v>2.8489572887186777E-2</v>
      </c>
      <c r="AS136" s="528">
        <f t="shared" si="139"/>
        <v>2.7350619532920544E-2</v>
      </c>
      <c r="AT136" s="528">
        <f t="shared" si="139"/>
        <v>2.6123631663546951E-2</v>
      </c>
      <c r="AU136" s="528">
        <f t="shared" si="139"/>
        <v>2.4824761731348056E-2</v>
      </c>
      <c r="AV136" s="528">
        <f t="shared" si="139"/>
        <v>2.3470469624944357E-2</v>
      </c>
      <c r="AW136" s="528">
        <f t="shared" si="139"/>
        <v>2.2077181288330291E-2</v>
      </c>
      <c r="AX136" s="528">
        <f t="shared" si="139"/>
        <v>2.066096594169782E-2</v>
      </c>
      <c r="AY136" s="528">
        <f t="shared" si="139"/>
        <v>1.9237240444462379E-2</v>
      </c>
      <c r="AZ136" s="528">
        <f t="shared" si="139"/>
        <v>1.7820507920631824E-2</v>
      </c>
      <c r="BA136" s="528">
        <f t="shared" si="139"/>
        <v>1.6424136150632623E-2</v>
      </c>
      <c r="BB136" s="528">
        <f t="shared" si="139"/>
        <v>1.5060179505266015E-2</v>
      </c>
      <c r="BC136" s="528">
        <f t="shared" si="139"/>
        <v>1.3739246440122848E-2</v>
      </c>
      <c r="BD136" s="528">
        <f t="shared" si="139"/>
        <v>1.247041286170413E-2</v>
      </c>
      <c r="BE136" s="528">
        <f t="shared" si="139"/>
        <v>1.1261180090659743E-2</v>
      </c>
      <c r="BF136" s="528" t="str">
        <f t="shared" si="139"/>
        <v/>
      </c>
      <c r="BG136" s="528" t="str">
        <f t="shared" si="139"/>
        <v/>
      </c>
      <c r="BH136" s="528" t="str">
        <f t="shared" si="139"/>
        <v/>
      </c>
      <c r="BI136" s="528" t="str">
        <f t="shared" si="139"/>
        <v/>
      </c>
      <c r="BJ136" s="528" t="str">
        <f t="shared" si="139"/>
        <v/>
      </c>
      <c r="BK136" s="528" t="str">
        <f t="shared" si="139"/>
        <v/>
      </c>
      <c r="BL136" s="528" t="str">
        <f t="shared" si="139"/>
        <v/>
      </c>
      <c r="BM136" s="528" t="str">
        <f t="shared" si="139"/>
        <v/>
      </c>
    </row>
    <row r="137" spans="6:65" ht="15.75" customHeight="1" x14ac:dyDescent="0.25">
      <c r="F137" s="197"/>
      <c r="G137" s="197">
        <f t="shared" si="3"/>
        <v>0</v>
      </c>
      <c r="H137" s="197">
        <f t="shared" si="4"/>
        <v>433</v>
      </c>
      <c r="I137" s="523">
        <v>1</v>
      </c>
      <c r="J137" s="533">
        <f>'Monthly DCF'!$I$3</f>
        <v>46418</v>
      </c>
      <c r="K137" s="533">
        <f t="shared" si="5"/>
        <v>47695</v>
      </c>
      <c r="L137" s="536">
        <f t="shared" si="102"/>
        <v>43</v>
      </c>
      <c r="M137" s="20" t="s">
        <v>366</v>
      </c>
      <c r="N137" s="20">
        <f t="shared" si="6"/>
        <v>14.333333333333334</v>
      </c>
      <c r="O137" s="537">
        <v>3</v>
      </c>
      <c r="P137" s="528">
        <f t="shared" ref="P137:BM137" si="140">IFERROR(+IF(AND($M137="Flat",P$5&gt;=$J137,P$5&lt;=$K137),$I137/$L137,0)+IF(AND($M137="S-Curve",P$5&gt;=$J137,P$5&lt;=$K137),(_xlfn.NORM.DIST((YEAR(P$5)-YEAR($J137))*12+MONTH(P$5)-MONTH($J137)+1,$L137/2,$N137,TRUE)-_xlfn.NORM.DIST((YEAR(P$5)-YEAR($J137))*12+MONTH(P$5)-MONTH($J137),$L137/2,$N137,TRUE))/(1-2*_xlfn.NORM.DIST(0,$L137/2,$N137,TRUE))*$I137," "),"")</f>
        <v>1.0985802041739545E-2</v>
      </c>
      <c r="Q137" s="528">
        <f t="shared" si="140"/>
        <v>1.2138071536956129E-2</v>
      </c>
      <c r="R137" s="528">
        <f t="shared" si="140"/>
        <v>1.33461052888991E-2</v>
      </c>
      <c r="S137" s="528">
        <f t="shared" si="140"/>
        <v>1.4603142765809736E-2</v>
      </c>
      <c r="T137" s="528">
        <f t="shared" si="140"/>
        <v>1.5901022267220018E-2</v>
      </c>
      <c r="U137" s="528">
        <f t="shared" si="140"/>
        <v>1.7230214769936331E-2</v>
      </c>
      <c r="V137" s="528">
        <f t="shared" si="140"/>
        <v>1.8579895471502322E-2</v>
      </c>
      <c r="W137" s="528">
        <f t="shared" si="140"/>
        <v>1.9938054204676064E-2</v>
      </c>
      <c r="X137" s="528">
        <f t="shared" si="140"/>
        <v>2.129164462567508E-2</v>
      </c>
      <c r="Y137" s="528">
        <f t="shared" si="140"/>
        <v>2.2626770706226301E-2</v>
      </c>
      <c r="Z137" s="528">
        <f t="shared" si="140"/>
        <v>2.392890763856147E-2</v>
      </c>
      <c r="AA137" s="528">
        <f t="shared" si="140"/>
        <v>2.5183152853893144E-2</v>
      </c>
      <c r="AB137" s="528">
        <f t="shared" si="140"/>
        <v>2.6374501522729861E-2</v>
      </c>
      <c r="AC137" s="528">
        <f t="shared" si="140"/>
        <v>2.748813971441344E-2</v>
      </c>
      <c r="AD137" s="528">
        <f t="shared" si="140"/>
        <v>2.8509747405204736E-2</v>
      </c>
      <c r="AE137" s="528">
        <f t="shared" si="140"/>
        <v>2.9425802794324451E-2</v>
      </c>
      <c r="AF137" s="528">
        <f t="shared" si="140"/>
        <v>3.0223878960913504E-2</v>
      </c>
      <c r="AG137" s="528">
        <f t="shared" si="140"/>
        <v>3.0892923804361375E-2</v>
      </c>
      <c r="AH137" s="528">
        <f t="shared" si="140"/>
        <v>3.142351447317053E-2</v>
      </c>
      <c r="AI137" s="528">
        <f t="shared" si="140"/>
        <v>3.1808078104069194E-2</v>
      </c>
      <c r="AJ137" s="528">
        <f t="shared" si="140"/>
        <v>3.2041071646681213E-2</v>
      </c>
      <c r="AK137" s="528">
        <f t="shared" si="140"/>
        <v>3.2119114806072969E-2</v>
      </c>
      <c r="AL137" s="528">
        <f t="shared" si="140"/>
        <v>3.2041071646681213E-2</v>
      </c>
      <c r="AM137" s="528">
        <f t="shared" si="140"/>
        <v>3.1808078104069132E-2</v>
      </c>
      <c r="AN137" s="528">
        <f t="shared" si="140"/>
        <v>3.14235144731706E-2</v>
      </c>
      <c r="AO137" s="528">
        <f t="shared" si="140"/>
        <v>3.0892923804361375E-2</v>
      </c>
      <c r="AP137" s="528">
        <f t="shared" si="140"/>
        <v>3.0223878960913504E-2</v>
      </c>
      <c r="AQ137" s="528">
        <f t="shared" si="140"/>
        <v>2.9425802794324451E-2</v>
      </c>
      <c r="AR137" s="528">
        <f t="shared" si="140"/>
        <v>2.850974740520467E-2</v>
      </c>
      <c r="AS137" s="528">
        <f t="shared" si="140"/>
        <v>2.7488139714413502E-2</v>
      </c>
      <c r="AT137" s="528">
        <f t="shared" si="140"/>
        <v>2.6374501522729923E-2</v>
      </c>
      <c r="AU137" s="528">
        <f t="shared" si="140"/>
        <v>2.5183152853893113E-2</v>
      </c>
      <c r="AV137" s="528">
        <f t="shared" si="140"/>
        <v>2.3928907638561404E-2</v>
      </c>
      <c r="AW137" s="528">
        <f t="shared" si="140"/>
        <v>2.2626770706226332E-2</v>
      </c>
      <c r="AX137" s="528">
        <f t="shared" si="140"/>
        <v>2.1291644625675045E-2</v>
      </c>
      <c r="AY137" s="528">
        <f t="shared" si="140"/>
        <v>1.9938054204676033E-2</v>
      </c>
      <c r="AZ137" s="528">
        <f t="shared" si="140"/>
        <v>1.8579895471502354E-2</v>
      </c>
      <c r="BA137" s="528">
        <f t="shared" si="140"/>
        <v>1.7230214769936397E-2</v>
      </c>
      <c r="BB137" s="528">
        <f t="shared" si="140"/>
        <v>1.5901022267220018E-2</v>
      </c>
      <c r="BC137" s="528">
        <f t="shared" si="140"/>
        <v>1.4603142765809721E-2</v>
      </c>
      <c r="BD137" s="528">
        <f t="shared" si="140"/>
        <v>1.3346105288899035E-2</v>
      </c>
      <c r="BE137" s="528">
        <f t="shared" si="140"/>
        <v>1.2138071536956129E-2</v>
      </c>
      <c r="BF137" s="528">
        <f t="shared" si="140"/>
        <v>1.0985802041739561E-2</v>
      </c>
      <c r="BG137" s="528" t="str">
        <f t="shared" si="140"/>
        <v/>
      </c>
      <c r="BH137" s="528" t="str">
        <f t="shared" si="140"/>
        <v/>
      </c>
      <c r="BI137" s="528" t="str">
        <f t="shared" si="140"/>
        <v/>
      </c>
      <c r="BJ137" s="528" t="str">
        <f t="shared" si="140"/>
        <v/>
      </c>
      <c r="BK137" s="528" t="str">
        <f t="shared" si="140"/>
        <v/>
      </c>
      <c r="BL137" s="528" t="str">
        <f t="shared" si="140"/>
        <v/>
      </c>
      <c r="BM137" s="528" t="str">
        <f t="shared" si="140"/>
        <v/>
      </c>
    </row>
    <row r="138" spans="6:65" ht="15.75" customHeight="1" x14ac:dyDescent="0.25">
      <c r="F138" s="197"/>
      <c r="G138" s="197">
        <f t="shared" si="3"/>
        <v>0</v>
      </c>
      <c r="H138" s="197">
        <f t="shared" si="4"/>
        <v>443</v>
      </c>
      <c r="I138" s="523">
        <v>1</v>
      </c>
      <c r="J138" s="533">
        <f>'Monthly DCF'!$I$3</f>
        <v>46418</v>
      </c>
      <c r="K138" s="533">
        <f t="shared" si="5"/>
        <v>47726</v>
      </c>
      <c r="L138" s="536">
        <f t="shared" si="102"/>
        <v>44</v>
      </c>
      <c r="M138" s="20" t="s">
        <v>366</v>
      </c>
      <c r="N138" s="20">
        <f t="shared" si="6"/>
        <v>14.666666666666666</v>
      </c>
      <c r="O138" s="537">
        <v>3</v>
      </c>
      <c r="P138" s="528">
        <f t="shared" ref="P138:BM138" si="141">IFERROR(+IF(AND($M138="Flat",P$5&gt;=$J138,P$5&lt;=$K138),$I138/$L138,0)+IF(AND($M138="S-Curve",P$5&gt;=$J138,P$5&lt;=$K138),(_xlfn.NORM.DIST((YEAR(P$5)-YEAR($J138))*12+MONTH(P$5)-MONTH($J138)+1,$L138/2,$N138,TRUE)-_xlfn.NORM.DIST((YEAR(P$5)-YEAR($J138))*12+MONTH(P$5)-MONTH($J138),$L138/2,$N138,TRUE))/(1-2*_xlfn.NORM.DIST(0,$L138/2,$N138,TRUE))*$I138," "),"")</f>
        <v>1.072355077548629E-2</v>
      </c>
      <c r="Q138" s="528">
        <f t="shared" si="141"/>
        <v>1.1822783671591647E-2</v>
      </c>
      <c r="R138" s="528">
        <f t="shared" si="141"/>
        <v>1.29742638129488E-2</v>
      </c>
      <c r="S138" s="528">
        <f t="shared" si="141"/>
        <v>1.4171882942763631E-2</v>
      </c>
      <c r="T138" s="528">
        <f t="shared" si="141"/>
        <v>1.5408282746438401E-2</v>
      </c>
      <c r="U138" s="528">
        <f t="shared" si="141"/>
        <v>1.6674882136817153E-2</v>
      </c>
      <c r="V138" s="528">
        <f t="shared" si="141"/>
        <v>1.7961936523356346E-2</v>
      </c>
      <c r="W138" s="528">
        <f t="shared" si="141"/>
        <v>1.9258630134048788E-2</v>
      </c>
      <c r="X138" s="528">
        <f t="shared" si="141"/>
        <v>2.0553201435733748E-2</v>
      </c>
      <c r="Y138" s="528">
        <f t="shared" si="141"/>
        <v>2.183310058964931E-2</v>
      </c>
      <c r="Z138" s="528">
        <f t="shared" si="141"/>
        <v>2.3085176725734576E-2</v>
      </c>
      <c r="AA138" s="528">
        <f t="shared" si="141"/>
        <v>2.4295891667642497E-2</v>
      </c>
      <c r="AB138" s="528">
        <f t="shared" si="141"/>
        <v>2.5451555640203287E-2</v>
      </c>
      <c r="AC138" s="528">
        <f t="shared" si="141"/>
        <v>2.6538579492677641E-2</v>
      </c>
      <c r="AD138" s="528">
        <f t="shared" si="141"/>
        <v>2.7543737123262173E-2</v>
      </c>
      <c r="AE138" s="528">
        <f t="shared" si="141"/>
        <v>2.8454431137365399E-2</v>
      </c>
      <c r="AF138" s="528">
        <f t="shared" si="141"/>
        <v>2.925895435165177E-2</v>
      </c>
      <c r="AG138" s="528">
        <f t="shared" si="141"/>
        <v>2.9946739596038628E-2</v>
      </c>
      <c r="AH138" s="528">
        <f t="shared" si="141"/>
        <v>3.0508590383982025E-2</v>
      </c>
      <c r="AI138" s="528">
        <f t="shared" si="141"/>
        <v>3.0936885422320291E-2</v>
      </c>
      <c r="AJ138" s="528">
        <f t="shared" si="141"/>
        <v>3.1225750607400769E-2</v>
      </c>
      <c r="AK138" s="528">
        <f t="shared" si="141"/>
        <v>3.1371193082886856E-2</v>
      </c>
      <c r="AL138" s="528">
        <f t="shared" si="141"/>
        <v>3.1371193082886856E-2</v>
      </c>
      <c r="AM138" s="528">
        <f t="shared" si="141"/>
        <v>3.1225750607400703E-2</v>
      </c>
      <c r="AN138" s="528">
        <f t="shared" si="141"/>
        <v>3.0936885422320353E-2</v>
      </c>
      <c r="AO138" s="528">
        <f t="shared" si="141"/>
        <v>3.0508590383982025E-2</v>
      </c>
      <c r="AP138" s="528">
        <f t="shared" si="141"/>
        <v>2.9946739596038566E-2</v>
      </c>
      <c r="AQ138" s="528">
        <f t="shared" si="141"/>
        <v>2.925895435165177E-2</v>
      </c>
      <c r="AR138" s="528">
        <f t="shared" si="141"/>
        <v>2.8454431137365527E-2</v>
      </c>
      <c r="AS138" s="528">
        <f t="shared" si="141"/>
        <v>2.7543737123262173E-2</v>
      </c>
      <c r="AT138" s="528">
        <f t="shared" si="141"/>
        <v>2.6538579492677513E-2</v>
      </c>
      <c r="AU138" s="528">
        <f t="shared" si="141"/>
        <v>2.5451555640203353E-2</v>
      </c>
      <c r="AV138" s="528">
        <f t="shared" si="141"/>
        <v>2.4295891667642434E-2</v>
      </c>
      <c r="AW138" s="528">
        <f t="shared" si="141"/>
        <v>2.3085176725734641E-2</v>
      </c>
      <c r="AX138" s="528">
        <f t="shared" si="141"/>
        <v>2.1833100589649344E-2</v>
      </c>
      <c r="AY138" s="528">
        <f t="shared" si="141"/>
        <v>2.0553201435733748E-2</v>
      </c>
      <c r="AZ138" s="528">
        <f t="shared" si="141"/>
        <v>1.9258630134048726E-2</v>
      </c>
      <c r="BA138" s="528">
        <f t="shared" si="141"/>
        <v>1.7961936523356346E-2</v>
      </c>
      <c r="BB138" s="528">
        <f t="shared" si="141"/>
        <v>1.6674882136817247E-2</v>
      </c>
      <c r="BC138" s="528">
        <f t="shared" si="141"/>
        <v>1.5408282746438354E-2</v>
      </c>
      <c r="BD138" s="528">
        <f t="shared" si="141"/>
        <v>1.4171882942763614E-2</v>
      </c>
      <c r="BE138" s="528">
        <f t="shared" si="141"/>
        <v>1.2974263812948849E-2</v>
      </c>
      <c r="BF138" s="528">
        <f t="shared" si="141"/>
        <v>1.1822783671591583E-2</v>
      </c>
      <c r="BG138" s="528">
        <f t="shared" si="141"/>
        <v>1.0723550775486274E-2</v>
      </c>
      <c r="BH138" s="528" t="str">
        <f t="shared" si="141"/>
        <v/>
      </c>
      <c r="BI138" s="528" t="str">
        <f t="shared" si="141"/>
        <v/>
      </c>
      <c r="BJ138" s="528" t="str">
        <f t="shared" si="141"/>
        <v/>
      </c>
      <c r="BK138" s="528" t="str">
        <f t="shared" si="141"/>
        <v/>
      </c>
      <c r="BL138" s="528" t="str">
        <f t="shared" si="141"/>
        <v/>
      </c>
      <c r="BM138" s="528" t="str">
        <f t="shared" si="141"/>
        <v/>
      </c>
    </row>
    <row r="139" spans="6:65" ht="15.75" customHeight="1" x14ac:dyDescent="0.25">
      <c r="F139" s="197"/>
      <c r="G139" s="197">
        <f t="shared" si="3"/>
        <v>0</v>
      </c>
      <c r="H139" s="197">
        <f t="shared" si="4"/>
        <v>453</v>
      </c>
      <c r="I139" s="523">
        <v>1</v>
      </c>
      <c r="J139" s="533">
        <f>'Monthly DCF'!$I$3</f>
        <v>46418</v>
      </c>
      <c r="K139" s="533">
        <f t="shared" si="5"/>
        <v>47756</v>
      </c>
      <c r="L139" s="536">
        <f t="shared" si="102"/>
        <v>45</v>
      </c>
      <c r="M139" s="20" t="s">
        <v>366</v>
      </c>
      <c r="N139" s="20">
        <f t="shared" si="6"/>
        <v>15</v>
      </c>
      <c r="O139" s="537">
        <v>3</v>
      </c>
      <c r="P139" s="528">
        <f t="shared" ref="P139:BM139" si="142">IFERROR(+IF(AND($M139="Flat",P$5&gt;=$J139,P$5&lt;=$K139),$I139/$L139,0)+IF(AND($M139="S-Curve",P$5&gt;=$J139,P$5&lt;=$K139),(_xlfn.NORM.DIST((YEAR(P$5)-YEAR($J139))*12+MONTH(P$5)-MONTH($J139)+1,$L139/2,$N139,TRUE)-_xlfn.NORM.DIST((YEAR(P$5)-YEAR($J139))*12+MONTH(P$5)-MONTH($J139),$L139/2,$N139,TRUE))/(1-2*_xlfn.NORM.DIST(0,$L139/2,$N139,TRUE))*$I139," "),"")</f>
        <v>1.047351079009029E-2</v>
      </c>
      <c r="Q139" s="528">
        <f t="shared" si="142"/>
        <v>1.1523281451515998E-2</v>
      </c>
      <c r="R139" s="528">
        <f t="shared" si="142"/>
        <v>1.2622069619215389E-2</v>
      </c>
      <c r="S139" s="528">
        <f t="shared" si="142"/>
        <v>1.3764343107631067E-2</v>
      </c>
      <c r="T139" s="528">
        <f t="shared" si="142"/>
        <v>1.4943451737554691E-2</v>
      </c>
      <c r="U139" s="528">
        <f t="shared" si="142"/>
        <v>1.6151649349884962E-2</v>
      </c>
      <c r="V139" s="528">
        <f t="shared" si="142"/>
        <v>1.7380143052640556E-2</v>
      </c>
      <c r="W139" s="528">
        <f t="shared" si="142"/>
        <v>1.8619170667204733E-2</v>
      </c>
      <c r="X139" s="528">
        <f t="shared" si="142"/>
        <v>1.9858106512124329E-2</v>
      </c>
      <c r="Y139" s="528">
        <f t="shared" si="142"/>
        <v>2.1085594763339537E-2</v>
      </c>
      <c r="Z139" s="528">
        <f t="shared" si="142"/>
        <v>2.2289708689960309E-2</v>
      </c>
      <c r="AA139" s="528">
        <f t="shared" si="142"/>
        <v>2.3458133120343311E-2</v>
      </c>
      <c r="AB139" s="528">
        <f t="shared" si="142"/>
        <v>2.4578366582706547E-2</v>
      </c>
      <c r="AC139" s="528">
        <f t="shared" si="142"/>
        <v>2.5637938727314472E-2</v>
      </c>
      <c r="AD139" s="528">
        <f t="shared" si="142"/>
        <v>2.6624637911928199E-2</v>
      </c>
      <c r="AE139" s="528">
        <f t="shared" si="142"/>
        <v>2.7526743254439181E-2</v>
      </c>
      <c r="AF139" s="528">
        <f t="shared" si="142"/>
        <v>2.8333255057246178E-2</v>
      </c>
      <c r="AG139" s="528">
        <f t="shared" si="142"/>
        <v>2.9034117311309313E-2</v>
      </c>
      <c r="AH139" s="528">
        <f t="shared" si="142"/>
        <v>2.9620426010100103E-2</v>
      </c>
      <c r="AI139" s="528">
        <f t="shared" si="142"/>
        <v>3.0084617251887942E-2</v>
      </c>
      <c r="AJ139" s="528">
        <f t="shared" si="142"/>
        <v>3.0420629580031795E-2</v>
      </c>
      <c r="AK139" s="528">
        <f t="shared" si="142"/>
        <v>3.0624035692250653E-2</v>
      </c>
      <c r="AL139" s="528">
        <f t="shared" si="142"/>
        <v>3.0692139518560948E-2</v>
      </c>
      <c r="AM139" s="528">
        <f t="shared" si="142"/>
        <v>3.0624035692250653E-2</v>
      </c>
      <c r="AN139" s="528">
        <f t="shared" si="142"/>
        <v>3.0420629580031795E-2</v>
      </c>
      <c r="AO139" s="528">
        <f t="shared" si="142"/>
        <v>3.0084617251888005E-2</v>
      </c>
      <c r="AP139" s="528">
        <f t="shared" si="142"/>
        <v>2.9620426010100041E-2</v>
      </c>
      <c r="AQ139" s="528">
        <f t="shared" si="142"/>
        <v>2.9034117311309313E-2</v>
      </c>
      <c r="AR139" s="528">
        <f t="shared" si="142"/>
        <v>2.8333255057246178E-2</v>
      </c>
      <c r="AS139" s="528">
        <f t="shared" si="142"/>
        <v>2.7526743254439181E-2</v>
      </c>
      <c r="AT139" s="528">
        <f t="shared" si="142"/>
        <v>2.6624637911928199E-2</v>
      </c>
      <c r="AU139" s="528">
        <f t="shared" si="142"/>
        <v>2.5637938727314472E-2</v>
      </c>
      <c r="AV139" s="528">
        <f t="shared" si="142"/>
        <v>2.4578366582706481E-2</v>
      </c>
      <c r="AW139" s="528">
        <f t="shared" si="142"/>
        <v>2.3458133120343342E-2</v>
      </c>
      <c r="AX139" s="528">
        <f t="shared" si="142"/>
        <v>2.2289708689960341E-2</v>
      </c>
      <c r="AY139" s="528">
        <f t="shared" si="142"/>
        <v>2.1085594763339505E-2</v>
      </c>
      <c r="AZ139" s="528">
        <f t="shared" si="142"/>
        <v>1.9858106512124329E-2</v>
      </c>
      <c r="BA139" s="528">
        <f t="shared" si="142"/>
        <v>1.8619170667204827E-2</v>
      </c>
      <c r="BB139" s="528">
        <f t="shared" si="142"/>
        <v>1.7380143052640459E-2</v>
      </c>
      <c r="BC139" s="528">
        <f t="shared" si="142"/>
        <v>1.6151649349884962E-2</v>
      </c>
      <c r="BD139" s="528">
        <f t="shared" si="142"/>
        <v>1.4943451737554675E-2</v>
      </c>
      <c r="BE139" s="528">
        <f t="shared" si="142"/>
        <v>1.3764343107631132E-2</v>
      </c>
      <c r="BF139" s="528">
        <f t="shared" si="142"/>
        <v>1.2622069619215309E-2</v>
      </c>
      <c r="BG139" s="528">
        <f t="shared" si="142"/>
        <v>1.1523281451516029E-2</v>
      </c>
      <c r="BH139" s="528">
        <f t="shared" si="142"/>
        <v>1.047351079009029E-2</v>
      </c>
      <c r="BI139" s="528" t="str">
        <f t="shared" si="142"/>
        <v/>
      </c>
      <c r="BJ139" s="528" t="str">
        <f t="shared" si="142"/>
        <v/>
      </c>
      <c r="BK139" s="528" t="str">
        <f t="shared" si="142"/>
        <v/>
      </c>
      <c r="BL139" s="528" t="str">
        <f t="shared" si="142"/>
        <v/>
      </c>
      <c r="BM139" s="528" t="str">
        <f t="shared" si="142"/>
        <v/>
      </c>
    </row>
    <row r="140" spans="6:65" ht="15.75" customHeight="1" x14ac:dyDescent="0.25">
      <c r="F140" s="197"/>
      <c r="G140" s="197">
        <f t="shared" si="3"/>
        <v>0</v>
      </c>
      <c r="H140" s="197">
        <f t="shared" si="4"/>
        <v>463</v>
      </c>
      <c r="I140" s="523">
        <v>1</v>
      </c>
      <c r="J140" s="533">
        <f>'Monthly DCF'!$I$3</f>
        <v>46418</v>
      </c>
      <c r="K140" s="533">
        <f t="shared" si="5"/>
        <v>47787</v>
      </c>
      <c r="L140" s="536">
        <f t="shared" si="102"/>
        <v>46</v>
      </c>
      <c r="M140" s="20" t="s">
        <v>366</v>
      </c>
      <c r="N140" s="20">
        <f t="shared" si="6"/>
        <v>15.333333333333334</v>
      </c>
      <c r="O140" s="537">
        <v>3</v>
      </c>
      <c r="P140" s="528">
        <f t="shared" ref="P140:BM140" si="143">IFERROR(+IF(AND($M140="Flat",P$5&gt;=$J140,P$5&lt;=$K140),$I140/$L140,0)+IF(AND($M140="S-Curve",P$5&gt;=$J140,P$5&lt;=$K140),(_xlfn.NORM.DIST((YEAR(P$5)-YEAR($J140))*12+MONTH(P$5)-MONTH($J140)+1,$L140/2,$N140,TRUE)-_xlfn.NORM.DIST((YEAR(P$5)-YEAR($J140))*12+MONTH(P$5)-MONTH($J140),$L140/2,$N140,TRUE))/(1-2*_xlfn.NORM.DIST(0,$L140/2,$N140,TRUE))*$I140," "),"")</f>
        <v>1.0234849680453304E-2</v>
      </c>
      <c r="Q140" s="528">
        <f t="shared" si="143"/>
        <v>1.1238418754957511E-2</v>
      </c>
      <c r="R140" s="528">
        <f t="shared" si="143"/>
        <v>1.2288034391633985E-2</v>
      </c>
      <c r="S140" s="528">
        <f t="shared" si="143"/>
        <v>1.3378674641929803E-2</v>
      </c>
      <c r="T140" s="528">
        <f t="shared" si="143"/>
        <v>1.4504315310274154E-2</v>
      </c>
      <c r="U140" s="528">
        <f t="shared" si="143"/>
        <v>1.565794772016808E-2</v>
      </c>
      <c r="V140" s="528">
        <f t="shared" si="143"/>
        <v>1.6831619747991997E-2</v>
      </c>
      <c r="W140" s="528">
        <f t="shared" si="143"/>
        <v>1.8016500992726232E-2</v>
      </c>
      <c r="X140" s="528">
        <f t="shared" si="143"/>
        <v>1.9202972277321123E-2</v>
      </c>
      <c r="Y140" s="528">
        <f t="shared" si="143"/>
        <v>2.0380738944779687E-2</v>
      </c>
      <c r="Z140" s="528">
        <f t="shared" si="143"/>
        <v>2.1538966643423856E-2</v>
      </c>
      <c r="AA140" s="528">
        <f t="shared" si="143"/>
        <v>2.2666437518936287E-2</v>
      </c>
      <c r="AB140" s="528">
        <f t="shared" si="143"/>
        <v>2.3751723975577572E-2</v>
      </c>
      <c r="AC140" s="528">
        <f t="shared" si="143"/>
        <v>2.4783376466450194E-2</v>
      </c>
      <c r="AD140" s="528">
        <f t="shared" si="143"/>
        <v>2.5750121153394982E-2</v>
      </c>
      <c r="AE140" s="528">
        <f t="shared" si="143"/>
        <v>2.66410627697692E-2</v>
      </c>
      <c r="AF140" s="528">
        <f t="shared" si="143"/>
        <v>2.7445887649318695E-2</v>
      </c>
      <c r="AG140" s="528">
        <f t="shared" si="143"/>
        <v>2.8155061672254893E-2</v>
      </c>
      <c r="AH140" s="528">
        <f t="shared" si="143"/>
        <v>2.8760017840188255E-2</v>
      </c>
      <c r="AI140" s="528">
        <f t="shared" si="143"/>
        <v>2.9253328332620173E-2</v>
      </c>
      <c r="AJ140" s="528">
        <f t="shared" si="143"/>
        <v>2.9628856219637605E-2</v>
      </c>
      <c r="AK140" s="528">
        <f t="shared" si="143"/>
        <v>2.9881882500925702E-2</v>
      </c>
      <c r="AL140" s="528">
        <f t="shared" si="143"/>
        <v>3.0009204795266746E-2</v>
      </c>
      <c r="AM140" s="528">
        <f t="shared" si="143"/>
        <v>3.0009204795266746E-2</v>
      </c>
      <c r="AN140" s="528">
        <f t="shared" si="143"/>
        <v>2.988188250092564E-2</v>
      </c>
      <c r="AO140" s="528">
        <f t="shared" si="143"/>
        <v>2.9628856219637668E-2</v>
      </c>
      <c r="AP140" s="528">
        <f t="shared" si="143"/>
        <v>2.9253328332620173E-2</v>
      </c>
      <c r="AQ140" s="528">
        <f t="shared" si="143"/>
        <v>2.8760017840188255E-2</v>
      </c>
      <c r="AR140" s="528">
        <f t="shared" si="143"/>
        <v>2.8155061672254893E-2</v>
      </c>
      <c r="AS140" s="528">
        <f t="shared" si="143"/>
        <v>2.7445887649318695E-2</v>
      </c>
      <c r="AT140" s="528">
        <f t="shared" si="143"/>
        <v>2.66410627697692E-2</v>
      </c>
      <c r="AU140" s="528">
        <f t="shared" si="143"/>
        <v>2.5750121153394982E-2</v>
      </c>
      <c r="AV140" s="528">
        <f t="shared" si="143"/>
        <v>2.4783376466450194E-2</v>
      </c>
      <c r="AW140" s="528">
        <f t="shared" si="143"/>
        <v>2.3751723975577538E-2</v>
      </c>
      <c r="AX140" s="528">
        <f t="shared" si="143"/>
        <v>2.2666437518936319E-2</v>
      </c>
      <c r="AY140" s="528">
        <f t="shared" si="143"/>
        <v>2.1538966643423824E-2</v>
      </c>
      <c r="AZ140" s="528">
        <f t="shared" si="143"/>
        <v>2.0380738944779719E-2</v>
      </c>
      <c r="BA140" s="528">
        <f t="shared" si="143"/>
        <v>1.9202972277321088E-2</v>
      </c>
      <c r="BB140" s="528">
        <f t="shared" si="143"/>
        <v>1.8016500992726264E-2</v>
      </c>
      <c r="BC140" s="528">
        <f t="shared" si="143"/>
        <v>1.6831619747991931E-2</v>
      </c>
      <c r="BD140" s="528">
        <f t="shared" si="143"/>
        <v>1.5657947720168142E-2</v>
      </c>
      <c r="BE140" s="528">
        <f t="shared" si="143"/>
        <v>1.4504315310274185E-2</v>
      </c>
      <c r="BF140" s="528">
        <f t="shared" si="143"/>
        <v>1.3378674641929723E-2</v>
      </c>
      <c r="BG140" s="528">
        <f t="shared" si="143"/>
        <v>1.2288034391634065E-2</v>
      </c>
      <c r="BH140" s="528">
        <f t="shared" si="143"/>
        <v>1.1238418754957496E-2</v>
      </c>
      <c r="BI140" s="528">
        <f t="shared" si="143"/>
        <v>1.0234849680453255E-2</v>
      </c>
      <c r="BJ140" s="528" t="str">
        <f t="shared" si="143"/>
        <v/>
      </c>
      <c r="BK140" s="528" t="str">
        <f t="shared" si="143"/>
        <v/>
      </c>
      <c r="BL140" s="528" t="str">
        <f t="shared" si="143"/>
        <v/>
      </c>
      <c r="BM140" s="528" t="str">
        <f t="shared" si="143"/>
        <v/>
      </c>
    </row>
    <row r="141" spans="6:65" ht="15.75" customHeight="1" x14ac:dyDescent="0.25">
      <c r="F141" s="197"/>
      <c r="G141" s="197">
        <f t="shared" si="3"/>
        <v>0</v>
      </c>
      <c r="H141" s="197">
        <f t="shared" si="4"/>
        <v>473</v>
      </c>
      <c r="I141" s="523">
        <v>1</v>
      </c>
      <c r="J141" s="533">
        <f>'Monthly DCF'!$I$3</f>
        <v>46418</v>
      </c>
      <c r="K141" s="533">
        <f t="shared" si="5"/>
        <v>47817</v>
      </c>
      <c r="L141" s="536">
        <f t="shared" si="102"/>
        <v>47</v>
      </c>
      <c r="M141" s="20" t="s">
        <v>366</v>
      </c>
      <c r="N141" s="20">
        <f t="shared" si="6"/>
        <v>15.666666666666666</v>
      </c>
      <c r="O141" s="537">
        <v>3</v>
      </c>
      <c r="P141" s="528">
        <f t="shared" ref="P141:BM141" si="144">IFERROR(+IF(AND($M141="Flat",P$5&gt;=$J141,P$5&lt;=$K141),$I141/$L141,0)+IF(AND($M141="S-Curve",P$5&gt;=$J141,P$5&lt;=$K141),(_xlfn.NORM.DIST((YEAR(P$5)-YEAR($J141))*12+MONTH(P$5)-MONTH($J141)+1,$L141/2,$N141,TRUE)-_xlfn.NORM.DIST((YEAR(P$5)-YEAR($J141))*12+MONTH(P$5)-MONTH($J141),$L141/2,$N141,TRUE))/(1-2*_xlfn.NORM.DIST(0,$L141/2,$N141,TRUE))*$I141," "),"")</f>
        <v>1.0006808929714273E-2</v>
      </c>
      <c r="Q141" s="528">
        <f t="shared" si="144"/>
        <v>1.0967156985199764E-2</v>
      </c>
      <c r="R141" s="528">
        <f t="shared" si="144"/>
        <v>1.1970814262685142E-2</v>
      </c>
      <c r="S141" s="528">
        <f t="shared" si="144"/>
        <v>1.3013211985400078E-2</v>
      </c>
      <c r="T141" s="528">
        <f t="shared" si="144"/>
        <v>1.4088880852214984E-2</v>
      </c>
      <c r="U141" s="528">
        <f t="shared" si="144"/>
        <v>1.5191465372184828E-2</v>
      </c>
      <c r="V141" s="528">
        <f t="shared" si="144"/>
        <v>1.63137581441818E-2</v>
      </c>
      <c r="W141" s="528">
        <f t="shared" si="144"/>
        <v>1.7447754858827238E-2</v>
      </c>
      <c r="X141" s="528">
        <f t="shared" si="144"/>
        <v>1.8584730251230728E-2</v>
      </c>
      <c r="Y141" s="528">
        <f t="shared" si="144"/>
        <v>1.9715334633834042E-2</v>
      </c>
      <c r="Z141" s="528">
        <f t="shared" si="144"/>
        <v>2.0829710007743415E-2</v>
      </c>
      <c r="AA141" s="528">
        <f t="shared" si="144"/>
        <v>2.1917624109860812E-2</v>
      </c>
      <c r="AB141" s="528">
        <f t="shared" si="144"/>
        <v>2.2968620125303204E-2</v>
      </c>
      <c r="AC141" s="528">
        <f t="shared" si="144"/>
        <v>2.3972179204469982E-2</v>
      </c>
      <c r="AD141" s="528">
        <f t="shared" si="144"/>
        <v>2.4917892395975961E-2</v>
      </c>
      <c r="AE141" s="528">
        <f t="shared" si="144"/>
        <v>2.5795638163640361E-2</v>
      </c>
      <c r="AF141" s="528">
        <f t="shared" si="144"/>
        <v>2.6595761318586063E-2</v>
      </c>
      <c r="AG141" s="528">
        <f t="shared" si="144"/>
        <v>2.7309248983655658E-2</v>
      </c>
      <c r="AH141" s="528">
        <f t="shared" si="144"/>
        <v>2.7927899129849759E-2</v>
      </c>
      <c r="AI141" s="528">
        <f t="shared" si="144"/>
        <v>2.8444477291284444E-2</v>
      </c>
      <c r="AJ141" s="528">
        <f t="shared" si="144"/>
        <v>2.8852857278547108E-2</v>
      </c>
      <c r="AK141" s="528">
        <f t="shared" si="144"/>
        <v>2.9148142066637645E-2</v>
      </c>
      <c r="AL141" s="528">
        <f t="shared" si="144"/>
        <v>2.9326761523313316E-2</v>
      </c>
      <c r="AM141" s="528">
        <f t="shared" si="144"/>
        <v>2.9386544251318793E-2</v>
      </c>
      <c r="AN141" s="528">
        <f t="shared" si="144"/>
        <v>2.9326761523313316E-2</v>
      </c>
      <c r="AO141" s="528">
        <f t="shared" si="144"/>
        <v>2.9148142066637711E-2</v>
      </c>
      <c r="AP141" s="528">
        <f t="shared" si="144"/>
        <v>2.8852857278547108E-2</v>
      </c>
      <c r="AQ141" s="528">
        <f t="shared" si="144"/>
        <v>2.8444477291284444E-2</v>
      </c>
      <c r="AR141" s="528">
        <f t="shared" si="144"/>
        <v>2.7927899129849759E-2</v>
      </c>
      <c r="AS141" s="528">
        <f t="shared" si="144"/>
        <v>2.7309248983655721E-2</v>
      </c>
      <c r="AT141" s="528">
        <f t="shared" si="144"/>
        <v>2.6595761318585997E-2</v>
      </c>
      <c r="AU141" s="528">
        <f t="shared" si="144"/>
        <v>2.5795638163640361E-2</v>
      </c>
      <c r="AV141" s="528">
        <f t="shared" si="144"/>
        <v>2.4917892395975895E-2</v>
      </c>
      <c r="AW141" s="528">
        <f t="shared" si="144"/>
        <v>2.3972179204470045E-2</v>
      </c>
      <c r="AX141" s="528">
        <f t="shared" si="144"/>
        <v>2.2968620125303141E-2</v>
      </c>
      <c r="AY141" s="528">
        <f t="shared" si="144"/>
        <v>2.191762410986094E-2</v>
      </c>
      <c r="AZ141" s="528">
        <f t="shared" si="144"/>
        <v>2.0829710007743384E-2</v>
      </c>
      <c r="BA141" s="528">
        <f t="shared" si="144"/>
        <v>1.9715334633833945E-2</v>
      </c>
      <c r="BB141" s="528">
        <f t="shared" si="144"/>
        <v>1.8584730251230763E-2</v>
      </c>
      <c r="BC141" s="528">
        <f t="shared" si="144"/>
        <v>1.7447754858827273E-2</v>
      </c>
      <c r="BD141" s="528">
        <f t="shared" si="144"/>
        <v>1.6313758144181768E-2</v>
      </c>
      <c r="BE141" s="528">
        <f t="shared" si="144"/>
        <v>1.5191465372184828E-2</v>
      </c>
      <c r="BF141" s="528">
        <f t="shared" si="144"/>
        <v>1.4088880852215017E-2</v>
      </c>
      <c r="BG141" s="528">
        <f t="shared" si="144"/>
        <v>1.3013211985400126E-2</v>
      </c>
      <c r="BH141" s="528">
        <f t="shared" si="144"/>
        <v>1.1970814262685125E-2</v>
      </c>
      <c r="BI141" s="528">
        <f t="shared" si="144"/>
        <v>1.0967156985199716E-2</v>
      </c>
      <c r="BJ141" s="528">
        <f t="shared" si="144"/>
        <v>1.0006808929714256E-2</v>
      </c>
      <c r="BK141" s="528" t="str">
        <f t="shared" si="144"/>
        <v/>
      </c>
      <c r="BL141" s="528" t="str">
        <f t="shared" si="144"/>
        <v/>
      </c>
      <c r="BM141" s="528" t="str">
        <f t="shared" si="144"/>
        <v/>
      </c>
    </row>
    <row r="142" spans="6:65" ht="15.75" customHeight="1" x14ac:dyDescent="0.25">
      <c r="F142" s="197"/>
      <c r="G142" s="197">
        <f t="shared" si="3"/>
        <v>0</v>
      </c>
      <c r="H142" s="197">
        <f t="shared" si="4"/>
        <v>483</v>
      </c>
      <c r="I142" s="523">
        <v>1</v>
      </c>
      <c r="J142" s="533">
        <f>'Monthly DCF'!$I$3</f>
        <v>46418</v>
      </c>
      <c r="K142" s="533">
        <f t="shared" si="5"/>
        <v>47848</v>
      </c>
      <c r="L142" s="536">
        <f t="shared" si="102"/>
        <v>48</v>
      </c>
      <c r="M142" s="20" t="s">
        <v>366</v>
      </c>
      <c r="N142" s="20">
        <f t="shared" si="6"/>
        <v>16</v>
      </c>
      <c r="O142" s="537">
        <v>3</v>
      </c>
      <c r="P142" s="528">
        <f t="shared" ref="P142:BM142" si="145">IFERROR(+IF(AND($M142="Flat",P$5&gt;=$J142,P$5&lt;=$K142),$I142/$L142,0)+IF(AND($M142="S-Curve",P$5&gt;=$J142,P$5&lt;=$K142),(_xlfn.NORM.DIST((YEAR(P$5)-YEAR($J142))*12+MONTH(P$5)-MONTH($J142)+1,$L142/2,$N142,TRUE)-_xlfn.NORM.DIST((YEAR(P$5)-YEAR($J142))*12+MONTH(P$5)-MONTH($J142),$L142/2,$N142,TRUE))/(1-2*_xlfn.NORM.DIST(0,$L142/2,$N142,TRUE))*$I142," "),"")</f>
        <v>9.7886958975383215E-3</v>
      </c>
      <c r="Q142" s="528">
        <f t="shared" si="145"/>
        <v>1.0708552826925514E-2</v>
      </c>
      <c r="R142" s="528">
        <f t="shared" si="145"/>
        <v>1.1669192908931038E-2</v>
      </c>
      <c r="S142" s="528">
        <f t="shared" si="145"/>
        <v>1.2666450916724095E-2</v>
      </c>
      <c r="T142" s="528">
        <f t="shared" si="145"/>
        <v>1.3695350731953307E-2</v>
      </c>
      <c r="U142" s="528">
        <f t="shared" si="145"/>
        <v>1.4750116900634401E-2</v>
      </c>
      <c r="V142" s="528">
        <f t="shared" si="145"/>
        <v>1.5824203340082596E-2</v>
      </c>
      <c r="W142" s="528">
        <f t="shared" si="145"/>
        <v>1.6910339890690351E-2</v>
      </c>
      <c r="X142" s="528">
        <f t="shared" si="145"/>
        <v>1.8000596956788992E-2</v>
      </c>
      <c r="Y142" s="528">
        <f t="shared" si="145"/>
        <v>1.9086467988854241E-2</v>
      </c>
      <c r="Z142" s="528">
        <f t="shared" si="145"/>
        <v>2.0158969039600898E-2</v>
      </c>
      <c r="AA142" s="528">
        <f t="shared" si="145"/>
        <v>2.1208754095844936E-2</v>
      </c>
      <c r="AB142" s="528">
        <f t="shared" si="145"/>
        <v>2.2226244364861425E-2</v>
      </c>
      <c r="AC142" s="528">
        <f t="shared" si="145"/>
        <v>2.3201769197593539E-2</v>
      </c>
      <c r="AD142" s="528">
        <f t="shared" si="145"/>
        <v>2.4125715880883605E-2</v>
      </c>
      <c r="AE142" s="528">
        <f t="shared" si="145"/>
        <v>2.4988685145547126E-2</v>
      </c>
      <c r="AF142" s="528">
        <f t="shared" si="145"/>
        <v>2.5781648933591271E-2</v>
      </c>
      <c r="AG142" s="528">
        <f t="shared" si="145"/>
        <v>2.6496106760819357E-2</v>
      </c>
      <c r="AH142" s="528">
        <f t="shared" si="145"/>
        <v>2.7124236911832734E-2</v>
      </c>
      <c r="AI142" s="528">
        <f t="shared" si="145"/>
        <v>2.7659038720662263E-2</v>
      </c>
      <c r="AJ142" s="528">
        <f t="shared" si="145"/>
        <v>2.8094462325230531E-2</v>
      </c>
      <c r="AK142" s="528">
        <f t="shared" si="145"/>
        <v>2.8425522536293553E-2</v>
      </c>
      <c r="AL142" s="528">
        <f t="shared" si="145"/>
        <v>2.8648393825528917E-2</v>
      </c>
      <c r="AM142" s="528">
        <f t="shared" si="145"/>
        <v>2.8760483902587015E-2</v>
      </c>
      <c r="AN142" s="528">
        <f t="shared" si="145"/>
        <v>2.876048390258695E-2</v>
      </c>
      <c r="AO142" s="528">
        <f t="shared" si="145"/>
        <v>2.864839382552898E-2</v>
      </c>
      <c r="AP142" s="528">
        <f t="shared" si="145"/>
        <v>2.842552253629349E-2</v>
      </c>
      <c r="AQ142" s="528">
        <f t="shared" si="145"/>
        <v>2.8094462325230593E-2</v>
      </c>
      <c r="AR142" s="528">
        <f t="shared" si="145"/>
        <v>2.76590387206622E-2</v>
      </c>
      <c r="AS142" s="528">
        <f t="shared" si="145"/>
        <v>2.71242369118328E-2</v>
      </c>
      <c r="AT142" s="528">
        <f t="shared" si="145"/>
        <v>2.6496106760819357E-2</v>
      </c>
      <c r="AU142" s="528">
        <f t="shared" si="145"/>
        <v>2.5781648933591271E-2</v>
      </c>
      <c r="AV142" s="528">
        <f t="shared" si="145"/>
        <v>2.4988685145547126E-2</v>
      </c>
      <c r="AW142" s="528">
        <f t="shared" si="145"/>
        <v>2.4125715880883539E-2</v>
      </c>
      <c r="AX142" s="528">
        <f t="shared" si="145"/>
        <v>2.3201769197593605E-2</v>
      </c>
      <c r="AY142" s="528">
        <f t="shared" si="145"/>
        <v>2.2226244364861363E-2</v>
      </c>
      <c r="AZ142" s="528">
        <f t="shared" si="145"/>
        <v>2.1208754095844967E-2</v>
      </c>
      <c r="BA142" s="528">
        <f t="shared" si="145"/>
        <v>2.0158969039600995E-2</v>
      </c>
      <c r="BB142" s="528">
        <f t="shared" si="145"/>
        <v>1.9086467988854144E-2</v>
      </c>
      <c r="BC142" s="528">
        <f t="shared" si="145"/>
        <v>1.8000596956789058E-2</v>
      </c>
      <c r="BD142" s="528">
        <f t="shared" si="145"/>
        <v>1.691033989069032E-2</v>
      </c>
      <c r="BE142" s="528">
        <f t="shared" si="145"/>
        <v>1.5824203340082561E-2</v>
      </c>
      <c r="BF142" s="528">
        <f t="shared" si="145"/>
        <v>1.4750116900634434E-2</v>
      </c>
      <c r="BG142" s="528">
        <f t="shared" si="145"/>
        <v>1.3695350731953325E-2</v>
      </c>
      <c r="BH142" s="528">
        <f t="shared" si="145"/>
        <v>1.2666450916724144E-2</v>
      </c>
      <c r="BI142" s="528">
        <f t="shared" si="145"/>
        <v>1.1669192908931038E-2</v>
      </c>
      <c r="BJ142" s="528">
        <f t="shared" si="145"/>
        <v>1.070855282692545E-2</v>
      </c>
      <c r="BK142" s="528">
        <f t="shared" si="145"/>
        <v>9.7886958975382885E-3</v>
      </c>
      <c r="BL142" s="528" t="str">
        <f t="shared" si="145"/>
        <v/>
      </c>
      <c r="BM142" s="528" t="str">
        <f t="shared" si="145"/>
        <v/>
      </c>
    </row>
    <row r="143" spans="6:65" ht="15.75" customHeight="1" x14ac:dyDescent="0.25">
      <c r="F143" s="197"/>
      <c r="G143" s="197">
        <f t="shared" si="3"/>
        <v>0</v>
      </c>
      <c r="H143" s="197">
        <f t="shared" si="4"/>
        <v>493</v>
      </c>
      <c r="I143" s="523">
        <v>1</v>
      </c>
      <c r="J143" s="533">
        <f>'Monthly DCF'!$I$3</f>
        <v>46418</v>
      </c>
      <c r="K143" s="533">
        <f t="shared" si="5"/>
        <v>47879</v>
      </c>
      <c r="L143" s="536">
        <f t="shared" si="102"/>
        <v>49</v>
      </c>
      <c r="M143" s="20" t="s">
        <v>366</v>
      </c>
      <c r="N143" s="20">
        <f t="shared" si="6"/>
        <v>16.333333333333332</v>
      </c>
      <c r="O143" s="537">
        <v>3</v>
      </c>
      <c r="P143" s="528">
        <f t="shared" ref="P143:BM143" si="146">IFERROR(+IF(AND($M143="Flat",P$5&gt;=$J143,P$5&lt;=$K143),$I143/$L143,0)+IF(AND($M143="S-Curve",P$5&gt;=$J143,P$5&lt;=$K143),(_xlfn.NORM.DIST((YEAR(P$5)-YEAR($J143))*12+MONTH(P$5)-MONTH($J143)+1,$L143/2,$N143,TRUE)-_xlfn.NORM.DIST((YEAR(P$5)-YEAR($J143))*12+MONTH(P$5)-MONTH($J143),$L143/2,$N143,TRUE))/(1-2*_xlfn.NORM.DIST(0,$L143/2,$N143,TRUE))*$I143," "),"")</f>
        <v>9.5798768277253095E-3</v>
      </c>
      <c r="Q143" s="528">
        <f t="shared" si="146"/>
        <v>1.0461747629600761E-2</v>
      </c>
      <c r="R143" s="528">
        <f t="shared" si="146"/>
        <v>1.1382066943182589E-2</v>
      </c>
      <c r="S143" s="528">
        <f t="shared" si="146"/>
        <v>1.2337029810576258E-2</v>
      </c>
      <c r="T143" s="528">
        <f t="shared" si="146"/>
        <v>1.332209956197495E-2</v>
      </c>
      <c r="U143" s="528">
        <f t="shared" si="146"/>
        <v>1.4332017116944441E-2</v>
      </c>
      <c r="V143" s="528">
        <f t="shared" si="146"/>
        <v>1.5360825079012971E-2</v>
      </c>
      <c r="W143" s="528">
        <f t="shared" si="146"/>
        <v>1.6401907241697031E-2</v>
      </c>
      <c r="X143" s="528">
        <f t="shared" si="146"/>
        <v>1.7448043754301725E-2</v>
      </c>
      <c r="Y143" s="528">
        <f t="shared" si="146"/>
        <v>1.8491481790383076E-2</v>
      </c>
      <c r="Z143" s="528">
        <f t="shared" si="146"/>
        <v>1.9524021132151632E-2</v>
      </c>
      <c r="AA143" s="528">
        <f t="shared" si="146"/>
        <v>2.0537113643504797E-2</v>
      </c>
      <c r="AB143" s="528">
        <f t="shared" si="146"/>
        <v>2.1521975167370776E-2</v>
      </c>
      <c r="AC143" s="528">
        <f t="shared" si="146"/>
        <v>2.2469707964920753E-2</v>
      </c>
      <c r="AD143" s="528">
        <f t="shared" si="146"/>
        <v>2.3371431430476753E-2</v>
      </c>
      <c r="AE143" s="528">
        <f t="shared" si="146"/>
        <v>2.4218418481668065E-2</v>
      </c>
      <c r="AF143" s="528">
        <f t="shared" si="146"/>
        <v>2.5002234753499712E-2</v>
      </c>
      <c r="AG143" s="528">
        <f t="shared" si="146"/>
        <v>2.5714877529712001E-2</v>
      </c>
      <c r="AH143" s="528">
        <f t="shared" si="146"/>
        <v>2.6348911234957372E-2</v>
      </c>
      <c r="AI143" s="528">
        <f t="shared" si="146"/>
        <v>2.6897596293932464E-2</v>
      </c>
      <c r="AJ143" s="528">
        <f t="shared" si="146"/>
        <v>2.7355008242415626E-2</v>
      </c>
      <c r="AK143" s="528">
        <f t="shared" si="146"/>
        <v>2.7716144150420952E-2</v>
      </c>
      <c r="AL143" s="528">
        <f t="shared" si="146"/>
        <v>2.7977013685982013E-2</v>
      </c>
      <c r="AM143" s="528">
        <f t="shared" si="146"/>
        <v>2.8134712502453765E-2</v>
      </c>
      <c r="AN143" s="528">
        <f t="shared" si="146"/>
        <v>2.8187476062268475E-2</v>
      </c>
      <c r="AO143" s="528">
        <f t="shared" si="146"/>
        <v>2.8134712502453765E-2</v>
      </c>
      <c r="AP143" s="528">
        <f t="shared" si="146"/>
        <v>2.7977013685981947E-2</v>
      </c>
      <c r="AQ143" s="528">
        <f t="shared" si="146"/>
        <v>2.7716144150421014E-2</v>
      </c>
      <c r="AR143" s="528">
        <f t="shared" si="146"/>
        <v>2.7355008242415626E-2</v>
      </c>
      <c r="AS143" s="528">
        <f t="shared" si="146"/>
        <v>2.6897596293932464E-2</v>
      </c>
      <c r="AT143" s="528">
        <f t="shared" si="146"/>
        <v>2.6348911234957372E-2</v>
      </c>
      <c r="AU143" s="528">
        <f t="shared" si="146"/>
        <v>2.5714877529712001E-2</v>
      </c>
      <c r="AV143" s="528">
        <f t="shared" si="146"/>
        <v>2.5002234753499712E-2</v>
      </c>
      <c r="AW143" s="528">
        <f t="shared" si="146"/>
        <v>2.4218418481668127E-2</v>
      </c>
      <c r="AX143" s="528">
        <f t="shared" si="146"/>
        <v>2.3371431430476691E-2</v>
      </c>
      <c r="AY143" s="528">
        <f t="shared" si="146"/>
        <v>2.246970796492069E-2</v>
      </c>
      <c r="AZ143" s="528">
        <f t="shared" si="146"/>
        <v>2.1521975167370873E-2</v>
      </c>
      <c r="BA143" s="528">
        <f t="shared" si="146"/>
        <v>2.0537113643504828E-2</v>
      </c>
      <c r="BB143" s="528">
        <f t="shared" si="146"/>
        <v>1.9524021132151601E-2</v>
      </c>
      <c r="BC143" s="528">
        <f t="shared" si="146"/>
        <v>1.8491481790383044E-2</v>
      </c>
      <c r="BD143" s="528">
        <f t="shared" si="146"/>
        <v>1.744804375430176E-2</v>
      </c>
      <c r="BE143" s="528">
        <f t="shared" si="146"/>
        <v>1.6401907241697062E-2</v>
      </c>
      <c r="BF143" s="528">
        <f t="shared" si="146"/>
        <v>1.5360825079012938E-2</v>
      </c>
      <c r="BG143" s="528">
        <f t="shared" si="146"/>
        <v>1.4332017116944441E-2</v>
      </c>
      <c r="BH143" s="528">
        <f t="shared" si="146"/>
        <v>1.3322099561974868E-2</v>
      </c>
      <c r="BI143" s="528">
        <f t="shared" si="146"/>
        <v>1.2337029810576369E-2</v>
      </c>
      <c r="BJ143" s="528">
        <f t="shared" si="146"/>
        <v>1.1382066943182476E-2</v>
      </c>
      <c r="BK143" s="528">
        <f t="shared" si="146"/>
        <v>1.0461747629600761E-2</v>
      </c>
      <c r="BL143" s="528">
        <f t="shared" si="146"/>
        <v>9.5798768277253251E-3</v>
      </c>
      <c r="BM143" s="528" t="str">
        <f t="shared" si="146"/>
        <v/>
      </c>
    </row>
    <row r="144" spans="6:65" ht="15.75" customHeight="1" x14ac:dyDescent="0.25">
      <c r="F144" s="197"/>
      <c r="G144" s="197">
        <f t="shared" si="3"/>
        <v>0</v>
      </c>
      <c r="H144" s="197">
        <f t="shared" si="4"/>
        <v>503</v>
      </c>
      <c r="I144" s="523">
        <v>1</v>
      </c>
      <c r="J144" s="533">
        <f>'Monthly DCF'!$I$3</f>
        <v>46418</v>
      </c>
      <c r="K144" s="533">
        <f t="shared" si="5"/>
        <v>47907</v>
      </c>
      <c r="L144" s="536">
        <f t="shared" si="102"/>
        <v>50</v>
      </c>
      <c r="M144" s="20" t="s">
        <v>366</v>
      </c>
      <c r="N144" s="20">
        <f t="shared" si="6"/>
        <v>16.666666666666668</v>
      </c>
      <c r="O144" s="537">
        <v>3</v>
      </c>
      <c r="P144" s="528">
        <f t="shared" ref="P144:BM144" si="147">IFERROR(+IF(AND($M144="Flat",P$5&gt;=$J144,P$5&lt;=$K144),$I144/$L144,0)+IF(AND($M144="S-Curve",P$5&gt;=$J144,P$5&lt;=$K144),(_xlfn.NORM.DIST((YEAR(P$5)-YEAR($J144))*12+MONTH(P$5)-MONTH($J144)+1,$L144/2,$N144,TRUE)-_xlfn.NORM.DIST((YEAR(P$5)-YEAR($J144))*12+MONTH(P$5)-MONTH($J144),$L144/2,$N144,TRUE))/(1-2*_xlfn.NORM.DIST(0,$L144/2,$N144,TRUE))*$I144," "),"")</f>
        <v>9.3797707271129609E-3</v>
      </c>
      <c r="Q144" s="528">
        <f t="shared" si="147"/>
        <v>1.0225958172247761E-2</v>
      </c>
      <c r="R144" s="528">
        <f t="shared" si="147"/>
        <v>1.1108433250330589E-2</v>
      </c>
      <c r="S144" s="528">
        <f t="shared" si="147"/>
        <v>1.2023713411604849E-2</v>
      </c>
      <c r="T144" s="528">
        <f t="shared" si="147"/>
        <v>1.2967654510088963E-2</v>
      </c>
      <c r="U144" s="528">
        <f t="shared" si="147"/>
        <v>1.3935458272222204E-2</v>
      </c>
      <c r="V144" s="528">
        <f t="shared" si="147"/>
        <v>1.4921692562570078E-2</v>
      </c>
      <c r="W144" s="528">
        <f t="shared" si="147"/>
        <v>1.592032499659167E-2</v>
      </c>
      <c r="X144" s="528">
        <f t="shared" si="147"/>
        <v>1.6924770145133085E-2</v>
      </c>
      <c r="Y144" s="528">
        <f t="shared" si="147"/>
        <v>1.7927950239959856E-2</v>
      </c>
      <c r="Z144" s="528">
        <f t="shared" si="147"/>
        <v>1.8922368933312991E-2</v>
      </c>
      <c r="AA144" s="528">
        <f t="shared" si="147"/>
        <v>1.9900197297582731E-2</v>
      </c>
      <c r="AB144" s="528">
        <f t="shared" si="147"/>
        <v>2.0853370885247791E-2</v>
      </c>
      <c r="AC144" s="528">
        <f t="shared" si="147"/>
        <v>2.1773696316444338E-2</v>
      </c>
      <c r="AD144" s="528">
        <f t="shared" si="147"/>
        <v>2.2652965534311988E-2</v>
      </c>
      <c r="AE144" s="528">
        <f t="shared" si="147"/>
        <v>2.3483075578839056E-2</v>
      </c>
      <c r="AF144" s="528">
        <f t="shared" si="147"/>
        <v>2.4256151489682885E-2</v>
      </c>
      <c r="AG144" s="528">
        <f t="shared" si="147"/>
        <v>2.4964669767572546E-2</v>
      </c>
      <c r="AH144" s="528">
        <f t="shared" si="147"/>
        <v>2.5601579710845594E-2</v>
      </c>
      <c r="AI144" s="528">
        <f t="shared" si="147"/>
        <v>2.6160419904747129E-2</v>
      </c>
      <c r="AJ144" s="528">
        <f t="shared" si="147"/>
        <v>2.6635427180172391E-2</v>
      </c>
      <c r="AK144" s="528">
        <f t="shared" si="147"/>
        <v>2.7021635476707329E-2</v>
      </c>
      <c r="AL144" s="528">
        <f t="shared" si="147"/>
        <v>2.7314962240409437E-2</v>
      </c>
      <c r="AM144" s="528">
        <f t="shared" si="147"/>
        <v>2.7512280255229782E-2</v>
      </c>
      <c r="AN144" s="528">
        <f t="shared" si="147"/>
        <v>2.7611473141032031E-2</v>
      </c>
      <c r="AO144" s="528">
        <f t="shared" si="147"/>
        <v>2.7611473141032031E-2</v>
      </c>
      <c r="AP144" s="528">
        <f t="shared" si="147"/>
        <v>2.7512280255229782E-2</v>
      </c>
      <c r="AQ144" s="528">
        <f t="shared" si="147"/>
        <v>2.7314962240409503E-2</v>
      </c>
      <c r="AR144" s="528">
        <f t="shared" si="147"/>
        <v>2.70216354767072E-2</v>
      </c>
      <c r="AS144" s="528">
        <f t="shared" si="147"/>
        <v>2.6635427180172457E-2</v>
      </c>
      <c r="AT144" s="528">
        <f t="shared" si="147"/>
        <v>2.6160419904747191E-2</v>
      </c>
      <c r="AU144" s="528">
        <f t="shared" si="147"/>
        <v>2.5601579710845531E-2</v>
      </c>
      <c r="AV144" s="528">
        <f t="shared" si="147"/>
        <v>2.4964669767572483E-2</v>
      </c>
      <c r="AW144" s="528">
        <f t="shared" si="147"/>
        <v>2.4256151489682947E-2</v>
      </c>
      <c r="AX144" s="528">
        <f t="shared" si="147"/>
        <v>2.3483075578839056E-2</v>
      </c>
      <c r="AY144" s="528">
        <f t="shared" si="147"/>
        <v>2.2652965534311988E-2</v>
      </c>
      <c r="AZ144" s="528">
        <f t="shared" si="147"/>
        <v>2.1773696316444338E-2</v>
      </c>
      <c r="BA144" s="528">
        <f t="shared" si="147"/>
        <v>2.0853370885247791E-2</v>
      </c>
      <c r="BB144" s="528">
        <f t="shared" si="147"/>
        <v>1.9900197297582696E-2</v>
      </c>
      <c r="BC144" s="528">
        <f t="shared" si="147"/>
        <v>1.8922368933312991E-2</v>
      </c>
      <c r="BD144" s="528">
        <f t="shared" si="147"/>
        <v>1.7927950239959856E-2</v>
      </c>
      <c r="BE144" s="528">
        <f t="shared" si="147"/>
        <v>1.6924770145133054E-2</v>
      </c>
      <c r="BF144" s="528">
        <f t="shared" si="147"/>
        <v>1.5920324996591701E-2</v>
      </c>
      <c r="BG144" s="528">
        <f t="shared" si="147"/>
        <v>1.4921692562570111E-2</v>
      </c>
      <c r="BH144" s="528">
        <f t="shared" si="147"/>
        <v>1.3935458272222267E-2</v>
      </c>
      <c r="BI144" s="528">
        <f t="shared" si="147"/>
        <v>1.296765451008893E-2</v>
      </c>
      <c r="BJ144" s="528">
        <f t="shared" si="147"/>
        <v>1.2023713411604865E-2</v>
      </c>
      <c r="BK144" s="528">
        <f t="shared" si="147"/>
        <v>1.1108433250330556E-2</v>
      </c>
      <c r="BL144" s="528">
        <f t="shared" si="147"/>
        <v>1.0225958172247761E-2</v>
      </c>
      <c r="BM144" s="528">
        <f t="shared" si="147"/>
        <v>9.3797707271129141E-3</v>
      </c>
    </row>
    <row r="145" spans="6:65" ht="15.75" customHeight="1" x14ac:dyDescent="0.25">
      <c r="F145" s="197"/>
      <c r="G145" s="197">
        <f t="shared" si="3"/>
        <v>0</v>
      </c>
      <c r="H145" s="197">
        <f t="shared" si="4"/>
        <v>54</v>
      </c>
      <c r="I145" s="523">
        <v>1</v>
      </c>
      <c r="J145" s="533">
        <f>'Monthly DCF'!$I$3</f>
        <v>46418</v>
      </c>
      <c r="K145" s="533">
        <f t="shared" si="5"/>
        <v>46538</v>
      </c>
      <c r="L145" s="536">
        <v>5</v>
      </c>
      <c r="M145" s="20" t="s">
        <v>366</v>
      </c>
      <c r="N145" s="20">
        <f t="shared" si="6"/>
        <v>1.25</v>
      </c>
      <c r="O145" s="537">
        <v>4</v>
      </c>
      <c r="P145" s="528">
        <f t="shared" ref="P145:BM145" si="148">IFERROR(+IF(AND($M145="Flat",P$5&gt;=$J145,P$5&lt;=$K145),$I145/$L145,0)+IF(AND($M145="S-Curve",P$5&gt;=$J145,P$5&lt;=$K145),(_xlfn.NORM.DIST((YEAR(P$5)-YEAR($J145))*12+MONTH(P$5)-MONTH($J145)+1,$L145/2,$N145,TRUE)-_xlfn.NORM.DIST((YEAR(P$5)-YEAR($J145))*12+MONTH(P$5)-MONTH($J145),$L145/2,$N145,TRUE))/(1-2*_xlfn.NORM.DIST(0,$L145/2,$N145,TRUE))*$I145," "),"")</f>
        <v>9.6720339232765212E-2</v>
      </c>
      <c r="Q145" s="528">
        <f t="shared" si="148"/>
        <v>0.24044908498858605</v>
      </c>
      <c r="R145" s="528">
        <f t="shared" si="148"/>
        <v>0.32566115155729752</v>
      </c>
      <c r="S145" s="528">
        <f t="shared" si="148"/>
        <v>0.24044908498858605</v>
      </c>
      <c r="T145" s="528">
        <f t="shared" si="148"/>
        <v>9.6720339232765129E-2</v>
      </c>
      <c r="U145" s="528" t="str">
        <f t="shared" si="148"/>
        <v/>
      </c>
      <c r="V145" s="528" t="str">
        <f t="shared" si="148"/>
        <v/>
      </c>
      <c r="W145" s="528" t="str">
        <f t="shared" si="148"/>
        <v/>
      </c>
      <c r="X145" s="528" t="str">
        <f t="shared" si="148"/>
        <v/>
      </c>
      <c r="Y145" s="528" t="str">
        <f t="shared" si="148"/>
        <v/>
      </c>
      <c r="Z145" s="528" t="str">
        <f t="shared" si="148"/>
        <v/>
      </c>
      <c r="AA145" s="528" t="str">
        <f t="shared" si="148"/>
        <v/>
      </c>
      <c r="AB145" s="528" t="str">
        <f t="shared" si="148"/>
        <v/>
      </c>
      <c r="AC145" s="528" t="str">
        <f t="shared" si="148"/>
        <v/>
      </c>
      <c r="AD145" s="528" t="str">
        <f t="shared" si="148"/>
        <v/>
      </c>
      <c r="AE145" s="528" t="str">
        <f t="shared" si="148"/>
        <v/>
      </c>
      <c r="AF145" s="528" t="str">
        <f t="shared" si="148"/>
        <v/>
      </c>
      <c r="AG145" s="528" t="str">
        <f t="shared" si="148"/>
        <v/>
      </c>
      <c r="AH145" s="528" t="str">
        <f t="shared" si="148"/>
        <v/>
      </c>
      <c r="AI145" s="528" t="str">
        <f t="shared" si="148"/>
        <v/>
      </c>
      <c r="AJ145" s="528" t="str">
        <f t="shared" si="148"/>
        <v/>
      </c>
      <c r="AK145" s="528" t="str">
        <f t="shared" si="148"/>
        <v/>
      </c>
      <c r="AL145" s="528" t="str">
        <f t="shared" si="148"/>
        <v/>
      </c>
      <c r="AM145" s="528" t="str">
        <f t="shared" si="148"/>
        <v/>
      </c>
      <c r="AN145" s="528" t="str">
        <f t="shared" si="148"/>
        <v/>
      </c>
      <c r="AO145" s="528" t="str">
        <f t="shared" si="148"/>
        <v/>
      </c>
      <c r="AP145" s="528" t="str">
        <f t="shared" si="148"/>
        <v/>
      </c>
      <c r="AQ145" s="528" t="str">
        <f t="shared" si="148"/>
        <v/>
      </c>
      <c r="AR145" s="528" t="str">
        <f t="shared" si="148"/>
        <v/>
      </c>
      <c r="AS145" s="528" t="str">
        <f t="shared" si="148"/>
        <v/>
      </c>
      <c r="AT145" s="528" t="str">
        <f t="shared" si="148"/>
        <v/>
      </c>
      <c r="AU145" s="528" t="str">
        <f t="shared" si="148"/>
        <v/>
      </c>
      <c r="AV145" s="528" t="str">
        <f t="shared" si="148"/>
        <v/>
      </c>
      <c r="AW145" s="528" t="str">
        <f t="shared" si="148"/>
        <v/>
      </c>
      <c r="AX145" s="528" t="str">
        <f t="shared" si="148"/>
        <v/>
      </c>
      <c r="AY145" s="528" t="str">
        <f t="shared" si="148"/>
        <v/>
      </c>
      <c r="AZ145" s="528" t="str">
        <f t="shared" si="148"/>
        <v/>
      </c>
      <c r="BA145" s="528" t="str">
        <f t="shared" si="148"/>
        <v/>
      </c>
      <c r="BB145" s="528" t="str">
        <f t="shared" si="148"/>
        <v/>
      </c>
      <c r="BC145" s="528" t="str">
        <f t="shared" si="148"/>
        <v/>
      </c>
      <c r="BD145" s="528" t="str">
        <f t="shared" si="148"/>
        <v/>
      </c>
      <c r="BE145" s="528" t="str">
        <f t="shared" si="148"/>
        <v/>
      </c>
      <c r="BF145" s="528" t="str">
        <f t="shared" si="148"/>
        <v/>
      </c>
      <c r="BG145" s="528" t="str">
        <f t="shared" si="148"/>
        <v/>
      </c>
      <c r="BH145" s="528" t="str">
        <f t="shared" si="148"/>
        <v/>
      </c>
      <c r="BI145" s="528" t="str">
        <f t="shared" si="148"/>
        <v/>
      </c>
      <c r="BJ145" s="528" t="str">
        <f t="shared" si="148"/>
        <v/>
      </c>
      <c r="BK145" s="528" t="str">
        <f t="shared" si="148"/>
        <v/>
      </c>
      <c r="BL145" s="528" t="str">
        <f t="shared" si="148"/>
        <v/>
      </c>
      <c r="BM145" s="528" t="str">
        <f t="shared" si="148"/>
        <v/>
      </c>
    </row>
    <row r="146" spans="6:65" ht="15.75" customHeight="1" x14ac:dyDescent="0.25">
      <c r="F146" s="197"/>
      <c r="G146" s="197">
        <f t="shared" si="3"/>
        <v>0</v>
      </c>
      <c r="H146" s="197">
        <f t="shared" si="4"/>
        <v>64</v>
      </c>
      <c r="I146" s="523">
        <v>1</v>
      </c>
      <c r="J146" s="533">
        <f>'Monthly DCF'!$I$3</f>
        <v>46418</v>
      </c>
      <c r="K146" s="533">
        <f t="shared" si="5"/>
        <v>46568</v>
      </c>
      <c r="L146" s="536">
        <f t="shared" ref="L146:L190" si="149">L145+1</f>
        <v>6</v>
      </c>
      <c r="M146" s="20" t="s">
        <v>366</v>
      </c>
      <c r="N146" s="20">
        <f t="shared" si="6"/>
        <v>1.5</v>
      </c>
      <c r="O146" s="537">
        <v>4</v>
      </c>
      <c r="P146" s="528">
        <f t="shared" ref="P146:BM146" si="150">IFERROR(+IF(AND($M146="Flat",P$5&gt;=$J146,P$5&lt;=$K146),$I146/$L146,0)+IF(AND($M146="S-Curve",P$5&gt;=$J146,P$5&lt;=$K146),(_xlfn.NORM.DIST((YEAR(P$5)-YEAR($J146))*12+MONTH(P$5)-MONTH($J146)+1,$L146/2,$N146,TRUE)-_xlfn.NORM.DIST((YEAR(P$5)-YEAR($J146))*12+MONTH(P$5)-MONTH($J146),$L146/2,$N146,TRUE))/(1-2*_xlfn.NORM.DIST(0,$L146/2,$N146,TRUE))*$I146," "),"")</f>
        <v>7.172457486175253E-2</v>
      </c>
      <c r="Q146" s="528">
        <f t="shared" si="150"/>
        <v>0.16896947345362365</v>
      </c>
      <c r="R146" s="528">
        <f t="shared" si="150"/>
        <v>0.25930595168462384</v>
      </c>
      <c r="S146" s="528">
        <f t="shared" si="150"/>
        <v>0.25930595168462384</v>
      </c>
      <c r="T146" s="528">
        <f t="shared" si="150"/>
        <v>0.16896947345362365</v>
      </c>
      <c r="U146" s="528">
        <f t="shared" si="150"/>
        <v>7.1724574861752516E-2</v>
      </c>
      <c r="V146" s="528" t="str">
        <f t="shared" si="150"/>
        <v/>
      </c>
      <c r="W146" s="528" t="str">
        <f t="shared" si="150"/>
        <v/>
      </c>
      <c r="X146" s="528" t="str">
        <f t="shared" si="150"/>
        <v/>
      </c>
      <c r="Y146" s="528" t="str">
        <f t="shared" si="150"/>
        <v/>
      </c>
      <c r="Z146" s="528" t="str">
        <f t="shared" si="150"/>
        <v/>
      </c>
      <c r="AA146" s="528" t="str">
        <f t="shared" si="150"/>
        <v/>
      </c>
      <c r="AB146" s="528" t="str">
        <f t="shared" si="150"/>
        <v/>
      </c>
      <c r="AC146" s="528" t="str">
        <f t="shared" si="150"/>
        <v/>
      </c>
      <c r="AD146" s="528" t="str">
        <f t="shared" si="150"/>
        <v/>
      </c>
      <c r="AE146" s="528" t="str">
        <f t="shared" si="150"/>
        <v/>
      </c>
      <c r="AF146" s="528" t="str">
        <f t="shared" si="150"/>
        <v/>
      </c>
      <c r="AG146" s="528" t="str">
        <f t="shared" si="150"/>
        <v/>
      </c>
      <c r="AH146" s="528" t="str">
        <f t="shared" si="150"/>
        <v/>
      </c>
      <c r="AI146" s="528" t="str">
        <f t="shared" si="150"/>
        <v/>
      </c>
      <c r="AJ146" s="528" t="str">
        <f t="shared" si="150"/>
        <v/>
      </c>
      <c r="AK146" s="528" t="str">
        <f t="shared" si="150"/>
        <v/>
      </c>
      <c r="AL146" s="528" t="str">
        <f t="shared" si="150"/>
        <v/>
      </c>
      <c r="AM146" s="528" t="str">
        <f t="shared" si="150"/>
        <v/>
      </c>
      <c r="AN146" s="528" t="str">
        <f t="shared" si="150"/>
        <v/>
      </c>
      <c r="AO146" s="528" t="str">
        <f t="shared" si="150"/>
        <v/>
      </c>
      <c r="AP146" s="528" t="str">
        <f t="shared" si="150"/>
        <v/>
      </c>
      <c r="AQ146" s="528" t="str">
        <f t="shared" si="150"/>
        <v/>
      </c>
      <c r="AR146" s="528" t="str">
        <f t="shared" si="150"/>
        <v/>
      </c>
      <c r="AS146" s="528" t="str">
        <f t="shared" si="150"/>
        <v/>
      </c>
      <c r="AT146" s="528" t="str">
        <f t="shared" si="150"/>
        <v/>
      </c>
      <c r="AU146" s="528" t="str">
        <f t="shared" si="150"/>
        <v/>
      </c>
      <c r="AV146" s="528" t="str">
        <f t="shared" si="150"/>
        <v/>
      </c>
      <c r="AW146" s="528" t="str">
        <f t="shared" si="150"/>
        <v/>
      </c>
      <c r="AX146" s="528" t="str">
        <f t="shared" si="150"/>
        <v/>
      </c>
      <c r="AY146" s="528" t="str">
        <f t="shared" si="150"/>
        <v/>
      </c>
      <c r="AZ146" s="528" t="str">
        <f t="shared" si="150"/>
        <v/>
      </c>
      <c r="BA146" s="528" t="str">
        <f t="shared" si="150"/>
        <v/>
      </c>
      <c r="BB146" s="528" t="str">
        <f t="shared" si="150"/>
        <v/>
      </c>
      <c r="BC146" s="528" t="str">
        <f t="shared" si="150"/>
        <v/>
      </c>
      <c r="BD146" s="528" t="str">
        <f t="shared" si="150"/>
        <v/>
      </c>
      <c r="BE146" s="528" t="str">
        <f t="shared" si="150"/>
        <v/>
      </c>
      <c r="BF146" s="528" t="str">
        <f t="shared" si="150"/>
        <v/>
      </c>
      <c r="BG146" s="528" t="str">
        <f t="shared" si="150"/>
        <v/>
      </c>
      <c r="BH146" s="528" t="str">
        <f t="shared" si="150"/>
        <v/>
      </c>
      <c r="BI146" s="528" t="str">
        <f t="shared" si="150"/>
        <v/>
      </c>
      <c r="BJ146" s="528" t="str">
        <f t="shared" si="150"/>
        <v/>
      </c>
      <c r="BK146" s="528" t="str">
        <f t="shared" si="150"/>
        <v/>
      </c>
      <c r="BL146" s="528" t="str">
        <f t="shared" si="150"/>
        <v/>
      </c>
      <c r="BM146" s="528" t="str">
        <f t="shared" si="150"/>
        <v/>
      </c>
    </row>
    <row r="147" spans="6:65" ht="15.75" customHeight="1" x14ac:dyDescent="0.25">
      <c r="F147" s="197"/>
      <c r="G147" s="197">
        <f t="shared" si="3"/>
        <v>0</v>
      </c>
      <c r="H147" s="197">
        <f t="shared" si="4"/>
        <v>74</v>
      </c>
      <c r="I147" s="523">
        <v>1</v>
      </c>
      <c r="J147" s="533">
        <f>'Monthly DCF'!$I$3</f>
        <v>46418</v>
      </c>
      <c r="K147" s="533">
        <f t="shared" si="5"/>
        <v>46599</v>
      </c>
      <c r="L147" s="536">
        <f t="shared" si="149"/>
        <v>7</v>
      </c>
      <c r="M147" s="20" t="s">
        <v>366</v>
      </c>
      <c r="N147" s="20">
        <f t="shared" si="6"/>
        <v>1.75</v>
      </c>
      <c r="O147" s="537">
        <v>4</v>
      </c>
      <c r="P147" s="528">
        <f t="shared" ref="P147:BM147" si="151">IFERROR(+IF(AND($M147="Flat",P$5&gt;=$J147,P$5&lt;=$K147),$I147/$L147,0)+IF(AND($M147="S-Curve",P$5&gt;=$J147,P$5&lt;=$K147),(_xlfn.NORM.DIST((YEAR(P$5)-YEAR($J147))*12+MONTH(P$5)-MONTH($J147)+1,$L147/2,$N147,TRUE)-_xlfn.NORM.DIST((YEAR(P$5)-YEAR($J147))*12+MONTH(P$5)-MONTH($J147),$L147/2,$N147,TRUE))/(1-2*_xlfn.NORM.DIST(0,$L147/2,$N147,TRUE))*$I147," "),"")</f>
        <v>5.6378845929625651E-2</v>
      </c>
      <c r="Q147" s="528">
        <f t="shared" si="151"/>
        <v>0.12479756582248755</v>
      </c>
      <c r="R147" s="528">
        <f t="shared" si="151"/>
        <v>0.20101159244677175</v>
      </c>
      <c r="S147" s="528">
        <f t="shared" si="151"/>
        <v>0.23562399160223013</v>
      </c>
      <c r="T147" s="528">
        <f t="shared" si="151"/>
        <v>0.20101159244677178</v>
      </c>
      <c r="U147" s="528">
        <f t="shared" si="151"/>
        <v>0.12479756582248756</v>
      </c>
      <c r="V147" s="528">
        <f t="shared" si="151"/>
        <v>5.6378845929625589E-2</v>
      </c>
      <c r="W147" s="528" t="str">
        <f t="shared" si="151"/>
        <v/>
      </c>
      <c r="X147" s="528" t="str">
        <f t="shared" si="151"/>
        <v/>
      </c>
      <c r="Y147" s="528" t="str">
        <f t="shared" si="151"/>
        <v/>
      </c>
      <c r="Z147" s="528" t="str">
        <f t="shared" si="151"/>
        <v/>
      </c>
      <c r="AA147" s="528" t="str">
        <f t="shared" si="151"/>
        <v/>
      </c>
      <c r="AB147" s="528" t="str">
        <f t="shared" si="151"/>
        <v/>
      </c>
      <c r="AC147" s="528" t="str">
        <f t="shared" si="151"/>
        <v/>
      </c>
      <c r="AD147" s="528" t="str">
        <f t="shared" si="151"/>
        <v/>
      </c>
      <c r="AE147" s="528" t="str">
        <f t="shared" si="151"/>
        <v/>
      </c>
      <c r="AF147" s="528" t="str">
        <f t="shared" si="151"/>
        <v/>
      </c>
      <c r="AG147" s="528" t="str">
        <f t="shared" si="151"/>
        <v/>
      </c>
      <c r="AH147" s="528" t="str">
        <f t="shared" si="151"/>
        <v/>
      </c>
      <c r="AI147" s="528" t="str">
        <f t="shared" si="151"/>
        <v/>
      </c>
      <c r="AJ147" s="528" t="str">
        <f t="shared" si="151"/>
        <v/>
      </c>
      <c r="AK147" s="528" t="str">
        <f t="shared" si="151"/>
        <v/>
      </c>
      <c r="AL147" s="528" t="str">
        <f t="shared" si="151"/>
        <v/>
      </c>
      <c r="AM147" s="528" t="str">
        <f t="shared" si="151"/>
        <v/>
      </c>
      <c r="AN147" s="528" t="str">
        <f t="shared" si="151"/>
        <v/>
      </c>
      <c r="AO147" s="528" t="str">
        <f t="shared" si="151"/>
        <v/>
      </c>
      <c r="AP147" s="528" t="str">
        <f t="shared" si="151"/>
        <v/>
      </c>
      <c r="AQ147" s="528" t="str">
        <f t="shared" si="151"/>
        <v/>
      </c>
      <c r="AR147" s="528" t="str">
        <f t="shared" si="151"/>
        <v/>
      </c>
      <c r="AS147" s="528" t="str">
        <f t="shared" si="151"/>
        <v/>
      </c>
      <c r="AT147" s="528" t="str">
        <f t="shared" si="151"/>
        <v/>
      </c>
      <c r="AU147" s="528" t="str">
        <f t="shared" si="151"/>
        <v/>
      </c>
      <c r="AV147" s="528" t="str">
        <f t="shared" si="151"/>
        <v/>
      </c>
      <c r="AW147" s="528" t="str">
        <f t="shared" si="151"/>
        <v/>
      </c>
      <c r="AX147" s="528" t="str">
        <f t="shared" si="151"/>
        <v/>
      </c>
      <c r="AY147" s="528" t="str">
        <f t="shared" si="151"/>
        <v/>
      </c>
      <c r="AZ147" s="528" t="str">
        <f t="shared" si="151"/>
        <v/>
      </c>
      <c r="BA147" s="528" t="str">
        <f t="shared" si="151"/>
        <v/>
      </c>
      <c r="BB147" s="528" t="str">
        <f t="shared" si="151"/>
        <v/>
      </c>
      <c r="BC147" s="528" t="str">
        <f t="shared" si="151"/>
        <v/>
      </c>
      <c r="BD147" s="528" t="str">
        <f t="shared" si="151"/>
        <v/>
      </c>
      <c r="BE147" s="528" t="str">
        <f t="shared" si="151"/>
        <v/>
      </c>
      <c r="BF147" s="528" t="str">
        <f t="shared" si="151"/>
        <v/>
      </c>
      <c r="BG147" s="528" t="str">
        <f t="shared" si="151"/>
        <v/>
      </c>
      <c r="BH147" s="528" t="str">
        <f t="shared" si="151"/>
        <v/>
      </c>
      <c r="BI147" s="528" t="str">
        <f t="shared" si="151"/>
        <v/>
      </c>
      <c r="BJ147" s="528" t="str">
        <f t="shared" si="151"/>
        <v/>
      </c>
      <c r="BK147" s="528" t="str">
        <f t="shared" si="151"/>
        <v/>
      </c>
      <c r="BL147" s="528" t="str">
        <f t="shared" si="151"/>
        <v/>
      </c>
      <c r="BM147" s="528" t="str">
        <f t="shared" si="151"/>
        <v/>
      </c>
    </row>
    <row r="148" spans="6:65" ht="15.75" customHeight="1" x14ac:dyDescent="0.25">
      <c r="F148" s="197"/>
      <c r="G148" s="197">
        <f t="shared" si="3"/>
        <v>0</v>
      </c>
      <c r="H148" s="197">
        <f t="shared" si="4"/>
        <v>84</v>
      </c>
      <c r="I148" s="523">
        <v>1</v>
      </c>
      <c r="J148" s="533">
        <f>'Monthly DCF'!$I$3</f>
        <v>46418</v>
      </c>
      <c r="K148" s="533">
        <f t="shared" si="5"/>
        <v>46630</v>
      </c>
      <c r="L148" s="536">
        <f t="shared" si="149"/>
        <v>8</v>
      </c>
      <c r="M148" s="20" t="s">
        <v>366</v>
      </c>
      <c r="N148" s="20">
        <f t="shared" si="6"/>
        <v>2</v>
      </c>
      <c r="O148" s="537">
        <v>4</v>
      </c>
      <c r="P148" s="528">
        <f t="shared" ref="P148:BM148" si="152">IFERROR(+IF(AND($M148="Flat",P$5&gt;=$J148,P$5&lt;=$K148),$I148/$L148,0)+IF(AND($M148="S-Curve",P$5&gt;=$J148,P$5&lt;=$K148),(_xlfn.NORM.DIST((YEAR(P$5)-YEAR($J148))*12+MONTH(P$5)-MONTH($J148)+1,$L148/2,$N148,TRUE)-_xlfn.NORM.DIST((YEAR(P$5)-YEAR($J148))*12+MONTH(P$5)-MONTH($J148),$L148/2,$N148,TRUE))/(1-2*_xlfn.NORM.DIST(0,$L148/2,$N148,TRUE))*$I148," "),"")</f>
        <v>4.6157235726983013E-2</v>
      </c>
      <c r="Q148" s="528">
        <f t="shared" si="152"/>
        <v>9.6226378267563903E-2</v>
      </c>
      <c r="R148" s="528">
        <f t="shared" si="152"/>
        <v>0.1570270573424814</v>
      </c>
      <c r="S148" s="528">
        <f t="shared" si="152"/>
        <v>0.20058932866297169</v>
      </c>
      <c r="T148" s="528">
        <f t="shared" si="152"/>
        <v>0.20058932866297169</v>
      </c>
      <c r="U148" s="528">
        <f t="shared" si="152"/>
        <v>0.15702705734248143</v>
      </c>
      <c r="V148" s="528">
        <f t="shared" si="152"/>
        <v>9.6226378267563847E-2</v>
      </c>
      <c r="W148" s="528">
        <f t="shared" si="152"/>
        <v>4.6157235726983027E-2</v>
      </c>
      <c r="X148" s="528" t="str">
        <f t="shared" si="152"/>
        <v/>
      </c>
      <c r="Y148" s="528" t="str">
        <f t="shared" si="152"/>
        <v/>
      </c>
      <c r="Z148" s="528" t="str">
        <f t="shared" si="152"/>
        <v/>
      </c>
      <c r="AA148" s="528" t="str">
        <f t="shared" si="152"/>
        <v/>
      </c>
      <c r="AB148" s="528" t="str">
        <f t="shared" si="152"/>
        <v/>
      </c>
      <c r="AC148" s="528" t="str">
        <f t="shared" si="152"/>
        <v/>
      </c>
      <c r="AD148" s="528" t="str">
        <f t="shared" si="152"/>
        <v/>
      </c>
      <c r="AE148" s="528" t="str">
        <f t="shared" si="152"/>
        <v/>
      </c>
      <c r="AF148" s="528" t="str">
        <f t="shared" si="152"/>
        <v/>
      </c>
      <c r="AG148" s="528" t="str">
        <f t="shared" si="152"/>
        <v/>
      </c>
      <c r="AH148" s="528" t="str">
        <f t="shared" si="152"/>
        <v/>
      </c>
      <c r="AI148" s="528" t="str">
        <f t="shared" si="152"/>
        <v/>
      </c>
      <c r="AJ148" s="528" t="str">
        <f t="shared" si="152"/>
        <v/>
      </c>
      <c r="AK148" s="528" t="str">
        <f t="shared" si="152"/>
        <v/>
      </c>
      <c r="AL148" s="528" t="str">
        <f t="shared" si="152"/>
        <v/>
      </c>
      <c r="AM148" s="528" t="str">
        <f t="shared" si="152"/>
        <v/>
      </c>
      <c r="AN148" s="528" t="str">
        <f t="shared" si="152"/>
        <v/>
      </c>
      <c r="AO148" s="528" t="str">
        <f t="shared" si="152"/>
        <v/>
      </c>
      <c r="AP148" s="528" t="str">
        <f t="shared" si="152"/>
        <v/>
      </c>
      <c r="AQ148" s="528" t="str">
        <f t="shared" si="152"/>
        <v/>
      </c>
      <c r="AR148" s="528" t="str">
        <f t="shared" si="152"/>
        <v/>
      </c>
      <c r="AS148" s="528" t="str">
        <f t="shared" si="152"/>
        <v/>
      </c>
      <c r="AT148" s="528" t="str">
        <f t="shared" si="152"/>
        <v/>
      </c>
      <c r="AU148" s="528" t="str">
        <f t="shared" si="152"/>
        <v/>
      </c>
      <c r="AV148" s="528" t="str">
        <f t="shared" si="152"/>
        <v/>
      </c>
      <c r="AW148" s="528" t="str">
        <f t="shared" si="152"/>
        <v/>
      </c>
      <c r="AX148" s="528" t="str">
        <f t="shared" si="152"/>
        <v/>
      </c>
      <c r="AY148" s="528" t="str">
        <f t="shared" si="152"/>
        <v/>
      </c>
      <c r="AZ148" s="528" t="str">
        <f t="shared" si="152"/>
        <v/>
      </c>
      <c r="BA148" s="528" t="str">
        <f t="shared" si="152"/>
        <v/>
      </c>
      <c r="BB148" s="528" t="str">
        <f t="shared" si="152"/>
        <v/>
      </c>
      <c r="BC148" s="528" t="str">
        <f t="shared" si="152"/>
        <v/>
      </c>
      <c r="BD148" s="528" t="str">
        <f t="shared" si="152"/>
        <v/>
      </c>
      <c r="BE148" s="528" t="str">
        <f t="shared" si="152"/>
        <v/>
      </c>
      <c r="BF148" s="528" t="str">
        <f t="shared" si="152"/>
        <v/>
      </c>
      <c r="BG148" s="528" t="str">
        <f t="shared" si="152"/>
        <v/>
      </c>
      <c r="BH148" s="528" t="str">
        <f t="shared" si="152"/>
        <v/>
      </c>
      <c r="BI148" s="528" t="str">
        <f t="shared" si="152"/>
        <v/>
      </c>
      <c r="BJ148" s="528" t="str">
        <f t="shared" si="152"/>
        <v/>
      </c>
      <c r="BK148" s="528" t="str">
        <f t="shared" si="152"/>
        <v/>
      </c>
      <c r="BL148" s="528" t="str">
        <f t="shared" si="152"/>
        <v/>
      </c>
      <c r="BM148" s="528" t="str">
        <f t="shared" si="152"/>
        <v/>
      </c>
    </row>
    <row r="149" spans="6:65" ht="15.75" customHeight="1" x14ac:dyDescent="0.25">
      <c r="F149" s="197"/>
      <c r="G149" s="197">
        <f t="shared" si="3"/>
        <v>0</v>
      </c>
      <c r="H149" s="197">
        <f t="shared" si="4"/>
        <v>94</v>
      </c>
      <c r="I149" s="523">
        <v>1</v>
      </c>
      <c r="J149" s="533">
        <f>'Monthly DCF'!$I$3</f>
        <v>46418</v>
      </c>
      <c r="K149" s="533">
        <f t="shared" si="5"/>
        <v>46660</v>
      </c>
      <c r="L149" s="536">
        <f t="shared" si="149"/>
        <v>9</v>
      </c>
      <c r="M149" s="20" t="s">
        <v>366</v>
      </c>
      <c r="N149" s="20">
        <f t="shared" si="6"/>
        <v>2.25</v>
      </c>
      <c r="O149" s="537">
        <v>4</v>
      </c>
      <c r="P149" s="528">
        <f t="shared" ref="P149:BM149" si="153">IFERROR(+IF(AND($M149="Flat",P$5&gt;=$J149,P$5&lt;=$K149),$I149/$L149,0)+IF(AND($M149="S-Curve",P$5&gt;=$J149,P$5&lt;=$K149),(_xlfn.NORM.DIST((YEAR(P$5)-YEAR($J149))*12+MONTH(P$5)-MONTH($J149)+1,$L149/2,$N149,TRUE)-_xlfn.NORM.DIST((YEAR(P$5)-YEAR($J149))*12+MONTH(P$5)-MONTH($J149),$L149/2,$N149,TRUE))/(1-2*_xlfn.NORM.DIST(0,$L149/2,$N149,TRUE))*$I149," "),"")</f>
        <v>3.8928009876954092E-2</v>
      </c>
      <c r="Q149" s="528">
        <f t="shared" si="153"/>
        <v>7.6850053515120864E-2</v>
      </c>
      <c r="R149" s="528">
        <f t="shared" si="153"/>
        <v>0.12491598492330122</v>
      </c>
      <c r="S149" s="528">
        <f t="shared" si="153"/>
        <v>0.16718486583917963</v>
      </c>
      <c r="T149" s="528">
        <f t="shared" si="153"/>
        <v>0.18424217169088838</v>
      </c>
      <c r="U149" s="528">
        <f t="shared" si="153"/>
        <v>0.16718486583917963</v>
      </c>
      <c r="V149" s="528">
        <f t="shared" si="153"/>
        <v>0.12491598492330117</v>
      </c>
      <c r="W149" s="528">
        <f t="shared" si="153"/>
        <v>7.6850053515120947E-2</v>
      </c>
      <c r="X149" s="528">
        <f t="shared" si="153"/>
        <v>3.8928009876954051E-2</v>
      </c>
      <c r="Y149" s="528" t="str">
        <f t="shared" si="153"/>
        <v/>
      </c>
      <c r="Z149" s="528" t="str">
        <f t="shared" si="153"/>
        <v/>
      </c>
      <c r="AA149" s="528" t="str">
        <f t="shared" si="153"/>
        <v/>
      </c>
      <c r="AB149" s="528" t="str">
        <f t="shared" si="153"/>
        <v/>
      </c>
      <c r="AC149" s="528" t="str">
        <f t="shared" si="153"/>
        <v/>
      </c>
      <c r="AD149" s="528" t="str">
        <f t="shared" si="153"/>
        <v/>
      </c>
      <c r="AE149" s="528" t="str">
        <f t="shared" si="153"/>
        <v/>
      </c>
      <c r="AF149" s="528" t="str">
        <f t="shared" si="153"/>
        <v/>
      </c>
      <c r="AG149" s="528" t="str">
        <f t="shared" si="153"/>
        <v/>
      </c>
      <c r="AH149" s="528" t="str">
        <f t="shared" si="153"/>
        <v/>
      </c>
      <c r="AI149" s="528" t="str">
        <f t="shared" si="153"/>
        <v/>
      </c>
      <c r="AJ149" s="528" t="str">
        <f t="shared" si="153"/>
        <v/>
      </c>
      <c r="AK149" s="528" t="str">
        <f t="shared" si="153"/>
        <v/>
      </c>
      <c r="AL149" s="528" t="str">
        <f t="shared" si="153"/>
        <v/>
      </c>
      <c r="AM149" s="528" t="str">
        <f t="shared" si="153"/>
        <v/>
      </c>
      <c r="AN149" s="528" t="str">
        <f t="shared" si="153"/>
        <v/>
      </c>
      <c r="AO149" s="528" t="str">
        <f t="shared" si="153"/>
        <v/>
      </c>
      <c r="AP149" s="528" t="str">
        <f t="shared" si="153"/>
        <v/>
      </c>
      <c r="AQ149" s="528" t="str">
        <f t="shared" si="153"/>
        <v/>
      </c>
      <c r="AR149" s="528" t="str">
        <f t="shared" si="153"/>
        <v/>
      </c>
      <c r="AS149" s="528" t="str">
        <f t="shared" si="153"/>
        <v/>
      </c>
      <c r="AT149" s="528" t="str">
        <f t="shared" si="153"/>
        <v/>
      </c>
      <c r="AU149" s="528" t="str">
        <f t="shared" si="153"/>
        <v/>
      </c>
      <c r="AV149" s="528" t="str">
        <f t="shared" si="153"/>
        <v/>
      </c>
      <c r="AW149" s="528" t="str">
        <f t="shared" si="153"/>
        <v/>
      </c>
      <c r="AX149" s="528" t="str">
        <f t="shared" si="153"/>
        <v/>
      </c>
      <c r="AY149" s="528" t="str">
        <f t="shared" si="153"/>
        <v/>
      </c>
      <c r="AZ149" s="528" t="str">
        <f t="shared" si="153"/>
        <v/>
      </c>
      <c r="BA149" s="528" t="str">
        <f t="shared" si="153"/>
        <v/>
      </c>
      <c r="BB149" s="528" t="str">
        <f t="shared" si="153"/>
        <v/>
      </c>
      <c r="BC149" s="528" t="str">
        <f t="shared" si="153"/>
        <v/>
      </c>
      <c r="BD149" s="528" t="str">
        <f t="shared" si="153"/>
        <v/>
      </c>
      <c r="BE149" s="528" t="str">
        <f t="shared" si="153"/>
        <v/>
      </c>
      <c r="BF149" s="528" t="str">
        <f t="shared" si="153"/>
        <v/>
      </c>
      <c r="BG149" s="528" t="str">
        <f t="shared" si="153"/>
        <v/>
      </c>
      <c r="BH149" s="528" t="str">
        <f t="shared" si="153"/>
        <v/>
      </c>
      <c r="BI149" s="528" t="str">
        <f t="shared" si="153"/>
        <v/>
      </c>
      <c r="BJ149" s="528" t="str">
        <f t="shared" si="153"/>
        <v/>
      </c>
      <c r="BK149" s="528" t="str">
        <f t="shared" si="153"/>
        <v/>
      </c>
      <c r="BL149" s="528" t="str">
        <f t="shared" si="153"/>
        <v/>
      </c>
      <c r="BM149" s="528" t="str">
        <f t="shared" si="153"/>
        <v/>
      </c>
    </row>
    <row r="150" spans="6:65" ht="15.75" customHeight="1" x14ac:dyDescent="0.25">
      <c r="F150" s="197"/>
      <c r="G150" s="197">
        <f t="shared" si="3"/>
        <v>0</v>
      </c>
      <c r="H150" s="197">
        <f t="shared" si="4"/>
        <v>104</v>
      </c>
      <c r="I150" s="523">
        <v>1</v>
      </c>
      <c r="J150" s="533">
        <f>'Monthly DCF'!$I$3</f>
        <v>46418</v>
      </c>
      <c r="K150" s="533">
        <f t="shared" si="5"/>
        <v>46691</v>
      </c>
      <c r="L150" s="536">
        <f t="shared" si="149"/>
        <v>10</v>
      </c>
      <c r="M150" s="20" t="s">
        <v>366</v>
      </c>
      <c r="N150" s="20">
        <f t="shared" si="6"/>
        <v>2.5</v>
      </c>
      <c r="O150" s="537">
        <v>4</v>
      </c>
      <c r="P150" s="528">
        <f t="shared" ref="P150:BM150" si="154">IFERROR(+IF(AND($M150="Flat",P$5&gt;=$J150,P$5&lt;=$K150),$I150/$L150,0)+IF(AND($M150="S-Curve",P$5&gt;=$J150,P$5&lt;=$K150),(_xlfn.NORM.DIST((YEAR(P$5)-YEAR($J150))*12+MONTH(P$5)-MONTH($J150)+1,$L150/2,$N150,TRUE)-_xlfn.NORM.DIST((YEAR(P$5)-YEAR($J150))*12+MONTH(P$5)-MONTH($J150),$L150/2,$N150,TRUE))/(1-2*_xlfn.NORM.DIST(0,$L150/2,$N150,TRUE))*$I150," "),"")</f>
        <v>3.3576918399376918E-2</v>
      </c>
      <c r="Q150" s="528">
        <f t="shared" si="154"/>
        <v>6.3143420833388295E-2</v>
      </c>
      <c r="R150" s="528">
        <f t="shared" si="154"/>
        <v>0.1013994291468082</v>
      </c>
      <c r="S150" s="528">
        <f t="shared" si="154"/>
        <v>0.13904965584177786</v>
      </c>
      <c r="T150" s="528">
        <f t="shared" si="154"/>
        <v>0.16283057577864873</v>
      </c>
      <c r="U150" s="528">
        <f t="shared" si="154"/>
        <v>0.16283057577864879</v>
      </c>
      <c r="V150" s="528">
        <f t="shared" si="154"/>
        <v>0.13904965584177778</v>
      </c>
      <c r="W150" s="528">
        <f t="shared" si="154"/>
        <v>0.10139942914680829</v>
      </c>
      <c r="X150" s="528">
        <f t="shared" si="154"/>
        <v>6.3143420833388211E-2</v>
      </c>
      <c r="Y150" s="528">
        <f t="shared" si="154"/>
        <v>3.3576918399376932E-2</v>
      </c>
      <c r="Z150" s="528" t="str">
        <f t="shared" si="154"/>
        <v/>
      </c>
      <c r="AA150" s="528" t="str">
        <f t="shared" si="154"/>
        <v/>
      </c>
      <c r="AB150" s="528" t="str">
        <f t="shared" si="154"/>
        <v/>
      </c>
      <c r="AC150" s="528" t="str">
        <f t="shared" si="154"/>
        <v/>
      </c>
      <c r="AD150" s="528" t="str">
        <f t="shared" si="154"/>
        <v/>
      </c>
      <c r="AE150" s="528" t="str">
        <f t="shared" si="154"/>
        <v/>
      </c>
      <c r="AF150" s="528" t="str">
        <f t="shared" si="154"/>
        <v/>
      </c>
      <c r="AG150" s="528" t="str">
        <f t="shared" si="154"/>
        <v/>
      </c>
      <c r="AH150" s="528" t="str">
        <f t="shared" si="154"/>
        <v/>
      </c>
      <c r="AI150" s="528" t="str">
        <f t="shared" si="154"/>
        <v/>
      </c>
      <c r="AJ150" s="528" t="str">
        <f t="shared" si="154"/>
        <v/>
      </c>
      <c r="AK150" s="528" t="str">
        <f t="shared" si="154"/>
        <v/>
      </c>
      <c r="AL150" s="528" t="str">
        <f t="shared" si="154"/>
        <v/>
      </c>
      <c r="AM150" s="528" t="str">
        <f t="shared" si="154"/>
        <v/>
      </c>
      <c r="AN150" s="528" t="str">
        <f t="shared" si="154"/>
        <v/>
      </c>
      <c r="AO150" s="528" t="str">
        <f t="shared" si="154"/>
        <v/>
      </c>
      <c r="AP150" s="528" t="str">
        <f t="shared" si="154"/>
        <v/>
      </c>
      <c r="AQ150" s="528" t="str">
        <f t="shared" si="154"/>
        <v/>
      </c>
      <c r="AR150" s="528" t="str">
        <f t="shared" si="154"/>
        <v/>
      </c>
      <c r="AS150" s="528" t="str">
        <f t="shared" si="154"/>
        <v/>
      </c>
      <c r="AT150" s="528" t="str">
        <f t="shared" si="154"/>
        <v/>
      </c>
      <c r="AU150" s="528" t="str">
        <f t="shared" si="154"/>
        <v/>
      </c>
      <c r="AV150" s="528" t="str">
        <f t="shared" si="154"/>
        <v/>
      </c>
      <c r="AW150" s="528" t="str">
        <f t="shared" si="154"/>
        <v/>
      </c>
      <c r="AX150" s="528" t="str">
        <f t="shared" si="154"/>
        <v/>
      </c>
      <c r="AY150" s="528" t="str">
        <f t="shared" si="154"/>
        <v/>
      </c>
      <c r="AZ150" s="528" t="str">
        <f t="shared" si="154"/>
        <v/>
      </c>
      <c r="BA150" s="528" t="str">
        <f t="shared" si="154"/>
        <v/>
      </c>
      <c r="BB150" s="528" t="str">
        <f t="shared" si="154"/>
        <v/>
      </c>
      <c r="BC150" s="528" t="str">
        <f t="shared" si="154"/>
        <v/>
      </c>
      <c r="BD150" s="528" t="str">
        <f t="shared" si="154"/>
        <v/>
      </c>
      <c r="BE150" s="528" t="str">
        <f t="shared" si="154"/>
        <v/>
      </c>
      <c r="BF150" s="528" t="str">
        <f t="shared" si="154"/>
        <v/>
      </c>
      <c r="BG150" s="528" t="str">
        <f t="shared" si="154"/>
        <v/>
      </c>
      <c r="BH150" s="528" t="str">
        <f t="shared" si="154"/>
        <v/>
      </c>
      <c r="BI150" s="528" t="str">
        <f t="shared" si="154"/>
        <v/>
      </c>
      <c r="BJ150" s="528" t="str">
        <f t="shared" si="154"/>
        <v/>
      </c>
      <c r="BK150" s="528" t="str">
        <f t="shared" si="154"/>
        <v/>
      </c>
      <c r="BL150" s="528" t="str">
        <f t="shared" si="154"/>
        <v/>
      </c>
      <c r="BM150" s="528" t="str">
        <f t="shared" si="154"/>
        <v/>
      </c>
    </row>
    <row r="151" spans="6:65" ht="15.75" customHeight="1" x14ac:dyDescent="0.25">
      <c r="F151" s="197"/>
      <c r="G151" s="197">
        <f t="shared" si="3"/>
        <v>0</v>
      </c>
      <c r="H151" s="197">
        <f t="shared" si="4"/>
        <v>114</v>
      </c>
      <c r="I151" s="523">
        <v>1</v>
      </c>
      <c r="J151" s="533">
        <f>'Monthly DCF'!$I$3</f>
        <v>46418</v>
      </c>
      <c r="K151" s="533">
        <f t="shared" si="5"/>
        <v>46721</v>
      </c>
      <c r="L151" s="536">
        <f t="shared" si="149"/>
        <v>11</v>
      </c>
      <c r="M151" s="20" t="s">
        <v>366</v>
      </c>
      <c r="N151" s="20">
        <f t="shared" si="6"/>
        <v>2.75</v>
      </c>
      <c r="O151" s="537">
        <v>4</v>
      </c>
      <c r="P151" s="528">
        <f t="shared" ref="P151:BM151" si="155">IFERROR(+IF(AND($M151="Flat",P$5&gt;=$J151,P$5&lt;=$K151),$I151/$L151,0)+IF(AND($M151="S-Curve",P$5&gt;=$J151,P$5&lt;=$K151),(_xlfn.NORM.DIST((YEAR(P$5)-YEAR($J151))*12+MONTH(P$5)-MONTH($J151)+1,$L151/2,$N151,TRUE)-_xlfn.NORM.DIST((YEAR(P$5)-YEAR($J151))*12+MONTH(P$5)-MONTH($J151),$L151/2,$N151,TRUE))/(1-2*_xlfn.NORM.DIST(0,$L151/2,$N151,TRUE))*$I151," "),"")</f>
        <v>2.947263311175503E-2</v>
      </c>
      <c r="Q151" s="528">
        <f t="shared" si="155"/>
        <v>5.3091335470452632E-2</v>
      </c>
      <c r="R151" s="528">
        <f t="shared" si="155"/>
        <v>8.3911654704937971E-2</v>
      </c>
      <c r="S151" s="528">
        <f t="shared" si="155"/>
        <v>0.11636398905086177</v>
      </c>
      <c r="T151" s="528">
        <f t="shared" si="155"/>
        <v>0.14158436641086528</v>
      </c>
      <c r="U151" s="528">
        <f t="shared" si="155"/>
        <v>0.15115204250225467</v>
      </c>
      <c r="V151" s="528">
        <f t="shared" si="155"/>
        <v>0.14158436641086528</v>
      </c>
      <c r="W151" s="528">
        <f t="shared" si="155"/>
        <v>0.11636398905086175</v>
      </c>
      <c r="X151" s="528">
        <f t="shared" si="155"/>
        <v>8.3911654704938041E-2</v>
      </c>
      <c r="Y151" s="528">
        <f t="shared" si="155"/>
        <v>5.3091335470452528E-2</v>
      </c>
      <c r="Z151" s="528">
        <f t="shared" si="155"/>
        <v>2.9472633111755069E-2</v>
      </c>
      <c r="AA151" s="528" t="str">
        <f t="shared" si="155"/>
        <v/>
      </c>
      <c r="AB151" s="528" t="str">
        <f t="shared" si="155"/>
        <v/>
      </c>
      <c r="AC151" s="528" t="str">
        <f t="shared" si="155"/>
        <v/>
      </c>
      <c r="AD151" s="528" t="str">
        <f t="shared" si="155"/>
        <v/>
      </c>
      <c r="AE151" s="528" t="str">
        <f t="shared" si="155"/>
        <v/>
      </c>
      <c r="AF151" s="528" t="str">
        <f t="shared" si="155"/>
        <v/>
      </c>
      <c r="AG151" s="528" t="str">
        <f t="shared" si="155"/>
        <v/>
      </c>
      <c r="AH151" s="528" t="str">
        <f t="shared" si="155"/>
        <v/>
      </c>
      <c r="AI151" s="528" t="str">
        <f t="shared" si="155"/>
        <v/>
      </c>
      <c r="AJ151" s="528" t="str">
        <f t="shared" si="155"/>
        <v/>
      </c>
      <c r="AK151" s="528" t="str">
        <f t="shared" si="155"/>
        <v/>
      </c>
      <c r="AL151" s="528" t="str">
        <f t="shared" si="155"/>
        <v/>
      </c>
      <c r="AM151" s="528" t="str">
        <f t="shared" si="155"/>
        <v/>
      </c>
      <c r="AN151" s="528" t="str">
        <f t="shared" si="155"/>
        <v/>
      </c>
      <c r="AO151" s="528" t="str">
        <f t="shared" si="155"/>
        <v/>
      </c>
      <c r="AP151" s="528" t="str">
        <f t="shared" si="155"/>
        <v/>
      </c>
      <c r="AQ151" s="528" t="str">
        <f t="shared" si="155"/>
        <v/>
      </c>
      <c r="AR151" s="528" t="str">
        <f t="shared" si="155"/>
        <v/>
      </c>
      <c r="AS151" s="528" t="str">
        <f t="shared" si="155"/>
        <v/>
      </c>
      <c r="AT151" s="528" t="str">
        <f t="shared" si="155"/>
        <v/>
      </c>
      <c r="AU151" s="528" t="str">
        <f t="shared" si="155"/>
        <v/>
      </c>
      <c r="AV151" s="528" t="str">
        <f t="shared" si="155"/>
        <v/>
      </c>
      <c r="AW151" s="528" t="str">
        <f t="shared" si="155"/>
        <v/>
      </c>
      <c r="AX151" s="528" t="str">
        <f t="shared" si="155"/>
        <v/>
      </c>
      <c r="AY151" s="528" t="str">
        <f t="shared" si="155"/>
        <v/>
      </c>
      <c r="AZ151" s="528" t="str">
        <f t="shared" si="155"/>
        <v/>
      </c>
      <c r="BA151" s="528" t="str">
        <f t="shared" si="155"/>
        <v/>
      </c>
      <c r="BB151" s="528" t="str">
        <f t="shared" si="155"/>
        <v/>
      </c>
      <c r="BC151" s="528" t="str">
        <f t="shared" si="155"/>
        <v/>
      </c>
      <c r="BD151" s="528" t="str">
        <f t="shared" si="155"/>
        <v/>
      </c>
      <c r="BE151" s="528" t="str">
        <f t="shared" si="155"/>
        <v/>
      </c>
      <c r="BF151" s="528" t="str">
        <f t="shared" si="155"/>
        <v/>
      </c>
      <c r="BG151" s="528" t="str">
        <f t="shared" si="155"/>
        <v/>
      </c>
      <c r="BH151" s="528" t="str">
        <f t="shared" si="155"/>
        <v/>
      </c>
      <c r="BI151" s="528" t="str">
        <f t="shared" si="155"/>
        <v/>
      </c>
      <c r="BJ151" s="528" t="str">
        <f t="shared" si="155"/>
        <v/>
      </c>
      <c r="BK151" s="528" t="str">
        <f t="shared" si="155"/>
        <v/>
      </c>
      <c r="BL151" s="528" t="str">
        <f t="shared" si="155"/>
        <v/>
      </c>
      <c r="BM151" s="528" t="str">
        <f t="shared" si="155"/>
        <v/>
      </c>
    </row>
    <row r="152" spans="6:65" ht="15.75" customHeight="1" x14ac:dyDescent="0.25">
      <c r="F152" s="197"/>
      <c r="G152" s="197">
        <f t="shared" si="3"/>
        <v>0</v>
      </c>
      <c r="H152" s="197">
        <f t="shared" si="4"/>
        <v>124</v>
      </c>
      <c r="I152" s="523">
        <v>1</v>
      </c>
      <c r="J152" s="533">
        <f>'Monthly DCF'!$I$3</f>
        <v>46418</v>
      </c>
      <c r="K152" s="533">
        <f t="shared" si="5"/>
        <v>46752</v>
      </c>
      <c r="L152" s="536">
        <f t="shared" si="149"/>
        <v>12</v>
      </c>
      <c r="M152" s="20" t="s">
        <v>366</v>
      </c>
      <c r="N152" s="20">
        <f t="shared" si="6"/>
        <v>3</v>
      </c>
      <c r="O152" s="537">
        <v>4</v>
      </c>
      <c r="P152" s="528">
        <f t="shared" ref="P152:BM152" si="156">IFERROR(+IF(AND($M152="Flat",P$5&gt;=$J152,P$5&lt;=$K152),$I152/$L152,0)+IF(AND($M152="S-Curve",P$5&gt;=$J152,P$5&lt;=$K152),(_xlfn.NORM.DIST((YEAR(P$5)-YEAR($J152))*12+MONTH(P$5)-MONTH($J152)+1,$L152/2,$N152,TRUE)-_xlfn.NORM.DIST((YEAR(P$5)-YEAR($J152))*12+MONTH(P$5)-MONTH($J152),$L152/2,$N152,TRUE))/(1-2*_xlfn.NORM.DIST(0,$L152/2,$N152,TRUE))*$I152," "),"")</f>
        <v>2.6233868253177382E-2</v>
      </c>
      <c r="Q152" s="528">
        <f t="shared" si="156"/>
        <v>4.5490706608575161E-2</v>
      </c>
      <c r="R152" s="528">
        <f t="shared" si="156"/>
        <v>7.065903913279438E-2</v>
      </c>
      <c r="S152" s="528">
        <f t="shared" si="156"/>
        <v>9.8310434320829268E-2</v>
      </c>
      <c r="T152" s="528">
        <f t="shared" si="156"/>
        <v>0.12252366156981541</v>
      </c>
      <c r="U152" s="528">
        <f t="shared" si="156"/>
        <v>0.13678229011480844</v>
      </c>
      <c r="V152" s="528">
        <f t="shared" si="156"/>
        <v>0.1367822901148085</v>
      </c>
      <c r="W152" s="528">
        <f t="shared" si="156"/>
        <v>0.12252366156981535</v>
      </c>
      <c r="X152" s="528">
        <f t="shared" si="156"/>
        <v>9.8310434320829296E-2</v>
      </c>
      <c r="Y152" s="528">
        <f t="shared" si="156"/>
        <v>7.0659039132794352E-2</v>
      </c>
      <c r="Z152" s="528">
        <f t="shared" si="156"/>
        <v>4.5490706608575168E-2</v>
      </c>
      <c r="AA152" s="528">
        <f t="shared" si="156"/>
        <v>2.6233868253177355E-2</v>
      </c>
      <c r="AB152" s="528" t="str">
        <f t="shared" si="156"/>
        <v/>
      </c>
      <c r="AC152" s="528" t="str">
        <f t="shared" si="156"/>
        <v/>
      </c>
      <c r="AD152" s="528" t="str">
        <f t="shared" si="156"/>
        <v/>
      </c>
      <c r="AE152" s="528" t="str">
        <f t="shared" si="156"/>
        <v/>
      </c>
      <c r="AF152" s="528" t="str">
        <f t="shared" si="156"/>
        <v/>
      </c>
      <c r="AG152" s="528" t="str">
        <f t="shared" si="156"/>
        <v/>
      </c>
      <c r="AH152" s="528" t="str">
        <f t="shared" si="156"/>
        <v/>
      </c>
      <c r="AI152" s="528" t="str">
        <f t="shared" si="156"/>
        <v/>
      </c>
      <c r="AJ152" s="528" t="str">
        <f t="shared" si="156"/>
        <v/>
      </c>
      <c r="AK152" s="528" t="str">
        <f t="shared" si="156"/>
        <v/>
      </c>
      <c r="AL152" s="528" t="str">
        <f t="shared" si="156"/>
        <v/>
      </c>
      <c r="AM152" s="528" t="str">
        <f t="shared" si="156"/>
        <v/>
      </c>
      <c r="AN152" s="528" t="str">
        <f t="shared" si="156"/>
        <v/>
      </c>
      <c r="AO152" s="528" t="str">
        <f t="shared" si="156"/>
        <v/>
      </c>
      <c r="AP152" s="528" t="str">
        <f t="shared" si="156"/>
        <v/>
      </c>
      <c r="AQ152" s="528" t="str">
        <f t="shared" si="156"/>
        <v/>
      </c>
      <c r="AR152" s="528" t="str">
        <f t="shared" si="156"/>
        <v/>
      </c>
      <c r="AS152" s="528" t="str">
        <f t="shared" si="156"/>
        <v/>
      </c>
      <c r="AT152" s="528" t="str">
        <f t="shared" si="156"/>
        <v/>
      </c>
      <c r="AU152" s="528" t="str">
        <f t="shared" si="156"/>
        <v/>
      </c>
      <c r="AV152" s="528" t="str">
        <f t="shared" si="156"/>
        <v/>
      </c>
      <c r="AW152" s="528" t="str">
        <f t="shared" si="156"/>
        <v/>
      </c>
      <c r="AX152" s="528" t="str">
        <f t="shared" si="156"/>
        <v/>
      </c>
      <c r="AY152" s="528" t="str">
        <f t="shared" si="156"/>
        <v/>
      </c>
      <c r="AZ152" s="528" t="str">
        <f t="shared" si="156"/>
        <v/>
      </c>
      <c r="BA152" s="528" t="str">
        <f t="shared" si="156"/>
        <v/>
      </c>
      <c r="BB152" s="528" t="str">
        <f t="shared" si="156"/>
        <v/>
      </c>
      <c r="BC152" s="528" t="str">
        <f t="shared" si="156"/>
        <v/>
      </c>
      <c r="BD152" s="528" t="str">
        <f t="shared" si="156"/>
        <v/>
      </c>
      <c r="BE152" s="528" t="str">
        <f t="shared" si="156"/>
        <v/>
      </c>
      <c r="BF152" s="528" t="str">
        <f t="shared" si="156"/>
        <v/>
      </c>
      <c r="BG152" s="528" t="str">
        <f t="shared" si="156"/>
        <v/>
      </c>
      <c r="BH152" s="528" t="str">
        <f t="shared" si="156"/>
        <v/>
      </c>
      <c r="BI152" s="528" t="str">
        <f t="shared" si="156"/>
        <v/>
      </c>
      <c r="BJ152" s="528" t="str">
        <f t="shared" si="156"/>
        <v/>
      </c>
      <c r="BK152" s="528" t="str">
        <f t="shared" si="156"/>
        <v/>
      </c>
      <c r="BL152" s="528" t="str">
        <f t="shared" si="156"/>
        <v/>
      </c>
      <c r="BM152" s="528" t="str">
        <f t="shared" si="156"/>
        <v/>
      </c>
    </row>
    <row r="153" spans="6:65" ht="15.75" customHeight="1" x14ac:dyDescent="0.25">
      <c r="F153" s="197"/>
      <c r="G153" s="197">
        <f t="shared" si="3"/>
        <v>0</v>
      </c>
      <c r="H153" s="197">
        <f t="shared" si="4"/>
        <v>134</v>
      </c>
      <c r="I153" s="523">
        <v>1</v>
      </c>
      <c r="J153" s="533">
        <f>'Monthly DCF'!$I$3</f>
        <v>46418</v>
      </c>
      <c r="K153" s="533">
        <f t="shared" si="5"/>
        <v>46783</v>
      </c>
      <c r="L153" s="536">
        <f t="shared" si="149"/>
        <v>13</v>
      </c>
      <c r="M153" s="20" t="s">
        <v>366</v>
      </c>
      <c r="N153" s="20">
        <f t="shared" si="6"/>
        <v>3.25</v>
      </c>
      <c r="O153" s="537">
        <v>4</v>
      </c>
      <c r="P153" s="528">
        <f t="shared" ref="P153:BM153" si="157">IFERROR(+IF(AND($M153="Flat",P$5&gt;=$J153,P$5&lt;=$K153),$I153/$L153,0)+IF(AND($M153="S-Curve",P$5&gt;=$J153,P$5&lt;=$K153),(_xlfn.NORM.DIST((YEAR(P$5)-YEAR($J153))*12+MONTH(P$5)-MONTH($J153)+1,$L153/2,$N153,TRUE)-_xlfn.NORM.DIST((YEAR(P$5)-YEAR($J153))*12+MONTH(P$5)-MONTH($J153),$L153/2,$N153,TRUE))/(1-2*_xlfn.NORM.DIST(0,$L153/2,$N153,TRUE))*$I153," "),"")</f>
        <v>2.3618161598035099E-2</v>
      </c>
      <c r="Q153" s="528">
        <f t="shared" si="157"/>
        <v>3.9592877767519567E-2</v>
      </c>
      <c r="R153" s="528">
        <f t="shared" si="157"/>
        <v>6.042145611165587E-2</v>
      </c>
      <c r="S153" s="528">
        <f t="shared" si="157"/>
        <v>8.3940146263957363E-2</v>
      </c>
      <c r="T153" s="528">
        <f t="shared" si="157"/>
        <v>0.10615823068330693</v>
      </c>
      <c r="U153" s="528">
        <f t="shared" si="157"/>
        <v>0.12222041500206891</v>
      </c>
      <c r="V153" s="528">
        <f t="shared" si="157"/>
        <v>0.1280974251469125</v>
      </c>
      <c r="W153" s="528">
        <f t="shared" si="157"/>
        <v>0.12222041500206897</v>
      </c>
      <c r="X153" s="528">
        <f t="shared" si="157"/>
        <v>0.1061582306833069</v>
      </c>
      <c r="Y153" s="528">
        <f t="shared" si="157"/>
        <v>8.3940146263957391E-2</v>
      </c>
      <c r="Z153" s="528">
        <f t="shared" si="157"/>
        <v>6.0421456111655857E-2</v>
      </c>
      <c r="AA153" s="528">
        <f t="shared" si="157"/>
        <v>3.9592877767519623E-2</v>
      </c>
      <c r="AB153" s="528">
        <f t="shared" si="157"/>
        <v>2.3618161598035044E-2</v>
      </c>
      <c r="AC153" s="528" t="str">
        <f t="shared" si="157"/>
        <v/>
      </c>
      <c r="AD153" s="528" t="str">
        <f t="shared" si="157"/>
        <v/>
      </c>
      <c r="AE153" s="528" t="str">
        <f t="shared" si="157"/>
        <v/>
      </c>
      <c r="AF153" s="528" t="str">
        <f t="shared" si="157"/>
        <v/>
      </c>
      <c r="AG153" s="528" t="str">
        <f t="shared" si="157"/>
        <v/>
      </c>
      <c r="AH153" s="528" t="str">
        <f t="shared" si="157"/>
        <v/>
      </c>
      <c r="AI153" s="528" t="str">
        <f t="shared" si="157"/>
        <v/>
      </c>
      <c r="AJ153" s="528" t="str">
        <f t="shared" si="157"/>
        <v/>
      </c>
      <c r="AK153" s="528" t="str">
        <f t="shared" si="157"/>
        <v/>
      </c>
      <c r="AL153" s="528" t="str">
        <f t="shared" si="157"/>
        <v/>
      </c>
      <c r="AM153" s="528" t="str">
        <f t="shared" si="157"/>
        <v/>
      </c>
      <c r="AN153" s="528" t="str">
        <f t="shared" si="157"/>
        <v/>
      </c>
      <c r="AO153" s="528" t="str">
        <f t="shared" si="157"/>
        <v/>
      </c>
      <c r="AP153" s="528" t="str">
        <f t="shared" si="157"/>
        <v/>
      </c>
      <c r="AQ153" s="528" t="str">
        <f t="shared" si="157"/>
        <v/>
      </c>
      <c r="AR153" s="528" t="str">
        <f t="shared" si="157"/>
        <v/>
      </c>
      <c r="AS153" s="528" t="str">
        <f t="shared" si="157"/>
        <v/>
      </c>
      <c r="AT153" s="528" t="str">
        <f t="shared" si="157"/>
        <v/>
      </c>
      <c r="AU153" s="528" t="str">
        <f t="shared" si="157"/>
        <v/>
      </c>
      <c r="AV153" s="528" t="str">
        <f t="shared" si="157"/>
        <v/>
      </c>
      <c r="AW153" s="528" t="str">
        <f t="shared" si="157"/>
        <v/>
      </c>
      <c r="AX153" s="528" t="str">
        <f t="shared" si="157"/>
        <v/>
      </c>
      <c r="AY153" s="528" t="str">
        <f t="shared" si="157"/>
        <v/>
      </c>
      <c r="AZ153" s="528" t="str">
        <f t="shared" si="157"/>
        <v/>
      </c>
      <c r="BA153" s="528" t="str">
        <f t="shared" si="157"/>
        <v/>
      </c>
      <c r="BB153" s="528" t="str">
        <f t="shared" si="157"/>
        <v/>
      </c>
      <c r="BC153" s="528" t="str">
        <f t="shared" si="157"/>
        <v/>
      </c>
      <c r="BD153" s="528" t="str">
        <f t="shared" si="157"/>
        <v/>
      </c>
      <c r="BE153" s="528" t="str">
        <f t="shared" si="157"/>
        <v/>
      </c>
      <c r="BF153" s="528" t="str">
        <f t="shared" si="157"/>
        <v/>
      </c>
      <c r="BG153" s="528" t="str">
        <f t="shared" si="157"/>
        <v/>
      </c>
      <c r="BH153" s="528" t="str">
        <f t="shared" si="157"/>
        <v/>
      </c>
      <c r="BI153" s="528" t="str">
        <f t="shared" si="157"/>
        <v/>
      </c>
      <c r="BJ153" s="528" t="str">
        <f t="shared" si="157"/>
        <v/>
      </c>
      <c r="BK153" s="528" t="str">
        <f t="shared" si="157"/>
        <v/>
      </c>
      <c r="BL153" s="528" t="str">
        <f t="shared" si="157"/>
        <v/>
      </c>
      <c r="BM153" s="528" t="str">
        <f t="shared" si="157"/>
        <v/>
      </c>
    </row>
    <row r="154" spans="6:65" ht="15.75" customHeight="1" x14ac:dyDescent="0.25">
      <c r="F154" s="197"/>
      <c r="G154" s="197">
        <f t="shared" si="3"/>
        <v>0</v>
      </c>
      <c r="H154" s="197">
        <f t="shared" si="4"/>
        <v>144</v>
      </c>
      <c r="I154" s="523">
        <v>1</v>
      </c>
      <c r="J154" s="533">
        <f>'Monthly DCF'!$I$3</f>
        <v>46418</v>
      </c>
      <c r="K154" s="533">
        <f t="shared" si="5"/>
        <v>46812</v>
      </c>
      <c r="L154" s="536">
        <f t="shared" si="149"/>
        <v>14</v>
      </c>
      <c r="M154" s="20" t="s">
        <v>366</v>
      </c>
      <c r="N154" s="20">
        <f t="shared" si="6"/>
        <v>3.5</v>
      </c>
      <c r="O154" s="537">
        <v>4</v>
      </c>
      <c r="P154" s="528">
        <f t="shared" ref="P154:BM154" si="158">IFERROR(+IF(AND($M154="Flat",P$5&gt;=$J154,P$5&lt;=$K154),$I154/$L154,0)+IF(AND($M154="S-Curve",P$5&gt;=$J154,P$5&lt;=$K154),(_xlfn.NORM.DIST((YEAR(P$5)-YEAR($J154))*12+MONTH(P$5)-MONTH($J154)+1,$L154/2,$N154,TRUE)-_xlfn.NORM.DIST((YEAR(P$5)-YEAR($J154))*12+MONTH(P$5)-MONTH($J154),$L154/2,$N154,TRUE))/(1-2*_xlfn.NORM.DIST(0,$L154/2,$N154,TRUE))*$I154," "),"")</f>
        <v>2.1464647944574162E-2</v>
      </c>
      <c r="Q154" s="528">
        <f t="shared" si="158"/>
        <v>3.4914197985051486E-2</v>
      </c>
      <c r="R154" s="528">
        <f t="shared" si="158"/>
        <v>5.2367986153424723E-2</v>
      </c>
      <c r="S154" s="528">
        <f t="shared" si="158"/>
        <v>7.2429579669062827E-2</v>
      </c>
      <c r="T154" s="528">
        <f t="shared" si="158"/>
        <v>9.2374686560758229E-2</v>
      </c>
      <c r="U154" s="528">
        <f t="shared" si="158"/>
        <v>0.10863690588601352</v>
      </c>
      <c r="V154" s="528">
        <f t="shared" si="158"/>
        <v>0.11781199580111507</v>
      </c>
      <c r="W154" s="528">
        <f t="shared" si="158"/>
        <v>0.11781199580111507</v>
      </c>
      <c r="X154" s="528">
        <f t="shared" si="158"/>
        <v>0.10863690588601352</v>
      </c>
      <c r="Y154" s="528">
        <f t="shared" si="158"/>
        <v>9.2374686560758257E-2</v>
      </c>
      <c r="Z154" s="528">
        <f t="shared" si="158"/>
        <v>7.2429579669062744E-2</v>
      </c>
      <c r="AA154" s="528">
        <f t="shared" si="158"/>
        <v>5.236798615342482E-2</v>
      </c>
      <c r="AB154" s="528">
        <f t="shared" si="158"/>
        <v>3.49141979850515E-2</v>
      </c>
      <c r="AC154" s="528">
        <f t="shared" si="158"/>
        <v>2.1464647944574086E-2</v>
      </c>
      <c r="AD154" s="528" t="str">
        <f t="shared" si="158"/>
        <v/>
      </c>
      <c r="AE154" s="528" t="str">
        <f t="shared" si="158"/>
        <v/>
      </c>
      <c r="AF154" s="528" t="str">
        <f t="shared" si="158"/>
        <v/>
      </c>
      <c r="AG154" s="528" t="str">
        <f t="shared" si="158"/>
        <v/>
      </c>
      <c r="AH154" s="528" t="str">
        <f t="shared" si="158"/>
        <v/>
      </c>
      <c r="AI154" s="528" t="str">
        <f t="shared" si="158"/>
        <v/>
      </c>
      <c r="AJ154" s="528" t="str">
        <f t="shared" si="158"/>
        <v/>
      </c>
      <c r="AK154" s="528" t="str">
        <f t="shared" si="158"/>
        <v/>
      </c>
      <c r="AL154" s="528" t="str">
        <f t="shared" si="158"/>
        <v/>
      </c>
      <c r="AM154" s="528" t="str">
        <f t="shared" si="158"/>
        <v/>
      </c>
      <c r="AN154" s="528" t="str">
        <f t="shared" si="158"/>
        <v/>
      </c>
      <c r="AO154" s="528" t="str">
        <f t="shared" si="158"/>
        <v/>
      </c>
      <c r="AP154" s="528" t="str">
        <f t="shared" si="158"/>
        <v/>
      </c>
      <c r="AQ154" s="528" t="str">
        <f t="shared" si="158"/>
        <v/>
      </c>
      <c r="AR154" s="528" t="str">
        <f t="shared" si="158"/>
        <v/>
      </c>
      <c r="AS154" s="528" t="str">
        <f t="shared" si="158"/>
        <v/>
      </c>
      <c r="AT154" s="528" t="str">
        <f t="shared" si="158"/>
        <v/>
      </c>
      <c r="AU154" s="528" t="str">
        <f t="shared" si="158"/>
        <v/>
      </c>
      <c r="AV154" s="528" t="str">
        <f t="shared" si="158"/>
        <v/>
      </c>
      <c r="AW154" s="528" t="str">
        <f t="shared" si="158"/>
        <v/>
      </c>
      <c r="AX154" s="528" t="str">
        <f t="shared" si="158"/>
        <v/>
      </c>
      <c r="AY154" s="528" t="str">
        <f t="shared" si="158"/>
        <v/>
      </c>
      <c r="AZ154" s="528" t="str">
        <f t="shared" si="158"/>
        <v/>
      </c>
      <c r="BA154" s="528" t="str">
        <f t="shared" si="158"/>
        <v/>
      </c>
      <c r="BB154" s="528" t="str">
        <f t="shared" si="158"/>
        <v/>
      </c>
      <c r="BC154" s="528" t="str">
        <f t="shared" si="158"/>
        <v/>
      </c>
      <c r="BD154" s="528" t="str">
        <f t="shared" si="158"/>
        <v/>
      </c>
      <c r="BE154" s="528" t="str">
        <f t="shared" si="158"/>
        <v/>
      </c>
      <c r="BF154" s="528" t="str">
        <f t="shared" si="158"/>
        <v/>
      </c>
      <c r="BG154" s="528" t="str">
        <f t="shared" si="158"/>
        <v/>
      </c>
      <c r="BH154" s="528" t="str">
        <f t="shared" si="158"/>
        <v/>
      </c>
      <c r="BI154" s="528" t="str">
        <f t="shared" si="158"/>
        <v/>
      </c>
      <c r="BJ154" s="528" t="str">
        <f t="shared" si="158"/>
        <v/>
      </c>
      <c r="BK154" s="528" t="str">
        <f t="shared" si="158"/>
        <v/>
      </c>
      <c r="BL154" s="528" t="str">
        <f t="shared" si="158"/>
        <v/>
      </c>
      <c r="BM154" s="528" t="str">
        <f t="shared" si="158"/>
        <v/>
      </c>
    </row>
    <row r="155" spans="6:65" ht="15.75" customHeight="1" x14ac:dyDescent="0.25">
      <c r="F155" s="197"/>
      <c r="G155" s="197">
        <f t="shared" si="3"/>
        <v>0</v>
      </c>
      <c r="H155" s="197">
        <f t="shared" si="4"/>
        <v>154</v>
      </c>
      <c r="I155" s="523">
        <v>1</v>
      </c>
      <c r="J155" s="533">
        <f>'Monthly DCF'!$I$3</f>
        <v>46418</v>
      </c>
      <c r="K155" s="533">
        <f t="shared" si="5"/>
        <v>46843</v>
      </c>
      <c r="L155" s="536">
        <f t="shared" si="149"/>
        <v>15</v>
      </c>
      <c r="M155" s="20" t="s">
        <v>366</v>
      </c>
      <c r="N155" s="20">
        <f t="shared" si="6"/>
        <v>3.75</v>
      </c>
      <c r="O155" s="537">
        <v>4</v>
      </c>
      <c r="P155" s="528">
        <f t="shared" ref="P155:BM155" si="159">IFERROR(+IF(AND($M155="Flat",P$5&gt;=$J155,P$5&lt;=$K155),$I155/$L155,0)+IF(AND($M155="S-Curve",P$5&gt;=$J155,P$5&lt;=$K155),(_xlfn.NORM.DIST((YEAR(P$5)-YEAR($J155))*12+MONTH(P$5)-MONTH($J155)+1,$L155/2,$N155,TRUE)-_xlfn.NORM.DIST((YEAR(P$5)-YEAR($J155))*12+MONTH(P$5)-MONTH($J155),$L155/2,$N155,TRUE))/(1-2*_xlfn.NORM.DIST(0,$L155/2,$N155,TRUE))*$I155," "),"")</f>
        <v>1.9662747961788893E-2</v>
      </c>
      <c r="Q155" s="528">
        <f t="shared" si="159"/>
        <v>3.1131656302501542E-2</v>
      </c>
      <c r="R155" s="528">
        <f t="shared" si="159"/>
        <v>4.5925934968474774E-2</v>
      </c>
      <c r="S155" s="528">
        <f t="shared" si="159"/>
        <v>6.3126549281705191E-2</v>
      </c>
      <c r="T155" s="528">
        <f t="shared" si="159"/>
        <v>8.0847159800905774E-2</v>
      </c>
      <c r="U155" s="528">
        <f t="shared" si="159"/>
        <v>9.6475375905975089E-2</v>
      </c>
      <c r="V155" s="528">
        <f t="shared" si="159"/>
        <v>0.10726731618037126</v>
      </c>
      <c r="W155" s="528">
        <f t="shared" si="159"/>
        <v>0.11112651919655503</v>
      </c>
      <c r="X155" s="528">
        <f t="shared" si="159"/>
        <v>0.10726731618037126</v>
      </c>
      <c r="Y155" s="528">
        <f t="shared" si="159"/>
        <v>9.6475375905975033E-2</v>
      </c>
      <c r="Z155" s="528">
        <f t="shared" si="159"/>
        <v>8.0847159800905719E-2</v>
      </c>
      <c r="AA155" s="528">
        <f t="shared" si="159"/>
        <v>6.3126549281705316E-2</v>
      </c>
      <c r="AB155" s="528">
        <f t="shared" si="159"/>
        <v>4.592593496847476E-2</v>
      </c>
      <c r="AC155" s="528">
        <f t="shared" si="159"/>
        <v>3.113165630250149E-2</v>
      </c>
      <c r="AD155" s="528">
        <f t="shared" si="159"/>
        <v>1.9662747961788882E-2</v>
      </c>
      <c r="AE155" s="528" t="str">
        <f t="shared" si="159"/>
        <v/>
      </c>
      <c r="AF155" s="528" t="str">
        <f t="shared" si="159"/>
        <v/>
      </c>
      <c r="AG155" s="528" t="str">
        <f t="shared" si="159"/>
        <v/>
      </c>
      <c r="AH155" s="528" t="str">
        <f t="shared" si="159"/>
        <v/>
      </c>
      <c r="AI155" s="528" t="str">
        <f t="shared" si="159"/>
        <v/>
      </c>
      <c r="AJ155" s="528" t="str">
        <f t="shared" si="159"/>
        <v/>
      </c>
      <c r="AK155" s="528" t="str">
        <f t="shared" si="159"/>
        <v/>
      </c>
      <c r="AL155" s="528" t="str">
        <f t="shared" si="159"/>
        <v/>
      </c>
      <c r="AM155" s="528" t="str">
        <f t="shared" si="159"/>
        <v/>
      </c>
      <c r="AN155" s="528" t="str">
        <f t="shared" si="159"/>
        <v/>
      </c>
      <c r="AO155" s="528" t="str">
        <f t="shared" si="159"/>
        <v/>
      </c>
      <c r="AP155" s="528" t="str">
        <f t="shared" si="159"/>
        <v/>
      </c>
      <c r="AQ155" s="528" t="str">
        <f t="shared" si="159"/>
        <v/>
      </c>
      <c r="AR155" s="528" t="str">
        <f t="shared" si="159"/>
        <v/>
      </c>
      <c r="AS155" s="528" t="str">
        <f t="shared" si="159"/>
        <v/>
      </c>
      <c r="AT155" s="528" t="str">
        <f t="shared" si="159"/>
        <v/>
      </c>
      <c r="AU155" s="528" t="str">
        <f t="shared" si="159"/>
        <v/>
      </c>
      <c r="AV155" s="528" t="str">
        <f t="shared" si="159"/>
        <v/>
      </c>
      <c r="AW155" s="528" t="str">
        <f t="shared" si="159"/>
        <v/>
      </c>
      <c r="AX155" s="528" t="str">
        <f t="shared" si="159"/>
        <v/>
      </c>
      <c r="AY155" s="528" t="str">
        <f t="shared" si="159"/>
        <v/>
      </c>
      <c r="AZ155" s="528" t="str">
        <f t="shared" si="159"/>
        <v/>
      </c>
      <c r="BA155" s="528" t="str">
        <f t="shared" si="159"/>
        <v/>
      </c>
      <c r="BB155" s="528" t="str">
        <f t="shared" si="159"/>
        <v/>
      </c>
      <c r="BC155" s="528" t="str">
        <f t="shared" si="159"/>
        <v/>
      </c>
      <c r="BD155" s="528" t="str">
        <f t="shared" si="159"/>
        <v/>
      </c>
      <c r="BE155" s="528" t="str">
        <f t="shared" si="159"/>
        <v/>
      </c>
      <c r="BF155" s="528" t="str">
        <f t="shared" si="159"/>
        <v/>
      </c>
      <c r="BG155" s="528" t="str">
        <f t="shared" si="159"/>
        <v/>
      </c>
      <c r="BH155" s="528" t="str">
        <f t="shared" si="159"/>
        <v/>
      </c>
      <c r="BI155" s="528" t="str">
        <f t="shared" si="159"/>
        <v/>
      </c>
      <c r="BJ155" s="528" t="str">
        <f t="shared" si="159"/>
        <v/>
      </c>
      <c r="BK155" s="528" t="str">
        <f t="shared" si="159"/>
        <v/>
      </c>
      <c r="BL155" s="528" t="str">
        <f t="shared" si="159"/>
        <v/>
      </c>
      <c r="BM155" s="528" t="str">
        <f t="shared" si="159"/>
        <v/>
      </c>
    </row>
    <row r="156" spans="6:65" ht="15.75" customHeight="1" x14ac:dyDescent="0.25">
      <c r="F156" s="197"/>
      <c r="G156" s="197">
        <f t="shared" si="3"/>
        <v>0</v>
      </c>
      <c r="H156" s="197">
        <f t="shared" si="4"/>
        <v>164</v>
      </c>
      <c r="I156" s="523">
        <v>1</v>
      </c>
      <c r="J156" s="533">
        <f>'Monthly DCF'!$I$3</f>
        <v>46418</v>
      </c>
      <c r="K156" s="533">
        <f t="shared" si="5"/>
        <v>46873</v>
      </c>
      <c r="L156" s="536">
        <f t="shared" si="149"/>
        <v>16</v>
      </c>
      <c r="M156" s="20" t="s">
        <v>366</v>
      </c>
      <c r="N156" s="20">
        <f t="shared" si="6"/>
        <v>4</v>
      </c>
      <c r="O156" s="537">
        <v>4</v>
      </c>
      <c r="P156" s="528">
        <f t="shared" ref="P156:BM156" si="160">IFERROR(+IF(AND($M156="Flat",P$5&gt;=$J156,P$5&lt;=$K156),$I156/$L156,0)+IF(AND($M156="S-Curve",P$5&gt;=$J156,P$5&lt;=$K156),(_xlfn.NORM.DIST((YEAR(P$5)-YEAR($J156))*12+MONTH(P$5)-MONTH($J156)+1,$L156/2,$N156,TRUE)-_xlfn.NORM.DIST((YEAR(P$5)-YEAR($J156))*12+MONTH(P$5)-MONTH($J156),$L156/2,$N156,TRUE))/(1-2*_xlfn.NORM.DIST(0,$L156/2,$N156,TRUE))*$I156," "),"")</f>
        <v>1.8134132740879522E-2</v>
      </c>
      <c r="Q156" s="528">
        <f t="shared" si="160"/>
        <v>2.8023102986103495E-2</v>
      </c>
      <c r="R156" s="528">
        <f t="shared" si="160"/>
        <v>4.0694167770602287E-2</v>
      </c>
      <c r="S156" s="528">
        <f t="shared" si="160"/>
        <v>5.5532210496961616E-2</v>
      </c>
      <c r="T156" s="528">
        <f t="shared" si="160"/>
        <v>7.1212275786350421E-2</v>
      </c>
      <c r="U156" s="528">
        <f t="shared" si="160"/>
        <v>8.5814781556130981E-2</v>
      </c>
      <c r="V156" s="528">
        <f t="shared" si="160"/>
        <v>9.7177748806645828E-2</v>
      </c>
      <c r="W156" s="528">
        <f t="shared" si="160"/>
        <v>0.10341157985632587</v>
      </c>
      <c r="X156" s="528">
        <f t="shared" si="160"/>
        <v>0.10341157985632587</v>
      </c>
      <c r="Y156" s="528">
        <f t="shared" si="160"/>
        <v>9.7177748806645828E-2</v>
      </c>
      <c r="Z156" s="528">
        <f t="shared" si="160"/>
        <v>8.5814781556130926E-2</v>
      </c>
      <c r="AA156" s="528">
        <f t="shared" si="160"/>
        <v>7.1212275786350504E-2</v>
      </c>
      <c r="AB156" s="528">
        <f t="shared" si="160"/>
        <v>5.5532210496961602E-2</v>
      </c>
      <c r="AC156" s="528">
        <f t="shared" si="160"/>
        <v>4.0694167770602238E-2</v>
      </c>
      <c r="AD156" s="528">
        <f t="shared" si="160"/>
        <v>2.8023102986103512E-2</v>
      </c>
      <c r="AE156" s="528">
        <f t="shared" si="160"/>
        <v>1.8134132740879515E-2</v>
      </c>
      <c r="AF156" s="528" t="str">
        <f t="shared" si="160"/>
        <v/>
      </c>
      <c r="AG156" s="528" t="str">
        <f t="shared" si="160"/>
        <v/>
      </c>
      <c r="AH156" s="528" t="str">
        <f t="shared" si="160"/>
        <v/>
      </c>
      <c r="AI156" s="528" t="str">
        <f t="shared" si="160"/>
        <v/>
      </c>
      <c r="AJ156" s="528" t="str">
        <f t="shared" si="160"/>
        <v/>
      </c>
      <c r="AK156" s="528" t="str">
        <f t="shared" si="160"/>
        <v/>
      </c>
      <c r="AL156" s="528" t="str">
        <f t="shared" si="160"/>
        <v/>
      </c>
      <c r="AM156" s="528" t="str">
        <f t="shared" si="160"/>
        <v/>
      </c>
      <c r="AN156" s="528" t="str">
        <f t="shared" si="160"/>
        <v/>
      </c>
      <c r="AO156" s="528" t="str">
        <f t="shared" si="160"/>
        <v/>
      </c>
      <c r="AP156" s="528" t="str">
        <f t="shared" si="160"/>
        <v/>
      </c>
      <c r="AQ156" s="528" t="str">
        <f t="shared" si="160"/>
        <v/>
      </c>
      <c r="AR156" s="528" t="str">
        <f t="shared" si="160"/>
        <v/>
      </c>
      <c r="AS156" s="528" t="str">
        <f t="shared" si="160"/>
        <v/>
      </c>
      <c r="AT156" s="528" t="str">
        <f t="shared" si="160"/>
        <v/>
      </c>
      <c r="AU156" s="528" t="str">
        <f t="shared" si="160"/>
        <v/>
      </c>
      <c r="AV156" s="528" t="str">
        <f t="shared" si="160"/>
        <v/>
      </c>
      <c r="AW156" s="528" t="str">
        <f t="shared" si="160"/>
        <v/>
      </c>
      <c r="AX156" s="528" t="str">
        <f t="shared" si="160"/>
        <v/>
      </c>
      <c r="AY156" s="528" t="str">
        <f t="shared" si="160"/>
        <v/>
      </c>
      <c r="AZ156" s="528" t="str">
        <f t="shared" si="160"/>
        <v/>
      </c>
      <c r="BA156" s="528" t="str">
        <f t="shared" si="160"/>
        <v/>
      </c>
      <c r="BB156" s="528" t="str">
        <f t="shared" si="160"/>
        <v/>
      </c>
      <c r="BC156" s="528" t="str">
        <f t="shared" si="160"/>
        <v/>
      </c>
      <c r="BD156" s="528" t="str">
        <f t="shared" si="160"/>
        <v/>
      </c>
      <c r="BE156" s="528" t="str">
        <f t="shared" si="160"/>
        <v/>
      </c>
      <c r="BF156" s="528" t="str">
        <f t="shared" si="160"/>
        <v/>
      </c>
      <c r="BG156" s="528" t="str">
        <f t="shared" si="160"/>
        <v/>
      </c>
      <c r="BH156" s="528" t="str">
        <f t="shared" si="160"/>
        <v/>
      </c>
      <c r="BI156" s="528" t="str">
        <f t="shared" si="160"/>
        <v/>
      </c>
      <c r="BJ156" s="528" t="str">
        <f t="shared" si="160"/>
        <v/>
      </c>
      <c r="BK156" s="528" t="str">
        <f t="shared" si="160"/>
        <v/>
      </c>
      <c r="BL156" s="528" t="str">
        <f t="shared" si="160"/>
        <v/>
      </c>
      <c r="BM156" s="528" t="str">
        <f t="shared" si="160"/>
        <v/>
      </c>
    </row>
    <row r="157" spans="6:65" ht="15.75" customHeight="1" x14ac:dyDescent="0.25">
      <c r="F157" s="197"/>
      <c r="G157" s="197">
        <f t="shared" si="3"/>
        <v>0</v>
      </c>
      <c r="H157" s="197">
        <f t="shared" si="4"/>
        <v>174</v>
      </c>
      <c r="I157" s="523">
        <v>1</v>
      </c>
      <c r="J157" s="533">
        <f>'Monthly DCF'!$I$3</f>
        <v>46418</v>
      </c>
      <c r="K157" s="533">
        <f t="shared" si="5"/>
        <v>46904</v>
      </c>
      <c r="L157" s="536">
        <f t="shared" si="149"/>
        <v>17</v>
      </c>
      <c r="M157" s="20" t="s">
        <v>366</v>
      </c>
      <c r="N157" s="20">
        <f t="shared" si="6"/>
        <v>4.25</v>
      </c>
      <c r="O157" s="537">
        <v>4</v>
      </c>
      <c r="P157" s="528">
        <f t="shared" ref="P157:BM157" si="161">IFERROR(+IF(AND($M157="Flat",P$5&gt;=$J157,P$5&lt;=$K157),$I157/$L157,0)+IF(AND($M157="S-Curve",P$5&gt;=$J157,P$5&lt;=$K157),(_xlfn.NORM.DIST((YEAR(P$5)-YEAR($J157))*12+MONTH(P$5)-MONTH($J157)+1,$L157/2,$N157,TRUE)-_xlfn.NORM.DIST((YEAR(P$5)-YEAR($J157))*12+MONTH(P$5)-MONTH($J157),$L157/2,$N157,TRUE))/(1-2*_xlfn.NORM.DIST(0,$L157/2,$N157,TRUE))*$I157," "),"")</f>
        <v>1.6821872414775146E-2</v>
      </c>
      <c r="Q157" s="528">
        <f t="shared" si="161"/>
        <v>2.5431745263210803E-2</v>
      </c>
      <c r="R157" s="528">
        <f t="shared" si="161"/>
        <v>3.638680373571223E-2</v>
      </c>
      <c r="S157" s="528">
        <f t="shared" si="161"/>
        <v>4.9269457762954695E-2</v>
      </c>
      <c r="T157" s="528">
        <f t="shared" si="161"/>
        <v>6.3136132153150309E-2</v>
      </c>
      <c r="U157" s="528">
        <f t="shared" si="161"/>
        <v>7.6567528625684278E-2</v>
      </c>
      <c r="V157" s="528">
        <f t="shared" si="161"/>
        <v>8.7877536062407502E-2</v>
      </c>
      <c r="W157" s="528">
        <f t="shared" si="161"/>
        <v>9.5450406637665478E-2</v>
      </c>
      <c r="X157" s="528">
        <f t="shared" si="161"/>
        <v>9.8117034688879085E-2</v>
      </c>
      <c r="Y157" s="528">
        <f t="shared" si="161"/>
        <v>9.5450406637665589E-2</v>
      </c>
      <c r="Z157" s="528">
        <f t="shared" si="161"/>
        <v>8.7877536062407446E-2</v>
      </c>
      <c r="AA157" s="528">
        <f t="shared" si="161"/>
        <v>7.6567528625684333E-2</v>
      </c>
      <c r="AB157" s="528">
        <f t="shared" si="161"/>
        <v>6.3136132153150185E-2</v>
      </c>
      <c r="AC157" s="528">
        <f t="shared" si="161"/>
        <v>4.9269457762954695E-2</v>
      </c>
      <c r="AD157" s="528">
        <f t="shared" si="161"/>
        <v>3.6386803735712264E-2</v>
      </c>
      <c r="AE157" s="528">
        <f t="shared" si="161"/>
        <v>2.5431745263210803E-2</v>
      </c>
      <c r="AF157" s="528">
        <f t="shared" si="161"/>
        <v>1.6821872414775157E-2</v>
      </c>
      <c r="AG157" s="528" t="str">
        <f t="shared" si="161"/>
        <v/>
      </c>
      <c r="AH157" s="528" t="str">
        <f t="shared" si="161"/>
        <v/>
      </c>
      <c r="AI157" s="528" t="str">
        <f t="shared" si="161"/>
        <v/>
      </c>
      <c r="AJ157" s="528" t="str">
        <f t="shared" si="161"/>
        <v/>
      </c>
      <c r="AK157" s="528" t="str">
        <f t="shared" si="161"/>
        <v/>
      </c>
      <c r="AL157" s="528" t="str">
        <f t="shared" si="161"/>
        <v/>
      </c>
      <c r="AM157" s="528" t="str">
        <f t="shared" si="161"/>
        <v/>
      </c>
      <c r="AN157" s="528" t="str">
        <f t="shared" si="161"/>
        <v/>
      </c>
      <c r="AO157" s="528" t="str">
        <f t="shared" si="161"/>
        <v/>
      </c>
      <c r="AP157" s="528" t="str">
        <f t="shared" si="161"/>
        <v/>
      </c>
      <c r="AQ157" s="528" t="str">
        <f t="shared" si="161"/>
        <v/>
      </c>
      <c r="AR157" s="528" t="str">
        <f t="shared" si="161"/>
        <v/>
      </c>
      <c r="AS157" s="528" t="str">
        <f t="shared" si="161"/>
        <v/>
      </c>
      <c r="AT157" s="528" t="str">
        <f t="shared" si="161"/>
        <v/>
      </c>
      <c r="AU157" s="528" t="str">
        <f t="shared" si="161"/>
        <v/>
      </c>
      <c r="AV157" s="528" t="str">
        <f t="shared" si="161"/>
        <v/>
      </c>
      <c r="AW157" s="528" t="str">
        <f t="shared" si="161"/>
        <v/>
      </c>
      <c r="AX157" s="528" t="str">
        <f t="shared" si="161"/>
        <v/>
      </c>
      <c r="AY157" s="528" t="str">
        <f t="shared" si="161"/>
        <v/>
      </c>
      <c r="AZ157" s="528" t="str">
        <f t="shared" si="161"/>
        <v/>
      </c>
      <c r="BA157" s="528" t="str">
        <f t="shared" si="161"/>
        <v/>
      </c>
      <c r="BB157" s="528" t="str">
        <f t="shared" si="161"/>
        <v/>
      </c>
      <c r="BC157" s="528" t="str">
        <f t="shared" si="161"/>
        <v/>
      </c>
      <c r="BD157" s="528" t="str">
        <f t="shared" si="161"/>
        <v/>
      </c>
      <c r="BE157" s="528" t="str">
        <f t="shared" si="161"/>
        <v/>
      </c>
      <c r="BF157" s="528" t="str">
        <f t="shared" si="161"/>
        <v/>
      </c>
      <c r="BG157" s="528" t="str">
        <f t="shared" si="161"/>
        <v/>
      </c>
      <c r="BH157" s="528" t="str">
        <f t="shared" si="161"/>
        <v/>
      </c>
      <c r="BI157" s="528" t="str">
        <f t="shared" si="161"/>
        <v/>
      </c>
      <c r="BJ157" s="528" t="str">
        <f t="shared" si="161"/>
        <v/>
      </c>
      <c r="BK157" s="528" t="str">
        <f t="shared" si="161"/>
        <v/>
      </c>
      <c r="BL157" s="528" t="str">
        <f t="shared" si="161"/>
        <v/>
      </c>
      <c r="BM157" s="528" t="str">
        <f t="shared" si="161"/>
        <v/>
      </c>
    </row>
    <row r="158" spans="6:65" ht="15.75" customHeight="1" x14ac:dyDescent="0.25">
      <c r="F158" s="197"/>
      <c r="G158" s="197">
        <f t="shared" si="3"/>
        <v>0</v>
      </c>
      <c r="H158" s="197">
        <f t="shared" si="4"/>
        <v>184</v>
      </c>
      <c r="I158" s="523">
        <v>1</v>
      </c>
      <c r="J158" s="533">
        <f>'Monthly DCF'!$I$3</f>
        <v>46418</v>
      </c>
      <c r="K158" s="533">
        <f t="shared" si="5"/>
        <v>46934</v>
      </c>
      <c r="L158" s="536">
        <f t="shared" si="149"/>
        <v>18</v>
      </c>
      <c r="M158" s="20" t="s">
        <v>366</v>
      </c>
      <c r="N158" s="20">
        <f t="shared" si="6"/>
        <v>4.5</v>
      </c>
      <c r="O158" s="537">
        <v>4</v>
      </c>
      <c r="P158" s="528">
        <f t="shared" ref="P158:BM158" si="162">IFERROR(+IF(AND($M158="Flat",P$5&gt;=$J158,P$5&lt;=$K158),$I158/$L158,0)+IF(AND($M158="S-Curve",P$5&gt;=$J158,P$5&lt;=$K158),(_xlfn.NORM.DIST((YEAR(P$5)-YEAR($J158))*12+MONTH(P$5)-MONTH($J158)+1,$L158/2,$N158,TRUE)-_xlfn.NORM.DIST((YEAR(P$5)-YEAR($J158))*12+MONTH(P$5)-MONTH($J158),$L158/2,$N158,TRUE))/(1-2*_xlfn.NORM.DIST(0,$L158/2,$N158,TRUE))*$I158," "),"")</f>
        <v>1.5683658464202627E-2</v>
      </c>
      <c r="Q158" s="528">
        <f t="shared" si="162"/>
        <v>2.3244351412751468E-2</v>
      </c>
      <c r="R158" s="528">
        <f t="shared" si="162"/>
        <v>3.2796564984798444E-2</v>
      </c>
      <c r="S158" s="528">
        <f t="shared" si="162"/>
        <v>4.4053488530322413E-2</v>
      </c>
      <c r="T158" s="528">
        <f t="shared" si="162"/>
        <v>5.6334364284305313E-2</v>
      </c>
      <c r="U158" s="528">
        <f t="shared" si="162"/>
        <v>6.8581620638995922E-2</v>
      </c>
      <c r="V158" s="528">
        <f t="shared" si="162"/>
        <v>7.9484679634028055E-2</v>
      </c>
      <c r="W158" s="528">
        <f t="shared" si="162"/>
        <v>8.7700186205151576E-2</v>
      </c>
      <c r="X158" s="528">
        <f t="shared" si="162"/>
        <v>9.2121085845444192E-2</v>
      </c>
      <c r="Y158" s="528">
        <f t="shared" si="162"/>
        <v>9.2121085845444192E-2</v>
      </c>
      <c r="Z158" s="528">
        <f t="shared" si="162"/>
        <v>8.7700186205151576E-2</v>
      </c>
      <c r="AA158" s="528">
        <f t="shared" si="162"/>
        <v>7.9484679634028055E-2</v>
      </c>
      <c r="AB158" s="528">
        <f t="shared" si="162"/>
        <v>6.8581620638995894E-2</v>
      </c>
      <c r="AC158" s="528">
        <f t="shared" si="162"/>
        <v>5.6334364284305279E-2</v>
      </c>
      <c r="AD158" s="528">
        <f t="shared" si="162"/>
        <v>4.4053488530322475E-2</v>
      </c>
      <c r="AE158" s="528">
        <f t="shared" si="162"/>
        <v>3.2796564984798472E-2</v>
      </c>
      <c r="AF158" s="528">
        <f t="shared" si="162"/>
        <v>2.3244351412751427E-2</v>
      </c>
      <c r="AG158" s="528">
        <f t="shared" si="162"/>
        <v>1.5683658464202624E-2</v>
      </c>
      <c r="AH158" s="528" t="str">
        <f t="shared" si="162"/>
        <v/>
      </c>
      <c r="AI158" s="528" t="str">
        <f t="shared" si="162"/>
        <v/>
      </c>
      <c r="AJ158" s="528" t="str">
        <f t="shared" si="162"/>
        <v/>
      </c>
      <c r="AK158" s="528" t="str">
        <f t="shared" si="162"/>
        <v/>
      </c>
      <c r="AL158" s="528" t="str">
        <f t="shared" si="162"/>
        <v/>
      </c>
      <c r="AM158" s="528" t="str">
        <f t="shared" si="162"/>
        <v/>
      </c>
      <c r="AN158" s="528" t="str">
        <f t="shared" si="162"/>
        <v/>
      </c>
      <c r="AO158" s="528" t="str">
        <f t="shared" si="162"/>
        <v/>
      </c>
      <c r="AP158" s="528" t="str">
        <f t="shared" si="162"/>
        <v/>
      </c>
      <c r="AQ158" s="528" t="str">
        <f t="shared" si="162"/>
        <v/>
      </c>
      <c r="AR158" s="528" t="str">
        <f t="shared" si="162"/>
        <v/>
      </c>
      <c r="AS158" s="528" t="str">
        <f t="shared" si="162"/>
        <v/>
      </c>
      <c r="AT158" s="528" t="str">
        <f t="shared" si="162"/>
        <v/>
      </c>
      <c r="AU158" s="528" t="str">
        <f t="shared" si="162"/>
        <v/>
      </c>
      <c r="AV158" s="528" t="str">
        <f t="shared" si="162"/>
        <v/>
      </c>
      <c r="AW158" s="528" t="str">
        <f t="shared" si="162"/>
        <v/>
      </c>
      <c r="AX158" s="528" t="str">
        <f t="shared" si="162"/>
        <v/>
      </c>
      <c r="AY158" s="528" t="str">
        <f t="shared" si="162"/>
        <v/>
      </c>
      <c r="AZ158" s="528" t="str">
        <f t="shared" si="162"/>
        <v/>
      </c>
      <c r="BA158" s="528" t="str">
        <f t="shared" si="162"/>
        <v/>
      </c>
      <c r="BB158" s="528" t="str">
        <f t="shared" si="162"/>
        <v/>
      </c>
      <c r="BC158" s="528" t="str">
        <f t="shared" si="162"/>
        <v/>
      </c>
      <c r="BD158" s="528" t="str">
        <f t="shared" si="162"/>
        <v/>
      </c>
      <c r="BE158" s="528" t="str">
        <f t="shared" si="162"/>
        <v/>
      </c>
      <c r="BF158" s="528" t="str">
        <f t="shared" si="162"/>
        <v/>
      </c>
      <c r="BG158" s="528" t="str">
        <f t="shared" si="162"/>
        <v/>
      </c>
      <c r="BH158" s="528" t="str">
        <f t="shared" si="162"/>
        <v/>
      </c>
      <c r="BI158" s="528" t="str">
        <f t="shared" si="162"/>
        <v/>
      </c>
      <c r="BJ158" s="528" t="str">
        <f t="shared" si="162"/>
        <v/>
      </c>
      <c r="BK158" s="528" t="str">
        <f t="shared" si="162"/>
        <v/>
      </c>
      <c r="BL158" s="528" t="str">
        <f t="shared" si="162"/>
        <v/>
      </c>
      <c r="BM158" s="528" t="str">
        <f t="shared" si="162"/>
        <v/>
      </c>
    </row>
    <row r="159" spans="6:65" ht="15.75" customHeight="1" x14ac:dyDescent="0.25">
      <c r="F159" s="197"/>
      <c r="G159" s="197">
        <f t="shared" si="3"/>
        <v>0</v>
      </c>
      <c r="H159" s="197">
        <f t="shared" si="4"/>
        <v>194</v>
      </c>
      <c r="I159" s="523">
        <v>1</v>
      </c>
      <c r="J159" s="533">
        <f>'Monthly DCF'!$I$3</f>
        <v>46418</v>
      </c>
      <c r="K159" s="533">
        <f t="shared" si="5"/>
        <v>46965</v>
      </c>
      <c r="L159" s="536">
        <f t="shared" si="149"/>
        <v>19</v>
      </c>
      <c r="M159" s="20" t="s">
        <v>366</v>
      </c>
      <c r="N159" s="20">
        <f t="shared" si="6"/>
        <v>4.75</v>
      </c>
      <c r="O159" s="537">
        <v>4</v>
      </c>
      <c r="P159" s="528">
        <f t="shared" ref="P159:BM159" si="163">IFERROR(+IF(AND($M159="Flat",P$5&gt;=$J159,P$5&lt;=$K159),$I159/$L159,0)+IF(AND($M159="S-Curve",P$5&gt;=$J159,P$5&lt;=$K159),(_xlfn.NORM.DIST((YEAR(P$5)-YEAR($J159))*12+MONTH(P$5)-MONTH($J159)+1,$L159/2,$N159,TRUE)-_xlfn.NORM.DIST((YEAR(P$5)-YEAR($J159))*12+MONTH(P$5)-MONTH($J159),$L159/2,$N159,TRUE))/(1-2*_xlfn.NORM.DIST(0,$L159/2,$N159,TRUE))*$I159," "),"")</f>
        <v>1.4687430989418682E-2</v>
      </c>
      <c r="Q159" s="528">
        <f t="shared" si="163"/>
        <v>2.1377464181158167E-2</v>
      </c>
      <c r="R159" s="528">
        <f t="shared" si="163"/>
        <v>2.9770667435946856E-2</v>
      </c>
      <c r="S159" s="528">
        <f t="shared" si="163"/>
        <v>3.9668254791344136E-2</v>
      </c>
      <c r="T159" s="528">
        <f t="shared" si="163"/>
        <v>5.0573131431010186E-2</v>
      </c>
      <c r="U159" s="528">
        <f t="shared" si="163"/>
        <v>6.1690586860187469E-2</v>
      </c>
      <c r="V159" s="528">
        <f t="shared" si="163"/>
        <v>7.2001297888350344E-2</v>
      </c>
      <c r="W159" s="528">
        <f t="shared" si="163"/>
        <v>8.0405205111351602E-2</v>
      </c>
      <c r="X159" s="528">
        <f t="shared" si="163"/>
        <v>8.5911332228983603E-2</v>
      </c>
      <c r="Y159" s="528">
        <f t="shared" si="163"/>
        <v>8.7829258164497978E-2</v>
      </c>
      <c r="Z159" s="528">
        <f t="shared" si="163"/>
        <v>8.5911332228983492E-2</v>
      </c>
      <c r="AA159" s="528">
        <f t="shared" si="163"/>
        <v>8.0405205111351727E-2</v>
      </c>
      <c r="AB159" s="528">
        <f t="shared" si="163"/>
        <v>7.2001297888350316E-2</v>
      </c>
      <c r="AC159" s="528">
        <f t="shared" si="163"/>
        <v>6.1690586860187441E-2</v>
      </c>
      <c r="AD159" s="528">
        <f t="shared" si="163"/>
        <v>5.0573131431010214E-2</v>
      </c>
      <c r="AE159" s="528">
        <f t="shared" si="163"/>
        <v>3.966825479134415E-2</v>
      </c>
      <c r="AF159" s="528">
        <f t="shared" si="163"/>
        <v>2.9770667435946776E-2</v>
      </c>
      <c r="AG159" s="528">
        <f t="shared" si="163"/>
        <v>2.1377464181158174E-2</v>
      </c>
      <c r="AH159" s="528">
        <f t="shared" si="163"/>
        <v>1.4687430989418692E-2</v>
      </c>
      <c r="AI159" s="528" t="str">
        <f t="shared" si="163"/>
        <v/>
      </c>
      <c r="AJ159" s="528" t="str">
        <f t="shared" si="163"/>
        <v/>
      </c>
      <c r="AK159" s="528" t="str">
        <f t="shared" si="163"/>
        <v/>
      </c>
      <c r="AL159" s="528" t="str">
        <f t="shared" si="163"/>
        <v/>
      </c>
      <c r="AM159" s="528" t="str">
        <f t="shared" si="163"/>
        <v/>
      </c>
      <c r="AN159" s="528" t="str">
        <f t="shared" si="163"/>
        <v/>
      </c>
      <c r="AO159" s="528" t="str">
        <f t="shared" si="163"/>
        <v/>
      </c>
      <c r="AP159" s="528" t="str">
        <f t="shared" si="163"/>
        <v/>
      </c>
      <c r="AQ159" s="528" t="str">
        <f t="shared" si="163"/>
        <v/>
      </c>
      <c r="AR159" s="528" t="str">
        <f t="shared" si="163"/>
        <v/>
      </c>
      <c r="AS159" s="528" t="str">
        <f t="shared" si="163"/>
        <v/>
      </c>
      <c r="AT159" s="528" t="str">
        <f t="shared" si="163"/>
        <v/>
      </c>
      <c r="AU159" s="528" t="str">
        <f t="shared" si="163"/>
        <v/>
      </c>
      <c r="AV159" s="528" t="str">
        <f t="shared" si="163"/>
        <v/>
      </c>
      <c r="AW159" s="528" t="str">
        <f t="shared" si="163"/>
        <v/>
      </c>
      <c r="AX159" s="528" t="str">
        <f t="shared" si="163"/>
        <v/>
      </c>
      <c r="AY159" s="528" t="str">
        <f t="shared" si="163"/>
        <v/>
      </c>
      <c r="AZ159" s="528" t="str">
        <f t="shared" si="163"/>
        <v/>
      </c>
      <c r="BA159" s="528" t="str">
        <f t="shared" si="163"/>
        <v/>
      </c>
      <c r="BB159" s="528" t="str">
        <f t="shared" si="163"/>
        <v/>
      </c>
      <c r="BC159" s="528" t="str">
        <f t="shared" si="163"/>
        <v/>
      </c>
      <c r="BD159" s="528" t="str">
        <f t="shared" si="163"/>
        <v/>
      </c>
      <c r="BE159" s="528" t="str">
        <f t="shared" si="163"/>
        <v/>
      </c>
      <c r="BF159" s="528" t="str">
        <f t="shared" si="163"/>
        <v/>
      </c>
      <c r="BG159" s="528" t="str">
        <f t="shared" si="163"/>
        <v/>
      </c>
      <c r="BH159" s="528" t="str">
        <f t="shared" si="163"/>
        <v/>
      </c>
      <c r="BI159" s="528" t="str">
        <f t="shared" si="163"/>
        <v/>
      </c>
      <c r="BJ159" s="528" t="str">
        <f t="shared" si="163"/>
        <v/>
      </c>
      <c r="BK159" s="528" t="str">
        <f t="shared" si="163"/>
        <v/>
      </c>
      <c r="BL159" s="528" t="str">
        <f t="shared" si="163"/>
        <v/>
      </c>
      <c r="BM159" s="528" t="str">
        <f t="shared" si="163"/>
        <v/>
      </c>
    </row>
    <row r="160" spans="6:65" ht="15.75" customHeight="1" x14ac:dyDescent="0.25">
      <c r="F160" s="197"/>
      <c r="G160" s="197">
        <f t="shared" si="3"/>
        <v>0</v>
      </c>
      <c r="H160" s="197">
        <f t="shared" si="4"/>
        <v>204</v>
      </c>
      <c r="I160" s="523">
        <v>1</v>
      </c>
      <c r="J160" s="533">
        <f>'Monthly DCF'!$I$3</f>
        <v>46418</v>
      </c>
      <c r="K160" s="533">
        <f t="shared" si="5"/>
        <v>46996</v>
      </c>
      <c r="L160" s="536">
        <f t="shared" si="149"/>
        <v>20</v>
      </c>
      <c r="M160" s="20" t="s">
        <v>366</v>
      </c>
      <c r="N160" s="20">
        <f t="shared" si="6"/>
        <v>5</v>
      </c>
      <c r="O160" s="537">
        <v>4</v>
      </c>
      <c r="P160" s="528">
        <f t="shared" ref="P160:BM160" si="164">IFERROR(+IF(AND($M160="Flat",P$5&gt;=$J160,P$5&lt;=$K160),$I160/$L160,0)+IF(AND($M160="S-Curve",P$5&gt;=$J160,P$5&lt;=$K160),(_xlfn.NORM.DIST((YEAR(P$5)-YEAR($J160))*12+MONTH(P$5)-MONTH($J160)+1,$L160/2,$N160,TRUE)-_xlfn.NORM.DIST((YEAR(P$5)-YEAR($J160))*12+MONTH(P$5)-MONTH($J160),$L160/2,$N160,TRUE))/(1-2*_xlfn.NORM.DIST(0,$L160/2,$N160,TRUE))*$I160," "),"")</f>
        <v>1.380847648900289E-2</v>
      </c>
      <c r="Q160" s="528">
        <f t="shared" si="164"/>
        <v>1.9768441910374027E-2</v>
      </c>
      <c r="R160" s="528">
        <f t="shared" si="164"/>
        <v>2.7194735160612531E-2</v>
      </c>
      <c r="S160" s="528">
        <f t="shared" si="164"/>
        <v>3.594868567277576E-2</v>
      </c>
      <c r="T160" s="528">
        <f t="shared" si="164"/>
        <v>4.5663274761781704E-2</v>
      </c>
      <c r="U160" s="528">
        <f t="shared" si="164"/>
        <v>5.57361543850265E-2</v>
      </c>
      <c r="V160" s="528">
        <f t="shared" si="164"/>
        <v>6.5372170160455309E-2</v>
      </c>
      <c r="W160" s="528">
        <f t="shared" si="164"/>
        <v>7.3677485681322555E-2</v>
      </c>
      <c r="X160" s="528">
        <f t="shared" si="164"/>
        <v>7.9792617316084169E-2</v>
      </c>
      <c r="Y160" s="528">
        <f t="shared" si="164"/>
        <v>8.3037958462564579E-2</v>
      </c>
      <c r="Z160" s="528">
        <f t="shared" si="164"/>
        <v>8.3037958462564523E-2</v>
      </c>
      <c r="AA160" s="528">
        <f t="shared" si="164"/>
        <v>7.979261731608428E-2</v>
      </c>
      <c r="AB160" s="528">
        <f t="shared" si="164"/>
        <v>7.3677485681322499E-2</v>
      </c>
      <c r="AC160" s="528">
        <f t="shared" si="164"/>
        <v>6.5372170160455281E-2</v>
      </c>
      <c r="AD160" s="528">
        <f t="shared" si="164"/>
        <v>5.5736154385026555E-2</v>
      </c>
      <c r="AE160" s="528">
        <f t="shared" si="164"/>
        <v>4.5663274761781732E-2</v>
      </c>
      <c r="AF160" s="528">
        <f t="shared" si="164"/>
        <v>3.5948685672775683E-2</v>
      </c>
      <c r="AG160" s="528">
        <f t="shared" si="164"/>
        <v>2.7194735160612517E-2</v>
      </c>
      <c r="AH160" s="528">
        <f t="shared" si="164"/>
        <v>1.9768441910374079E-2</v>
      </c>
      <c r="AI160" s="528">
        <f t="shared" si="164"/>
        <v>1.380847648900285E-2</v>
      </c>
      <c r="AJ160" s="528" t="str">
        <f t="shared" si="164"/>
        <v/>
      </c>
      <c r="AK160" s="528" t="str">
        <f t="shared" si="164"/>
        <v/>
      </c>
      <c r="AL160" s="528" t="str">
        <f t="shared" si="164"/>
        <v/>
      </c>
      <c r="AM160" s="528" t="str">
        <f t="shared" si="164"/>
        <v/>
      </c>
      <c r="AN160" s="528" t="str">
        <f t="shared" si="164"/>
        <v/>
      </c>
      <c r="AO160" s="528" t="str">
        <f t="shared" si="164"/>
        <v/>
      </c>
      <c r="AP160" s="528" t="str">
        <f t="shared" si="164"/>
        <v/>
      </c>
      <c r="AQ160" s="528" t="str">
        <f t="shared" si="164"/>
        <v/>
      </c>
      <c r="AR160" s="528" t="str">
        <f t="shared" si="164"/>
        <v/>
      </c>
      <c r="AS160" s="528" t="str">
        <f t="shared" si="164"/>
        <v/>
      </c>
      <c r="AT160" s="528" t="str">
        <f t="shared" si="164"/>
        <v/>
      </c>
      <c r="AU160" s="528" t="str">
        <f t="shared" si="164"/>
        <v/>
      </c>
      <c r="AV160" s="528" t="str">
        <f t="shared" si="164"/>
        <v/>
      </c>
      <c r="AW160" s="528" t="str">
        <f t="shared" si="164"/>
        <v/>
      </c>
      <c r="AX160" s="528" t="str">
        <f t="shared" si="164"/>
        <v/>
      </c>
      <c r="AY160" s="528" t="str">
        <f t="shared" si="164"/>
        <v/>
      </c>
      <c r="AZ160" s="528" t="str">
        <f t="shared" si="164"/>
        <v/>
      </c>
      <c r="BA160" s="528" t="str">
        <f t="shared" si="164"/>
        <v/>
      </c>
      <c r="BB160" s="528" t="str">
        <f t="shared" si="164"/>
        <v/>
      </c>
      <c r="BC160" s="528" t="str">
        <f t="shared" si="164"/>
        <v/>
      </c>
      <c r="BD160" s="528" t="str">
        <f t="shared" si="164"/>
        <v/>
      </c>
      <c r="BE160" s="528" t="str">
        <f t="shared" si="164"/>
        <v/>
      </c>
      <c r="BF160" s="528" t="str">
        <f t="shared" si="164"/>
        <v/>
      </c>
      <c r="BG160" s="528" t="str">
        <f t="shared" si="164"/>
        <v/>
      </c>
      <c r="BH160" s="528" t="str">
        <f t="shared" si="164"/>
        <v/>
      </c>
      <c r="BI160" s="528" t="str">
        <f t="shared" si="164"/>
        <v/>
      </c>
      <c r="BJ160" s="528" t="str">
        <f t="shared" si="164"/>
        <v/>
      </c>
      <c r="BK160" s="528" t="str">
        <f t="shared" si="164"/>
        <v/>
      </c>
      <c r="BL160" s="528" t="str">
        <f t="shared" si="164"/>
        <v/>
      </c>
      <c r="BM160" s="528" t="str">
        <f t="shared" si="164"/>
        <v/>
      </c>
    </row>
    <row r="161" spans="6:65" ht="15.75" customHeight="1" x14ac:dyDescent="0.25">
      <c r="F161" s="197"/>
      <c r="G161" s="197">
        <f t="shared" si="3"/>
        <v>0</v>
      </c>
      <c r="H161" s="197">
        <f t="shared" si="4"/>
        <v>214</v>
      </c>
      <c r="I161" s="523">
        <v>1</v>
      </c>
      <c r="J161" s="533">
        <f>'Monthly DCF'!$I$3</f>
        <v>46418</v>
      </c>
      <c r="K161" s="533">
        <f t="shared" si="5"/>
        <v>47026</v>
      </c>
      <c r="L161" s="536">
        <f t="shared" si="149"/>
        <v>21</v>
      </c>
      <c r="M161" s="20" t="s">
        <v>366</v>
      </c>
      <c r="N161" s="20">
        <f t="shared" si="6"/>
        <v>5.25</v>
      </c>
      <c r="O161" s="537">
        <v>4</v>
      </c>
      <c r="P161" s="528">
        <f t="shared" ref="P161:BM161" si="165">IFERROR(+IF(AND($M161="Flat",P$5&gt;=$J161,P$5&lt;=$K161),$I161/$L161,0)+IF(AND($M161="S-Curve",P$5&gt;=$J161,P$5&lt;=$K161),(_xlfn.NORM.DIST((YEAR(P$5)-YEAR($J161))*12+MONTH(P$5)-MONTH($J161)+1,$L161/2,$N161,TRUE)-_xlfn.NORM.DIST((YEAR(P$5)-YEAR($J161))*12+MONTH(P$5)-MONTH($J161),$L161/2,$N161,TRUE))/(1-2*_xlfn.NORM.DIST(0,$L161/2,$N161,TRUE))*$I161," "),"")</f>
        <v>1.3027452901638349E-2</v>
      </c>
      <c r="Q161" s="528">
        <f t="shared" si="165"/>
        <v>1.8369493381675733E-2</v>
      </c>
      <c r="R161" s="528">
        <f t="shared" si="165"/>
        <v>2.4981899646311569E-2</v>
      </c>
      <c r="S161" s="528">
        <f t="shared" si="165"/>
        <v>3.2767582837001978E-2</v>
      </c>
      <c r="T161" s="528">
        <f t="shared" si="165"/>
        <v>4.1452818533543927E-2</v>
      </c>
      <c r="U161" s="528">
        <f t="shared" si="165"/>
        <v>5.0577164451941645E-2</v>
      </c>
      <c r="V161" s="528">
        <f t="shared" si="165"/>
        <v>5.9517636563262984E-2</v>
      </c>
      <c r="W161" s="528">
        <f t="shared" si="165"/>
        <v>6.7550363771655242E-2</v>
      </c>
      <c r="X161" s="528">
        <f t="shared" si="165"/>
        <v>7.3943592111853529E-2</v>
      </c>
      <c r="Y161" s="528">
        <f t="shared" si="165"/>
        <v>7.8066417430274274E-2</v>
      </c>
      <c r="Z161" s="528">
        <f t="shared" si="165"/>
        <v>7.9491156741681598E-2</v>
      </c>
      <c r="AA161" s="528">
        <f t="shared" si="165"/>
        <v>7.8066417430274274E-2</v>
      </c>
      <c r="AB161" s="528">
        <f t="shared" si="165"/>
        <v>7.3943592111853529E-2</v>
      </c>
      <c r="AC161" s="528">
        <f t="shared" si="165"/>
        <v>6.7550363771655242E-2</v>
      </c>
      <c r="AD161" s="528">
        <f t="shared" si="165"/>
        <v>5.9517636563263011E-2</v>
      </c>
      <c r="AE161" s="528">
        <f t="shared" si="165"/>
        <v>5.0577164451941617E-2</v>
      </c>
      <c r="AF161" s="528">
        <f t="shared" si="165"/>
        <v>4.1452818533543941E-2</v>
      </c>
      <c r="AG161" s="528">
        <f t="shared" si="165"/>
        <v>3.2767582837002006E-2</v>
      </c>
      <c r="AH161" s="528">
        <f t="shared" si="165"/>
        <v>2.498189964631153E-2</v>
      </c>
      <c r="AI161" s="528">
        <f t="shared" si="165"/>
        <v>1.8369493381675678E-2</v>
      </c>
      <c r="AJ161" s="528">
        <f t="shared" si="165"/>
        <v>1.3027452901638382E-2</v>
      </c>
      <c r="AK161" s="528" t="str">
        <f t="shared" si="165"/>
        <v/>
      </c>
      <c r="AL161" s="528" t="str">
        <f t="shared" si="165"/>
        <v/>
      </c>
      <c r="AM161" s="528" t="str">
        <f t="shared" si="165"/>
        <v/>
      </c>
      <c r="AN161" s="528" t="str">
        <f t="shared" si="165"/>
        <v/>
      </c>
      <c r="AO161" s="528" t="str">
        <f t="shared" si="165"/>
        <v/>
      </c>
      <c r="AP161" s="528" t="str">
        <f t="shared" si="165"/>
        <v/>
      </c>
      <c r="AQ161" s="528" t="str">
        <f t="shared" si="165"/>
        <v/>
      </c>
      <c r="AR161" s="528" t="str">
        <f t="shared" si="165"/>
        <v/>
      </c>
      <c r="AS161" s="528" t="str">
        <f t="shared" si="165"/>
        <v/>
      </c>
      <c r="AT161" s="528" t="str">
        <f t="shared" si="165"/>
        <v/>
      </c>
      <c r="AU161" s="528" t="str">
        <f t="shared" si="165"/>
        <v/>
      </c>
      <c r="AV161" s="528" t="str">
        <f t="shared" si="165"/>
        <v/>
      </c>
      <c r="AW161" s="528" t="str">
        <f t="shared" si="165"/>
        <v/>
      </c>
      <c r="AX161" s="528" t="str">
        <f t="shared" si="165"/>
        <v/>
      </c>
      <c r="AY161" s="528" t="str">
        <f t="shared" si="165"/>
        <v/>
      </c>
      <c r="AZ161" s="528" t="str">
        <f t="shared" si="165"/>
        <v/>
      </c>
      <c r="BA161" s="528" t="str">
        <f t="shared" si="165"/>
        <v/>
      </c>
      <c r="BB161" s="528" t="str">
        <f t="shared" si="165"/>
        <v/>
      </c>
      <c r="BC161" s="528" t="str">
        <f t="shared" si="165"/>
        <v/>
      </c>
      <c r="BD161" s="528" t="str">
        <f t="shared" si="165"/>
        <v/>
      </c>
      <c r="BE161" s="528" t="str">
        <f t="shared" si="165"/>
        <v/>
      </c>
      <c r="BF161" s="528" t="str">
        <f t="shared" si="165"/>
        <v/>
      </c>
      <c r="BG161" s="528" t="str">
        <f t="shared" si="165"/>
        <v/>
      </c>
      <c r="BH161" s="528" t="str">
        <f t="shared" si="165"/>
        <v/>
      </c>
      <c r="BI161" s="528" t="str">
        <f t="shared" si="165"/>
        <v/>
      </c>
      <c r="BJ161" s="528" t="str">
        <f t="shared" si="165"/>
        <v/>
      </c>
      <c r="BK161" s="528" t="str">
        <f t="shared" si="165"/>
        <v/>
      </c>
      <c r="BL161" s="528" t="str">
        <f t="shared" si="165"/>
        <v/>
      </c>
      <c r="BM161" s="528" t="str">
        <f t="shared" si="165"/>
        <v/>
      </c>
    </row>
    <row r="162" spans="6:65" ht="15.75" customHeight="1" x14ac:dyDescent="0.25">
      <c r="F162" s="197"/>
      <c r="G162" s="197">
        <f t="shared" si="3"/>
        <v>0</v>
      </c>
      <c r="H162" s="197">
        <f t="shared" si="4"/>
        <v>224</v>
      </c>
      <c r="I162" s="523">
        <v>1</v>
      </c>
      <c r="J162" s="533">
        <f>'Monthly DCF'!$I$3</f>
        <v>46418</v>
      </c>
      <c r="K162" s="533">
        <f t="shared" si="5"/>
        <v>47057</v>
      </c>
      <c r="L162" s="536">
        <f t="shared" si="149"/>
        <v>22</v>
      </c>
      <c r="M162" s="20" t="s">
        <v>366</v>
      </c>
      <c r="N162" s="20">
        <f t="shared" si="6"/>
        <v>5.5</v>
      </c>
      <c r="O162" s="537">
        <v>4</v>
      </c>
      <c r="P162" s="528">
        <f t="shared" ref="P162:BM162" si="166">IFERROR(+IF(AND($M162="Flat",P$5&gt;=$J162,P$5&lt;=$K162),$I162/$L162,0)+IF(AND($M162="S-Curve",P$5&gt;=$J162,P$5&lt;=$K162),(_xlfn.NORM.DIST((YEAR(P$5)-YEAR($J162))*12+MONTH(P$5)-MONTH($J162)+1,$L162/2,$N162,TRUE)-_xlfn.NORM.DIST((YEAR(P$5)-YEAR($J162))*12+MONTH(P$5)-MONTH($J162),$L162/2,$N162,TRUE))/(1-2*_xlfn.NORM.DIST(0,$L162/2,$N162,TRUE))*$I162," "),"")</f>
        <v>1.2329015508235446E-2</v>
      </c>
      <c r="Q162" s="528">
        <f t="shared" si="166"/>
        <v>1.7143617603519585E-2</v>
      </c>
      <c r="R162" s="528">
        <f t="shared" si="166"/>
        <v>2.306529501016925E-2</v>
      </c>
      <c r="S162" s="528">
        <f t="shared" si="166"/>
        <v>3.0026040460283378E-2</v>
      </c>
      <c r="T162" s="528">
        <f t="shared" si="166"/>
        <v>3.7819837684581421E-2</v>
      </c>
      <c r="U162" s="528">
        <f t="shared" si="166"/>
        <v>4.609181702035655E-2</v>
      </c>
      <c r="V162" s="528">
        <f t="shared" si="166"/>
        <v>5.4351382668695443E-2</v>
      </c>
      <c r="W162" s="528">
        <f t="shared" si="166"/>
        <v>6.2012606382166338E-2</v>
      </c>
      <c r="X162" s="528">
        <f t="shared" si="166"/>
        <v>6.8459230182777026E-2</v>
      </c>
      <c r="Y162" s="528">
        <f t="shared" si="166"/>
        <v>7.3125136228088264E-2</v>
      </c>
      <c r="Z162" s="528">
        <f t="shared" si="166"/>
        <v>7.5576021251127334E-2</v>
      </c>
      <c r="AA162" s="528">
        <f t="shared" si="166"/>
        <v>7.5576021251127334E-2</v>
      </c>
      <c r="AB162" s="528">
        <f t="shared" si="166"/>
        <v>7.3125136228088264E-2</v>
      </c>
      <c r="AC162" s="528">
        <f t="shared" si="166"/>
        <v>6.8459230182777026E-2</v>
      </c>
      <c r="AD162" s="528">
        <f t="shared" si="166"/>
        <v>6.201260638216631E-2</v>
      </c>
      <c r="AE162" s="528">
        <f t="shared" si="166"/>
        <v>5.4351382668695443E-2</v>
      </c>
      <c r="AF162" s="528">
        <f t="shared" si="166"/>
        <v>4.6091817020356605E-2</v>
      </c>
      <c r="AG162" s="528">
        <f t="shared" si="166"/>
        <v>3.7819837684581435E-2</v>
      </c>
      <c r="AH162" s="528">
        <f t="shared" si="166"/>
        <v>3.002604046028335E-2</v>
      </c>
      <c r="AI162" s="528">
        <f t="shared" si="166"/>
        <v>2.3065295010169178E-2</v>
      </c>
      <c r="AJ162" s="528">
        <f t="shared" si="166"/>
        <v>1.7143617603519692E-2</v>
      </c>
      <c r="AK162" s="528">
        <f t="shared" si="166"/>
        <v>1.2329015508235376E-2</v>
      </c>
      <c r="AL162" s="528" t="str">
        <f t="shared" si="166"/>
        <v/>
      </c>
      <c r="AM162" s="528" t="str">
        <f t="shared" si="166"/>
        <v/>
      </c>
      <c r="AN162" s="528" t="str">
        <f t="shared" si="166"/>
        <v/>
      </c>
      <c r="AO162" s="528" t="str">
        <f t="shared" si="166"/>
        <v/>
      </c>
      <c r="AP162" s="528" t="str">
        <f t="shared" si="166"/>
        <v/>
      </c>
      <c r="AQ162" s="528" t="str">
        <f t="shared" si="166"/>
        <v/>
      </c>
      <c r="AR162" s="528" t="str">
        <f t="shared" si="166"/>
        <v/>
      </c>
      <c r="AS162" s="528" t="str">
        <f t="shared" si="166"/>
        <v/>
      </c>
      <c r="AT162" s="528" t="str">
        <f t="shared" si="166"/>
        <v/>
      </c>
      <c r="AU162" s="528" t="str">
        <f t="shared" si="166"/>
        <v/>
      </c>
      <c r="AV162" s="528" t="str">
        <f t="shared" si="166"/>
        <v/>
      </c>
      <c r="AW162" s="528" t="str">
        <f t="shared" si="166"/>
        <v/>
      </c>
      <c r="AX162" s="528" t="str">
        <f t="shared" si="166"/>
        <v/>
      </c>
      <c r="AY162" s="528" t="str">
        <f t="shared" si="166"/>
        <v/>
      </c>
      <c r="AZ162" s="528" t="str">
        <f t="shared" si="166"/>
        <v/>
      </c>
      <c r="BA162" s="528" t="str">
        <f t="shared" si="166"/>
        <v/>
      </c>
      <c r="BB162" s="528" t="str">
        <f t="shared" si="166"/>
        <v/>
      </c>
      <c r="BC162" s="528" t="str">
        <f t="shared" si="166"/>
        <v/>
      </c>
      <c r="BD162" s="528" t="str">
        <f t="shared" si="166"/>
        <v/>
      </c>
      <c r="BE162" s="528" t="str">
        <f t="shared" si="166"/>
        <v/>
      </c>
      <c r="BF162" s="528" t="str">
        <f t="shared" si="166"/>
        <v/>
      </c>
      <c r="BG162" s="528" t="str">
        <f t="shared" si="166"/>
        <v/>
      </c>
      <c r="BH162" s="528" t="str">
        <f t="shared" si="166"/>
        <v/>
      </c>
      <c r="BI162" s="528" t="str">
        <f t="shared" si="166"/>
        <v/>
      </c>
      <c r="BJ162" s="528" t="str">
        <f t="shared" si="166"/>
        <v/>
      </c>
      <c r="BK162" s="528" t="str">
        <f t="shared" si="166"/>
        <v/>
      </c>
      <c r="BL162" s="528" t="str">
        <f t="shared" si="166"/>
        <v/>
      </c>
      <c r="BM162" s="528" t="str">
        <f t="shared" si="166"/>
        <v/>
      </c>
    </row>
    <row r="163" spans="6:65" ht="15.75" customHeight="1" x14ac:dyDescent="0.25">
      <c r="F163" s="197"/>
      <c r="G163" s="197">
        <f t="shared" si="3"/>
        <v>0</v>
      </c>
      <c r="H163" s="197">
        <f t="shared" si="4"/>
        <v>234</v>
      </c>
      <c r="I163" s="523">
        <v>1</v>
      </c>
      <c r="J163" s="533">
        <f>'Monthly DCF'!$I$3</f>
        <v>46418</v>
      </c>
      <c r="K163" s="533">
        <f t="shared" si="5"/>
        <v>47087</v>
      </c>
      <c r="L163" s="536">
        <f t="shared" si="149"/>
        <v>23</v>
      </c>
      <c r="M163" s="20" t="s">
        <v>366</v>
      </c>
      <c r="N163" s="20">
        <f t="shared" si="6"/>
        <v>5.75</v>
      </c>
      <c r="O163" s="537">
        <v>4</v>
      </c>
      <c r="P163" s="528">
        <f t="shared" ref="P163:BM163" si="167">IFERROR(+IF(AND($M163="Flat",P$5&gt;=$J163,P$5&lt;=$K163),$I163/$L163,0)+IF(AND($M163="S-Curve",P$5&gt;=$J163,P$5&lt;=$K163),(_xlfn.NORM.DIST((YEAR(P$5)-YEAR($J163))*12+MONTH(P$5)-MONTH($J163)+1,$L163/2,$N163,TRUE)-_xlfn.NORM.DIST((YEAR(P$5)-YEAR($J163))*12+MONTH(P$5)-MONTH($J163),$L163/2,$N163,TRUE))/(1-2*_xlfn.NORM.DIST(0,$L163/2,$N163,TRUE))*$I163," "),"")</f>
        <v>1.1700841753736048E-2</v>
      </c>
      <c r="Q163" s="528">
        <f t="shared" si="167"/>
        <v>1.6061784515594708E-2</v>
      </c>
      <c r="R163" s="528">
        <f t="shared" si="167"/>
        <v>2.139281065826712E-2</v>
      </c>
      <c r="S163" s="528">
        <f t="shared" si="167"/>
        <v>2.7646444800354015E-2</v>
      </c>
      <c r="T163" s="528">
        <f t="shared" si="167"/>
        <v>3.4666352735781794E-2</v>
      </c>
      <c r="U163" s="528">
        <f t="shared" si="167"/>
        <v>4.2176880185959949E-2</v>
      </c>
      <c r="V163" s="528">
        <f t="shared" si="167"/>
        <v>4.9789551160687694E-2</v>
      </c>
      <c r="W163" s="528">
        <f t="shared" si="167"/>
        <v>5.7029484540532881E-2</v>
      </c>
      <c r="X163" s="528">
        <f t="shared" si="167"/>
        <v>6.3380866240120334E-2</v>
      </c>
      <c r="Y163" s="528">
        <f t="shared" si="167"/>
        <v>6.8346203374063164E-2</v>
      </c>
      <c r="Z163" s="528">
        <f t="shared" si="167"/>
        <v>7.1510221947055211E-2</v>
      </c>
      <c r="AA163" s="528">
        <f t="shared" si="167"/>
        <v>7.2597116175694157E-2</v>
      </c>
      <c r="AB163" s="528">
        <f t="shared" si="167"/>
        <v>7.1510221947055266E-2</v>
      </c>
      <c r="AC163" s="528">
        <f t="shared" si="167"/>
        <v>6.8346203374063164E-2</v>
      </c>
      <c r="AD163" s="528">
        <f t="shared" si="167"/>
        <v>6.3380866240120334E-2</v>
      </c>
      <c r="AE163" s="528">
        <f t="shared" si="167"/>
        <v>5.7029484540532818E-2</v>
      </c>
      <c r="AF163" s="528">
        <f t="shared" si="167"/>
        <v>4.9789551160687728E-2</v>
      </c>
      <c r="AG163" s="528">
        <f t="shared" si="167"/>
        <v>4.2176880185959949E-2</v>
      </c>
      <c r="AH163" s="528">
        <f t="shared" si="167"/>
        <v>3.466635273578178E-2</v>
      </c>
      <c r="AI163" s="528">
        <f t="shared" si="167"/>
        <v>2.7646444800354015E-2</v>
      </c>
      <c r="AJ163" s="528">
        <f t="shared" si="167"/>
        <v>2.1392810658267133E-2</v>
      </c>
      <c r="AK163" s="528">
        <f t="shared" si="167"/>
        <v>1.6061784515594795E-2</v>
      </c>
      <c r="AL163" s="528">
        <f t="shared" si="167"/>
        <v>1.1700841753735971E-2</v>
      </c>
      <c r="AM163" s="528" t="str">
        <f t="shared" si="167"/>
        <v/>
      </c>
      <c r="AN163" s="528" t="str">
        <f t="shared" si="167"/>
        <v/>
      </c>
      <c r="AO163" s="528" t="str">
        <f t="shared" si="167"/>
        <v/>
      </c>
      <c r="AP163" s="528" t="str">
        <f t="shared" si="167"/>
        <v/>
      </c>
      <c r="AQ163" s="528" t="str">
        <f t="shared" si="167"/>
        <v/>
      </c>
      <c r="AR163" s="528" t="str">
        <f t="shared" si="167"/>
        <v/>
      </c>
      <c r="AS163" s="528" t="str">
        <f t="shared" si="167"/>
        <v/>
      </c>
      <c r="AT163" s="528" t="str">
        <f t="shared" si="167"/>
        <v/>
      </c>
      <c r="AU163" s="528" t="str">
        <f t="shared" si="167"/>
        <v/>
      </c>
      <c r="AV163" s="528" t="str">
        <f t="shared" si="167"/>
        <v/>
      </c>
      <c r="AW163" s="528" t="str">
        <f t="shared" si="167"/>
        <v/>
      </c>
      <c r="AX163" s="528" t="str">
        <f t="shared" si="167"/>
        <v/>
      </c>
      <c r="AY163" s="528" t="str">
        <f t="shared" si="167"/>
        <v/>
      </c>
      <c r="AZ163" s="528" t="str">
        <f t="shared" si="167"/>
        <v/>
      </c>
      <c r="BA163" s="528" t="str">
        <f t="shared" si="167"/>
        <v/>
      </c>
      <c r="BB163" s="528" t="str">
        <f t="shared" si="167"/>
        <v/>
      </c>
      <c r="BC163" s="528" t="str">
        <f t="shared" si="167"/>
        <v/>
      </c>
      <c r="BD163" s="528" t="str">
        <f t="shared" si="167"/>
        <v/>
      </c>
      <c r="BE163" s="528" t="str">
        <f t="shared" si="167"/>
        <v/>
      </c>
      <c r="BF163" s="528" t="str">
        <f t="shared" si="167"/>
        <v/>
      </c>
      <c r="BG163" s="528" t="str">
        <f t="shared" si="167"/>
        <v/>
      </c>
      <c r="BH163" s="528" t="str">
        <f t="shared" si="167"/>
        <v/>
      </c>
      <c r="BI163" s="528" t="str">
        <f t="shared" si="167"/>
        <v/>
      </c>
      <c r="BJ163" s="528" t="str">
        <f t="shared" si="167"/>
        <v/>
      </c>
      <c r="BK163" s="528" t="str">
        <f t="shared" si="167"/>
        <v/>
      </c>
      <c r="BL163" s="528" t="str">
        <f t="shared" si="167"/>
        <v/>
      </c>
      <c r="BM163" s="528" t="str">
        <f t="shared" si="167"/>
        <v/>
      </c>
    </row>
    <row r="164" spans="6:65" ht="15.75" customHeight="1" x14ac:dyDescent="0.25">
      <c r="F164" s="197"/>
      <c r="G164" s="197">
        <f t="shared" si="3"/>
        <v>0</v>
      </c>
      <c r="H164" s="197">
        <f t="shared" si="4"/>
        <v>244</v>
      </c>
      <c r="I164" s="523">
        <v>1</v>
      </c>
      <c r="J164" s="533">
        <f>'Monthly DCF'!$I$3</f>
        <v>46418</v>
      </c>
      <c r="K164" s="533">
        <f t="shared" si="5"/>
        <v>47118</v>
      </c>
      <c r="L164" s="536">
        <f t="shared" si="149"/>
        <v>24</v>
      </c>
      <c r="M164" s="20" t="s">
        <v>366</v>
      </c>
      <c r="N164" s="20">
        <f t="shared" si="6"/>
        <v>6</v>
      </c>
      <c r="O164" s="537">
        <v>4</v>
      </c>
      <c r="P164" s="528">
        <f t="shared" ref="P164:BM164" si="168">IFERROR(+IF(AND($M164="Flat",P$5&gt;=$J164,P$5&lt;=$K164),$I164/$L164,0)+IF(AND($M164="S-Curve",P$5&gt;=$J164,P$5&lt;=$K164),(_xlfn.NORM.DIST((YEAR(P$5)-YEAR($J164))*12+MONTH(P$5)-MONTH($J164)+1,$L164/2,$N164,TRUE)-_xlfn.NORM.DIST((YEAR(P$5)-YEAR($J164))*12+MONTH(P$5)-MONTH($J164),$L164/2,$N164,TRUE))/(1-2*_xlfn.NORM.DIST(0,$L164/2,$N164,TRUE))*$I164," "),"")</f>
        <v>1.1132926741306321E-2</v>
      </c>
      <c r="Q164" s="528">
        <f t="shared" si="168"/>
        <v>1.5100941511871059E-2</v>
      </c>
      <c r="R164" s="528">
        <f t="shared" si="168"/>
        <v>1.9923367473805634E-2</v>
      </c>
      <c r="S164" s="528">
        <f t="shared" si="168"/>
        <v>2.5567339134769523E-2</v>
      </c>
      <c r="T164" s="528">
        <f t="shared" si="168"/>
        <v>3.1913350728476078E-2</v>
      </c>
      <c r="U164" s="528">
        <f t="shared" si="168"/>
        <v>3.8745688404318294E-2</v>
      </c>
      <c r="V164" s="528">
        <f t="shared" si="168"/>
        <v>4.5754991206664847E-2</v>
      </c>
      <c r="W164" s="528">
        <f t="shared" si="168"/>
        <v>5.2555443114164421E-2</v>
      </c>
      <c r="X164" s="528">
        <f t="shared" si="168"/>
        <v>5.8716623021652134E-2</v>
      </c>
      <c r="Y164" s="528">
        <f t="shared" si="168"/>
        <v>6.3807038548163275E-2</v>
      </c>
      <c r="Z164" s="528">
        <f t="shared" si="168"/>
        <v>6.7443525411664207E-2</v>
      </c>
      <c r="AA164" s="528">
        <f t="shared" si="168"/>
        <v>6.9338764703144221E-2</v>
      </c>
      <c r="AB164" s="528">
        <f t="shared" si="168"/>
        <v>6.9338764703144221E-2</v>
      </c>
      <c r="AC164" s="528">
        <f t="shared" si="168"/>
        <v>6.7443525411664262E-2</v>
      </c>
      <c r="AD164" s="528">
        <f t="shared" si="168"/>
        <v>6.380703854816322E-2</v>
      </c>
      <c r="AE164" s="528">
        <f t="shared" si="168"/>
        <v>5.8716623021652134E-2</v>
      </c>
      <c r="AF164" s="528">
        <f t="shared" si="168"/>
        <v>5.2555443114164421E-2</v>
      </c>
      <c r="AG164" s="528">
        <f t="shared" si="168"/>
        <v>4.5754991206664875E-2</v>
      </c>
      <c r="AH164" s="528">
        <f t="shared" si="168"/>
        <v>3.8745688404318239E-2</v>
      </c>
      <c r="AI164" s="528">
        <f t="shared" si="168"/>
        <v>3.1913350728476106E-2</v>
      </c>
      <c r="AJ164" s="528">
        <f t="shared" si="168"/>
        <v>2.5567339134769496E-2</v>
      </c>
      <c r="AK164" s="528">
        <f t="shared" si="168"/>
        <v>1.9923367473805673E-2</v>
      </c>
      <c r="AL164" s="528">
        <f t="shared" si="168"/>
        <v>1.5100941511871052E-2</v>
      </c>
      <c r="AM164" s="528">
        <f t="shared" si="168"/>
        <v>1.1132926741306304E-2</v>
      </c>
      <c r="AN164" s="528" t="str">
        <f t="shared" si="168"/>
        <v/>
      </c>
      <c r="AO164" s="528" t="str">
        <f t="shared" si="168"/>
        <v/>
      </c>
      <c r="AP164" s="528" t="str">
        <f t="shared" si="168"/>
        <v/>
      </c>
      <c r="AQ164" s="528" t="str">
        <f t="shared" si="168"/>
        <v/>
      </c>
      <c r="AR164" s="528" t="str">
        <f t="shared" si="168"/>
        <v/>
      </c>
      <c r="AS164" s="528" t="str">
        <f t="shared" si="168"/>
        <v/>
      </c>
      <c r="AT164" s="528" t="str">
        <f t="shared" si="168"/>
        <v/>
      </c>
      <c r="AU164" s="528" t="str">
        <f t="shared" si="168"/>
        <v/>
      </c>
      <c r="AV164" s="528" t="str">
        <f t="shared" si="168"/>
        <v/>
      </c>
      <c r="AW164" s="528" t="str">
        <f t="shared" si="168"/>
        <v/>
      </c>
      <c r="AX164" s="528" t="str">
        <f t="shared" si="168"/>
        <v/>
      </c>
      <c r="AY164" s="528" t="str">
        <f t="shared" si="168"/>
        <v/>
      </c>
      <c r="AZ164" s="528" t="str">
        <f t="shared" si="168"/>
        <v/>
      </c>
      <c r="BA164" s="528" t="str">
        <f t="shared" si="168"/>
        <v/>
      </c>
      <c r="BB164" s="528" t="str">
        <f t="shared" si="168"/>
        <v/>
      </c>
      <c r="BC164" s="528" t="str">
        <f t="shared" si="168"/>
        <v/>
      </c>
      <c r="BD164" s="528" t="str">
        <f t="shared" si="168"/>
        <v/>
      </c>
      <c r="BE164" s="528" t="str">
        <f t="shared" si="168"/>
        <v/>
      </c>
      <c r="BF164" s="528" t="str">
        <f t="shared" si="168"/>
        <v/>
      </c>
      <c r="BG164" s="528" t="str">
        <f t="shared" si="168"/>
        <v/>
      </c>
      <c r="BH164" s="528" t="str">
        <f t="shared" si="168"/>
        <v/>
      </c>
      <c r="BI164" s="528" t="str">
        <f t="shared" si="168"/>
        <v/>
      </c>
      <c r="BJ164" s="528" t="str">
        <f t="shared" si="168"/>
        <v/>
      </c>
      <c r="BK164" s="528" t="str">
        <f t="shared" si="168"/>
        <v/>
      </c>
      <c r="BL164" s="528" t="str">
        <f t="shared" si="168"/>
        <v/>
      </c>
      <c r="BM164" s="528" t="str">
        <f t="shared" si="168"/>
        <v/>
      </c>
    </row>
    <row r="165" spans="6:65" ht="15.75" customHeight="1" x14ac:dyDescent="0.25">
      <c r="F165" s="197"/>
      <c r="G165" s="197">
        <f t="shared" si="3"/>
        <v>0</v>
      </c>
      <c r="H165" s="197">
        <f t="shared" si="4"/>
        <v>254</v>
      </c>
      <c r="I165" s="523">
        <v>1</v>
      </c>
      <c r="J165" s="533">
        <f>'Monthly DCF'!$I$3</f>
        <v>46418</v>
      </c>
      <c r="K165" s="533">
        <f t="shared" si="5"/>
        <v>47149</v>
      </c>
      <c r="L165" s="536">
        <f t="shared" si="149"/>
        <v>25</v>
      </c>
      <c r="M165" s="20" t="s">
        <v>366</v>
      </c>
      <c r="N165" s="20">
        <f t="shared" si="6"/>
        <v>6.25</v>
      </c>
      <c r="O165" s="537">
        <v>4</v>
      </c>
      <c r="P165" s="528">
        <f t="shared" ref="P165:BM165" si="169">IFERROR(+IF(AND($M165="Flat",P$5&gt;=$J165,P$5&lt;=$K165),$I165/$L165,0)+IF(AND($M165="S-Curve",P$5&gt;=$J165,P$5&lt;=$K165),(_xlfn.NORM.DIST((YEAR(P$5)-YEAR($J165))*12+MONTH(P$5)-MONTH($J165)+1,$L165/2,$N165,TRUE)-_xlfn.NORM.DIST((YEAR(P$5)-YEAR($J165))*12+MONTH(P$5)-MONTH($J165),$L165/2,$N165,TRUE))/(1-2*_xlfn.NORM.DIST(0,$L165/2,$N165,TRUE))*$I165," "),"")</f>
        <v>1.0617066016542435E-2</v>
      </c>
      <c r="Q165" s="528">
        <f t="shared" si="169"/>
        <v>1.4242580369954176E-2</v>
      </c>
      <c r="R165" s="528">
        <f t="shared" si="169"/>
        <v>1.8624237684739881E-2</v>
      </c>
      <c r="S165" s="528">
        <f t="shared" si="169"/>
        <v>2.3739633727555911E-2</v>
      </c>
      <c r="T165" s="528">
        <f t="shared" si="169"/>
        <v>2.9496821433972809E-2</v>
      </c>
      <c r="U165" s="528">
        <f t="shared" si="169"/>
        <v>3.5725814077721706E-2</v>
      </c>
      <c r="V165" s="528">
        <f t="shared" si="169"/>
        <v>4.217885340657572E-2</v>
      </c>
      <c r="W165" s="528">
        <f t="shared" si="169"/>
        <v>4.8541493779426403E-2</v>
      </c>
      <c r="X165" s="528">
        <f t="shared" si="169"/>
        <v>5.4454934981911902E-2</v>
      </c>
      <c r="Y165" s="528">
        <f t="shared" si="169"/>
        <v>5.9547988742950336E-2</v>
      </c>
      <c r="Z165" s="528">
        <f t="shared" si="169"/>
        <v>6.3474999123467254E-2</v>
      </c>
      <c r="AA165" s="528">
        <f t="shared" si="169"/>
        <v>6.5954444304815243E-2</v>
      </c>
      <c r="AB165" s="528">
        <f t="shared" si="169"/>
        <v>6.6802264700732542E-2</v>
      </c>
      <c r="AC165" s="528">
        <f t="shared" si="169"/>
        <v>6.5954444304815132E-2</v>
      </c>
      <c r="AD165" s="528">
        <f t="shared" si="169"/>
        <v>6.3474999123467366E-2</v>
      </c>
      <c r="AE165" s="528">
        <f t="shared" si="169"/>
        <v>5.9547988742950274E-2</v>
      </c>
      <c r="AF165" s="528">
        <f t="shared" si="169"/>
        <v>5.4454934981911902E-2</v>
      </c>
      <c r="AG165" s="528">
        <f t="shared" si="169"/>
        <v>4.8541493779426376E-2</v>
      </c>
      <c r="AH165" s="528">
        <f t="shared" si="169"/>
        <v>4.217885340657581E-2</v>
      </c>
      <c r="AI165" s="528">
        <f t="shared" si="169"/>
        <v>3.5725814077721706E-2</v>
      </c>
      <c r="AJ165" s="528">
        <f t="shared" si="169"/>
        <v>2.9496821433972704E-2</v>
      </c>
      <c r="AK165" s="528">
        <f t="shared" si="169"/>
        <v>2.373963372755597E-2</v>
      </c>
      <c r="AL165" s="528">
        <f t="shared" si="169"/>
        <v>1.8624237684739843E-2</v>
      </c>
      <c r="AM165" s="528">
        <f t="shared" si="169"/>
        <v>1.4242580369954233E-2</v>
      </c>
      <c r="AN165" s="528">
        <f t="shared" si="169"/>
        <v>1.0617066016542382E-2</v>
      </c>
      <c r="AO165" s="528" t="str">
        <f t="shared" si="169"/>
        <v/>
      </c>
      <c r="AP165" s="528" t="str">
        <f t="shared" si="169"/>
        <v/>
      </c>
      <c r="AQ165" s="528" t="str">
        <f t="shared" si="169"/>
        <v/>
      </c>
      <c r="AR165" s="528" t="str">
        <f t="shared" si="169"/>
        <v/>
      </c>
      <c r="AS165" s="528" t="str">
        <f t="shared" si="169"/>
        <v/>
      </c>
      <c r="AT165" s="528" t="str">
        <f t="shared" si="169"/>
        <v/>
      </c>
      <c r="AU165" s="528" t="str">
        <f t="shared" si="169"/>
        <v/>
      </c>
      <c r="AV165" s="528" t="str">
        <f t="shared" si="169"/>
        <v/>
      </c>
      <c r="AW165" s="528" t="str">
        <f t="shared" si="169"/>
        <v/>
      </c>
      <c r="AX165" s="528" t="str">
        <f t="shared" si="169"/>
        <v/>
      </c>
      <c r="AY165" s="528" t="str">
        <f t="shared" si="169"/>
        <v/>
      </c>
      <c r="AZ165" s="528" t="str">
        <f t="shared" si="169"/>
        <v/>
      </c>
      <c r="BA165" s="528" t="str">
        <f t="shared" si="169"/>
        <v/>
      </c>
      <c r="BB165" s="528" t="str">
        <f t="shared" si="169"/>
        <v/>
      </c>
      <c r="BC165" s="528" t="str">
        <f t="shared" si="169"/>
        <v/>
      </c>
      <c r="BD165" s="528" t="str">
        <f t="shared" si="169"/>
        <v/>
      </c>
      <c r="BE165" s="528" t="str">
        <f t="shared" si="169"/>
        <v/>
      </c>
      <c r="BF165" s="528" t="str">
        <f t="shared" si="169"/>
        <v/>
      </c>
      <c r="BG165" s="528" t="str">
        <f t="shared" si="169"/>
        <v/>
      </c>
      <c r="BH165" s="528" t="str">
        <f t="shared" si="169"/>
        <v/>
      </c>
      <c r="BI165" s="528" t="str">
        <f t="shared" si="169"/>
        <v/>
      </c>
      <c r="BJ165" s="528" t="str">
        <f t="shared" si="169"/>
        <v/>
      </c>
      <c r="BK165" s="528" t="str">
        <f t="shared" si="169"/>
        <v/>
      </c>
      <c r="BL165" s="528" t="str">
        <f t="shared" si="169"/>
        <v/>
      </c>
      <c r="BM165" s="528" t="str">
        <f t="shared" si="169"/>
        <v/>
      </c>
    </row>
    <row r="166" spans="6:65" ht="15.75" customHeight="1" x14ac:dyDescent="0.25">
      <c r="F166" s="197"/>
      <c r="G166" s="197">
        <f t="shared" si="3"/>
        <v>0</v>
      </c>
      <c r="H166" s="197">
        <f t="shared" si="4"/>
        <v>264</v>
      </c>
      <c r="I166" s="523">
        <v>1</v>
      </c>
      <c r="J166" s="533">
        <f>'Monthly DCF'!$I$3</f>
        <v>46418</v>
      </c>
      <c r="K166" s="533">
        <f t="shared" si="5"/>
        <v>47177</v>
      </c>
      <c r="L166" s="536">
        <f t="shared" si="149"/>
        <v>26</v>
      </c>
      <c r="M166" s="20" t="s">
        <v>366</v>
      </c>
      <c r="N166" s="20">
        <f t="shared" si="6"/>
        <v>6.5</v>
      </c>
      <c r="O166" s="537">
        <v>4</v>
      </c>
      <c r="P166" s="528">
        <f t="shared" ref="P166:BM166" si="170">IFERROR(+IF(AND($M166="Flat",P$5&gt;=$J166,P$5&lt;=$K166),$I166/$L166,0)+IF(AND($M166="S-Curve",P$5&gt;=$J166,P$5&lt;=$K166),(_xlfn.NORM.DIST((YEAR(P$5)-YEAR($J166))*12+MONTH(P$5)-MONTH($J166)+1,$L166/2,$N166,TRUE)-_xlfn.NORM.DIST((YEAR(P$5)-YEAR($J166))*12+MONTH(P$5)-MONTH($J166),$L166/2,$N166,TRUE))/(1-2*_xlfn.NORM.DIST(0,$L166/2,$N166,TRUE))*$I166," "),"")</f>
        <v>1.0146470266544694E-2</v>
      </c>
      <c r="Q166" s="528">
        <f t="shared" si="170"/>
        <v>1.3471691331490405E-2</v>
      </c>
      <c r="R166" s="528">
        <f t="shared" si="170"/>
        <v>1.7469090084487798E-2</v>
      </c>
      <c r="S166" s="528">
        <f t="shared" si="170"/>
        <v>2.2123787683031772E-2</v>
      </c>
      <c r="T166" s="528">
        <f t="shared" si="170"/>
        <v>2.7364639276701359E-2</v>
      </c>
      <c r="U166" s="528">
        <f t="shared" si="170"/>
        <v>3.3056816834954504E-2</v>
      </c>
      <c r="V166" s="528">
        <f t="shared" si="170"/>
        <v>3.9000789841823556E-2</v>
      </c>
      <c r="W166" s="528">
        <f t="shared" si="170"/>
        <v>4.4939356422133807E-2</v>
      </c>
      <c r="X166" s="528">
        <f t="shared" si="170"/>
        <v>5.0573309736002089E-2</v>
      </c>
      <c r="Y166" s="528">
        <f t="shared" si="170"/>
        <v>5.5584920947304842E-2</v>
      </c>
      <c r="Z166" s="528">
        <f t="shared" si="170"/>
        <v>5.966693098389244E-2</v>
      </c>
      <c r="AA166" s="528">
        <f t="shared" si="170"/>
        <v>6.2553484018176467E-2</v>
      </c>
      <c r="AB166" s="528">
        <f t="shared" si="170"/>
        <v>6.4048712573456276E-2</v>
      </c>
      <c r="AC166" s="528">
        <f t="shared" si="170"/>
        <v>6.4048712573456221E-2</v>
      </c>
      <c r="AD166" s="528">
        <f t="shared" si="170"/>
        <v>6.2553484018176522E-2</v>
      </c>
      <c r="AE166" s="528">
        <f t="shared" si="170"/>
        <v>5.966693098389244E-2</v>
      </c>
      <c r="AF166" s="528">
        <f t="shared" si="170"/>
        <v>5.5584920947304842E-2</v>
      </c>
      <c r="AG166" s="528">
        <f t="shared" si="170"/>
        <v>5.0573309736002062E-2</v>
      </c>
      <c r="AH166" s="528">
        <f t="shared" si="170"/>
        <v>4.4939356422133779E-2</v>
      </c>
      <c r="AI166" s="528">
        <f t="shared" si="170"/>
        <v>3.9000789841823619E-2</v>
      </c>
      <c r="AJ166" s="528">
        <f t="shared" si="170"/>
        <v>3.3056816834954476E-2</v>
      </c>
      <c r="AK166" s="528">
        <f t="shared" si="170"/>
        <v>2.7364639276701377E-2</v>
      </c>
      <c r="AL166" s="528">
        <f t="shared" si="170"/>
        <v>2.2123787683031772E-2</v>
      </c>
      <c r="AM166" s="528">
        <f t="shared" si="170"/>
        <v>1.7469090084487847E-2</v>
      </c>
      <c r="AN166" s="528">
        <f t="shared" si="170"/>
        <v>1.3471691331490392E-2</v>
      </c>
      <c r="AO166" s="528">
        <f t="shared" si="170"/>
        <v>1.0146470266544654E-2</v>
      </c>
      <c r="AP166" s="528" t="str">
        <f t="shared" si="170"/>
        <v/>
      </c>
      <c r="AQ166" s="528" t="str">
        <f t="shared" si="170"/>
        <v/>
      </c>
      <c r="AR166" s="528" t="str">
        <f t="shared" si="170"/>
        <v/>
      </c>
      <c r="AS166" s="528" t="str">
        <f t="shared" si="170"/>
        <v/>
      </c>
      <c r="AT166" s="528" t="str">
        <f t="shared" si="170"/>
        <v/>
      </c>
      <c r="AU166" s="528" t="str">
        <f t="shared" si="170"/>
        <v/>
      </c>
      <c r="AV166" s="528" t="str">
        <f t="shared" si="170"/>
        <v/>
      </c>
      <c r="AW166" s="528" t="str">
        <f t="shared" si="170"/>
        <v/>
      </c>
      <c r="AX166" s="528" t="str">
        <f t="shared" si="170"/>
        <v/>
      </c>
      <c r="AY166" s="528" t="str">
        <f t="shared" si="170"/>
        <v/>
      </c>
      <c r="AZ166" s="528" t="str">
        <f t="shared" si="170"/>
        <v/>
      </c>
      <c r="BA166" s="528" t="str">
        <f t="shared" si="170"/>
        <v/>
      </c>
      <c r="BB166" s="528" t="str">
        <f t="shared" si="170"/>
        <v/>
      </c>
      <c r="BC166" s="528" t="str">
        <f t="shared" si="170"/>
        <v/>
      </c>
      <c r="BD166" s="528" t="str">
        <f t="shared" si="170"/>
        <v/>
      </c>
      <c r="BE166" s="528" t="str">
        <f t="shared" si="170"/>
        <v/>
      </c>
      <c r="BF166" s="528" t="str">
        <f t="shared" si="170"/>
        <v/>
      </c>
      <c r="BG166" s="528" t="str">
        <f t="shared" si="170"/>
        <v/>
      </c>
      <c r="BH166" s="528" t="str">
        <f t="shared" si="170"/>
        <v/>
      </c>
      <c r="BI166" s="528" t="str">
        <f t="shared" si="170"/>
        <v/>
      </c>
      <c r="BJ166" s="528" t="str">
        <f t="shared" si="170"/>
        <v/>
      </c>
      <c r="BK166" s="528" t="str">
        <f t="shared" si="170"/>
        <v/>
      </c>
      <c r="BL166" s="528" t="str">
        <f t="shared" si="170"/>
        <v/>
      </c>
      <c r="BM166" s="528" t="str">
        <f t="shared" si="170"/>
        <v/>
      </c>
    </row>
    <row r="167" spans="6:65" ht="15.75" customHeight="1" x14ac:dyDescent="0.25">
      <c r="F167" s="197"/>
      <c r="G167" s="197">
        <f t="shared" si="3"/>
        <v>0</v>
      </c>
      <c r="H167" s="197">
        <f t="shared" si="4"/>
        <v>274</v>
      </c>
      <c r="I167" s="523">
        <v>1</v>
      </c>
      <c r="J167" s="533">
        <f>'Monthly DCF'!$I$3</f>
        <v>46418</v>
      </c>
      <c r="K167" s="533">
        <f t="shared" si="5"/>
        <v>47208</v>
      </c>
      <c r="L167" s="536">
        <f t="shared" si="149"/>
        <v>27</v>
      </c>
      <c r="M167" s="20" t="s">
        <v>366</v>
      </c>
      <c r="N167" s="20">
        <f t="shared" si="6"/>
        <v>6.75</v>
      </c>
      <c r="O167" s="537">
        <v>4</v>
      </c>
      <c r="P167" s="528">
        <f t="shared" ref="P167:BM167" si="171">IFERROR(+IF(AND($M167="Flat",P$5&gt;=$J167,P$5&lt;=$K167),$I167/$L167,0)+IF(AND($M167="S-Curve",P$5&gt;=$J167,P$5&lt;=$K167),(_xlfn.NORM.DIST((YEAR(P$5)-YEAR($J167))*12+MONTH(P$5)-MONTH($J167)+1,$L167/2,$N167,TRUE)-_xlfn.NORM.DIST((YEAR(P$5)-YEAR($J167))*12+MONTH(P$5)-MONTH($J167),$L167/2,$N167,TRUE))/(1-2*_xlfn.NORM.DIST(0,$L167/2,$N167,TRUE))*$I167," "),"")</f>
        <v>9.7154744436046426E-3</v>
      </c>
      <c r="Q167" s="528">
        <f t="shared" si="171"/>
        <v>1.2775989064499324E-2</v>
      </c>
      <c r="R167" s="528">
        <f t="shared" si="171"/>
        <v>1.6436546368850131E-2</v>
      </c>
      <c r="S167" s="528">
        <f t="shared" si="171"/>
        <v>2.0687696529519732E-2</v>
      </c>
      <c r="T167" s="528">
        <f t="shared" si="171"/>
        <v>2.5474123090409893E-2</v>
      </c>
      <c r="U167" s="528">
        <f t="shared" si="171"/>
        <v>3.0688233895191236E-2</v>
      </c>
      <c r="V167" s="528">
        <f t="shared" si="171"/>
        <v>3.6168467006442342E-2</v>
      </c>
      <c r="W167" s="528">
        <f t="shared" si="171"/>
        <v>4.1703630843329995E-2</v>
      </c>
      <c r="X167" s="528">
        <f t="shared" si="171"/>
        <v>4.7043887073528891E-2</v>
      </c>
      <c r="Y167" s="528">
        <f t="shared" si="171"/>
        <v>5.1918017425489474E-2</v>
      </c>
      <c r="Z167" s="528">
        <f t="shared" si="171"/>
        <v>5.6055544381015211E-2</v>
      </c>
      <c r="AA167" s="528">
        <f t="shared" si="171"/>
        <v>5.9211304032674952E-2</v>
      </c>
      <c r="AB167" s="528">
        <f t="shared" si="171"/>
        <v>6.1189408600652209E-2</v>
      </c>
      <c r="AC167" s="528">
        <f t="shared" si="171"/>
        <v>6.1863354489583973E-2</v>
      </c>
      <c r="AD167" s="528">
        <f t="shared" si="171"/>
        <v>6.1189408600652209E-2</v>
      </c>
      <c r="AE167" s="528">
        <f t="shared" si="171"/>
        <v>5.9211304032674952E-2</v>
      </c>
      <c r="AF167" s="528">
        <f t="shared" si="171"/>
        <v>5.6055544381015274E-2</v>
      </c>
      <c r="AG167" s="528">
        <f t="shared" si="171"/>
        <v>5.1918017425489411E-2</v>
      </c>
      <c r="AH167" s="528">
        <f t="shared" si="171"/>
        <v>4.7043887073528891E-2</v>
      </c>
      <c r="AI167" s="528">
        <f t="shared" si="171"/>
        <v>4.1703630843329995E-2</v>
      </c>
      <c r="AJ167" s="528">
        <f t="shared" si="171"/>
        <v>3.616846700644228E-2</v>
      </c>
      <c r="AK167" s="528">
        <f t="shared" si="171"/>
        <v>3.0688233895191337E-2</v>
      </c>
      <c r="AL167" s="528">
        <f t="shared" si="171"/>
        <v>2.5474123090409861E-2</v>
      </c>
      <c r="AM167" s="528">
        <f t="shared" si="171"/>
        <v>2.0687696529519749E-2</v>
      </c>
      <c r="AN167" s="528">
        <f t="shared" si="171"/>
        <v>1.6436546368850138E-2</v>
      </c>
      <c r="AO167" s="528">
        <f t="shared" si="171"/>
        <v>1.2775989064499258E-2</v>
      </c>
      <c r="AP167" s="528">
        <f t="shared" si="171"/>
        <v>9.715474443604653E-3</v>
      </c>
      <c r="AQ167" s="528" t="str">
        <f t="shared" si="171"/>
        <v/>
      </c>
      <c r="AR167" s="528" t="str">
        <f t="shared" si="171"/>
        <v/>
      </c>
      <c r="AS167" s="528" t="str">
        <f t="shared" si="171"/>
        <v/>
      </c>
      <c r="AT167" s="528" t="str">
        <f t="shared" si="171"/>
        <v/>
      </c>
      <c r="AU167" s="528" t="str">
        <f t="shared" si="171"/>
        <v/>
      </c>
      <c r="AV167" s="528" t="str">
        <f t="shared" si="171"/>
        <v/>
      </c>
      <c r="AW167" s="528" t="str">
        <f t="shared" si="171"/>
        <v/>
      </c>
      <c r="AX167" s="528" t="str">
        <f t="shared" si="171"/>
        <v/>
      </c>
      <c r="AY167" s="528" t="str">
        <f t="shared" si="171"/>
        <v/>
      </c>
      <c r="AZ167" s="528" t="str">
        <f t="shared" si="171"/>
        <v/>
      </c>
      <c r="BA167" s="528" t="str">
        <f t="shared" si="171"/>
        <v/>
      </c>
      <c r="BB167" s="528" t="str">
        <f t="shared" si="171"/>
        <v/>
      </c>
      <c r="BC167" s="528" t="str">
        <f t="shared" si="171"/>
        <v/>
      </c>
      <c r="BD167" s="528" t="str">
        <f t="shared" si="171"/>
        <v/>
      </c>
      <c r="BE167" s="528" t="str">
        <f t="shared" si="171"/>
        <v/>
      </c>
      <c r="BF167" s="528" t="str">
        <f t="shared" si="171"/>
        <v/>
      </c>
      <c r="BG167" s="528" t="str">
        <f t="shared" si="171"/>
        <v/>
      </c>
      <c r="BH167" s="528" t="str">
        <f t="shared" si="171"/>
        <v/>
      </c>
      <c r="BI167" s="528" t="str">
        <f t="shared" si="171"/>
        <v/>
      </c>
      <c r="BJ167" s="528" t="str">
        <f t="shared" si="171"/>
        <v/>
      </c>
      <c r="BK167" s="528" t="str">
        <f t="shared" si="171"/>
        <v/>
      </c>
      <c r="BL167" s="528" t="str">
        <f t="shared" si="171"/>
        <v/>
      </c>
      <c r="BM167" s="528" t="str">
        <f t="shared" si="171"/>
        <v/>
      </c>
    </row>
    <row r="168" spans="6:65" ht="15.75" customHeight="1" x14ac:dyDescent="0.25">
      <c r="F168" s="197"/>
      <c r="G168" s="197">
        <f t="shared" si="3"/>
        <v>0</v>
      </c>
      <c r="H168" s="197">
        <f t="shared" si="4"/>
        <v>284</v>
      </c>
      <c r="I168" s="523">
        <v>1</v>
      </c>
      <c r="J168" s="533">
        <f>'Monthly DCF'!$I$3</f>
        <v>46418</v>
      </c>
      <c r="K168" s="533">
        <f t="shared" si="5"/>
        <v>47238</v>
      </c>
      <c r="L168" s="536">
        <f t="shared" si="149"/>
        <v>28</v>
      </c>
      <c r="M168" s="20" t="s">
        <v>366</v>
      </c>
      <c r="N168" s="20">
        <f t="shared" si="6"/>
        <v>7</v>
      </c>
      <c r="O168" s="537">
        <v>4</v>
      </c>
      <c r="P168" s="528">
        <f t="shared" ref="P168:BM168" si="172">IFERROR(+IF(AND($M168="Flat",P$5&gt;=$J168,P$5&lt;=$K168),$I168/$L168,0)+IF(AND($M168="S-Curve",P$5&gt;=$J168,P$5&lt;=$K168),(_xlfn.NORM.DIST((YEAR(P$5)-YEAR($J168))*12+MONTH(P$5)-MONTH($J168)+1,$L168/2,$N168,TRUE)-_xlfn.NORM.DIST((YEAR(P$5)-YEAR($J168))*12+MONTH(P$5)-MONTH($J168),$L168/2,$N168,TRUE))/(1-2*_xlfn.NORM.DIST(0,$L168/2,$N168,TRUE))*$I168," "),"")</f>
        <v>9.3193154822701369E-3</v>
      </c>
      <c r="Q168" s="528">
        <f t="shared" si="172"/>
        <v>1.2145332462304025E-2</v>
      </c>
      <c r="R168" s="528">
        <f t="shared" si="172"/>
        <v>1.5509102373274334E-2</v>
      </c>
      <c r="S168" s="528">
        <f t="shared" si="172"/>
        <v>1.9405095611777154E-2</v>
      </c>
      <c r="T168" s="528">
        <f t="shared" si="172"/>
        <v>2.3790128456390239E-2</v>
      </c>
      <c r="U168" s="528">
        <f t="shared" si="172"/>
        <v>2.8577857697034484E-2</v>
      </c>
      <c r="V168" s="528">
        <f t="shared" si="172"/>
        <v>3.3636781911496542E-2</v>
      </c>
      <c r="W168" s="528">
        <f t="shared" si="172"/>
        <v>3.8792797757566284E-2</v>
      </c>
      <c r="X168" s="528">
        <f t="shared" si="172"/>
        <v>4.3836882599889181E-2</v>
      </c>
      <c r="Y168" s="528">
        <f t="shared" si="172"/>
        <v>4.8537803960869041E-2</v>
      </c>
      <c r="Z168" s="528">
        <f t="shared" si="172"/>
        <v>5.265898553741525E-2</v>
      </c>
      <c r="AA168" s="528">
        <f t="shared" si="172"/>
        <v>5.5977920348598276E-2</v>
      </c>
      <c r="AB168" s="528">
        <f t="shared" si="172"/>
        <v>5.8305958588024731E-2</v>
      </c>
      <c r="AC168" s="528">
        <f t="shared" si="172"/>
        <v>5.9506037213090335E-2</v>
      </c>
      <c r="AD168" s="528">
        <f t="shared" si="172"/>
        <v>5.9506037213090335E-2</v>
      </c>
      <c r="AE168" s="528">
        <f t="shared" si="172"/>
        <v>5.8305958588024731E-2</v>
      </c>
      <c r="AF168" s="528">
        <f t="shared" si="172"/>
        <v>5.5977920348598276E-2</v>
      </c>
      <c r="AG168" s="528">
        <f t="shared" si="172"/>
        <v>5.265898553741525E-2</v>
      </c>
      <c r="AH168" s="528">
        <f t="shared" si="172"/>
        <v>4.8537803960868986E-2</v>
      </c>
      <c r="AI168" s="528">
        <f t="shared" si="172"/>
        <v>4.3836882599889271E-2</v>
      </c>
      <c r="AJ168" s="528">
        <f t="shared" si="172"/>
        <v>3.8792797757566284E-2</v>
      </c>
      <c r="AK168" s="528">
        <f t="shared" si="172"/>
        <v>3.3636781911496459E-2</v>
      </c>
      <c r="AL168" s="528">
        <f t="shared" si="172"/>
        <v>2.8577857697034525E-2</v>
      </c>
      <c r="AM168" s="528">
        <f t="shared" si="172"/>
        <v>2.3790128456390294E-2</v>
      </c>
      <c r="AN168" s="528">
        <f t="shared" si="172"/>
        <v>1.940509561177714E-2</v>
      </c>
      <c r="AO168" s="528">
        <f t="shared" si="172"/>
        <v>1.5509102373274363E-2</v>
      </c>
      <c r="AP168" s="528">
        <f t="shared" si="172"/>
        <v>1.2145332462303988E-2</v>
      </c>
      <c r="AQ168" s="528">
        <f t="shared" si="172"/>
        <v>9.319315482270097E-3</v>
      </c>
      <c r="AR168" s="528" t="str">
        <f t="shared" si="172"/>
        <v/>
      </c>
      <c r="AS168" s="528" t="str">
        <f t="shared" si="172"/>
        <v/>
      </c>
      <c r="AT168" s="528" t="str">
        <f t="shared" si="172"/>
        <v/>
      </c>
      <c r="AU168" s="528" t="str">
        <f t="shared" si="172"/>
        <v/>
      </c>
      <c r="AV168" s="528" t="str">
        <f t="shared" si="172"/>
        <v/>
      </c>
      <c r="AW168" s="528" t="str">
        <f t="shared" si="172"/>
        <v/>
      </c>
      <c r="AX168" s="528" t="str">
        <f t="shared" si="172"/>
        <v/>
      </c>
      <c r="AY168" s="528" t="str">
        <f t="shared" si="172"/>
        <v/>
      </c>
      <c r="AZ168" s="528" t="str">
        <f t="shared" si="172"/>
        <v/>
      </c>
      <c r="BA168" s="528" t="str">
        <f t="shared" si="172"/>
        <v/>
      </c>
      <c r="BB168" s="528" t="str">
        <f t="shared" si="172"/>
        <v/>
      </c>
      <c r="BC168" s="528" t="str">
        <f t="shared" si="172"/>
        <v/>
      </c>
      <c r="BD168" s="528" t="str">
        <f t="shared" si="172"/>
        <v/>
      </c>
      <c r="BE168" s="528" t="str">
        <f t="shared" si="172"/>
        <v/>
      </c>
      <c r="BF168" s="528" t="str">
        <f t="shared" si="172"/>
        <v/>
      </c>
      <c r="BG168" s="528" t="str">
        <f t="shared" si="172"/>
        <v/>
      </c>
      <c r="BH168" s="528" t="str">
        <f t="shared" si="172"/>
        <v/>
      </c>
      <c r="BI168" s="528" t="str">
        <f t="shared" si="172"/>
        <v/>
      </c>
      <c r="BJ168" s="528" t="str">
        <f t="shared" si="172"/>
        <v/>
      </c>
      <c r="BK168" s="528" t="str">
        <f t="shared" si="172"/>
        <v/>
      </c>
      <c r="BL168" s="528" t="str">
        <f t="shared" si="172"/>
        <v/>
      </c>
      <c r="BM168" s="528" t="str">
        <f t="shared" si="172"/>
        <v/>
      </c>
    </row>
    <row r="169" spans="6:65" ht="15.75" customHeight="1" x14ac:dyDescent="0.25">
      <c r="F169" s="197"/>
      <c r="G169" s="197">
        <f t="shared" si="3"/>
        <v>0</v>
      </c>
      <c r="H169" s="197">
        <f t="shared" si="4"/>
        <v>294</v>
      </c>
      <c r="I169" s="523">
        <v>1</v>
      </c>
      <c r="J169" s="533">
        <f>'Monthly DCF'!$I$3</f>
        <v>46418</v>
      </c>
      <c r="K169" s="533">
        <f t="shared" si="5"/>
        <v>47269</v>
      </c>
      <c r="L169" s="536">
        <f t="shared" si="149"/>
        <v>29</v>
      </c>
      <c r="M169" s="20" t="s">
        <v>366</v>
      </c>
      <c r="N169" s="20">
        <f t="shared" si="6"/>
        <v>7.25</v>
      </c>
      <c r="O169" s="537">
        <v>4</v>
      </c>
      <c r="P169" s="528">
        <f t="shared" ref="P169:BM169" si="173">IFERROR(+IF(AND($M169="Flat",P$5&gt;=$J169,P$5&lt;=$K169),$I169/$L169,0)+IF(AND($M169="S-Curve",P$5&gt;=$J169,P$5&lt;=$K169),(_xlfn.NORM.DIST((YEAR(P$5)-YEAR($J169))*12+MONTH(P$5)-MONTH($J169)+1,$L169/2,$N169,TRUE)-_xlfn.NORM.DIST((YEAR(P$5)-YEAR($J169))*12+MONTH(P$5)-MONTH($J169),$L169/2,$N169,TRUE))/(1-2*_xlfn.NORM.DIST(0,$L169/2,$N169,TRUE))*$I169," "),"")</f>
        <v>8.9539605235326152E-3</v>
      </c>
      <c r="Q169" s="528">
        <f t="shared" si="173"/>
        <v>1.1571284575626567E-2</v>
      </c>
      <c r="R169" s="528">
        <f t="shared" si="173"/>
        <v>1.467231306730052E-2</v>
      </c>
      <c r="S169" s="528">
        <f t="shared" si="173"/>
        <v>1.8254343272764994E-2</v>
      </c>
      <c r="T169" s="528">
        <f t="shared" si="173"/>
        <v>2.2283554335530163E-2</v>
      </c>
      <c r="U169" s="528">
        <f t="shared" si="173"/>
        <v>2.6690293089649746E-2</v>
      </c>
      <c r="V169" s="528">
        <f t="shared" si="173"/>
        <v>3.1366990608432552E-2</v>
      </c>
      <c r="W169" s="528">
        <f t="shared" si="173"/>
        <v>3.6169541311501532E-2</v>
      </c>
      <c r="X169" s="528">
        <f t="shared" si="173"/>
        <v>4.092265369070431E-2</v>
      </c>
      <c r="Y169" s="528">
        <f t="shared" si="173"/>
        <v>4.5429213547029432E-2</v>
      </c>
      <c r="Z169" s="528">
        <f t="shared" si="173"/>
        <v>4.9483144987517845E-2</v>
      </c>
      <c r="AA169" s="528">
        <f t="shared" si="173"/>
        <v>5.2884696638745045E-2</v>
      </c>
      <c r="AB169" s="528">
        <f t="shared" si="173"/>
        <v>5.545661918556128E-2</v>
      </c>
      <c r="AC169" s="528">
        <f t="shared" si="173"/>
        <v>5.705942792638187E-2</v>
      </c>
      <c r="AD169" s="528">
        <f t="shared" si="173"/>
        <v>5.7603926479443152E-2</v>
      </c>
      <c r="AE169" s="528">
        <f t="shared" si="173"/>
        <v>5.7059427926381807E-2</v>
      </c>
      <c r="AF169" s="528">
        <f t="shared" si="173"/>
        <v>5.545661918556128E-2</v>
      </c>
      <c r="AG169" s="528">
        <f t="shared" si="173"/>
        <v>5.2884696638745045E-2</v>
      </c>
      <c r="AH169" s="528">
        <f t="shared" si="173"/>
        <v>4.9483144987517845E-2</v>
      </c>
      <c r="AI169" s="528">
        <f t="shared" si="173"/>
        <v>4.5429213547029404E-2</v>
      </c>
      <c r="AJ169" s="528">
        <f t="shared" si="173"/>
        <v>4.09226536907044E-2</v>
      </c>
      <c r="AK169" s="528">
        <f t="shared" si="173"/>
        <v>3.6169541311501442E-2</v>
      </c>
      <c r="AL169" s="528">
        <f t="shared" si="173"/>
        <v>3.1366990608432552E-2</v>
      </c>
      <c r="AM169" s="528">
        <f t="shared" si="173"/>
        <v>2.6690293089649774E-2</v>
      </c>
      <c r="AN169" s="528">
        <f t="shared" si="173"/>
        <v>2.2283554335530163E-2</v>
      </c>
      <c r="AO169" s="528">
        <f t="shared" si="173"/>
        <v>1.8254343272764956E-2</v>
      </c>
      <c r="AP169" s="528">
        <f t="shared" si="173"/>
        <v>1.4672313067300543E-2</v>
      </c>
      <c r="AQ169" s="528">
        <f t="shared" si="173"/>
        <v>1.1571284575626574E-2</v>
      </c>
      <c r="AR169" s="528">
        <f t="shared" si="173"/>
        <v>8.9539605235326048E-3</v>
      </c>
      <c r="AS169" s="528" t="str">
        <f t="shared" si="173"/>
        <v/>
      </c>
      <c r="AT169" s="528" t="str">
        <f t="shared" si="173"/>
        <v/>
      </c>
      <c r="AU169" s="528" t="str">
        <f t="shared" si="173"/>
        <v/>
      </c>
      <c r="AV169" s="528" t="str">
        <f t="shared" si="173"/>
        <v/>
      </c>
      <c r="AW169" s="528" t="str">
        <f t="shared" si="173"/>
        <v/>
      </c>
      <c r="AX169" s="528" t="str">
        <f t="shared" si="173"/>
        <v/>
      </c>
      <c r="AY169" s="528" t="str">
        <f t="shared" si="173"/>
        <v/>
      </c>
      <c r="AZ169" s="528" t="str">
        <f t="shared" si="173"/>
        <v/>
      </c>
      <c r="BA169" s="528" t="str">
        <f t="shared" si="173"/>
        <v/>
      </c>
      <c r="BB169" s="528" t="str">
        <f t="shared" si="173"/>
        <v/>
      </c>
      <c r="BC169" s="528" t="str">
        <f t="shared" si="173"/>
        <v/>
      </c>
      <c r="BD169" s="528" t="str">
        <f t="shared" si="173"/>
        <v/>
      </c>
      <c r="BE169" s="528" t="str">
        <f t="shared" si="173"/>
        <v/>
      </c>
      <c r="BF169" s="528" t="str">
        <f t="shared" si="173"/>
        <v/>
      </c>
      <c r="BG169" s="528" t="str">
        <f t="shared" si="173"/>
        <v/>
      </c>
      <c r="BH169" s="528" t="str">
        <f t="shared" si="173"/>
        <v/>
      </c>
      <c r="BI169" s="528" t="str">
        <f t="shared" si="173"/>
        <v/>
      </c>
      <c r="BJ169" s="528" t="str">
        <f t="shared" si="173"/>
        <v/>
      </c>
      <c r="BK169" s="528" t="str">
        <f t="shared" si="173"/>
        <v/>
      </c>
      <c r="BL169" s="528" t="str">
        <f t="shared" si="173"/>
        <v/>
      </c>
      <c r="BM169" s="528" t="str">
        <f t="shared" si="173"/>
        <v/>
      </c>
    </row>
    <row r="170" spans="6:65" ht="15.75" customHeight="1" x14ac:dyDescent="0.25">
      <c r="F170" s="197"/>
      <c r="G170" s="197">
        <f t="shared" si="3"/>
        <v>0</v>
      </c>
      <c r="H170" s="197">
        <f t="shared" si="4"/>
        <v>304</v>
      </c>
      <c r="I170" s="523">
        <v>1</v>
      </c>
      <c r="J170" s="533">
        <f>'Monthly DCF'!$I$3</f>
        <v>46418</v>
      </c>
      <c r="K170" s="533">
        <f t="shared" si="5"/>
        <v>47299</v>
      </c>
      <c r="L170" s="536">
        <f t="shared" si="149"/>
        <v>30</v>
      </c>
      <c r="M170" s="20" t="s">
        <v>366</v>
      </c>
      <c r="N170" s="20">
        <f t="shared" si="6"/>
        <v>7.5</v>
      </c>
      <c r="O170" s="537">
        <v>4</v>
      </c>
      <c r="P170" s="528">
        <f t="shared" ref="P170:BM170" si="174">IFERROR(+IF(AND($M170="Flat",P$5&gt;=$J170,P$5&lt;=$K170),$I170/$L170,0)+IF(AND($M170="S-Curve",P$5&gt;=$J170,P$5&lt;=$K170),(_xlfn.NORM.DIST((YEAR(P$5)-YEAR($J170))*12+MONTH(P$5)-MONTH($J170)+1,$L170/2,$N170,TRUE)-_xlfn.NORM.DIST((YEAR(P$5)-YEAR($J170))*12+MONTH(P$5)-MONTH($J170),$L170/2,$N170,TRUE))/(1-2*_xlfn.NORM.DIST(0,$L170/2,$N170,TRUE))*$I170," "),"")</f>
        <v>8.6159727944318722E-3</v>
      </c>
      <c r="Q170" s="528">
        <f t="shared" si="174"/>
        <v>1.1046775167357019E-2</v>
      </c>
      <c r="R170" s="528">
        <f t="shared" si="174"/>
        <v>1.3914170437588027E-2</v>
      </c>
      <c r="S170" s="528">
        <f t="shared" si="174"/>
        <v>1.7217485864913513E-2</v>
      </c>
      <c r="T170" s="528">
        <f t="shared" si="174"/>
        <v>2.0930170597462109E-2</v>
      </c>
      <c r="U170" s="528">
        <f t="shared" si="174"/>
        <v>2.4995764371012669E-2</v>
      </c>
      <c r="V170" s="528">
        <f t="shared" si="174"/>
        <v>2.9325856168452027E-2</v>
      </c>
      <c r="W170" s="528">
        <f t="shared" si="174"/>
        <v>3.3800693113253164E-2</v>
      </c>
      <c r="X170" s="528">
        <f t="shared" si="174"/>
        <v>3.8272879865103013E-2</v>
      </c>
      <c r="Y170" s="528">
        <f t="shared" si="174"/>
        <v>4.2574279935802768E-2</v>
      </c>
      <c r="Z170" s="528">
        <f t="shared" si="174"/>
        <v>4.6525828533184939E-2</v>
      </c>
      <c r="AA170" s="528">
        <f t="shared" si="174"/>
        <v>4.9949547372790157E-2</v>
      </c>
      <c r="AB170" s="528">
        <f t="shared" si="174"/>
        <v>5.268168253206236E-2</v>
      </c>
      <c r="AC170" s="528">
        <f t="shared" si="174"/>
        <v>5.4585633648308901E-2</v>
      </c>
      <c r="AD170" s="528">
        <f t="shared" si="174"/>
        <v>5.556325959827748E-2</v>
      </c>
      <c r="AE170" s="528">
        <f t="shared" si="174"/>
        <v>5.5563259598277542E-2</v>
      </c>
      <c r="AF170" s="528">
        <f t="shared" si="174"/>
        <v>5.4585633648308846E-2</v>
      </c>
      <c r="AG170" s="528">
        <f t="shared" si="174"/>
        <v>5.2681682532062415E-2</v>
      </c>
      <c r="AH170" s="528">
        <f t="shared" si="174"/>
        <v>4.9949547372790157E-2</v>
      </c>
      <c r="AI170" s="528">
        <f t="shared" si="174"/>
        <v>4.6525828533184883E-2</v>
      </c>
      <c r="AJ170" s="528">
        <f t="shared" si="174"/>
        <v>4.257427993580274E-2</v>
      </c>
      <c r="AK170" s="528">
        <f t="shared" si="174"/>
        <v>3.8272879865102985E-2</v>
      </c>
      <c r="AL170" s="528">
        <f t="shared" si="174"/>
        <v>3.3800693113253254E-2</v>
      </c>
      <c r="AM170" s="528">
        <f t="shared" si="174"/>
        <v>2.9325856168452055E-2</v>
      </c>
      <c r="AN170" s="528">
        <f t="shared" si="174"/>
        <v>2.4995764371012613E-2</v>
      </c>
      <c r="AO170" s="528">
        <f t="shared" si="174"/>
        <v>2.0930170597462151E-2</v>
      </c>
      <c r="AP170" s="528">
        <f t="shared" si="174"/>
        <v>1.7217485864913441E-2</v>
      </c>
      <c r="AQ170" s="528">
        <f t="shared" si="174"/>
        <v>1.3914170437588047E-2</v>
      </c>
      <c r="AR170" s="528">
        <f t="shared" si="174"/>
        <v>1.1046775167356995E-2</v>
      </c>
      <c r="AS170" s="528">
        <f t="shared" si="174"/>
        <v>8.6159727944318878E-3</v>
      </c>
      <c r="AT170" s="528" t="str">
        <f t="shared" si="174"/>
        <v/>
      </c>
      <c r="AU170" s="528" t="str">
        <f t="shared" si="174"/>
        <v/>
      </c>
      <c r="AV170" s="528" t="str">
        <f t="shared" si="174"/>
        <v/>
      </c>
      <c r="AW170" s="528" t="str">
        <f t="shared" si="174"/>
        <v/>
      </c>
      <c r="AX170" s="528" t="str">
        <f t="shared" si="174"/>
        <v/>
      </c>
      <c r="AY170" s="528" t="str">
        <f t="shared" si="174"/>
        <v/>
      </c>
      <c r="AZ170" s="528" t="str">
        <f t="shared" si="174"/>
        <v/>
      </c>
      <c r="BA170" s="528" t="str">
        <f t="shared" si="174"/>
        <v/>
      </c>
      <c r="BB170" s="528" t="str">
        <f t="shared" si="174"/>
        <v/>
      </c>
      <c r="BC170" s="528" t="str">
        <f t="shared" si="174"/>
        <v/>
      </c>
      <c r="BD170" s="528" t="str">
        <f t="shared" si="174"/>
        <v/>
      </c>
      <c r="BE170" s="528" t="str">
        <f t="shared" si="174"/>
        <v/>
      </c>
      <c r="BF170" s="528" t="str">
        <f t="shared" si="174"/>
        <v/>
      </c>
      <c r="BG170" s="528" t="str">
        <f t="shared" si="174"/>
        <v/>
      </c>
      <c r="BH170" s="528" t="str">
        <f t="shared" si="174"/>
        <v/>
      </c>
      <c r="BI170" s="528" t="str">
        <f t="shared" si="174"/>
        <v/>
      </c>
      <c r="BJ170" s="528" t="str">
        <f t="shared" si="174"/>
        <v/>
      </c>
      <c r="BK170" s="528" t="str">
        <f t="shared" si="174"/>
        <v/>
      </c>
      <c r="BL170" s="528" t="str">
        <f t="shared" si="174"/>
        <v/>
      </c>
      <c r="BM170" s="528" t="str">
        <f t="shared" si="174"/>
        <v/>
      </c>
    </row>
    <row r="171" spans="6:65" ht="15.75" customHeight="1" x14ac:dyDescent="0.25">
      <c r="F171" s="197"/>
      <c r="G171" s="197">
        <f t="shared" si="3"/>
        <v>0</v>
      </c>
      <c r="H171" s="197">
        <f t="shared" si="4"/>
        <v>314</v>
      </c>
      <c r="I171" s="523">
        <v>1</v>
      </c>
      <c r="J171" s="533">
        <f>'Monthly DCF'!$I$3</f>
        <v>46418</v>
      </c>
      <c r="K171" s="533">
        <f t="shared" si="5"/>
        <v>47330</v>
      </c>
      <c r="L171" s="536">
        <f t="shared" si="149"/>
        <v>31</v>
      </c>
      <c r="M171" s="20" t="s">
        <v>366</v>
      </c>
      <c r="N171" s="20">
        <f t="shared" si="6"/>
        <v>7.75</v>
      </c>
      <c r="O171" s="537">
        <v>4</v>
      </c>
      <c r="P171" s="528">
        <f t="shared" ref="P171:BM171" si="175">IFERROR(+IF(AND($M171="Flat",P$5&gt;=$J171,P$5&lt;=$K171),$I171/$L171,0)+IF(AND($M171="S-Curve",P$5&gt;=$J171,P$5&lt;=$K171),(_xlfn.NORM.DIST((YEAR(P$5)-YEAR($J171))*12+MONTH(P$5)-MONTH($J171)+1,$L171/2,$N171,TRUE)-_xlfn.NORM.DIST((YEAR(P$5)-YEAR($J171))*12+MONTH(P$5)-MONTH($J171),$L171/2,$N171,TRUE))/(1-2*_xlfn.NORM.DIST(0,$L171/2,$N171,TRUE))*$I171," "),"")</f>
        <v>8.3024058858882869E-3</v>
      </c>
      <c r="Q171" s="528">
        <f t="shared" si="175"/>
        <v>1.0565839323954112E-2</v>
      </c>
      <c r="R171" s="528">
        <f t="shared" si="175"/>
        <v>1.3224623993984753E-2</v>
      </c>
      <c r="S171" s="528">
        <f t="shared" si="175"/>
        <v>1.627953356913418E-2</v>
      </c>
      <c r="T171" s="528">
        <f t="shared" si="175"/>
        <v>1.9709693900937283E-2</v>
      </c>
      <c r="U171" s="528">
        <f t="shared" si="175"/>
        <v>2.3469136019596545E-2</v>
      </c>
      <c r="V171" s="528">
        <f t="shared" si="175"/>
        <v>2.7484866244420661E-2</v>
      </c>
      <c r="W171" s="528">
        <f t="shared" si="175"/>
        <v>3.1656978378637769E-2</v>
      </c>
      <c r="X171" s="528">
        <f t="shared" si="175"/>
        <v>3.5861181981068337E-2</v>
      </c>
      <c r="Y171" s="528">
        <f t="shared" si="175"/>
        <v>3.9953888231118471E-2</v>
      </c>
      <c r="Z171" s="528">
        <f t="shared" si="175"/>
        <v>4.3779703221315532E-2</v>
      </c>
      <c r="AA171" s="528">
        <f t="shared" si="175"/>
        <v>4.718086401706971E-2</v>
      </c>
      <c r="AB171" s="528">
        <f t="shared" si="175"/>
        <v>5.0007861307598531E-2</v>
      </c>
      <c r="AC171" s="528">
        <f t="shared" si="175"/>
        <v>5.2130271768693351E-2</v>
      </c>
      <c r="AD171" s="528">
        <f t="shared" si="175"/>
        <v>5.3446714510432064E-2</v>
      </c>
      <c r="AE171" s="528">
        <f t="shared" si="175"/>
        <v>5.3892875292300815E-2</v>
      </c>
      <c r="AF171" s="528">
        <f t="shared" si="175"/>
        <v>5.3446714510432126E-2</v>
      </c>
      <c r="AG171" s="528">
        <f t="shared" si="175"/>
        <v>5.2130271768693351E-2</v>
      </c>
      <c r="AH171" s="528">
        <f t="shared" si="175"/>
        <v>5.0007861307598531E-2</v>
      </c>
      <c r="AI171" s="528">
        <f t="shared" si="175"/>
        <v>4.718086401706971E-2</v>
      </c>
      <c r="AJ171" s="528">
        <f t="shared" si="175"/>
        <v>4.3779703221315532E-2</v>
      </c>
      <c r="AK171" s="528">
        <f t="shared" si="175"/>
        <v>3.9953888231118437E-2</v>
      </c>
      <c r="AL171" s="528">
        <f t="shared" si="175"/>
        <v>3.5861181981068309E-2</v>
      </c>
      <c r="AM171" s="528">
        <f t="shared" si="175"/>
        <v>3.1656978378637797E-2</v>
      </c>
      <c r="AN171" s="528">
        <f t="shared" si="175"/>
        <v>2.7484866244420716E-2</v>
      </c>
      <c r="AO171" s="528">
        <f t="shared" si="175"/>
        <v>2.3469136019596545E-2</v>
      </c>
      <c r="AP171" s="528">
        <f t="shared" si="175"/>
        <v>1.9709693900937211E-2</v>
      </c>
      <c r="AQ171" s="528">
        <f t="shared" si="175"/>
        <v>1.6279533569134228E-2</v>
      </c>
      <c r="AR171" s="528">
        <f t="shared" si="175"/>
        <v>1.3224623993984783E-2</v>
      </c>
      <c r="AS171" s="528">
        <f t="shared" si="175"/>
        <v>1.0565839323954043E-2</v>
      </c>
      <c r="AT171" s="528">
        <f t="shared" si="175"/>
        <v>8.3024058858883008E-3</v>
      </c>
      <c r="AU171" s="528" t="str">
        <f t="shared" si="175"/>
        <v/>
      </c>
      <c r="AV171" s="528" t="str">
        <f t="shared" si="175"/>
        <v/>
      </c>
      <c r="AW171" s="528" t="str">
        <f t="shared" si="175"/>
        <v/>
      </c>
      <c r="AX171" s="528" t="str">
        <f t="shared" si="175"/>
        <v/>
      </c>
      <c r="AY171" s="528" t="str">
        <f t="shared" si="175"/>
        <v/>
      </c>
      <c r="AZ171" s="528" t="str">
        <f t="shared" si="175"/>
        <v/>
      </c>
      <c r="BA171" s="528" t="str">
        <f t="shared" si="175"/>
        <v/>
      </c>
      <c r="BB171" s="528" t="str">
        <f t="shared" si="175"/>
        <v/>
      </c>
      <c r="BC171" s="528" t="str">
        <f t="shared" si="175"/>
        <v/>
      </c>
      <c r="BD171" s="528" t="str">
        <f t="shared" si="175"/>
        <v/>
      </c>
      <c r="BE171" s="528" t="str">
        <f t="shared" si="175"/>
        <v/>
      </c>
      <c r="BF171" s="528" t="str">
        <f t="shared" si="175"/>
        <v/>
      </c>
      <c r="BG171" s="528" t="str">
        <f t="shared" si="175"/>
        <v/>
      </c>
      <c r="BH171" s="528" t="str">
        <f t="shared" si="175"/>
        <v/>
      </c>
      <c r="BI171" s="528" t="str">
        <f t="shared" si="175"/>
        <v/>
      </c>
      <c r="BJ171" s="528" t="str">
        <f t="shared" si="175"/>
        <v/>
      </c>
      <c r="BK171" s="528" t="str">
        <f t="shared" si="175"/>
        <v/>
      </c>
      <c r="BL171" s="528" t="str">
        <f t="shared" si="175"/>
        <v/>
      </c>
      <c r="BM171" s="528" t="str">
        <f t="shared" si="175"/>
        <v/>
      </c>
    </row>
    <row r="172" spans="6:65" ht="15.75" customHeight="1" x14ac:dyDescent="0.25">
      <c r="F172" s="197"/>
      <c r="G172" s="197">
        <f t="shared" si="3"/>
        <v>0</v>
      </c>
      <c r="H172" s="197">
        <f t="shared" si="4"/>
        <v>324</v>
      </c>
      <c r="I172" s="523">
        <v>1</v>
      </c>
      <c r="J172" s="533">
        <f>'Monthly DCF'!$I$3</f>
        <v>46418</v>
      </c>
      <c r="K172" s="533">
        <f t="shared" si="5"/>
        <v>47361</v>
      </c>
      <c r="L172" s="536">
        <f t="shared" si="149"/>
        <v>32</v>
      </c>
      <c r="M172" s="20" t="s">
        <v>366</v>
      </c>
      <c r="N172" s="20">
        <f t="shared" si="6"/>
        <v>8</v>
      </c>
      <c r="O172" s="537">
        <v>4</v>
      </c>
      <c r="P172" s="528">
        <f t="shared" ref="P172:BM172" si="176">IFERROR(+IF(AND($M172="Flat",P$5&gt;=$J172,P$5&lt;=$K172),$I172/$L172,0)+IF(AND($M172="S-Curve",P$5&gt;=$J172,P$5&lt;=$K172),(_xlfn.NORM.DIST((YEAR(P$5)-YEAR($J172))*12+MONTH(P$5)-MONTH($J172)+1,$L172/2,$N172,TRUE)-_xlfn.NORM.DIST((YEAR(P$5)-YEAR($J172))*12+MONTH(P$5)-MONTH($J172),$L172/2,$N172,TRUE))/(1-2*_xlfn.NORM.DIST(0,$L172/2,$N172,TRUE))*$I172," "),"")</f>
        <v>8.010719676356132E-3</v>
      </c>
      <c r="Q172" s="528">
        <f t="shared" si="176"/>
        <v>1.0123413064523388E-2</v>
      </c>
      <c r="R172" s="528">
        <f t="shared" si="176"/>
        <v>1.2595207831568263E-2</v>
      </c>
      <c r="S172" s="528">
        <f t="shared" si="176"/>
        <v>1.5427895154535234E-2</v>
      </c>
      <c r="T172" s="528">
        <f t="shared" si="176"/>
        <v>1.8605056042204478E-2</v>
      </c>
      <c r="U172" s="528">
        <f t="shared" si="176"/>
        <v>2.2089111728397809E-2</v>
      </c>
      <c r="V172" s="528">
        <f t="shared" si="176"/>
        <v>2.5819539322824474E-2</v>
      </c>
      <c r="W172" s="528">
        <f t="shared" si="176"/>
        <v>2.9712671174137138E-2</v>
      </c>
      <c r="X172" s="528">
        <f t="shared" si="176"/>
        <v>3.3663392147407267E-2</v>
      </c>
      <c r="Y172" s="528">
        <f t="shared" si="176"/>
        <v>3.7548883638943147E-2</v>
      </c>
      <c r="Z172" s="528">
        <f t="shared" si="176"/>
        <v>4.1234350501233336E-2</v>
      </c>
      <c r="AA172" s="528">
        <f t="shared" si="176"/>
        <v>4.4580431054897653E-2</v>
      </c>
      <c r="AB172" s="528">
        <f t="shared" si="176"/>
        <v>4.7451762308681547E-2</v>
      </c>
      <c r="AC172" s="528">
        <f t="shared" si="176"/>
        <v>4.9725986497964288E-2</v>
      </c>
      <c r="AD172" s="528">
        <f t="shared" si="176"/>
        <v>5.1302372332446326E-2</v>
      </c>
      <c r="AE172" s="528">
        <f t="shared" si="176"/>
        <v>5.2109207523879549E-2</v>
      </c>
      <c r="AF172" s="528">
        <f t="shared" si="176"/>
        <v>5.2109207523879549E-2</v>
      </c>
      <c r="AG172" s="528">
        <f t="shared" si="176"/>
        <v>5.1302372332446326E-2</v>
      </c>
      <c r="AH172" s="528">
        <f t="shared" si="176"/>
        <v>4.9725986497964288E-2</v>
      </c>
      <c r="AI172" s="528">
        <f t="shared" si="176"/>
        <v>4.7451762308681547E-2</v>
      </c>
      <c r="AJ172" s="528">
        <f t="shared" si="176"/>
        <v>4.458043105489759E-2</v>
      </c>
      <c r="AK172" s="528">
        <f t="shared" si="176"/>
        <v>4.1234350501233336E-2</v>
      </c>
      <c r="AL172" s="528">
        <f t="shared" si="176"/>
        <v>3.7548883638943265E-2</v>
      </c>
      <c r="AM172" s="528">
        <f t="shared" si="176"/>
        <v>3.366339214740724E-2</v>
      </c>
      <c r="AN172" s="528">
        <f t="shared" si="176"/>
        <v>2.9712671174137083E-2</v>
      </c>
      <c r="AO172" s="528">
        <f t="shared" si="176"/>
        <v>2.581953932282452E-2</v>
      </c>
      <c r="AP172" s="528">
        <f t="shared" si="176"/>
        <v>2.2089111728397851E-2</v>
      </c>
      <c r="AQ172" s="528">
        <f t="shared" si="176"/>
        <v>1.8605056042204388E-2</v>
      </c>
      <c r="AR172" s="528">
        <f t="shared" si="176"/>
        <v>1.5427895154535225E-2</v>
      </c>
      <c r="AS172" s="528">
        <f t="shared" si="176"/>
        <v>1.2595207831568285E-2</v>
      </c>
      <c r="AT172" s="528">
        <f t="shared" si="176"/>
        <v>1.0123413064523377E-2</v>
      </c>
      <c r="AU172" s="528">
        <f t="shared" si="176"/>
        <v>8.010719676356139E-3</v>
      </c>
      <c r="AV172" s="528" t="str">
        <f t="shared" si="176"/>
        <v/>
      </c>
      <c r="AW172" s="528" t="str">
        <f t="shared" si="176"/>
        <v/>
      </c>
      <c r="AX172" s="528" t="str">
        <f t="shared" si="176"/>
        <v/>
      </c>
      <c r="AY172" s="528" t="str">
        <f t="shared" si="176"/>
        <v/>
      </c>
      <c r="AZ172" s="528" t="str">
        <f t="shared" si="176"/>
        <v/>
      </c>
      <c r="BA172" s="528" t="str">
        <f t="shared" si="176"/>
        <v/>
      </c>
      <c r="BB172" s="528" t="str">
        <f t="shared" si="176"/>
        <v/>
      </c>
      <c r="BC172" s="528" t="str">
        <f t="shared" si="176"/>
        <v/>
      </c>
      <c r="BD172" s="528" t="str">
        <f t="shared" si="176"/>
        <v/>
      </c>
      <c r="BE172" s="528" t="str">
        <f t="shared" si="176"/>
        <v/>
      </c>
      <c r="BF172" s="528" t="str">
        <f t="shared" si="176"/>
        <v/>
      </c>
      <c r="BG172" s="528" t="str">
        <f t="shared" si="176"/>
        <v/>
      </c>
      <c r="BH172" s="528" t="str">
        <f t="shared" si="176"/>
        <v/>
      </c>
      <c r="BI172" s="528" t="str">
        <f t="shared" si="176"/>
        <v/>
      </c>
      <c r="BJ172" s="528" t="str">
        <f t="shared" si="176"/>
        <v/>
      </c>
      <c r="BK172" s="528" t="str">
        <f t="shared" si="176"/>
        <v/>
      </c>
      <c r="BL172" s="528" t="str">
        <f t="shared" si="176"/>
        <v/>
      </c>
      <c r="BM172" s="528" t="str">
        <f t="shared" si="176"/>
        <v/>
      </c>
    </row>
    <row r="173" spans="6:65" ht="15.75" customHeight="1" x14ac:dyDescent="0.25">
      <c r="F173" s="197"/>
      <c r="G173" s="197">
        <f t="shared" si="3"/>
        <v>0</v>
      </c>
      <c r="H173" s="197">
        <f t="shared" si="4"/>
        <v>334</v>
      </c>
      <c r="I173" s="523">
        <v>1</v>
      </c>
      <c r="J173" s="533">
        <f>'Monthly DCF'!$I$3</f>
        <v>46418</v>
      </c>
      <c r="K173" s="533">
        <f t="shared" si="5"/>
        <v>47391</v>
      </c>
      <c r="L173" s="536">
        <f t="shared" si="149"/>
        <v>33</v>
      </c>
      <c r="M173" s="20" t="s">
        <v>366</v>
      </c>
      <c r="N173" s="20">
        <f t="shared" si="6"/>
        <v>8.25</v>
      </c>
      <c r="O173" s="537">
        <v>4</v>
      </c>
      <c r="P173" s="528">
        <f t="shared" ref="P173:BM173" si="177">IFERROR(+IF(AND($M173="Flat",P$5&gt;=$J173,P$5&lt;=$K173),$I173/$L173,0)+IF(AND($M173="S-Curve",P$5&gt;=$J173,P$5&lt;=$K173),(_xlfn.NORM.DIST((YEAR(P$5)-YEAR($J173))*12+MONTH(P$5)-MONTH($J173)+1,$L173/2,$N173,TRUE)-_xlfn.NORM.DIST((YEAR(P$5)-YEAR($J173))*12+MONTH(P$5)-MONTH($J173),$L173/2,$N173,TRUE))/(1-2*_xlfn.NORM.DIST(0,$L173/2,$N173,TRUE))*$I173," "),"")</f>
        <v>7.7387129181829047E-3</v>
      </c>
      <c r="Q173" s="528">
        <f t="shared" si="177"/>
        <v>9.7151721091765873E-3</v>
      </c>
      <c r="R173" s="528">
        <f t="shared" si="177"/>
        <v>1.2018748084395538E-2</v>
      </c>
      <c r="S173" s="528">
        <f t="shared" si="177"/>
        <v>1.4651933513145643E-2</v>
      </c>
      <c r="T173" s="528">
        <f t="shared" si="177"/>
        <v>1.7601821875154459E-2</v>
      </c>
      <c r="U173" s="528">
        <f t="shared" si="177"/>
        <v>2.0837580082152529E-2</v>
      </c>
      <c r="V173" s="528">
        <f t="shared" si="177"/>
        <v>2.430882245373123E-2</v>
      </c>
      <c r="W173" s="528">
        <f t="shared" si="177"/>
        <v>2.7945220629804101E-2</v>
      </c>
      <c r="X173" s="528">
        <f t="shared" si="177"/>
        <v>3.1657611621402633E-2</v>
      </c>
      <c r="Y173" s="528">
        <f t="shared" si="177"/>
        <v>3.5340747838398009E-2</v>
      </c>
      <c r="Z173" s="528">
        <f t="shared" si="177"/>
        <v>3.8877677189832538E-2</v>
      </c>
      <c r="AA173" s="528">
        <f t="shared" si="177"/>
        <v>4.2145564022631227E-2</v>
      </c>
      <c r="AB173" s="528">
        <f t="shared" si="177"/>
        <v>4.5022584182746156E-2</v>
      </c>
      <c r="AC173" s="528">
        <f t="shared" si="177"/>
        <v>4.739537411837795E-2</v>
      </c>
      <c r="AD173" s="528">
        <f t="shared" si="177"/>
        <v>4.9166408109741176E-2</v>
      </c>
      <c r="AE173" s="528">
        <f t="shared" si="177"/>
        <v>5.0260637999364845E-2</v>
      </c>
      <c r="AF173" s="528">
        <f t="shared" si="177"/>
        <v>5.0630766503525028E-2</v>
      </c>
      <c r="AG173" s="528">
        <f t="shared" si="177"/>
        <v>5.0260637999364782E-2</v>
      </c>
      <c r="AH173" s="528">
        <f t="shared" si="177"/>
        <v>4.9166408109741232E-2</v>
      </c>
      <c r="AI173" s="528">
        <f t="shared" si="177"/>
        <v>4.7395374118377895E-2</v>
      </c>
      <c r="AJ173" s="528">
        <f t="shared" si="177"/>
        <v>4.5022584182746156E-2</v>
      </c>
      <c r="AK173" s="528">
        <f t="shared" si="177"/>
        <v>4.2145564022631227E-2</v>
      </c>
      <c r="AL173" s="528">
        <f t="shared" si="177"/>
        <v>3.8877677189832538E-2</v>
      </c>
      <c r="AM173" s="528">
        <f t="shared" si="177"/>
        <v>3.5340747838397982E-2</v>
      </c>
      <c r="AN173" s="528">
        <f t="shared" si="177"/>
        <v>3.1657611621402723E-2</v>
      </c>
      <c r="AO173" s="528">
        <f t="shared" si="177"/>
        <v>2.7945220629804E-2</v>
      </c>
      <c r="AP173" s="528">
        <f t="shared" si="177"/>
        <v>2.4308822453731317E-2</v>
      </c>
      <c r="AQ173" s="528">
        <f t="shared" si="177"/>
        <v>2.0837580082152515E-2</v>
      </c>
      <c r="AR173" s="528">
        <f t="shared" si="177"/>
        <v>1.7601821875154473E-2</v>
      </c>
      <c r="AS173" s="528">
        <f t="shared" si="177"/>
        <v>1.4651933513145541E-2</v>
      </c>
      <c r="AT173" s="528">
        <f t="shared" si="177"/>
        <v>1.2018748084395611E-2</v>
      </c>
      <c r="AU173" s="528">
        <f t="shared" si="177"/>
        <v>9.7151721091765543E-3</v>
      </c>
      <c r="AV173" s="528">
        <f t="shared" si="177"/>
        <v>7.7387129181829047E-3</v>
      </c>
      <c r="AW173" s="528" t="str">
        <f t="shared" si="177"/>
        <v/>
      </c>
      <c r="AX173" s="528" t="str">
        <f t="shared" si="177"/>
        <v/>
      </c>
      <c r="AY173" s="528" t="str">
        <f t="shared" si="177"/>
        <v/>
      </c>
      <c r="AZ173" s="528" t="str">
        <f t="shared" si="177"/>
        <v/>
      </c>
      <c r="BA173" s="528" t="str">
        <f t="shared" si="177"/>
        <v/>
      </c>
      <c r="BB173" s="528" t="str">
        <f t="shared" si="177"/>
        <v/>
      </c>
      <c r="BC173" s="528" t="str">
        <f t="shared" si="177"/>
        <v/>
      </c>
      <c r="BD173" s="528" t="str">
        <f t="shared" si="177"/>
        <v/>
      </c>
      <c r="BE173" s="528" t="str">
        <f t="shared" si="177"/>
        <v/>
      </c>
      <c r="BF173" s="528" t="str">
        <f t="shared" si="177"/>
        <v/>
      </c>
      <c r="BG173" s="528" t="str">
        <f t="shared" si="177"/>
        <v/>
      </c>
      <c r="BH173" s="528" t="str">
        <f t="shared" si="177"/>
        <v/>
      </c>
      <c r="BI173" s="528" t="str">
        <f t="shared" si="177"/>
        <v/>
      </c>
      <c r="BJ173" s="528" t="str">
        <f t="shared" si="177"/>
        <v/>
      </c>
      <c r="BK173" s="528" t="str">
        <f t="shared" si="177"/>
        <v/>
      </c>
      <c r="BL173" s="528" t="str">
        <f t="shared" si="177"/>
        <v/>
      </c>
      <c r="BM173" s="528" t="str">
        <f t="shared" si="177"/>
        <v/>
      </c>
    </row>
    <row r="174" spans="6:65" ht="15.75" customHeight="1" x14ac:dyDescent="0.25">
      <c r="F174" s="197"/>
      <c r="G174" s="197">
        <f t="shared" si="3"/>
        <v>0</v>
      </c>
      <c r="H174" s="197">
        <f t="shared" si="4"/>
        <v>344</v>
      </c>
      <c r="I174" s="523">
        <v>1</v>
      </c>
      <c r="J174" s="533">
        <f>'Monthly DCF'!$I$3</f>
        <v>46418</v>
      </c>
      <c r="K174" s="533">
        <f t="shared" si="5"/>
        <v>47422</v>
      </c>
      <c r="L174" s="536">
        <f t="shared" si="149"/>
        <v>34</v>
      </c>
      <c r="M174" s="20" t="s">
        <v>366</v>
      </c>
      <c r="N174" s="20">
        <f t="shared" si="6"/>
        <v>8.5</v>
      </c>
      <c r="O174" s="537">
        <v>4</v>
      </c>
      <c r="P174" s="528">
        <f t="shared" ref="P174:BM174" si="178">IFERROR(+IF(AND($M174="Flat",P$5&gt;=$J174,P$5&lt;=$K174),$I174/$L174,0)+IF(AND($M174="S-Curve",P$5&gt;=$J174,P$5&lt;=$K174),(_xlfn.NORM.DIST((YEAR(P$5)-YEAR($J174))*12+MONTH(P$5)-MONTH($J174)+1,$L174/2,$N174,TRUE)-_xlfn.NORM.DIST((YEAR(P$5)-YEAR($J174))*12+MONTH(P$5)-MONTH($J174),$L174/2,$N174,TRUE))/(1-2*_xlfn.NORM.DIST(0,$L174/2,$N174,TRUE))*$I174," "),"")</f>
        <v>7.4844687691743971E-3</v>
      </c>
      <c r="Q174" s="528">
        <f t="shared" si="178"/>
        <v>9.3374036456007493E-3</v>
      </c>
      <c r="R174" s="528">
        <f t="shared" si="178"/>
        <v>1.1489131592773871E-2</v>
      </c>
      <c r="S174" s="528">
        <f t="shared" si="178"/>
        <v>1.3942613670436933E-2</v>
      </c>
      <c r="T174" s="528">
        <f t="shared" si="178"/>
        <v>1.6687723893439543E-2</v>
      </c>
      <c r="U174" s="528">
        <f t="shared" si="178"/>
        <v>1.969907984227269E-2</v>
      </c>
      <c r="V174" s="528">
        <f t="shared" si="178"/>
        <v>2.2934575187126549E-2</v>
      </c>
      <c r="W174" s="528">
        <f t="shared" si="178"/>
        <v>2.6334882575828146E-2</v>
      </c>
      <c r="X174" s="528">
        <f t="shared" si="178"/>
        <v>2.9824144845118319E-2</v>
      </c>
      <c r="Y174" s="528">
        <f t="shared" si="178"/>
        <v>3.3311987308031983E-2</v>
      </c>
      <c r="Z174" s="528">
        <f t="shared" si="178"/>
        <v>3.6696869266371848E-2</v>
      </c>
      <c r="AA174" s="528">
        <f t="shared" si="178"/>
        <v>3.987065935931243E-2</v>
      </c>
      <c r="AB174" s="528">
        <f t="shared" si="178"/>
        <v>4.2724181620514556E-2</v>
      </c>
      <c r="AC174" s="528">
        <f t="shared" si="178"/>
        <v>4.5153354441892952E-2</v>
      </c>
      <c r="AD174" s="528">
        <f t="shared" si="178"/>
        <v>4.7065450428916168E-2</v>
      </c>
      <c r="AE174" s="528">
        <f t="shared" si="178"/>
        <v>4.8384956208749302E-2</v>
      </c>
      <c r="AF174" s="528">
        <f t="shared" si="178"/>
        <v>4.9058517344439577E-2</v>
      </c>
      <c r="AG174" s="528">
        <f t="shared" si="178"/>
        <v>4.9058517344439515E-2</v>
      </c>
      <c r="AH174" s="528">
        <f t="shared" si="178"/>
        <v>4.8384956208749365E-2</v>
      </c>
      <c r="AI174" s="528">
        <f t="shared" si="178"/>
        <v>4.7065450428916231E-2</v>
      </c>
      <c r="AJ174" s="528">
        <f t="shared" si="178"/>
        <v>4.5153354441892897E-2</v>
      </c>
      <c r="AK174" s="528">
        <f t="shared" si="178"/>
        <v>4.2724181620514556E-2</v>
      </c>
      <c r="AL174" s="528">
        <f t="shared" si="178"/>
        <v>3.987065935931243E-2</v>
      </c>
      <c r="AM174" s="528">
        <f t="shared" si="178"/>
        <v>3.6696869266371904E-2</v>
      </c>
      <c r="AN174" s="528">
        <f t="shared" si="178"/>
        <v>3.3311987308031955E-2</v>
      </c>
      <c r="AO174" s="528">
        <f t="shared" si="178"/>
        <v>2.9824144845118229E-2</v>
      </c>
      <c r="AP174" s="528">
        <f t="shared" si="178"/>
        <v>2.6334882575828219E-2</v>
      </c>
      <c r="AQ174" s="528">
        <f t="shared" si="178"/>
        <v>2.2934575187126476E-2</v>
      </c>
      <c r="AR174" s="528">
        <f t="shared" si="178"/>
        <v>1.9699079842272777E-2</v>
      </c>
      <c r="AS174" s="528">
        <f t="shared" si="178"/>
        <v>1.6687723893439484E-2</v>
      </c>
      <c r="AT174" s="528">
        <f t="shared" si="178"/>
        <v>1.3942613670436926E-2</v>
      </c>
      <c r="AU174" s="528">
        <f t="shared" si="178"/>
        <v>1.1489131592773878E-2</v>
      </c>
      <c r="AV174" s="528">
        <f t="shared" si="178"/>
        <v>9.3374036456007892E-3</v>
      </c>
      <c r="AW174" s="528">
        <f t="shared" si="178"/>
        <v>7.4844687691743685E-3</v>
      </c>
      <c r="AX174" s="528" t="str">
        <f t="shared" si="178"/>
        <v/>
      </c>
      <c r="AY174" s="528" t="str">
        <f t="shared" si="178"/>
        <v/>
      </c>
      <c r="AZ174" s="528" t="str">
        <f t="shared" si="178"/>
        <v/>
      </c>
      <c r="BA174" s="528" t="str">
        <f t="shared" si="178"/>
        <v/>
      </c>
      <c r="BB174" s="528" t="str">
        <f t="shared" si="178"/>
        <v/>
      </c>
      <c r="BC174" s="528" t="str">
        <f t="shared" si="178"/>
        <v/>
      </c>
      <c r="BD174" s="528" t="str">
        <f t="shared" si="178"/>
        <v/>
      </c>
      <c r="BE174" s="528" t="str">
        <f t="shared" si="178"/>
        <v/>
      </c>
      <c r="BF174" s="528" t="str">
        <f t="shared" si="178"/>
        <v/>
      </c>
      <c r="BG174" s="528" t="str">
        <f t="shared" si="178"/>
        <v/>
      </c>
      <c r="BH174" s="528" t="str">
        <f t="shared" si="178"/>
        <v/>
      </c>
      <c r="BI174" s="528" t="str">
        <f t="shared" si="178"/>
        <v/>
      </c>
      <c r="BJ174" s="528" t="str">
        <f t="shared" si="178"/>
        <v/>
      </c>
      <c r="BK174" s="528" t="str">
        <f t="shared" si="178"/>
        <v/>
      </c>
      <c r="BL174" s="528" t="str">
        <f t="shared" si="178"/>
        <v/>
      </c>
      <c r="BM174" s="528" t="str">
        <f t="shared" si="178"/>
        <v/>
      </c>
    </row>
    <row r="175" spans="6:65" ht="15.75" customHeight="1" x14ac:dyDescent="0.25">
      <c r="F175" s="197"/>
      <c r="G175" s="197">
        <f t="shared" si="3"/>
        <v>0</v>
      </c>
      <c r="H175" s="197">
        <f t="shared" si="4"/>
        <v>354</v>
      </c>
      <c r="I175" s="523">
        <v>1</v>
      </c>
      <c r="J175" s="533">
        <f>'Monthly DCF'!$I$3</f>
        <v>46418</v>
      </c>
      <c r="K175" s="533">
        <f t="shared" si="5"/>
        <v>47452</v>
      </c>
      <c r="L175" s="536">
        <f t="shared" si="149"/>
        <v>35</v>
      </c>
      <c r="M175" s="20" t="s">
        <v>366</v>
      </c>
      <c r="N175" s="20">
        <f t="shared" si="6"/>
        <v>8.75</v>
      </c>
      <c r="O175" s="537">
        <v>4</v>
      </c>
      <c r="P175" s="528">
        <f t="shared" ref="P175:BM175" si="179">IFERROR(+IF(AND($M175="Flat",P$5&gt;=$J175,P$5&lt;=$K175),$I175/$L175,0)+IF(AND($M175="S-Curve",P$5&gt;=$J175,P$5&lt;=$K175),(_xlfn.NORM.DIST((YEAR(P$5)-YEAR($J175))*12+MONTH(P$5)-MONTH($J175)+1,$L175/2,$N175,TRUE)-_xlfn.NORM.DIST((YEAR(P$5)-YEAR($J175))*12+MONTH(P$5)-MONTH($J175),$L175/2,$N175,TRUE))/(1-2*_xlfn.NORM.DIST(0,$L175/2,$N175,TRUE))*$I175," "),"")</f>
        <v>7.2463104678813766E-3</v>
      </c>
      <c r="Q175" s="528">
        <f t="shared" si="179"/>
        <v>8.9869035542830978E-3</v>
      </c>
      <c r="R175" s="528">
        <f t="shared" si="179"/>
        <v>1.1001121588067849E-2</v>
      </c>
      <c r="S175" s="528">
        <f t="shared" si="179"/>
        <v>1.3292222128154891E-2</v>
      </c>
      <c r="T175" s="528">
        <f t="shared" si="179"/>
        <v>1.5852288191238441E-2</v>
      </c>
      <c r="U175" s="528">
        <f t="shared" si="179"/>
        <v>1.8660362353288201E-2</v>
      </c>
      <c r="V175" s="528">
        <f t="shared" si="179"/>
        <v>2.1681130949851357E-2</v>
      </c>
      <c r="W175" s="528">
        <f t="shared" si="179"/>
        <v>2.4864374564370281E-2</v>
      </c>
      <c r="X175" s="528">
        <f t="shared" si="179"/>
        <v>2.8145365633571479E-2</v>
      </c>
      <c r="Y175" s="528">
        <f t="shared" si="179"/>
        <v>3.1446332321406228E-2</v>
      </c>
      <c r="Z175" s="528">
        <f t="shared" si="179"/>
        <v>3.4679023079251553E-2</v>
      </c>
      <c r="AA175" s="528">
        <f t="shared" si="179"/>
        <v>3.7748305473215969E-2</v>
      </c>
      <c r="AB175" s="528">
        <f t="shared" si="179"/>
        <v>4.0556626081142529E-2</v>
      </c>
      <c r="AC175" s="528">
        <f t="shared" si="179"/>
        <v>4.3009057835628028E-2</v>
      </c>
      <c r="AD175" s="528">
        <f t="shared" si="179"/>
        <v>4.5018579977533675E-2</v>
      </c>
      <c r="AE175" s="528">
        <f t="shared" si="179"/>
        <v>4.6511185383555156E-2</v>
      </c>
      <c r="AF175" s="528">
        <f t="shared" si="179"/>
        <v>4.7430398953469635E-2</v>
      </c>
      <c r="AG175" s="528">
        <f t="shared" si="179"/>
        <v>4.7740822928180507E-2</v>
      </c>
      <c r="AH175" s="528">
        <f t="shared" si="179"/>
        <v>4.7430398953469691E-2</v>
      </c>
      <c r="AI175" s="528">
        <f t="shared" si="179"/>
        <v>4.6511185383555156E-2</v>
      </c>
      <c r="AJ175" s="528">
        <f t="shared" si="179"/>
        <v>4.5018579977533731E-2</v>
      </c>
      <c r="AK175" s="528">
        <f t="shared" si="179"/>
        <v>4.3009057835628028E-2</v>
      </c>
      <c r="AL175" s="528">
        <f t="shared" si="179"/>
        <v>4.0556626081142411E-2</v>
      </c>
      <c r="AM175" s="528">
        <f t="shared" si="179"/>
        <v>3.7748305473216004E-2</v>
      </c>
      <c r="AN175" s="528">
        <f t="shared" si="179"/>
        <v>3.4679023079251609E-2</v>
      </c>
      <c r="AO175" s="528">
        <f t="shared" si="179"/>
        <v>3.1446332321406201E-2</v>
      </c>
      <c r="AP175" s="528">
        <f t="shared" si="179"/>
        <v>2.8145365633571451E-2</v>
      </c>
      <c r="AQ175" s="528">
        <f t="shared" si="179"/>
        <v>2.4864374564370368E-2</v>
      </c>
      <c r="AR175" s="528">
        <f t="shared" si="179"/>
        <v>2.168113094985127E-2</v>
      </c>
      <c r="AS175" s="528">
        <f t="shared" si="179"/>
        <v>1.8660362353288273E-2</v>
      </c>
      <c r="AT175" s="528">
        <f t="shared" si="179"/>
        <v>1.585228819123841E-2</v>
      </c>
      <c r="AU175" s="528">
        <f t="shared" si="179"/>
        <v>1.3292222128154875E-2</v>
      </c>
      <c r="AV175" s="528">
        <f t="shared" si="179"/>
        <v>1.1001121588067849E-2</v>
      </c>
      <c r="AW175" s="528">
        <f t="shared" si="179"/>
        <v>8.9869035542830839E-3</v>
      </c>
      <c r="AX175" s="528">
        <f t="shared" si="179"/>
        <v>7.2463104678813723E-3</v>
      </c>
      <c r="AY175" s="528" t="str">
        <f t="shared" si="179"/>
        <v/>
      </c>
      <c r="AZ175" s="528" t="str">
        <f t="shared" si="179"/>
        <v/>
      </c>
      <c r="BA175" s="528" t="str">
        <f t="shared" si="179"/>
        <v/>
      </c>
      <c r="BB175" s="528" t="str">
        <f t="shared" si="179"/>
        <v/>
      </c>
      <c r="BC175" s="528" t="str">
        <f t="shared" si="179"/>
        <v/>
      </c>
      <c r="BD175" s="528" t="str">
        <f t="shared" si="179"/>
        <v/>
      </c>
      <c r="BE175" s="528" t="str">
        <f t="shared" si="179"/>
        <v/>
      </c>
      <c r="BF175" s="528" t="str">
        <f t="shared" si="179"/>
        <v/>
      </c>
      <c r="BG175" s="528" t="str">
        <f t="shared" si="179"/>
        <v/>
      </c>
      <c r="BH175" s="528" t="str">
        <f t="shared" si="179"/>
        <v/>
      </c>
      <c r="BI175" s="528" t="str">
        <f t="shared" si="179"/>
        <v/>
      </c>
      <c r="BJ175" s="528" t="str">
        <f t="shared" si="179"/>
        <v/>
      </c>
      <c r="BK175" s="528" t="str">
        <f t="shared" si="179"/>
        <v/>
      </c>
      <c r="BL175" s="528" t="str">
        <f t="shared" si="179"/>
        <v/>
      </c>
      <c r="BM175" s="528" t="str">
        <f t="shared" si="179"/>
        <v/>
      </c>
    </row>
    <row r="176" spans="6:65" ht="15.75" customHeight="1" x14ac:dyDescent="0.25">
      <c r="F176" s="197"/>
      <c r="G176" s="197">
        <f t="shared" si="3"/>
        <v>0</v>
      </c>
      <c r="H176" s="197">
        <f t="shared" si="4"/>
        <v>364</v>
      </c>
      <c r="I176" s="523">
        <v>1</v>
      </c>
      <c r="J176" s="533">
        <f>'Monthly DCF'!$I$3</f>
        <v>46418</v>
      </c>
      <c r="K176" s="533">
        <f t="shared" si="5"/>
        <v>47483</v>
      </c>
      <c r="L176" s="536">
        <f t="shared" si="149"/>
        <v>36</v>
      </c>
      <c r="M176" s="20" t="s">
        <v>366</v>
      </c>
      <c r="N176" s="20">
        <f t="shared" si="6"/>
        <v>9</v>
      </c>
      <c r="O176" s="537">
        <v>4</v>
      </c>
      <c r="P176" s="528">
        <f t="shared" ref="P176:BM176" si="180">IFERROR(+IF(AND($M176="Flat",P$5&gt;=$J176,P$5&lt;=$K176),$I176/$L176,0)+IF(AND($M176="S-Curve",P$5&gt;=$J176,P$5&lt;=$K176),(_xlfn.NORM.DIST((YEAR(P$5)-YEAR($J176))*12+MONTH(P$5)-MONTH($J176)+1,$L176/2,$N176,TRUE)-_xlfn.NORM.DIST((YEAR(P$5)-YEAR($J176))*12+MONTH(P$5)-MONTH($J176),$L176/2,$N176,TRUE))/(1-2*_xlfn.NORM.DIST(0,$L176/2,$N176,TRUE))*$I176," "),"")</f>
        <v>7.0227650214079495E-3</v>
      </c>
      <c r="Q176" s="528">
        <f t="shared" si="180"/>
        <v>8.660893442794677E-3</v>
      </c>
      <c r="R176" s="528">
        <f t="shared" si="180"/>
        <v>1.0550209788974755E-2</v>
      </c>
      <c r="S176" s="528">
        <f t="shared" si="180"/>
        <v>1.2694141623776713E-2</v>
      </c>
      <c r="T176" s="528">
        <f t="shared" si="180"/>
        <v>1.5086532326993182E-2</v>
      </c>
      <c r="U176" s="528">
        <f t="shared" si="180"/>
        <v>1.7710032657805262E-2</v>
      </c>
      <c r="V176" s="528">
        <f t="shared" si="180"/>
        <v>2.053492605858678E-2</v>
      </c>
      <c r="W176" s="528">
        <f t="shared" si="180"/>
        <v>2.3518562471735636E-2</v>
      </c>
      <c r="X176" s="528">
        <f t="shared" si="180"/>
        <v>2.660555060247196E-2</v>
      </c>
      <c r="Y176" s="528">
        <f t="shared" si="180"/>
        <v>2.972881368183335E-2</v>
      </c>
      <c r="Z176" s="528">
        <f t="shared" si="180"/>
        <v>3.2811550837911319E-2</v>
      </c>
      <c r="AA176" s="528">
        <f t="shared" si="180"/>
        <v>3.5770069801084596E-2</v>
      </c>
      <c r="AB176" s="528">
        <f t="shared" si="180"/>
        <v>3.8517373883335516E-2</v>
      </c>
      <c r="AC176" s="528">
        <f t="shared" si="180"/>
        <v>4.0967305750692545E-2</v>
      </c>
      <c r="AD176" s="528">
        <f t="shared" si="180"/>
        <v>4.3038981935787347E-2</v>
      </c>
      <c r="AE176" s="528">
        <f t="shared" si="180"/>
        <v>4.4661204269364235E-2</v>
      </c>
      <c r="AF176" s="528">
        <f t="shared" si="180"/>
        <v>4.5776514577267155E-2</v>
      </c>
      <c r="AG176" s="528">
        <f t="shared" si="180"/>
        <v>4.6344571268177044E-2</v>
      </c>
      <c r="AH176" s="528">
        <f t="shared" si="180"/>
        <v>4.6344571268177044E-2</v>
      </c>
      <c r="AI176" s="528">
        <f t="shared" si="180"/>
        <v>4.5776514577267155E-2</v>
      </c>
      <c r="AJ176" s="528">
        <f t="shared" si="180"/>
        <v>4.4661204269364291E-2</v>
      </c>
      <c r="AK176" s="528">
        <f t="shared" si="180"/>
        <v>4.3038981935787292E-2</v>
      </c>
      <c r="AL176" s="528">
        <f t="shared" si="180"/>
        <v>4.0967305750692601E-2</v>
      </c>
      <c r="AM176" s="528">
        <f t="shared" si="180"/>
        <v>3.8517373883335461E-2</v>
      </c>
      <c r="AN176" s="528">
        <f t="shared" si="180"/>
        <v>3.5770069801084541E-2</v>
      </c>
      <c r="AO176" s="528">
        <f t="shared" si="180"/>
        <v>3.2811550837911346E-2</v>
      </c>
      <c r="AP176" s="528">
        <f t="shared" si="180"/>
        <v>2.9728813681833405E-2</v>
      </c>
      <c r="AQ176" s="528">
        <f t="shared" si="180"/>
        <v>2.6605550602471873E-2</v>
      </c>
      <c r="AR176" s="528">
        <f t="shared" si="180"/>
        <v>2.3518562471735636E-2</v>
      </c>
      <c r="AS176" s="528">
        <f t="shared" si="180"/>
        <v>2.0534926058586839E-2</v>
      </c>
      <c r="AT176" s="528">
        <f t="shared" si="180"/>
        <v>1.7710032657805248E-2</v>
      </c>
      <c r="AU176" s="528">
        <f t="shared" si="180"/>
        <v>1.5086532326993226E-2</v>
      </c>
      <c r="AV176" s="528">
        <f t="shared" si="180"/>
        <v>1.2694141623776693E-2</v>
      </c>
      <c r="AW176" s="528">
        <f t="shared" si="180"/>
        <v>1.0550209788974734E-2</v>
      </c>
      <c r="AX176" s="528">
        <f t="shared" si="180"/>
        <v>8.6608934427946579E-3</v>
      </c>
      <c r="AY176" s="528">
        <f t="shared" si="180"/>
        <v>7.0227650214079642E-3</v>
      </c>
      <c r="AZ176" s="528" t="str">
        <f t="shared" si="180"/>
        <v/>
      </c>
      <c r="BA176" s="528" t="str">
        <f t="shared" si="180"/>
        <v/>
      </c>
      <c r="BB176" s="528" t="str">
        <f t="shared" si="180"/>
        <v/>
      </c>
      <c r="BC176" s="528" t="str">
        <f t="shared" si="180"/>
        <v/>
      </c>
      <c r="BD176" s="528" t="str">
        <f t="shared" si="180"/>
        <v/>
      </c>
      <c r="BE176" s="528" t="str">
        <f t="shared" si="180"/>
        <v/>
      </c>
      <c r="BF176" s="528" t="str">
        <f t="shared" si="180"/>
        <v/>
      </c>
      <c r="BG176" s="528" t="str">
        <f t="shared" si="180"/>
        <v/>
      </c>
      <c r="BH176" s="528" t="str">
        <f t="shared" si="180"/>
        <v/>
      </c>
      <c r="BI176" s="528" t="str">
        <f t="shared" si="180"/>
        <v/>
      </c>
      <c r="BJ176" s="528" t="str">
        <f t="shared" si="180"/>
        <v/>
      </c>
      <c r="BK176" s="528" t="str">
        <f t="shared" si="180"/>
        <v/>
      </c>
      <c r="BL176" s="528" t="str">
        <f t="shared" si="180"/>
        <v/>
      </c>
      <c r="BM176" s="528" t="str">
        <f t="shared" si="180"/>
        <v/>
      </c>
    </row>
    <row r="177" spans="6:65" ht="15.75" customHeight="1" x14ac:dyDescent="0.25">
      <c r="F177" s="197"/>
      <c r="G177" s="197">
        <f t="shared" si="3"/>
        <v>0</v>
      </c>
      <c r="H177" s="197">
        <f t="shared" si="4"/>
        <v>374</v>
      </c>
      <c r="I177" s="523">
        <v>1</v>
      </c>
      <c r="J177" s="533">
        <f>'Monthly DCF'!$I$3</f>
        <v>46418</v>
      </c>
      <c r="K177" s="533">
        <f t="shared" si="5"/>
        <v>47514</v>
      </c>
      <c r="L177" s="536">
        <f t="shared" si="149"/>
        <v>37</v>
      </c>
      <c r="M177" s="20" t="s">
        <v>366</v>
      </c>
      <c r="N177" s="20">
        <f t="shared" si="6"/>
        <v>9.25</v>
      </c>
      <c r="O177" s="537">
        <v>4</v>
      </c>
      <c r="P177" s="528">
        <f t="shared" ref="P177:BM177" si="181">IFERROR(+IF(AND($M177="Flat",P$5&gt;=$J177,P$5&lt;=$K177),$I177/$L177,0)+IF(AND($M177="S-Curve",P$5&gt;=$J177,P$5&lt;=$K177),(_xlfn.NORM.DIST((YEAR(P$5)-YEAR($J177))*12+MONTH(P$5)-MONTH($J177)+1,$L177/2,$N177,TRUE)-_xlfn.NORM.DIST((YEAR(P$5)-YEAR($J177))*12+MONTH(P$5)-MONTH($J177),$L177/2,$N177,TRUE))/(1-2*_xlfn.NORM.DIST(0,$L177/2,$N177,TRUE))*$I177," "),"")</f>
        <v>6.8125332700633102E-3</v>
      </c>
      <c r="Q177" s="528">
        <f t="shared" si="181"/>
        <v>8.3569532165121939E-3</v>
      </c>
      <c r="R177" s="528">
        <f t="shared" si="181"/>
        <v>1.0132496915355463E-2</v>
      </c>
      <c r="S177" s="528">
        <f t="shared" si="181"/>
        <v>1.2142669238379171E-2</v>
      </c>
      <c r="T177" s="528">
        <f t="shared" si="181"/>
        <v>1.4382720035918147E-2</v>
      </c>
      <c r="U177" s="528">
        <f t="shared" si="181"/>
        <v>1.6838254381040276E-2</v>
      </c>
      <c r="V177" s="528">
        <f t="shared" si="181"/>
        <v>1.9484186785101516E-2</v>
      </c>
      <c r="W177" s="528">
        <f t="shared" si="181"/>
        <v>2.2284181229160916E-2</v>
      </c>
      <c r="X177" s="528">
        <f t="shared" si="181"/>
        <v>2.5190701369928344E-2</v>
      </c>
      <c r="Y177" s="528">
        <f t="shared" si="181"/>
        <v>2.8145762464321017E-2</v>
      </c>
      <c r="Z177" s="528">
        <f t="shared" si="181"/>
        <v>3.1082429577763332E-2</v>
      </c>
      <c r="AA177" s="528">
        <f t="shared" si="181"/>
        <v>3.3927048587122484E-2</v>
      </c>
      <c r="AB177" s="528">
        <f t="shared" si="181"/>
        <v>3.6602132243258256E-2</v>
      </c>
      <c r="AC177" s="528">
        <f t="shared" si="181"/>
        <v>3.9029759387809913E-2</v>
      </c>
      <c r="AD177" s="528">
        <f t="shared" si="181"/>
        <v>4.1135288309867526E-2</v>
      </c>
      <c r="AE177" s="528">
        <f t="shared" si="181"/>
        <v>4.2851142038842313E-2</v>
      </c>
      <c r="AF177" s="528">
        <f t="shared" si="181"/>
        <v>4.4120399916187832E-2</v>
      </c>
      <c r="AG177" s="528">
        <f t="shared" si="181"/>
        <v>4.4899929995506405E-2</v>
      </c>
      <c r="AH177" s="528">
        <f t="shared" si="181"/>
        <v>4.5162822075723266E-2</v>
      </c>
      <c r="AI177" s="528">
        <f t="shared" si="181"/>
        <v>4.4899929995506349E-2</v>
      </c>
      <c r="AJ177" s="528">
        <f t="shared" si="181"/>
        <v>4.4120399916187832E-2</v>
      </c>
      <c r="AK177" s="528">
        <f t="shared" si="181"/>
        <v>4.2851142038842369E-2</v>
      </c>
      <c r="AL177" s="528">
        <f t="shared" si="181"/>
        <v>4.1135288309867464E-2</v>
      </c>
      <c r="AM177" s="528">
        <f t="shared" si="181"/>
        <v>3.9029759387809913E-2</v>
      </c>
      <c r="AN177" s="528">
        <f t="shared" si="181"/>
        <v>3.6602132243258319E-2</v>
      </c>
      <c r="AO177" s="528">
        <f t="shared" si="181"/>
        <v>3.3927048587122421E-2</v>
      </c>
      <c r="AP177" s="528">
        <f t="shared" si="181"/>
        <v>3.1082429577763391E-2</v>
      </c>
      <c r="AQ177" s="528">
        <f t="shared" si="181"/>
        <v>2.8145762464320986E-2</v>
      </c>
      <c r="AR177" s="528">
        <f t="shared" si="181"/>
        <v>2.5190701369928375E-2</v>
      </c>
      <c r="AS177" s="528">
        <f t="shared" si="181"/>
        <v>2.2284181229160829E-2</v>
      </c>
      <c r="AT177" s="528">
        <f t="shared" si="181"/>
        <v>1.9484186785101516E-2</v>
      </c>
      <c r="AU177" s="528">
        <f t="shared" si="181"/>
        <v>1.6838254381040304E-2</v>
      </c>
      <c r="AV177" s="528">
        <f t="shared" si="181"/>
        <v>1.4382720035918183E-2</v>
      </c>
      <c r="AW177" s="528">
        <f t="shared" si="181"/>
        <v>1.2142669238379098E-2</v>
      </c>
      <c r="AX177" s="528">
        <f t="shared" si="181"/>
        <v>1.0132496915355499E-2</v>
      </c>
      <c r="AY177" s="528">
        <f t="shared" si="181"/>
        <v>8.3569532165121835E-3</v>
      </c>
      <c r="AZ177" s="528">
        <f t="shared" si="181"/>
        <v>6.8125332700633033E-3</v>
      </c>
      <c r="BA177" s="528" t="str">
        <f t="shared" si="181"/>
        <v/>
      </c>
      <c r="BB177" s="528" t="str">
        <f t="shared" si="181"/>
        <v/>
      </c>
      <c r="BC177" s="528" t="str">
        <f t="shared" si="181"/>
        <v/>
      </c>
      <c r="BD177" s="528" t="str">
        <f t="shared" si="181"/>
        <v/>
      </c>
      <c r="BE177" s="528" t="str">
        <f t="shared" si="181"/>
        <v/>
      </c>
      <c r="BF177" s="528" t="str">
        <f t="shared" si="181"/>
        <v/>
      </c>
      <c r="BG177" s="528" t="str">
        <f t="shared" si="181"/>
        <v/>
      </c>
      <c r="BH177" s="528" t="str">
        <f t="shared" si="181"/>
        <v/>
      </c>
      <c r="BI177" s="528" t="str">
        <f t="shared" si="181"/>
        <v/>
      </c>
      <c r="BJ177" s="528" t="str">
        <f t="shared" si="181"/>
        <v/>
      </c>
      <c r="BK177" s="528" t="str">
        <f t="shared" si="181"/>
        <v/>
      </c>
      <c r="BL177" s="528" t="str">
        <f t="shared" si="181"/>
        <v/>
      </c>
      <c r="BM177" s="528" t="str">
        <f t="shared" si="181"/>
        <v/>
      </c>
    </row>
    <row r="178" spans="6:65" ht="15.75" customHeight="1" x14ac:dyDescent="0.25">
      <c r="F178" s="197"/>
      <c r="G178" s="197">
        <f t="shared" si="3"/>
        <v>0</v>
      </c>
      <c r="H178" s="197">
        <f t="shared" si="4"/>
        <v>384</v>
      </c>
      <c r="I178" s="523">
        <v>1</v>
      </c>
      <c r="J178" s="533">
        <f>'Monthly DCF'!$I$3</f>
        <v>46418</v>
      </c>
      <c r="K178" s="533">
        <f t="shared" si="5"/>
        <v>47542</v>
      </c>
      <c r="L178" s="536">
        <f t="shared" si="149"/>
        <v>38</v>
      </c>
      <c r="M178" s="20" t="s">
        <v>366</v>
      </c>
      <c r="N178" s="20">
        <f t="shared" si="6"/>
        <v>9.5</v>
      </c>
      <c r="O178" s="537">
        <v>4</v>
      </c>
      <c r="P178" s="528">
        <f t="shared" ref="P178:BM178" si="182">IFERROR(+IF(AND($M178="Flat",P$5&gt;=$J178,P$5&lt;=$K178),$I178/$L178,0)+IF(AND($M178="S-Curve",P$5&gt;=$J178,P$5&lt;=$K178),(_xlfn.NORM.DIST((YEAR(P$5)-YEAR($J178))*12+MONTH(P$5)-MONTH($J178)+1,$L178/2,$N178,TRUE)-_xlfn.NORM.DIST((YEAR(P$5)-YEAR($J178))*12+MONTH(P$5)-MONTH($J178),$L178/2,$N178,TRUE))/(1-2*_xlfn.NORM.DIST(0,$L178/2,$N178,TRUE))*$I178," "),"")</f>
        <v>6.6144650630379585E-3</v>
      </c>
      <c r="Q178" s="528">
        <f t="shared" si="182"/>
        <v>8.0729659263807235E-3</v>
      </c>
      <c r="R178" s="528">
        <f t="shared" si="182"/>
        <v>9.7445955441463131E-3</v>
      </c>
      <c r="S178" s="528">
        <f t="shared" si="182"/>
        <v>1.1632868637011854E-2</v>
      </c>
      <c r="T178" s="528">
        <f t="shared" si="182"/>
        <v>1.3734161108068743E-2</v>
      </c>
      <c r="U178" s="528">
        <f t="shared" si="182"/>
        <v>1.6036506327878113E-2</v>
      </c>
      <c r="V178" s="528">
        <f t="shared" si="182"/>
        <v>1.8518665701317258E-2</v>
      </c>
      <c r="W178" s="528">
        <f t="shared" si="182"/>
        <v>2.1149589090026875E-2</v>
      </c>
      <c r="X178" s="528">
        <f t="shared" si="182"/>
        <v>2.3888368343242893E-2</v>
      </c>
      <c r="Y178" s="528">
        <f t="shared" si="182"/>
        <v>2.6684763087767294E-2</v>
      </c>
      <c r="Z178" s="528">
        <f t="shared" si="182"/>
        <v>2.9480342706383039E-2</v>
      </c>
      <c r="AA178" s="528">
        <f t="shared" si="182"/>
        <v>3.2210244153804433E-2</v>
      </c>
      <c r="AB178" s="528">
        <f t="shared" si="182"/>
        <v>3.4805495322265893E-2</v>
      </c>
      <c r="AC178" s="528">
        <f t="shared" si="182"/>
        <v>3.7195802566084457E-2</v>
      </c>
      <c r="AD178" s="528">
        <f t="shared" si="182"/>
        <v>3.9312653871498647E-2</v>
      </c>
      <c r="AE178" s="528">
        <f t="shared" si="182"/>
        <v>4.1092551239852955E-2</v>
      </c>
      <c r="AF178" s="528">
        <f t="shared" si="182"/>
        <v>4.2480161798429381E-2</v>
      </c>
      <c r="AG178" s="528">
        <f t="shared" si="182"/>
        <v>4.3431170430554229E-2</v>
      </c>
      <c r="AH178" s="528">
        <f t="shared" si="182"/>
        <v>4.3914629082248961E-2</v>
      </c>
      <c r="AI178" s="528">
        <f t="shared" si="182"/>
        <v>4.3914629082249017E-2</v>
      </c>
      <c r="AJ178" s="528">
        <f t="shared" si="182"/>
        <v>4.3431170430554174E-2</v>
      </c>
      <c r="AK178" s="528">
        <f t="shared" si="182"/>
        <v>4.2480161798429318E-2</v>
      </c>
      <c r="AL178" s="528">
        <f t="shared" si="182"/>
        <v>4.1092551239853073E-2</v>
      </c>
      <c r="AM178" s="528">
        <f t="shared" si="182"/>
        <v>3.9312653871498647E-2</v>
      </c>
      <c r="AN178" s="528">
        <f t="shared" si="182"/>
        <v>3.7195802566084395E-2</v>
      </c>
      <c r="AO178" s="528">
        <f t="shared" si="182"/>
        <v>3.4805495322265921E-2</v>
      </c>
      <c r="AP178" s="528">
        <f t="shared" si="182"/>
        <v>3.2210244153804406E-2</v>
      </c>
      <c r="AQ178" s="528">
        <f t="shared" si="182"/>
        <v>2.9480342706383039E-2</v>
      </c>
      <c r="AR178" s="528">
        <f t="shared" si="182"/>
        <v>2.6684763087767294E-2</v>
      </c>
      <c r="AS178" s="528">
        <f t="shared" si="182"/>
        <v>2.388836834324292E-2</v>
      </c>
      <c r="AT178" s="528">
        <f t="shared" si="182"/>
        <v>2.1149589090026906E-2</v>
      </c>
      <c r="AU178" s="528">
        <f t="shared" si="182"/>
        <v>1.8518665701317244E-2</v>
      </c>
      <c r="AV178" s="528">
        <f t="shared" si="182"/>
        <v>1.603650632787804E-2</v>
      </c>
      <c r="AW178" s="528">
        <f t="shared" si="182"/>
        <v>1.3734161108068736E-2</v>
      </c>
      <c r="AX178" s="528">
        <f t="shared" si="182"/>
        <v>1.1632868637011899E-2</v>
      </c>
      <c r="AY178" s="528">
        <f t="shared" si="182"/>
        <v>9.7445955441462766E-3</v>
      </c>
      <c r="AZ178" s="528">
        <f t="shared" si="182"/>
        <v>8.0729659263807565E-3</v>
      </c>
      <c r="BA178" s="528">
        <f t="shared" si="182"/>
        <v>6.6144650630379368E-3</v>
      </c>
      <c r="BB178" s="528" t="str">
        <f t="shared" si="182"/>
        <v/>
      </c>
      <c r="BC178" s="528" t="str">
        <f t="shared" si="182"/>
        <v/>
      </c>
      <c r="BD178" s="528" t="str">
        <f t="shared" si="182"/>
        <v/>
      </c>
      <c r="BE178" s="528" t="str">
        <f t="shared" si="182"/>
        <v/>
      </c>
      <c r="BF178" s="528" t="str">
        <f t="shared" si="182"/>
        <v/>
      </c>
      <c r="BG178" s="528" t="str">
        <f t="shared" si="182"/>
        <v/>
      </c>
      <c r="BH178" s="528" t="str">
        <f t="shared" si="182"/>
        <v/>
      </c>
      <c r="BI178" s="528" t="str">
        <f t="shared" si="182"/>
        <v/>
      </c>
      <c r="BJ178" s="528" t="str">
        <f t="shared" si="182"/>
        <v/>
      </c>
      <c r="BK178" s="528" t="str">
        <f t="shared" si="182"/>
        <v/>
      </c>
      <c r="BL178" s="528" t="str">
        <f t="shared" si="182"/>
        <v/>
      </c>
      <c r="BM178" s="528" t="str">
        <f t="shared" si="182"/>
        <v/>
      </c>
    </row>
    <row r="179" spans="6:65" ht="15.75" customHeight="1" x14ac:dyDescent="0.25">
      <c r="F179" s="197"/>
      <c r="G179" s="197">
        <f t="shared" si="3"/>
        <v>0</v>
      </c>
      <c r="H179" s="197">
        <f t="shared" si="4"/>
        <v>394</v>
      </c>
      <c r="I179" s="523">
        <v>1</v>
      </c>
      <c r="J179" s="533">
        <f>'Monthly DCF'!$I$3</f>
        <v>46418</v>
      </c>
      <c r="K179" s="533">
        <f t="shared" si="5"/>
        <v>47573</v>
      </c>
      <c r="L179" s="536">
        <f t="shared" si="149"/>
        <v>39</v>
      </c>
      <c r="M179" s="20" t="s">
        <v>366</v>
      </c>
      <c r="N179" s="20">
        <f t="shared" si="6"/>
        <v>9.75</v>
      </c>
      <c r="O179" s="537">
        <v>4</v>
      </c>
      <c r="P179" s="528">
        <f t="shared" ref="P179:BM179" si="183">IFERROR(+IF(AND($M179="Flat",P$5&gt;=$J179,P$5&lt;=$K179),$I179/$L179,0)+IF(AND($M179="S-Curve",P$5&gt;=$J179,P$5&lt;=$K179),(_xlfn.NORM.DIST((YEAR(P$5)-YEAR($J179))*12+MONTH(P$5)-MONTH($J179)+1,$L179/2,$N179,TRUE)-_xlfn.NORM.DIST((YEAR(P$5)-YEAR($J179))*12+MONTH(P$5)-MONTH($J179),$L179/2,$N179,TRUE))/(1-2*_xlfn.NORM.DIST(0,$L179/2,$N179,TRUE))*$I179," "),"")</f>
        <v>6.4275385578486431E-3</v>
      </c>
      <c r="Q179" s="528">
        <f t="shared" si="183"/>
        <v>7.8070723868652533E-3</v>
      </c>
      <c r="R179" s="528">
        <f t="shared" si="183"/>
        <v>9.3835506533212036E-3</v>
      </c>
      <c r="S179" s="528">
        <f t="shared" si="183"/>
        <v>1.1160449355428009E-2</v>
      </c>
      <c r="T179" s="528">
        <f t="shared" si="183"/>
        <v>1.3135047325434785E-2</v>
      </c>
      <c r="U179" s="528">
        <f t="shared" si="183"/>
        <v>1.5297381086656776E-2</v>
      </c>
      <c r="V179" s="528">
        <f t="shared" si="183"/>
        <v>1.7629419567410588E-2</v>
      </c>
      <c r="W179" s="528">
        <f t="shared" si="183"/>
        <v>2.0104553210017247E-2</v>
      </c>
      <c r="X179" s="528">
        <f t="shared" si="183"/>
        <v>2.2687483334228032E-2</v>
      </c>
      <c r="Y179" s="528">
        <f t="shared" si="183"/>
        <v>2.5334579838270695E-2</v>
      </c>
      <c r="Z179" s="528">
        <f t="shared" si="183"/>
        <v>2.7994748797948162E-2</v>
      </c>
      <c r="AA179" s="528">
        <f t="shared" si="183"/>
        <v>3.0610817627738509E-2</v>
      </c>
      <c r="AB179" s="528">
        <f t="shared" si="183"/>
        <v>3.3121406574208277E-2</v>
      </c>
      <c r="AC179" s="528">
        <f t="shared" si="183"/>
        <v>3.5463214648172134E-2</v>
      </c>
      <c r="AD179" s="528">
        <f t="shared" si="183"/>
        <v>3.757360946092652E-2</v>
      </c>
      <c r="AE179" s="528">
        <f t="shared" si="183"/>
        <v>3.9393377779744498E-2</v>
      </c>
      <c r="AF179" s="528">
        <f t="shared" si="183"/>
        <v>4.0869470647866675E-2</v>
      </c>
      <c r="AG179" s="528">
        <f t="shared" si="183"/>
        <v>4.195756657445774E-2</v>
      </c>
      <c r="AH179" s="528">
        <f t="shared" si="183"/>
        <v>4.2624280398600972E-2</v>
      </c>
      <c r="AI179" s="528">
        <f t="shared" si="183"/>
        <v>4.2848864349710601E-2</v>
      </c>
      <c r="AJ179" s="528">
        <f t="shared" si="183"/>
        <v>4.2624280398600917E-2</v>
      </c>
      <c r="AK179" s="528">
        <f t="shared" si="183"/>
        <v>4.1957566574457796E-2</v>
      </c>
      <c r="AL179" s="528">
        <f t="shared" si="183"/>
        <v>4.0869470647866675E-2</v>
      </c>
      <c r="AM179" s="528">
        <f t="shared" si="183"/>
        <v>3.9393377779744498E-2</v>
      </c>
      <c r="AN179" s="528">
        <f t="shared" si="183"/>
        <v>3.757360946092652E-2</v>
      </c>
      <c r="AO179" s="528">
        <f t="shared" si="183"/>
        <v>3.5463214648172134E-2</v>
      </c>
      <c r="AP179" s="528">
        <f t="shared" si="183"/>
        <v>3.3121406574208249E-2</v>
      </c>
      <c r="AQ179" s="528">
        <f t="shared" si="183"/>
        <v>3.0610817627738509E-2</v>
      </c>
      <c r="AR179" s="528">
        <f t="shared" si="183"/>
        <v>2.7994748797948218E-2</v>
      </c>
      <c r="AS179" s="528">
        <f t="shared" si="183"/>
        <v>2.5334579838270668E-2</v>
      </c>
      <c r="AT179" s="528">
        <f t="shared" si="183"/>
        <v>2.2687483334228032E-2</v>
      </c>
      <c r="AU179" s="528">
        <f t="shared" si="183"/>
        <v>2.0104553210017233E-2</v>
      </c>
      <c r="AV179" s="528">
        <f t="shared" si="183"/>
        <v>1.7629419567410588E-2</v>
      </c>
      <c r="AW179" s="528">
        <f t="shared" si="183"/>
        <v>1.529738108665679E-2</v>
      </c>
      <c r="AX179" s="528">
        <f t="shared" si="183"/>
        <v>1.3135047325434735E-2</v>
      </c>
      <c r="AY179" s="528">
        <f t="shared" si="183"/>
        <v>1.1160449355428096E-2</v>
      </c>
      <c r="AZ179" s="528">
        <f t="shared" si="183"/>
        <v>9.3835506533211446E-3</v>
      </c>
      <c r="BA179" s="528">
        <f t="shared" si="183"/>
        <v>7.8070723868653002E-3</v>
      </c>
      <c r="BB179" s="528">
        <f t="shared" si="183"/>
        <v>6.4275385578485989E-3</v>
      </c>
      <c r="BC179" s="528" t="str">
        <f t="shared" si="183"/>
        <v/>
      </c>
      <c r="BD179" s="528" t="str">
        <f t="shared" si="183"/>
        <v/>
      </c>
      <c r="BE179" s="528" t="str">
        <f t="shared" si="183"/>
        <v/>
      </c>
      <c r="BF179" s="528" t="str">
        <f t="shared" si="183"/>
        <v/>
      </c>
      <c r="BG179" s="528" t="str">
        <f t="shared" si="183"/>
        <v/>
      </c>
      <c r="BH179" s="528" t="str">
        <f t="shared" si="183"/>
        <v/>
      </c>
      <c r="BI179" s="528" t="str">
        <f t="shared" si="183"/>
        <v/>
      </c>
      <c r="BJ179" s="528" t="str">
        <f t="shared" si="183"/>
        <v/>
      </c>
      <c r="BK179" s="528" t="str">
        <f t="shared" si="183"/>
        <v/>
      </c>
      <c r="BL179" s="528" t="str">
        <f t="shared" si="183"/>
        <v/>
      </c>
      <c r="BM179" s="528" t="str">
        <f t="shared" si="183"/>
        <v/>
      </c>
    </row>
    <row r="180" spans="6:65" ht="15.75" customHeight="1" x14ac:dyDescent="0.25">
      <c r="F180" s="197"/>
      <c r="G180" s="197">
        <f t="shared" si="3"/>
        <v>0</v>
      </c>
      <c r="H180" s="197">
        <f t="shared" si="4"/>
        <v>404</v>
      </c>
      <c r="I180" s="523">
        <v>1</v>
      </c>
      <c r="J180" s="533">
        <f>'Monthly DCF'!$I$3</f>
        <v>46418</v>
      </c>
      <c r="K180" s="533">
        <f t="shared" si="5"/>
        <v>47603</v>
      </c>
      <c r="L180" s="536">
        <f t="shared" si="149"/>
        <v>40</v>
      </c>
      <c r="M180" s="20" t="s">
        <v>366</v>
      </c>
      <c r="N180" s="20">
        <f t="shared" si="6"/>
        <v>10</v>
      </c>
      <c r="O180" s="537">
        <v>4</v>
      </c>
      <c r="P180" s="528">
        <f t="shared" ref="P180:BM180" si="184">IFERROR(+IF(AND($M180="Flat",P$5&gt;=$J180,P$5&lt;=$K180),$I180/$L180,0)+IF(AND($M180="S-Curve",P$5&gt;=$J180,P$5&lt;=$K180),(_xlfn.NORM.DIST((YEAR(P$5)-YEAR($J180))*12+MONTH(P$5)-MONTH($J180)+1,$L180/2,$N180,TRUE)-_xlfn.NORM.DIST((YEAR(P$5)-YEAR($J180))*12+MONTH(P$5)-MONTH($J180),$L180/2,$N180,TRUE))/(1-2*_xlfn.NORM.DIST(0,$L180/2,$N180,TRUE))*$I180," "),"")</f>
        <v>6.2508428678860958E-3</v>
      </c>
      <c r="Q180" s="528">
        <f t="shared" si="184"/>
        <v>7.5576336211167936E-3</v>
      </c>
      <c r="R180" s="528">
        <f t="shared" si="184"/>
        <v>9.0467742619466055E-3</v>
      </c>
      <c r="S180" s="528">
        <f t="shared" si="184"/>
        <v>1.0721667648427422E-2</v>
      </c>
      <c r="T180" s="528">
        <f t="shared" si="184"/>
        <v>1.2580317327606099E-2</v>
      </c>
      <c r="U180" s="528">
        <f t="shared" si="184"/>
        <v>1.4614417833006434E-2</v>
      </c>
      <c r="V180" s="528">
        <f t="shared" si="184"/>
        <v>1.6808622092795624E-2</v>
      </c>
      <c r="W180" s="528">
        <f t="shared" si="184"/>
        <v>1.9140063579980136E-2</v>
      </c>
      <c r="X180" s="528">
        <f t="shared" si="184"/>
        <v>2.1578204734503947E-2</v>
      </c>
      <c r="Y180" s="528">
        <f t="shared" si="184"/>
        <v>2.4085070027277757E-2</v>
      </c>
      <c r="Z180" s="528">
        <f t="shared" si="184"/>
        <v>2.6615901979195514E-2</v>
      </c>
      <c r="AA180" s="528">
        <f t="shared" si="184"/>
        <v>2.9120252405830983E-2</v>
      </c>
      <c r="AB180" s="528">
        <f t="shared" si="184"/>
        <v>3.154349079506414E-2</v>
      </c>
      <c r="AC180" s="528">
        <f t="shared" si="184"/>
        <v>3.3828679365391162E-2</v>
      </c>
      <c r="AD180" s="528">
        <f t="shared" si="184"/>
        <v>3.59187327969996E-2</v>
      </c>
      <c r="AE180" s="528">
        <f t="shared" si="184"/>
        <v>3.7758752884322962E-2</v>
      </c>
      <c r="AF180" s="528">
        <f t="shared" si="184"/>
        <v>3.9298407325383075E-2</v>
      </c>
      <c r="AG180" s="528">
        <f t="shared" si="184"/>
        <v>4.0494209990701087E-2</v>
      </c>
      <c r="AH180" s="528">
        <f t="shared" si="184"/>
        <v>4.1311558998474635E-2</v>
      </c>
      <c r="AI180" s="528">
        <f t="shared" si="184"/>
        <v>4.1726399464089951E-2</v>
      </c>
      <c r="AJ180" s="528">
        <f t="shared" si="184"/>
        <v>4.1726399464089951E-2</v>
      </c>
      <c r="AK180" s="528">
        <f t="shared" si="184"/>
        <v>4.1311558998474572E-2</v>
      </c>
      <c r="AL180" s="528">
        <f t="shared" si="184"/>
        <v>4.0494209990701142E-2</v>
      </c>
      <c r="AM180" s="528">
        <f t="shared" si="184"/>
        <v>3.9298407325383138E-2</v>
      </c>
      <c r="AN180" s="528">
        <f t="shared" si="184"/>
        <v>3.7758752884322899E-2</v>
      </c>
      <c r="AO180" s="528">
        <f t="shared" si="184"/>
        <v>3.59187327969996E-2</v>
      </c>
      <c r="AP180" s="528">
        <f t="shared" si="184"/>
        <v>3.3828679365391107E-2</v>
      </c>
      <c r="AQ180" s="528">
        <f t="shared" si="184"/>
        <v>3.1543490795064168E-2</v>
      </c>
      <c r="AR180" s="528">
        <f t="shared" si="184"/>
        <v>2.9120252405830983E-2</v>
      </c>
      <c r="AS180" s="528">
        <f t="shared" si="184"/>
        <v>2.6615901979195573E-2</v>
      </c>
      <c r="AT180" s="528">
        <f t="shared" si="184"/>
        <v>2.4085070027277698E-2</v>
      </c>
      <c r="AU180" s="528">
        <f t="shared" si="184"/>
        <v>2.1578204734504034E-2</v>
      </c>
      <c r="AV180" s="528">
        <f t="shared" si="184"/>
        <v>1.9140063579980091E-2</v>
      </c>
      <c r="AW180" s="528">
        <f t="shared" si="184"/>
        <v>1.6808622092795596E-2</v>
      </c>
      <c r="AX180" s="528">
        <f t="shared" si="184"/>
        <v>1.461441783300642E-2</v>
      </c>
      <c r="AY180" s="528">
        <f t="shared" si="184"/>
        <v>1.2580317327606099E-2</v>
      </c>
      <c r="AZ180" s="528">
        <f t="shared" si="184"/>
        <v>1.0721667648427488E-2</v>
      </c>
      <c r="BA180" s="528">
        <f t="shared" si="184"/>
        <v>9.0467742619465916E-3</v>
      </c>
      <c r="BB180" s="528">
        <f t="shared" si="184"/>
        <v>7.5576336211167173E-3</v>
      </c>
      <c r="BC180" s="528">
        <f t="shared" si="184"/>
        <v>6.2508428678861323E-3</v>
      </c>
      <c r="BD180" s="528" t="str">
        <f t="shared" si="184"/>
        <v/>
      </c>
      <c r="BE180" s="528" t="str">
        <f t="shared" si="184"/>
        <v/>
      </c>
      <c r="BF180" s="528" t="str">
        <f t="shared" si="184"/>
        <v/>
      </c>
      <c r="BG180" s="528" t="str">
        <f t="shared" si="184"/>
        <v/>
      </c>
      <c r="BH180" s="528" t="str">
        <f t="shared" si="184"/>
        <v/>
      </c>
      <c r="BI180" s="528" t="str">
        <f t="shared" si="184"/>
        <v/>
      </c>
      <c r="BJ180" s="528" t="str">
        <f t="shared" si="184"/>
        <v/>
      </c>
      <c r="BK180" s="528" t="str">
        <f t="shared" si="184"/>
        <v/>
      </c>
      <c r="BL180" s="528" t="str">
        <f t="shared" si="184"/>
        <v/>
      </c>
      <c r="BM180" s="528" t="str">
        <f t="shared" si="184"/>
        <v/>
      </c>
    </row>
    <row r="181" spans="6:65" ht="15.75" customHeight="1" x14ac:dyDescent="0.25">
      <c r="F181" s="197"/>
      <c r="G181" s="197">
        <f t="shared" si="3"/>
        <v>0</v>
      </c>
      <c r="H181" s="197">
        <f t="shared" si="4"/>
        <v>414</v>
      </c>
      <c r="I181" s="523">
        <v>1</v>
      </c>
      <c r="J181" s="533">
        <f>'Monthly DCF'!$I$3</f>
        <v>46418</v>
      </c>
      <c r="K181" s="533">
        <f t="shared" si="5"/>
        <v>47634</v>
      </c>
      <c r="L181" s="536">
        <f t="shared" si="149"/>
        <v>41</v>
      </c>
      <c r="M181" s="20" t="s">
        <v>366</v>
      </c>
      <c r="N181" s="20">
        <f t="shared" si="6"/>
        <v>10.25</v>
      </c>
      <c r="O181" s="537">
        <v>4</v>
      </c>
      <c r="P181" s="528">
        <f t="shared" ref="P181:BM181" si="185">IFERROR(+IF(AND($M181="Flat",P$5&gt;=$J181,P$5&lt;=$K181),$I181/$L181,0)+IF(AND($M181="S-Curve",P$5&gt;=$J181,P$5&lt;=$K181),(_xlfn.NORM.DIST((YEAR(P$5)-YEAR($J181))*12+MONTH(P$5)-MONTH($J181)+1,$L181/2,$N181,TRUE)-_xlfn.NORM.DIST((YEAR(P$5)-YEAR($J181))*12+MONTH(P$5)-MONTH($J181),$L181/2,$N181,TRUE))/(1-2*_xlfn.NORM.DIST(0,$L181/2,$N181,TRUE))*$I181," "),"")</f>
        <v>6.0835634444085032E-3</v>
      </c>
      <c r="Q181" s="528">
        <f t="shared" si="185"/>
        <v>7.3231996164092508E-3</v>
      </c>
      <c r="R181" s="528">
        <f t="shared" si="185"/>
        <v>8.7319913742829828E-3</v>
      </c>
      <c r="S181" s="528">
        <f t="shared" si="185"/>
        <v>1.0313244627423652E-2</v>
      </c>
      <c r="T181" s="528">
        <f t="shared" si="185"/>
        <v>1.2065544796825839E-2</v>
      </c>
      <c r="U181" s="528">
        <f t="shared" si="185"/>
        <v>1.3981963051960705E-2</v>
      </c>
      <c r="V181" s="528">
        <f t="shared" si="185"/>
        <v>1.6049405901824822E-2</v>
      </c>
      <c r="W181" s="528">
        <f t="shared" si="185"/>
        <v>1.8248172131743116E-2</v>
      </c>
      <c r="X181" s="528">
        <f t="shared" si="185"/>
        <v>2.0551776804742568E-2</v>
      </c>
      <c r="Y181" s="528">
        <f t="shared" si="185"/>
        <v>2.2927092271395836E-2</v>
      </c>
      <c r="Z181" s="528">
        <f t="shared" si="185"/>
        <v>2.5334840903163878E-2</v>
      </c>
      <c r="AA181" s="528">
        <f t="shared" si="185"/>
        <v>2.7730454183493458E-2</v>
      </c>
      <c r="AB181" s="528">
        <f t="shared" si="185"/>
        <v>3.0065289026049446E-2</v>
      </c>
      <c r="AC181" s="528">
        <f t="shared" si="185"/>
        <v>3.2288166420333206E-2</v>
      </c>
      <c r="AD181" s="528">
        <f t="shared" si="185"/>
        <v>3.4347171801878663E-2</v>
      </c>
      <c r="AE181" s="528">
        <f t="shared" si="185"/>
        <v>3.619163318675634E-2</v>
      </c>
      <c r="AF181" s="528">
        <f t="shared" si="185"/>
        <v>3.777417436193406E-2</v>
      </c>
      <c r="AG181" s="528">
        <f t="shared" si="185"/>
        <v>3.9052728287974195E-2</v>
      </c>
      <c r="AH181" s="528">
        <f t="shared" si="185"/>
        <v>3.9992391858289449E-2</v>
      </c>
      <c r="AI181" s="528">
        <f t="shared" si="185"/>
        <v>4.0567008091362294E-2</v>
      </c>
      <c r="AJ181" s="528">
        <f t="shared" si="185"/>
        <v>4.0760375715495512E-2</v>
      </c>
      <c r="AK181" s="528">
        <f t="shared" si="185"/>
        <v>4.0567008091362294E-2</v>
      </c>
      <c r="AL181" s="528">
        <f t="shared" si="185"/>
        <v>3.9992391858289504E-2</v>
      </c>
      <c r="AM181" s="528">
        <f t="shared" si="185"/>
        <v>3.9052728287974139E-2</v>
      </c>
      <c r="AN181" s="528">
        <f t="shared" si="185"/>
        <v>3.777417436193406E-2</v>
      </c>
      <c r="AO181" s="528">
        <f t="shared" si="185"/>
        <v>3.619163318675634E-2</v>
      </c>
      <c r="AP181" s="528">
        <f t="shared" si="185"/>
        <v>3.4347171801878663E-2</v>
      </c>
      <c r="AQ181" s="528">
        <f t="shared" si="185"/>
        <v>3.2288166420333261E-2</v>
      </c>
      <c r="AR181" s="528">
        <f t="shared" si="185"/>
        <v>3.0065289026049328E-2</v>
      </c>
      <c r="AS181" s="528">
        <f t="shared" si="185"/>
        <v>2.7730454183493517E-2</v>
      </c>
      <c r="AT181" s="528">
        <f t="shared" si="185"/>
        <v>2.5334840903163847E-2</v>
      </c>
      <c r="AU181" s="528">
        <f t="shared" si="185"/>
        <v>2.2927092271395895E-2</v>
      </c>
      <c r="AV181" s="528">
        <f t="shared" si="185"/>
        <v>2.0551776804742541E-2</v>
      </c>
      <c r="AW181" s="528">
        <f t="shared" si="185"/>
        <v>1.8248172131743144E-2</v>
      </c>
      <c r="AX181" s="528">
        <f t="shared" si="185"/>
        <v>1.604940590182484E-2</v>
      </c>
      <c r="AY181" s="528">
        <f t="shared" si="185"/>
        <v>1.3981963051960675E-2</v>
      </c>
      <c r="AZ181" s="528">
        <f t="shared" si="185"/>
        <v>1.2065544796825804E-2</v>
      </c>
      <c r="BA181" s="528">
        <f t="shared" si="185"/>
        <v>1.0313244627423689E-2</v>
      </c>
      <c r="BB181" s="528">
        <f t="shared" si="185"/>
        <v>8.7319913742829967E-3</v>
      </c>
      <c r="BC181" s="528">
        <f t="shared" si="185"/>
        <v>7.3231996164092473E-3</v>
      </c>
      <c r="BD181" s="528">
        <f t="shared" si="185"/>
        <v>6.0835634444084598E-3</v>
      </c>
      <c r="BE181" s="528" t="str">
        <f t="shared" si="185"/>
        <v/>
      </c>
      <c r="BF181" s="528" t="str">
        <f t="shared" si="185"/>
        <v/>
      </c>
      <c r="BG181" s="528" t="str">
        <f t="shared" si="185"/>
        <v/>
      </c>
      <c r="BH181" s="528" t="str">
        <f t="shared" si="185"/>
        <v/>
      </c>
      <c r="BI181" s="528" t="str">
        <f t="shared" si="185"/>
        <v/>
      </c>
      <c r="BJ181" s="528" t="str">
        <f t="shared" si="185"/>
        <v/>
      </c>
      <c r="BK181" s="528" t="str">
        <f t="shared" si="185"/>
        <v/>
      </c>
      <c r="BL181" s="528" t="str">
        <f t="shared" si="185"/>
        <v/>
      </c>
      <c r="BM181" s="528" t="str">
        <f t="shared" si="185"/>
        <v/>
      </c>
    </row>
    <row r="182" spans="6:65" ht="15.75" customHeight="1" x14ac:dyDescent="0.25">
      <c r="F182" s="197"/>
      <c r="G182" s="197">
        <f t="shared" si="3"/>
        <v>0</v>
      </c>
      <c r="H182" s="197">
        <f t="shared" si="4"/>
        <v>424</v>
      </c>
      <c r="I182" s="523">
        <v>1</v>
      </c>
      <c r="J182" s="533">
        <f>'Monthly DCF'!$I$3</f>
        <v>46418</v>
      </c>
      <c r="K182" s="533">
        <f t="shared" si="5"/>
        <v>47664</v>
      </c>
      <c r="L182" s="536">
        <f t="shared" si="149"/>
        <v>42</v>
      </c>
      <c r="M182" s="20" t="s">
        <v>366</v>
      </c>
      <c r="N182" s="20">
        <f t="shared" si="6"/>
        <v>10.5</v>
      </c>
      <c r="O182" s="537">
        <v>4</v>
      </c>
      <c r="P182" s="528">
        <f t="shared" ref="P182:BM182" si="186">IFERROR(+IF(AND($M182="Flat",P$5&gt;=$J182,P$5&lt;=$K182),$I182/$L182,0)+IF(AND($M182="S-Curve",P$5&gt;=$J182,P$5&lt;=$K182),(_xlfn.NORM.DIST((YEAR(P$5)-YEAR($J182))*12+MONTH(P$5)-MONTH($J182)+1,$L182/2,$N182,TRUE)-_xlfn.NORM.DIST((YEAR(P$5)-YEAR($J182))*12+MONTH(P$5)-MONTH($J182),$L182/2,$N182,TRUE))/(1-2*_xlfn.NORM.DIST(0,$L182/2,$N182,TRUE))*$I182," "),"")</f>
        <v>5.9249697043085893E-3</v>
      </c>
      <c r="Q182" s="528">
        <f t="shared" si="186"/>
        <v>7.1024831973297599E-3</v>
      </c>
      <c r="R182" s="528">
        <f t="shared" si="186"/>
        <v>8.4371950429358144E-3</v>
      </c>
      <c r="S182" s="528">
        <f t="shared" si="186"/>
        <v>9.9322983387399207E-3</v>
      </c>
      <c r="T182" s="528">
        <f t="shared" si="186"/>
        <v>1.1586845529248095E-2</v>
      </c>
      <c r="U182" s="528">
        <f t="shared" si="186"/>
        <v>1.3395054117063473E-2</v>
      </c>
      <c r="V182" s="528">
        <f t="shared" si="186"/>
        <v>1.5345728932126889E-2</v>
      </c>
      <c r="W182" s="528">
        <f t="shared" si="186"/>
        <v>1.7421853904875089E-2</v>
      </c>
      <c r="X182" s="528">
        <f t="shared" si="186"/>
        <v>1.9600403316422741E-2</v>
      </c>
      <c r="Y182" s="528">
        <f t="shared" si="186"/>
        <v>2.1852415217121182E-2</v>
      </c>
      <c r="Z182" s="528">
        <f t="shared" si="186"/>
        <v>2.4143358097309803E-2</v>
      </c>
      <c r="AA182" s="528">
        <f t="shared" si="186"/>
        <v>2.6433806354631842E-2</v>
      </c>
      <c r="AB182" s="528">
        <f t="shared" si="186"/>
        <v>2.8680421451570987E-2</v>
      </c>
      <c r="AC182" s="528">
        <f t="shared" si="186"/>
        <v>3.0837215111691997E-2</v>
      </c>
      <c r="AD182" s="528">
        <f t="shared" si="186"/>
        <v>3.2857049997495245E-2</v>
      </c>
      <c r="AE182" s="528">
        <f t="shared" si="186"/>
        <v>3.4693313774159996E-2</v>
      </c>
      <c r="AF182" s="528">
        <f t="shared" si="186"/>
        <v>3.6301686054139186E-2</v>
      </c>
      <c r="AG182" s="528">
        <f t="shared" si="186"/>
        <v>3.7641906057714343E-2</v>
      </c>
      <c r="AH182" s="528">
        <f t="shared" si="186"/>
        <v>3.8679443215972539E-2</v>
      </c>
      <c r="AI182" s="528">
        <f t="shared" si="186"/>
        <v>3.9386974214301734E-2</v>
      </c>
      <c r="AJ182" s="528">
        <f t="shared" si="186"/>
        <v>3.9745578370840799E-2</v>
      </c>
      <c r="AK182" s="528">
        <f t="shared" si="186"/>
        <v>3.9745578370840799E-2</v>
      </c>
      <c r="AL182" s="528">
        <f t="shared" si="186"/>
        <v>3.9386974214301734E-2</v>
      </c>
      <c r="AM182" s="528">
        <f t="shared" si="186"/>
        <v>3.8679443215972539E-2</v>
      </c>
      <c r="AN182" s="528">
        <f t="shared" si="186"/>
        <v>3.7641906057714343E-2</v>
      </c>
      <c r="AO182" s="528">
        <f t="shared" si="186"/>
        <v>3.6301686054139186E-2</v>
      </c>
      <c r="AP182" s="528">
        <f t="shared" si="186"/>
        <v>3.4693313774159996E-2</v>
      </c>
      <c r="AQ182" s="528">
        <f t="shared" si="186"/>
        <v>3.2857049997495245E-2</v>
      </c>
      <c r="AR182" s="528">
        <f t="shared" si="186"/>
        <v>3.0837215111691997E-2</v>
      </c>
      <c r="AS182" s="528">
        <f t="shared" si="186"/>
        <v>2.8680421451571014E-2</v>
      </c>
      <c r="AT182" s="528">
        <f t="shared" si="186"/>
        <v>2.6433806354631842E-2</v>
      </c>
      <c r="AU182" s="528">
        <f t="shared" si="186"/>
        <v>2.4143358097309775E-2</v>
      </c>
      <c r="AV182" s="528">
        <f t="shared" si="186"/>
        <v>2.1852415217121123E-2</v>
      </c>
      <c r="AW182" s="528">
        <f t="shared" si="186"/>
        <v>1.9600403316422814E-2</v>
      </c>
      <c r="AX182" s="528">
        <f t="shared" si="186"/>
        <v>1.7421853904875075E-2</v>
      </c>
      <c r="AY182" s="528">
        <f t="shared" si="186"/>
        <v>1.5345728932126932E-2</v>
      </c>
      <c r="AZ182" s="528">
        <f t="shared" si="186"/>
        <v>1.3395054117063458E-2</v>
      </c>
      <c r="BA182" s="528">
        <f t="shared" si="186"/>
        <v>1.1586845529248073E-2</v>
      </c>
      <c r="BB182" s="528">
        <f t="shared" si="186"/>
        <v>9.932298338739971E-3</v>
      </c>
      <c r="BC182" s="528">
        <f t="shared" si="186"/>
        <v>8.4371950429357051E-3</v>
      </c>
      <c r="BD182" s="528">
        <f t="shared" si="186"/>
        <v>7.1024831973298284E-3</v>
      </c>
      <c r="BE182" s="528">
        <f t="shared" si="186"/>
        <v>5.9249697043085529E-3</v>
      </c>
      <c r="BF182" s="528" t="str">
        <f t="shared" si="186"/>
        <v/>
      </c>
      <c r="BG182" s="528" t="str">
        <f t="shared" si="186"/>
        <v/>
      </c>
      <c r="BH182" s="528" t="str">
        <f t="shared" si="186"/>
        <v/>
      </c>
      <c r="BI182" s="528" t="str">
        <f t="shared" si="186"/>
        <v/>
      </c>
      <c r="BJ182" s="528" t="str">
        <f t="shared" si="186"/>
        <v/>
      </c>
      <c r="BK182" s="528" t="str">
        <f t="shared" si="186"/>
        <v/>
      </c>
      <c r="BL182" s="528" t="str">
        <f t="shared" si="186"/>
        <v/>
      </c>
      <c r="BM182" s="528" t="str">
        <f t="shared" si="186"/>
        <v/>
      </c>
    </row>
    <row r="183" spans="6:65" ht="15.75" customHeight="1" x14ac:dyDescent="0.25">
      <c r="F183" s="197"/>
      <c r="G183" s="197">
        <f t="shared" si="3"/>
        <v>0</v>
      </c>
      <c r="H183" s="197">
        <f t="shared" si="4"/>
        <v>434</v>
      </c>
      <c r="I183" s="523">
        <v>1</v>
      </c>
      <c r="J183" s="533">
        <f>'Monthly DCF'!$I$3</f>
        <v>46418</v>
      </c>
      <c r="K183" s="533">
        <f t="shared" si="5"/>
        <v>47695</v>
      </c>
      <c r="L183" s="536">
        <f t="shared" si="149"/>
        <v>43</v>
      </c>
      <c r="M183" s="20" t="s">
        <v>366</v>
      </c>
      <c r="N183" s="20">
        <f t="shared" si="6"/>
        <v>10.75</v>
      </c>
      <c r="O183" s="537">
        <v>4</v>
      </c>
      <c r="P183" s="528">
        <f t="shared" ref="P183:BM183" si="187">IFERROR(+IF(AND($M183="Flat",P$5&gt;=$J183,P$5&lt;=$K183),$I183/$L183,0)+IF(AND($M183="S-Curve",P$5&gt;=$J183,P$5&lt;=$K183),(_xlfn.NORM.DIST((YEAR(P$5)-YEAR($J183))*12+MONTH(P$5)-MONTH($J183)+1,$L183/2,$N183,TRUE)-_xlfn.NORM.DIST((YEAR(P$5)-YEAR($J183))*12+MONTH(P$5)-MONTH($J183),$L183/2,$N183,TRUE))/(1-2*_xlfn.NORM.DIST(0,$L183/2,$N183,TRUE))*$I183," "),"")</f>
        <v>5.7744045120953101E-3</v>
      </c>
      <c r="Q183" s="528">
        <f t="shared" si="187"/>
        <v>6.894338073102804E-3</v>
      </c>
      <c r="R183" s="528">
        <f t="shared" si="187"/>
        <v>8.1606088300870301E-3</v>
      </c>
      <c r="S183" s="528">
        <f t="shared" si="187"/>
        <v>9.5762871427185377E-3</v>
      </c>
      <c r="T183" s="528">
        <f t="shared" si="187"/>
        <v>1.114079987225668E-2</v>
      </c>
      <c r="U183" s="528">
        <f t="shared" si="187"/>
        <v>1.2849321640790872E-2</v>
      </c>
      <c r="V183" s="528">
        <f t="shared" si="187"/>
        <v>1.4692261271710357E-2</v>
      </c>
      <c r="W183" s="528">
        <f t="shared" si="187"/>
        <v>1.6654887378644751E-2</v>
      </c>
      <c r="X183" s="528">
        <f t="shared" si="187"/>
        <v>1.8717135022347821E-2</v>
      </c>
      <c r="Y183" s="528">
        <f t="shared" si="187"/>
        <v>2.0853629917318938E-2</v>
      </c>
      <c r="Z183" s="528">
        <f t="shared" si="187"/>
        <v>2.3033957790327683E-2</v>
      </c>
      <c r="AA183" s="528">
        <f t="shared" si="187"/>
        <v>2.5223194425608282E-2</v>
      </c>
      <c r="AB183" s="528">
        <f t="shared" si="187"/>
        <v>2.7382697253299521E-2</v>
      </c>
      <c r="AC183" s="528">
        <f t="shared" si="187"/>
        <v>2.9471142932418311E-2</v>
      </c>
      <c r="AD183" s="528">
        <f t="shared" si="187"/>
        <v>3.1445778386349398E-2</v>
      </c>
      <c r="AE183" s="528">
        <f t="shared" si="187"/>
        <v>3.3263836477423467E-2</v>
      </c>
      <c r="AF183" s="528">
        <f t="shared" si="187"/>
        <v>3.4884053326794319E-2</v>
      </c>
      <c r="AG183" s="528">
        <f t="shared" si="187"/>
        <v>3.6268213496402836E-2</v>
      </c>
      <c r="AH183" s="528">
        <f t="shared" si="187"/>
        <v>3.7382642950029299E-2</v>
      </c>
      <c r="AI183" s="528">
        <f t="shared" si="187"/>
        <v>3.819956867702351E-2</v>
      </c>
      <c r="AJ183" s="528">
        <f t="shared" si="187"/>
        <v>3.8698268455269288E-2</v>
      </c>
      <c r="AK183" s="528">
        <f t="shared" si="187"/>
        <v>3.8865944335962063E-2</v>
      </c>
      <c r="AL183" s="528">
        <f t="shared" si="187"/>
        <v>3.8698268455269288E-2</v>
      </c>
      <c r="AM183" s="528">
        <f t="shared" si="187"/>
        <v>3.8199568677023447E-2</v>
      </c>
      <c r="AN183" s="528">
        <f t="shared" si="187"/>
        <v>3.7382642950029299E-2</v>
      </c>
      <c r="AO183" s="528">
        <f t="shared" si="187"/>
        <v>3.6268213496402836E-2</v>
      </c>
      <c r="AP183" s="528">
        <f t="shared" si="187"/>
        <v>3.4884053326794374E-2</v>
      </c>
      <c r="AQ183" s="528">
        <f t="shared" si="187"/>
        <v>3.3263836477423404E-2</v>
      </c>
      <c r="AR183" s="528">
        <f t="shared" si="187"/>
        <v>3.1445778386349398E-2</v>
      </c>
      <c r="AS183" s="528">
        <f t="shared" si="187"/>
        <v>2.9471142932418284E-2</v>
      </c>
      <c r="AT183" s="528">
        <f t="shared" si="187"/>
        <v>2.7382697253299521E-2</v>
      </c>
      <c r="AU183" s="528">
        <f t="shared" si="187"/>
        <v>2.5223194425608369E-2</v>
      </c>
      <c r="AV183" s="528">
        <f t="shared" si="187"/>
        <v>2.3033957790327655E-2</v>
      </c>
      <c r="AW183" s="528">
        <f t="shared" si="187"/>
        <v>2.0853629917318893E-2</v>
      </c>
      <c r="AX183" s="528">
        <f t="shared" si="187"/>
        <v>1.8717135022347835E-2</v>
      </c>
      <c r="AY183" s="528">
        <f t="shared" si="187"/>
        <v>1.6654887378644734E-2</v>
      </c>
      <c r="AZ183" s="528">
        <f t="shared" si="187"/>
        <v>1.4692261271710343E-2</v>
      </c>
      <c r="BA183" s="528">
        <f t="shared" si="187"/>
        <v>1.284932164079085E-2</v>
      </c>
      <c r="BB183" s="528">
        <f t="shared" si="187"/>
        <v>1.1140799872256723E-2</v>
      </c>
      <c r="BC183" s="528">
        <f t="shared" si="187"/>
        <v>9.5762871427185724E-3</v>
      </c>
      <c r="BD183" s="528">
        <f t="shared" si="187"/>
        <v>8.1606088300870162E-3</v>
      </c>
      <c r="BE183" s="528">
        <f t="shared" si="187"/>
        <v>6.8943380731027936E-3</v>
      </c>
      <c r="BF183" s="528">
        <f t="shared" si="187"/>
        <v>5.7744045120952884E-3</v>
      </c>
      <c r="BG183" s="528" t="str">
        <f t="shared" si="187"/>
        <v/>
      </c>
      <c r="BH183" s="528" t="str">
        <f t="shared" si="187"/>
        <v/>
      </c>
      <c r="BI183" s="528" t="str">
        <f t="shared" si="187"/>
        <v/>
      </c>
      <c r="BJ183" s="528" t="str">
        <f t="shared" si="187"/>
        <v/>
      </c>
      <c r="BK183" s="528" t="str">
        <f t="shared" si="187"/>
        <v/>
      </c>
      <c r="BL183" s="528" t="str">
        <f t="shared" si="187"/>
        <v/>
      </c>
      <c r="BM183" s="528" t="str">
        <f t="shared" si="187"/>
        <v/>
      </c>
    </row>
    <row r="184" spans="6:65" ht="15.75" customHeight="1" x14ac:dyDescent="0.25">
      <c r="F184" s="197"/>
      <c r="G184" s="197">
        <f t="shared" si="3"/>
        <v>0</v>
      </c>
      <c r="H184" s="197">
        <f t="shared" si="4"/>
        <v>444</v>
      </c>
      <c r="I184" s="523">
        <v>1</v>
      </c>
      <c r="J184" s="533">
        <f>'Monthly DCF'!$I$3</f>
        <v>46418</v>
      </c>
      <c r="K184" s="533">
        <f t="shared" si="5"/>
        <v>47726</v>
      </c>
      <c r="L184" s="536">
        <f t="shared" si="149"/>
        <v>44</v>
      </c>
      <c r="M184" s="20" t="s">
        <v>366</v>
      </c>
      <c r="N184" s="20">
        <f t="shared" si="6"/>
        <v>11</v>
      </c>
      <c r="O184" s="537">
        <v>4</v>
      </c>
      <c r="P184" s="528">
        <f t="shared" ref="P184:BM184" si="188">IFERROR(+IF(AND($M184="Flat",P$5&gt;=$J184,P$5&lt;=$K184),$I184/$L184,0)+IF(AND($M184="S-Curve",P$5&gt;=$J184,P$5&lt;=$K184),(_xlfn.NORM.DIST((YEAR(P$5)-YEAR($J184))*12+MONTH(P$5)-MONTH($J184)+1,$L184/2,$N184,TRUE)-_xlfn.NORM.DIST((YEAR(P$5)-YEAR($J184))*12+MONTH(P$5)-MONTH($J184),$L184/2,$N184,TRUE))/(1-2*_xlfn.NORM.DIST(0,$L184/2,$N184,TRUE))*$I184," "),"")</f>
        <v>5.6312752004999949E-3</v>
      </c>
      <c r="Q184" s="528">
        <f t="shared" si="188"/>
        <v>6.6977403077354506E-3</v>
      </c>
      <c r="R184" s="528">
        <f t="shared" si="188"/>
        <v>7.9006553029893015E-3</v>
      </c>
      <c r="S184" s="528">
        <f t="shared" si="188"/>
        <v>9.2429623005302834E-3</v>
      </c>
      <c r="T184" s="528">
        <f t="shared" si="188"/>
        <v>1.072438771975269E-2</v>
      </c>
      <c r="U184" s="528">
        <f t="shared" si="188"/>
        <v>1.2340907290416562E-2</v>
      </c>
      <c r="V184" s="528">
        <f t="shared" si="188"/>
        <v>1.4084289104430412E-2</v>
      </c>
      <c r="W184" s="528">
        <f t="shared" si="188"/>
        <v>1.5941751355852966E-2</v>
      </c>
      <c r="X184" s="528">
        <f t="shared" si="188"/>
        <v>1.7895770021164933E-2</v>
      </c>
      <c r="Y184" s="528">
        <f t="shared" si="188"/>
        <v>1.9924067663416485E-2</v>
      </c>
      <c r="Z184" s="528">
        <f t="shared" si="188"/>
        <v>2.1999807727757836E-2</v>
      </c>
      <c r="AA184" s="528">
        <f t="shared" si="188"/>
        <v>2.409200929259871E-2</v>
      </c>
      <c r="AB184" s="528">
        <f t="shared" si="188"/>
        <v>2.6166185655874714E-2</v>
      </c>
      <c r="AC184" s="528">
        <f t="shared" si="188"/>
        <v>2.8185197012820726E-2</v>
      </c>
      <c r="AD184" s="528">
        <f t="shared" si="188"/>
        <v>3.0110293667958622E-2</v>
      </c>
      <c r="AE184" s="528">
        <f t="shared" si="188"/>
        <v>3.1902312714207716E-2</v>
      </c>
      <c r="AF184" s="528">
        <f t="shared" si="188"/>
        <v>3.3522978968576068E-2</v>
      </c>
      <c r="AG184" s="528">
        <f t="shared" si="188"/>
        <v>3.493625121420095E-2</v>
      </c>
      <c r="AH184" s="528">
        <f t="shared" si="188"/>
        <v>3.6109648376324487E-2</v>
      </c>
      <c r="AI184" s="528">
        <f t="shared" si="188"/>
        <v>3.7015487851763777E-2</v>
      </c>
      <c r="AJ184" s="528">
        <f t="shared" si="188"/>
        <v>3.7631970218973014E-2</v>
      </c>
      <c r="AK184" s="528">
        <f t="shared" si="188"/>
        <v>3.7944051032154313E-2</v>
      </c>
      <c r="AL184" s="528">
        <f t="shared" si="188"/>
        <v>3.7944051032154251E-2</v>
      </c>
      <c r="AM184" s="528">
        <f t="shared" si="188"/>
        <v>3.7631970218973076E-2</v>
      </c>
      <c r="AN184" s="528">
        <f t="shared" si="188"/>
        <v>3.7015487851763777E-2</v>
      </c>
      <c r="AO184" s="528">
        <f t="shared" si="188"/>
        <v>3.6109648376324487E-2</v>
      </c>
      <c r="AP184" s="528">
        <f t="shared" si="188"/>
        <v>3.493625121420095E-2</v>
      </c>
      <c r="AQ184" s="528">
        <f t="shared" si="188"/>
        <v>3.3522978968576068E-2</v>
      </c>
      <c r="AR184" s="528">
        <f t="shared" si="188"/>
        <v>3.1902312714207716E-2</v>
      </c>
      <c r="AS184" s="528">
        <f t="shared" si="188"/>
        <v>3.0110293667958591E-2</v>
      </c>
      <c r="AT184" s="528">
        <f t="shared" si="188"/>
        <v>2.8185197012820757E-2</v>
      </c>
      <c r="AU184" s="528">
        <f t="shared" si="188"/>
        <v>2.6166185655874686E-2</v>
      </c>
      <c r="AV184" s="528">
        <f t="shared" si="188"/>
        <v>2.4092009292598769E-2</v>
      </c>
      <c r="AW184" s="528">
        <f t="shared" si="188"/>
        <v>2.1999807727757836E-2</v>
      </c>
      <c r="AX184" s="528">
        <f t="shared" si="188"/>
        <v>1.9924067663416443E-2</v>
      </c>
      <c r="AY184" s="528">
        <f t="shared" si="188"/>
        <v>1.7895770021164992E-2</v>
      </c>
      <c r="AZ184" s="528">
        <f t="shared" si="188"/>
        <v>1.5941751355852938E-2</v>
      </c>
      <c r="BA184" s="528">
        <f t="shared" si="188"/>
        <v>1.4084289104430412E-2</v>
      </c>
      <c r="BB184" s="528">
        <f t="shared" si="188"/>
        <v>1.2340907290416592E-2</v>
      </c>
      <c r="BC184" s="528">
        <f t="shared" si="188"/>
        <v>1.0724387719752588E-2</v>
      </c>
      <c r="BD184" s="528">
        <f t="shared" si="188"/>
        <v>9.2429623005303128E-3</v>
      </c>
      <c r="BE184" s="528">
        <f t="shared" si="188"/>
        <v>7.9006553029893813E-3</v>
      </c>
      <c r="BF184" s="528">
        <f t="shared" si="188"/>
        <v>6.6977403077354142E-3</v>
      </c>
      <c r="BG184" s="528">
        <f t="shared" si="188"/>
        <v>5.6312752004999619E-3</v>
      </c>
      <c r="BH184" s="528" t="str">
        <f t="shared" si="188"/>
        <v/>
      </c>
      <c r="BI184" s="528" t="str">
        <f t="shared" si="188"/>
        <v/>
      </c>
      <c r="BJ184" s="528" t="str">
        <f t="shared" si="188"/>
        <v/>
      </c>
      <c r="BK184" s="528" t="str">
        <f t="shared" si="188"/>
        <v/>
      </c>
      <c r="BL184" s="528" t="str">
        <f t="shared" si="188"/>
        <v/>
      </c>
      <c r="BM184" s="528" t="str">
        <f t="shared" si="188"/>
        <v/>
      </c>
    </row>
    <row r="185" spans="6:65" ht="15.75" customHeight="1" x14ac:dyDescent="0.25">
      <c r="F185" s="197"/>
      <c r="G185" s="197">
        <f t="shared" si="3"/>
        <v>0</v>
      </c>
      <c r="H185" s="197">
        <f t="shared" si="4"/>
        <v>454</v>
      </c>
      <c r="I185" s="523">
        <v>1</v>
      </c>
      <c r="J185" s="533">
        <f>'Monthly DCF'!$I$3</f>
        <v>46418</v>
      </c>
      <c r="K185" s="533">
        <f t="shared" si="5"/>
        <v>47756</v>
      </c>
      <c r="L185" s="536">
        <f t="shared" si="149"/>
        <v>45</v>
      </c>
      <c r="M185" s="20" t="s">
        <v>366</v>
      </c>
      <c r="N185" s="20">
        <f t="shared" si="6"/>
        <v>11.25</v>
      </c>
      <c r="O185" s="537">
        <v>4</v>
      </c>
      <c r="P185" s="528">
        <f t="shared" ref="P185:BM185" si="189">IFERROR(+IF(AND($M185="Flat",P$5&gt;=$J185,P$5&lt;=$K185),$I185/$L185,0)+IF(AND($M185="S-Curve",P$5&gt;=$J185,P$5&lt;=$K185),(_xlfn.NORM.DIST((YEAR(P$5)-YEAR($J185))*12+MONTH(P$5)-MONTH($J185)+1,$L185/2,$N185,TRUE)-_xlfn.NORM.DIST((YEAR(P$5)-YEAR($J185))*12+MONTH(P$5)-MONTH($J185),$L185/2,$N185,TRUE))/(1-2*_xlfn.NORM.DIST(0,$L185/2,$N185,TRUE))*$I185," "),"")</f>
        <v>5.4950458739257742E-3</v>
      </c>
      <c r="Q185" s="528">
        <f t="shared" si="189"/>
        <v>6.5117726112545963E-3</v>
      </c>
      <c r="R185" s="528">
        <f t="shared" si="189"/>
        <v>7.6559294766085206E-3</v>
      </c>
      <c r="S185" s="528">
        <f t="shared" si="189"/>
        <v>8.9303281000493225E-3</v>
      </c>
      <c r="T185" s="528">
        <f t="shared" si="189"/>
        <v>1.033493381511588E-2</v>
      </c>
      <c r="U185" s="528">
        <f t="shared" si="189"/>
        <v>1.1866394387336337E-2</v>
      </c>
      <c r="V185" s="528">
        <f t="shared" si="189"/>
        <v>1.3517632992296259E-2</v>
      </c>
      <c r="W185" s="528">
        <f t="shared" si="189"/>
        <v>1.5277536086215402E-2</v>
      </c>
      <c r="X185" s="528">
        <f t="shared" si="189"/>
        <v>1.7130765889963116E-2</v>
      </c>
      <c r="Y185" s="528">
        <f t="shared" si="189"/>
        <v>1.9057724159309744E-2</v>
      </c>
      <c r="Z185" s="528">
        <f t="shared" si="189"/>
        <v>2.1034688665311597E-2</v>
      </c>
      <c r="AA185" s="528">
        <f t="shared" si="189"/>
        <v>2.303413645708385E-2</v>
      </c>
      <c r="AB185" s="528">
        <f t="shared" si="189"/>
        <v>2.5025258809671967E-2</v>
      </c>
      <c r="AC185" s="528">
        <f t="shared" si="189"/>
        <v>2.6974662241359901E-2</v>
      </c>
      <c r="AD185" s="528">
        <f t="shared" si="189"/>
        <v>2.8847238749873914E-2</v>
      </c>
      <c r="AE185" s="528">
        <f t="shared" si="189"/>
        <v>3.060717722160794E-2</v>
      </c>
      <c r="AF185" s="528">
        <f t="shared" si="189"/>
        <v>3.2219077636453312E-2</v>
      </c>
      <c r="AG185" s="528">
        <f t="shared" si="189"/>
        <v>3.3649121047913844E-2</v>
      </c>
      <c r="AH185" s="528">
        <f t="shared" si="189"/>
        <v>3.4866242116076591E-2</v>
      </c>
      <c r="AI185" s="528">
        <f t="shared" si="189"/>
        <v>3.584324781712795E-2</v>
      </c>
      <c r="AJ185" s="528">
        <f t="shared" si="189"/>
        <v>3.6557826247166712E-2</v>
      </c>
      <c r="AK185" s="528">
        <f t="shared" si="189"/>
        <v>3.6993393325213217E-2</v>
      </c>
      <c r="AL185" s="528">
        <f t="shared" si="189"/>
        <v>3.7139732546128595E-2</v>
      </c>
      <c r="AM185" s="528">
        <f t="shared" si="189"/>
        <v>3.6993393325213217E-2</v>
      </c>
      <c r="AN185" s="528">
        <f t="shared" si="189"/>
        <v>3.6557826247166657E-2</v>
      </c>
      <c r="AO185" s="528">
        <f t="shared" si="189"/>
        <v>3.5843247817127895E-2</v>
      </c>
      <c r="AP185" s="528">
        <f t="shared" si="189"/>
        <v>3.4866242116076709E-2</v>
      </c>
      <c r="AQ185" s="528">
        <f t="shared" si="189"/>
        <v>3.3649121047913781E-2</v>
      </c>
      <c r="AR185" s="528">
        <f t="shared" si="189"/>
        <v>3.2219077636453312E-2</v>
      </c>
      <c r="AS185" s="528">
        <f t="shared" si="189"/>
        <v>3.060717722160794E-2</v>
      </c>
      <c r="AT185" s="528">
        <f t="shared" si="189"/>
        <v>2.8847238749873886E-2</v>
      </c>
      <c r="AU185" s="528">
        <f t="shared" si="189"/>
        <v>2.6974662241359901E-2</v>
      </c>
      <c r="AV185" s="528">
        <f t="shared" si="189"/>
        <v>2.5025258809671935E-2</v>
      </c>
      <c r="AW185" s="528">
        <f t="shared" si="189"/>
        <v>2.3034136457083881E-2</v>
      </c>
      <c r="AX185" s="528">
        <f t="shared" si="189"/>
        <v>2.1034688665311569E-2</v>
      </c>
      <c r="AY185" s="528">
        <f t="shared" si="189"/>
        <v>1.9057724159309862E-2</v>
      </c>
      <c r="AZ185" s="528">
        <f t="shared" si="189"/>
        <v>1.7130765889963099E-2</v>
      </c>
      <c r="BA185" s="528">
        <f t="shared" si="189"/>
        <v>1.5277536086215302E-2</v>
      </c>
      <c r="BB185" s="528">
        <f t="shared" si="189"/>
        <v>1.3517632992296361E-2</v>
      </c>
      <c r="BC185" s="528">
        <f t="shared" si="189"/>
        <v>1.1866394387336323E-2</v>
      </c>
      <c r="BD185" s="528">
        <f t="shared" si="189"/>
        <v>1.0334933815115859E-2</v>
      </c>
      <c r="BE185" s="528">
        <f t="shared" si="189"/>
        <v>8.9303281000493069E-3</v>
      </c>
      <c r="BF185" s="528">
        <f t="shared" si="189"/>
        <v>7.6559294766085353E-3</v>
      </c>
      <c r="BG185" s="528">
        <f t="shared" si="189"/>
        <v>6.5117726112545495E-3</v>
      </c>
      <c r="BH185" s="528">
        <f t="shared" si="189"/>
        <v>5.4950458739257968E-3</v>
      </c>
      <c r="BI185" s="528" t="str">
        <f t="shared" si="189"/>
        <v/>
      </c>
      <c r="BJ185" s="528" t="str">
        <f t="shared" si="189"/>
        <v/>
      </c>
      <c r="BK185" s="528" t="str">
        <f t="shared" si="189"/>
        <v/>
      </c>
      <c r="BL185" s="528" t="str">
        <f t="shared" si="189"/>
        <v/>
      </c>
      <c r="BM185" s="528" t="str">
        <f t="shared" si="189"/>
        <v/>
      </c>
    </row>
    <row r="186" spans="6:65" ht="15.75" customHeight="1" x14ac:dyDescent="0.25">
      <c r="F186" s="197"/>
      <c r="G186" s="197">
        <f t="shared" si="3"/>
        <v>0</v>
      </c>
      <c r="H186" s="197">
        <f t="shared" si="4"/>
        <v>464</v>
      </c>
      <c r="I186" s="523">
        <v>1</v>
      </c>
      <c r="J186" s="533">
        <f>'Monthly DCF'!$I$3</f>
        <v>46418</v>
      </c>
      <c r="K186" s="533">
        <f t="shared" si="5"/>
        <v>47787</v>
      </c>
      <c r="L186" s="536">
        <f t="shared" si="149"/>
        <v>46</v>
      </c>
      <c r="M186" s="20" t="s">
        <v>366</v>
      </c>
      <c r="N186" s="20">
        <f t="shared" si="6"/>
        <v>11.5</v>
      </c>
      <c r="O186" s="537">
        <v>4</v>
      </c>
      <c r="P186" s="528">
        <f t="shared" ref="P186:BM186" si="190">IFERROR(+IF(AND($M186="Flat",P$5&gt;=$J186,P$5&lt;=$K186),$I186/$L186,0)+IF(AND($M186="S-Curve",P$5&gt;=$J186,P$5&lt;=$K186),(_xlfn.NORM.DIST((YEAR(P$5)-YEAR($J186))*12+MONTH(P$5)-MONTH($J186)+1,$L186/2,$N186,TRUE)-_xlfn.NORM.DIST((YEAR(P$5)-YEAR($J186))*12+MONTH(P$5)-MONTH($J186),$L186/2,$N186,TRUE))/(1-2*_xlfn.NORM.DIST(0,$L186/2,$N186,TRUE))*$I186," "),"")</f>
        <v>5.365230786335831E-3</v>
      </c>
      <c r="Q186" s="528">
        <f t="shared" si="190"/>
        <v>6.3356109674002166E-3</v>
      </c>
      <c r="R186" s="528">
        <f t="shared" si="190"/>
        <v>7.4251763320208062E-3</v>
      </c>
      <c r="S186" s="528">
        <f t="shared" si="190"/>
        <v>8.6366081835739014E-3</v>
      </c>
      <c r="T186" s="528">
        <f t="shared" si="190"/>
        <v>9.9700615504880463E-3</v>
      </c>
      <c r="U186" s="528">
        <f t="shared" si="190"/>
        <v>1.1422749107779072E-2</v>
      </c>
      <c r="V186" s="528">
        <f t="shared" si="190"/>
        <v>1.2988578190208724E-2</v>
      </c>
      <c r="W186" s="528">
        <f t="shared" si="190"/>
        <v>1.4657866610145289E-2</v>
      </c>
      <c r="X186" s="528">
        <f t="shared" si="190"/>
        <v>1.6417162402451741E-2</v>
      </c>
      <c r="Y186" s="528">
        <f t="shared" si="190"/>
        <v>1.824919033333005E-2</v>
      </c>
      <c r="Z186" s="528">
        <f t="shared" si="190"/>
        <v>2.0132943955997115E-2</v>
      </c>
      <c r="AA186" s="528">
        <f t="shared" si="190"/>
        <v>2.204393622996283E-2</v>
      </c>
      <c r="AB186" s="528">
        <f t="shared" si="190"/>
        <v>2.3954614442034245E-2</v>
      </c>
      <c r="AC186" s="528">
        <f t="shared" si="190"/>
        <v>2.5834936718653452E-2</v>
      </c>
      <c r="AD186" s="528">
        <f t="shared" si="190"/>
        <v>2.7653098273486984E-2</v>
      </c>
      <c r="AE186" s="528">
        <f t="shared" si="190"/>
        <v>2.9376386267045897E-2</v>
      </c>
      <c r="AF186" s="528">
        <f t="shared" si="190"/>
        <v>3.0972133406099066E-2</v>
      </c>
      <c r="AG186" s="528">
        <f t="shared" si="190"/>
        <v>3.2408732834021271E-2</v>
      </c>
      <c r="AH186" s="528">
        <f t="shared" si="190"/>
        <v>3.365667107356754E-2</v>
      </c>
      <c r="AI186" s="528">
        <f t="shared" si="190"/>
        <v>3.4689532300495624E-2</v>
      </c>
      <c r="AJ186" s="528">
        <f t="shared" si="190"/>
        <v>3.548492642450618E-2</v>
      </c>
      <c r="AK186" s="528">
        <f t="shared" si="190"/>
        <v>3.6025295522549031E-2</v>
      </c>
      <c r="AL186" s="528">
        <f t="shared" si="190"/>
        <v>3.6298558087847106E-2</v>
      </c>
      <c r="AM186" s="528">
        <f t="shared" si="190"/>
        <v>3.6298558087847044E-2</v>
      </c>
      <c r="AN186" s="528">
        <f t="shared" si="190"/>
        <v>3.6025295522549149E-2</v>
      </c>
      <c r="AO186" s="528">
        <f t="shared" si="190"/>
        <v>3.5484926424506125E-2</v>
      </c>
      <c r="AP186" s="528">
        <f t="shared" si="190"/>
        <v>3.4689532300495624E-2</v>
      </c>
      <c r="AQ186" s="528">
        <f t="shared" si="190"/>
        <v>3.365667107356754E-2</v>
      </c>
      <c r="AR186" s="528">
        <f t="shared" si="190"/>
        <v>3.2408732834021271E-2</v>
      </c>
      <c r="AS186" s="528">
        <f t="shared" si="190"/>
        <v>3.0972133406099066E-2</v>
      </c>
      <c r="AT186" s="528">
        <f t="shared" si="190"/>
        <v>2.9376386267045897E-2</v>
      </c>
      <c r="AU186" s="528">
        <f t="shared" si="190"/>
        <v>2.7653098273486925E-2</v>
      </c>
      <c r="AV186" s="528">
        <f t="shared" si="190"/>
        <v>2.5834936718653511E-2</v>
      </c>
      <c r="AW186" s="528">
        <f t="shared" si="190"/>
        <v>2.3954614442034214E-2</v>
      </c>
      <c r="AX186" s="528">
        <f t="shared" si="190"/>
        <v>2.2043936229962858E-2</v>
      </c>
      <c r="AY186" s="528">
        <f t="shared" si="190"/>
        <v>2.0132943955997087E-2</v>
      </c>
      <c r="AZ186" s="528">
        <f t="shared" si="190"/>
        <v>1.8249190333330122E-2</v>
      </c>
      <c r="BA186" s="528">
        <f t="shared" si="190"/>
        <v>1.6417162402451654E-2</v>
      </c>
      <c r="BB186" s="528">
        <f t="shared" si="190"/>
        <v>1.4657866610145303E-2</v>
      </c>
      <c r="BC186" s="528">
        <f t="shared" si="190"/>
        <v>1.2988578190208711E-2</v>
      </c>
      <c r="BD186" s="528">
        <f t="shared" si="190"/>
        <v>1.1422749107779144E-2</v>
      </c>
      <c r="BE186" s="528">
        <f t="shared" si="190"/>
        <v>9.9700615504879891E-3</v>
      </c>
      <c r="BF186" s="528">
        <f t="shared" si="190"/>
        <v>8.6366081835738788E-3</v>
      </c>
      <c r="BG186" s="528">
        <f t="shared" si="190"/>
        <v>7.4251763320209154E-3</v>
      </c>
      <c r="BH186" s="528">
        <f t="shared" si="190"/>
        <v>6.3356109674002053E-3</v>
      </c>
      <c r="BI186" s="528">
        <f t="shared" si="190"/>
        <v>5.3652307863357651E-3</v>
      </c>
      <c r="BJ186" s="528" t="str">
        <f t="shared" si="190"/>
        <v/>
      </c>
      <c r="BK186" s="528" t="str">
        <f t="shared" si="190"/>
        <v/>
      </c>
      <c r="BL186" s="528" t="str">
        <f t="shared" si="190"/>
        <v/>
      </c>
      <c r="BM186" s="528" t="str">
        <f t="shared" si="190"/>
        <v/>
      </c>
    </row>
    <row r="187" spans="6:65" ht="15.75" customHeight="1" x14ac:dyDescent="0.25">
      <c r="F187" s="197"/>
      <c r="G187" s="197">
        <f t="shared" si="3"/>
        <v>0</v>
      </c>
      <c r="H187" s="197">
        <f t="shared" si="4"/>
        <v>474</v>
      </c>
      <c r="I187" s="523">
        <v>1</v>
      </c>
      <c r="J187" s="533">
        <f>'Monthly DCF'!$I$3</f>
        <v>46418</v>
      </c>
      <c r="K187" s="533">
        <f t="shared" si="5"/>
        <v>47817</v>
      </c>
      <c r="L187" s="536">
        <f t="shared" si="149"/>
        <v>47</v>
      </c>
      <c r="M187" s="20" t="s">
        <v>366</v>
      </c>
      <c r="N187" s="20">
        <f t="shared" si="6"/>
        <v>11.75</v>
      </c>
      <c r="O187" s="537">
        <v>4</v>
      </c>
      <c r="P187" s="528">
        <f t="shared" ref="P187:BM187" si="191">IFERROR(+IF(AND($M187="Flat",P$5&gt;=$J187,P$5&lt;=$K187),$I187/$L187,0)+IF(AND($M187="S-Curve",P$5&gt;=$J187,P$5&lt;=$K187),(_xlfn.NORM.DIST((YEAR(P$5)-YEAR($J187))*12+MONTH(P$5)-MONTH($J187)+1,$L187/2,$N187,TRUE)-_xlfn.NORM.DIST((YEAR(P$5)-YEAR($J187))*12+MONTH(P$5)-MONTH($J187),$L187/2,$N187,TRUE))/(1-2*_xlfn.NORM.DIST(0,$L187/2,$N187,TRUE))*$I187," "),"")</f>
        <v>5.2413886229184768E-3</v>
      </c>
      <c r="Q187" s="528">
        <f t="shared" si="191"/>
        <v>6.1685132053623838E-3</v>
      </c>
      <c r="R187" s="528">
        <f t="shared" si="191"/>
        <v>7.2072717083608772E-3</v>
      </c>
      <c r="S187" s="528">
        <f t="shared" si="191"/>
        <v>8.3602170003605012E-3</v>
      </c>
      <c r="T187" s="528">
        <f t="shared" si="191"/>
        <v>9.6276537979702263E-3</v>
      </c>
      <c r="U187" s="528">
        <f t="shared" si="191"/>
        <v>1.1007270504238378E-2</v>
      </c>
      <c r="V187" s="528">
        <f t="shared" si="191"/>
        <v>1.2493815077135073E-2</v>
      </c>
      <c r="W187" s="528">
        <f t="shared" si="191"/>
        <v>1.4078836575589041E-2</v>
      </c>
      <c r="X187" s="528">
        <f t="shared" si="191"/>
        <v>1.5750513673203986E-2</v>
      </c>
      <c r="Y187" s="528">
        <f t="shared" si="191"/>
        <v>1.7493589716213308E-2</v>
      </c>
      <c r="Z187" s="528">
        <f t="shared" si="191"/>
        <v>1.9289430762481477E-2</v>
      </c>
      <c r="AA187" s="528">
        <f t="shared" si="191"/>
        <v>2.1116218501873809E-2</v>
      </c>
      <c r="AB187" s="528">
        <f t="shared" si="191"/>
        <v>2.294928416424892E-2</v>
      </c>
      <c r="AC187" s="528">
        <f t="shared" si="191"/>
        <v>2.4761582720333752E-2</v>
      </c>
      <c r="AD187" s="528">
        <f t="shared" si="191"/>
        <v>2.6524299226946751E-2</v>
      </c>
      <c r="AE187" s="528">
        <f t="shared" si="191"/>
        <v>2.8207571500629382E-2</v>
      </c>
      <c r="AF187" s="528">
        <f t="shared" si="191"/>
        <v>2.9781305919281811E-2</v>
      </c>
      <c r="AG187" s="528">
        <f t="shared" si="191"/>
        <v>3.1216056568155535E-2</v>
      </c>
      <c r="AH187" s="528">
        <f t="shared" si="191"/>
        <v>3.2483932663987684E-2</v>
      </c>
      <c r="AI187" s="528">
        <f t="shared" si="191"/>
        <v>3.3559495647753887E-2</v>
      </c>
      <c r="AJ187" s="528">
        <f t="shared" si="191"/>
        <v>3.4420605870500047E-2</v>
      </c>
      <c r="AK187" s="528">
        <f t="shared" si="191"/>
        <v>3.5049179612207146E-2</v>
      </c>
      <c r="AL187" s="528">
        <f t="shared" si="191"/>
        <v>3.5431820317673647E-2</v>
      </c>
      <c r="AM187" s="528">
        <f t="shared" si="191"/>
        <v>3.5560293285147843E-2</v>
      </c>
      <c r="AN187" s="528">
        <f t="shared" si="191"/>
        <v>3.5431820317673592E-2</v>
      </c>
      <c r="AO187" s="528">
        <f t="shared" si="191"/>
        <v>3.5049179612207146E-2</v>
      </c>
      <c r="AP187" s="528">
        <f t="shared" si="191"/>
        <v>3.4420605870500103E-2</v>
      </c>
      <c r="AQ187" s="528">
        <f t="shared" si="191"/>
        <v>3.3559495647753887E-2</v>
      </c>
      <c r="AR187" s="528">
        <f t="shared" si="191"/>
        <v>3.2483932663987684E-2</v>
      </c>
      <c r="AS187" s="528">
        <f t="shared" si="191"/>
        <v>3.1216056568155535E-2</v>
      </c>
      <c r="AT187" s="528">
        <f t="shared" si="191"/>
        <v>2.978130591928187E-2</v>
      </c>
      <c r="AU187" s="528">
        <f t="shared" si="191"/>
        <v>2.8207571500629323E-2</v>
      </c>
      <c r="AV187" s="528">
        <f t="shared" si="191"/>
        <v>2.652429922694672E-2</v>
      </c>
      <c r="AW187" s="528">
        <f t="shared" si="191"/>
        <v>2.476158272033372E-2</v>
      </c>
      <c r="AX187" s="528">
        <f t="shared" si="191"/>
        <v>2.2949284164248948E-2</v>
      </c>
      <c r="AY187" s="528">
        <f t="shared" si="191"/>
        <v>2.1116218501873837E-2</v>
      </c>
      <c r="AZ187" s="528">
        <f t="shared" si="191"/>
        <v>1.9289430762481477E-2</v>
      </c>
      <c r="BA187" s="528">
        <f t="shared" si="191"/>
        <v>1.7493589716213308E-2</v>
      </c>
      <c r="BB187" s="528">
        <f t="shared" si="191"/>
        <v>1.5750513673204045E-2</v>
      </c>
      <c r="BC187" s="528">
        <f t="shared" si="191"/>
        <v>1.4078836575589025E-2</v>
      </c>
      <c r="BD187" s="528">
        <f t="shared" si="191"/>
        <v>1.2493815077135088E-2</v>
      </c>
      <c r="BE187" s="528">
        <f t="shared" si="191"/>
        <v>1.1007270504238305E-2</v>
      </c>
      <c r="BF187" s="528">
        <f t="shared" si="191"/>
        <v>9.6276537979702991E-3</v>
      </c>
      <c r="BG187" s="528">
        <f t="shared" si="191"/>
        <v>8.360217000360444E-3</v>
      </c>
      <c r="BH187" s="528">
        <f t="shared" si="191"/>
        <v>7.2072717083608408E-3</v>
      </c>
      <c r="BI187" s="528">
        <f t="shared" si="191"/>
        <v>6.1685132053623734E-3</v>
      </c>
      <c r="BJ187" s="528">
        <f t="shared" si="191"/>
        <v>5.2413886229185063E-3</v>
      </c>
      <c r="BK187" s="528" t="str">
        <f t="shared" si="191"/>
        <v/>
      </c>
      <c r="BL187" s="528" t="str">
        <f t="shared" si="191"/>
        <v/>
      </c>
      <c r="BM187" s="528" t="str">
        <f t="shared" si="191"/>
        <v/>
      </c>
    </row>
    <row r="188" spans="6:65" ht="15.75" customHeight="1" x14ac:dyDescent="0.25">
      <c r="F188" s="197"/>
      <c r="G188" s="197">
        <f t="shared" si="3"/>
        <v>0</v>
      </c>
      <c r="H188" s="197">
        <f t="shared" si="4"/>
        <v>484</v>
      </c>
      <c r="I188" s="523">
        <v>1</v>
      </c>
      <c r="J188" s="533">
        <f>'Monthly DCF'!$I$3</f>
        <v>46418</v>
      </c>
      <c r="K188" s="533">
        <f t="shared" si="5"/>
        <v>47848</v>
      </c>
      <c r="L188" s="536">
        <f t="shared" si="149"/>
        <v>48</v>
      </c>
      <c r="M188" s="20" t="s">
        <v>366</v>
      </c>
      <c r="N188" s="20">
        <f t="shared" si="6"/>
        <v>12</v>
      </c>
      <c r="O188" s="537">
        <v>4</v>
      </c>
      <c r="P188" s="528">
        <f t="shared" ref="P188:BM188" si="192">IFERROR(+IF(AND($M188="Flat",P$5&gt;=$J188,P$5&lt;=$K188),$I188/$L188,0)+IF(AND($M188="S-Curve",P$5&gt;=$J188,P$5&lt;=$K188),(_xlfn.NORM.DIST((YEAR(P$5)-YEAR($J188))*12+MONTH(P$5)-MONTH($J188)+1,$L188/2,$N188,TRUE)-_xlfn.NORM.DIST((YEAR(P$5)-YEAR($J188))*12+MONTH(P$5)-MONTH($J188),$L188/2,$N188,TRUE))/(1-2*_xlfn.NORM.DIST(0,$L188/2,$N188,TRUE))*$I188," "),"")</f>
        <v>5.1231175451055596E-3</v>
      </c>
      <c r="Q188" s="528">
        <f t="shared" si="192"/>
        <v>6.0098091962007619E-3</v>
      </c>
      <c r="R188" s="528">
        <f t="shared" si="192"/>
        <v>7.0012059995731984E-3</v>
      </c>
      <c r="S188" s="528">
        <f t="shared" si="192"/>
        <v>8.0997355122978607E-3</v>
      </c>
      <c r="T188" s="528">
        <f t="shared" si="192"/>
        <v>9.3058195837821996E-3</v>
      </c>
      <c r="U188" s="528">
        <f t="shared" si="192"/>
        <v>1.0617547890023435E-2</v>
      </c>
      <c r="V188" s="528">
        <f t="shared" si="192"/>
        <v>1.2030388109727532E-2</v>
      </c>
      <c r="W188" s="528">
        <f t="shared" si="192"/>
        <v>1.3536951025041991E-2</v>
      </c>
      <c r="X188" s="528">
        <f t="shared" si="192"/>
        <v>1.512682863583276E-2</v>
      </c>
      <c r="Y188" s="528">
        <f t="shared" si="192"/>
        <v>1.6786522092643318E-2</v>
      </c>
      <c r="Z188" s="528">
        <f t="shared" si="192"/>
        <v>1.8499473815803611E-2</v>
      </c>
      <c r="AA188" s="528">
        <f t="shared" si="192"/>
        <v>2.0246214588514687E-2</v>
      </c>
      <c r="AB188" s="528">
        <f t="shared" si="192"/>
        <v>2.2004631786559044E-2</v>
      </c>
      <c r="AC188" s="528">
        <f t="shared" si="192"/>
        <v>2.3750359420105803E-2</v>
      </c>
      <c r="AD188" s="528">
        <f t="shared" si="192"/>
        <v>2.5457284579685567E-2</v>
      </c>
      <c r="AE188" s="528">
        <f t="shared" si="192"/>
        <v>2.7098158534478851E-2</v>
      </c>
      <c r="AF188" s="528">
        <f t="shared" si="192"/>
        <v>2.8645294512489938E-2</v>
      </c>
      <c r="AG188" s="528">
        <f t="shared" si="192"/>
        <v>3.0071328509162196E-2</v>
      </c>
      <c r="AH188" s="528">
        <f t="shared" si="192"/>
        <v>3.1350014727980595E-2</v>
      </c>
      <c r="AI188" s="528">
        <f t="shared" si="192"/>
        <v>3.245702382018268E-2</v>
      </c>
      <c r="AJ188" s="528">
        <f t="shared" si="192"/>
        <v>3.337071025848256E-2</v>
      </c>
      <c r="AK188" s="528">
        <f t="shared" si="192"/>
        <v>3.4072815153181647E-2</v>
      </c>
      <c r="AL188" s="528">
        <f t="shared" si="192"/>
        <v>3.4549072682719582E-2</v>
      </c>
      <c r="AM188" s="528">
        <f t="shared" si="192"/>
        <v>3.4789692020424638E-2</v>
      </c>
      <c r="AN188" s="528">
        <f t="shared" si="192"/>
        <v>3.4789692020424583E-2</v>
      </c>
      <c r="AO188" s="528">
        <f t="shared" si="192"/>
        <v>3.4549072682719638E-2</v>
      </c>
      <c r="AP188" s="528">
        <f t="shared" si="192"/>
        <v>3.4072815153181647E-2</v>
      </c>
      <c r="AQ188" s="528">
        <f t="shared" si="192"/>
        <v>3.3370710258482615E-2</v>
      </c>
      <c r="AR188" s="528">
        <f t="shared" si="192"/>
        <v>3.2457023820182562E-2</v>
      </c>
      <c r="AS188" s="528">
        <f t="shared" si="192"/>
        <v>3.135001472798065E-2</v>
      </c>
      <c r="AT188" s="528">
        <f t="shared" si="192"/>
        <v>3.0071328509162196E-2</v>
      </c>
      <c r="AU188" s="528">
        <f t="shared" si="192"/>
        <v>2.8645294512489938E-2</v>
      </c>
      <c r="AV188" s="528">
        <f t="shared" si="192"/>
        <v>2.7098158534478792E-2</v>
      </c>
      <c r="AW188" s="528">
        <f t="shared" si="192"/>
        <v>2.5457284579685626E-2</v>
      </c>
      <c r="AX188" s="528">
        <f t="shared" si="192"/>
        <v>2.3750359420105747E-2</v>
      </c>
      <c r="AY188" s="528">
        <f t="shared" si="192"/>
        <v>2.2004631786559131E-2</v>
      </c>
      <c r="AZ188" s="528">
        <f t="shared" si="192"/>
        <v>2.02462145885146E-2</v>
      </c>
      <c r="BA188" s="528">
        <f t="shared" si="192"/>
        <v>1.8499473815803639E-2</v>
      </c>
      <c r="BB188" s="528">
        <f t="shared" si="192"/>
        <v>1.6786522092643363E-2</v>
      </c>
      <c r="BC188" s="528">
        <f t="shared" si="192"/>
        <v>1.5126828635832746E-2</v>
      </c>
      <c r="BD188" s="528">
        <f t="shared" si="192"/>
        <v>1.3536951025041948E-2</v>
      </c>
      <c r="BE188" s="528">
        <f t="shared" si="192"/>
        <v>1.2030388109727546E-2</v>
      </c>
      <c r="BF188" s="528">
        <f t="shared" si="192"/>
        <v>1.0617547890023419E-2</v>
      </c>
      <c r="BG188" s="528">
        <f t="shared" si="192"/>
        <v>9.3058195837822516E-3</v>
      </c>
      <c r="BH188" s="528">
        <f t="shared" si="192"/>
        <v>8.0997355122978398E-3</v>
      </c>
      <c r="BI188" s="528">
        <f t="shared" si="192"/>
        <v>7.0012059995732123E-3</v>
      </c>
      <c r="BJ188" s="528">
        <f t="shared" si="192"/>
        <v>6.0098091962007766E-3</v>
      </c>
      <c r="BK188" s="528">
        <f t="shared" si="192"/>
        <v>5.1231175451055275E-3</v>
      </c>
      <c r="BL188" s="528" t="str">
        <f t="shared" si="192"/>
        <v/>
      </c>
      <c r="BM188" s="528" t="str">
        <f t="shared" si="192"/>
        <v/>
      </c>
    </row>
    <row r="189" spans="6:65" ht="15.75" customHeight="1" x14ac:dyDescent="0.25">
      <c r="F189" s="197"/>
      <c r="G189" s="197">
        <f t="shared" si="3"/>
        <v>0</v>
      </c>
      <c r="H189" s="197">
        <f t="shared" si="4"/>
        <v>494</v>
      </c>
      <c r="I189" s="523">
        <v>1</v>
      </c>
      <c r="J189" s="533">
        <f>'Monthly DCF'!$I$3</f>
        <v>46418</v>
      </c>
      <c r="K189" s="533">
        <f t="shared" si="5"/>
        <v>47879</v>
      </c>
      <c r="L189" s="536">
        <f t="shared" si="149"/>
        <v>49</v>
      </c>
      <c r="M189" s="20" t="s">
        <v>366</v>
      </c>
      <c r="N189" s="20">
        <f t="shared" si="6"/>
        <v>12.25</v>
      </c>
      <c r="O189" s="537">
        <v>4</v>
      </c>
      <c r="P189" s="528">
        <f t="shared" ref="P189:BM189" si="193">IFERROR(+IF(AND($M189="Flat",P$5&gt;=$J189,P$5&lt;=$K189),$I189/$L189,0)+IF(AND($M189="S-Curve",P$5&gt;=$J189,P$5&lt;=$K189),(_xlfn.NORM.DIST((YEAR(P$5)-YEAR($J189))*12+MONTH(P$5)-MONTH($J189)+1,$L189/2,$N189,TRUE)-_xlfn.NORM.DIST((YEAR(P$5)-YEAR($J189))*12+MONTH(P$5)-MONTH($J189),$L189/2,$N189,TRUE))/(1-2*_xlfn.NORM.DIST(0,$L189/2,$N189,TRUE))*$I189," "),"")</f>
        <v>5.0100508828696743E-3</v>
      </c>
      <c r="Q189" s="528">
        <f t="shared" si="193"/>
        <v>5.8588924127747338E-3</v>
      </c>
      <c r="R189" s="528">
        <f t="shared" si="193"/>
        <v>6.806070193065364E-3</v>
      </c>
      <c r="S189" s="528">
        <f t="shared" si="193"/>
        <v>7.8538904439648012E-3</v>
      </c>
      <c r="T189" s="528">
        <f t="shared" si="193"/>
        <v>9.0028656360641585E-3</v>
      </c>
      <c r="U189" s="528">
        <f t="shared" si="193"/>
        <v>1.025142439003723E-2</v>
      </c>
      <c r="V189" s="528">
        <f t="shared" si="193"/>
        <v>1.1595651970849691E-2</v>
      </c>
      <c r="W189" s="528">
        <f t="shared" si="193"/>
        <v>1.3029076865496085E-2</v>
      </c>
      <c r="X189" s="528">
        <f t="shared" si="193"/>
        <v>1.4542518852547712E-2</v>
      </c>
      <c r="Y189" s="528">
        <f t="shared" si="193"/>
        <v>1.6124013011694624E-2</v>
      </c>
      <c r="Z189" s="528">
        <f t="shared" si="193"/>
        <v>1.7758822224699333E-2</v>
      </c>
      <c r="AA189" s="528">
        <f t="shared" si="193"/>
        <v>1.9429547886583496E-2</v>
      </c>
      <c r="AB189" s="528">
        <f t="shared" si="193"/>
        <v>2.1116344843679323E-2</v>
      </c>
      <c r="AC189" s="528">
        <f t="shared" si="193"/>
        <v>2.2797242137786979E-2</v>
      </c>
      <c r="AD189" s="528">
        <f t="shared" si="193"/>
        <v>2.4448566162984315E-2</v>
      </c>
      <c r="AE189" s="528">
        <f t="shared" si="193"/>
        <v>2.6045457590649111E-2</v>
      </c>
      <c r="AF189" s="528">
        <f t="shared" si="193"/>
        <v>2.7562468189232702E-2</v>
      </c>
      <c r="AG189" s="528">
        <f t="shared" si="193"/>
        <v>2.8974218782884618E-2</v>
      </c>
      <c r="AH189" s="528">
        <f t="shared" si="193"/>
        <v>3.0256095383819116E-2</v>
      </c>
      <c r="AI189" s="528">
        <f t="shared" si="193"/>
        <v>3.1384957301572522E-2</v>
      </c>
      <c r="AJ189" s="528">
        <f t="shared" si="193"/>
        <v>3.2339829035629361E-2</v>
      </c>
      <c r="AK189" s="528">
        <f t="shared" si="193"/>
        <v>3.3102547185166052E-2</v>
      </c>
      <c r="AL189" s="528">
        <f t="shared" si="193"/>
        <v>3.3658334563253102E-2</v>
      </c>
      <c r="AM189" s="528">
        <f t="shared" si="193"/>
        <v>3.3996276186985121E-2</v>
      </c>
      <c r="AN189" s="528">
        <f t="shared" si="193"/>
        <v>3.4109675731421533E-2</v>
      </c>
      <c r="AO189" s="528">
        <f t="shared" si="193"/>
        <v>3.3996276186985121E-2</v>
      </c>
      <c r="AP189" s="528">
        <f t="shared" si="193"/>
        <v>3.3658334563253102E-2</v>
      </c>
      <c r="AQ189" s="528">
        <f t="shared" si="193"/>
        <v>3.3102547185166108E-2</v>
      </c>
      <c r="AR189" s="528">
        <f t="shared" si="193"/>
        <v>3.2339829035629361E-2</v>
      </c>
      <c r="AS189" s="528">
        <f t="shared" si="193"/>
        <v>3.1384957301572522E-2</v>
      </c>
      <c r="AT189" s="528">
        <f t="shared" si="193"/>
        <v>3.0256095383819116E-2</v>
      </c>
      <c r="AU189" s="528">
        <f t="shared" si="193"/>
        <v>2.8974218782884618E-2</v>
      </c>
      <c r="AV189" s="528">
        <f t="shared" si="193"/>
        <v>2.7562468189232647E-2</v>
      </c>
      <c r="AW189" s="528">
        <f t="shared" si="193"/>
        <v>2.6045457590649138E-2</v>
      </c>
      <c r="AX189" s="528">
        <f t="shared" si="193"/>
        <v>2.4448566162984374E-2</v>
      </c>
      <c r="AY189" s="528">
        <f t="shared" si="193"/>
        <v>2.279724213778701E-2</v>
      </c>
      <c r="AZ189" s="528">
        <f t="shared" si="193"/>
        <v>2.1116344843679292E-2</v>
      </c>
      <c r="BA189" s="528">
        <f t="shared" si="193"/>
        <v>1.9429547886583496E-2</v>
      </c>
      <c r="BB189" s="528">
        <f t="shared" si="193"/>
        <v>1.7758822224699274E-2</v>
      </c>
      <c r="BC189" s="528">
        <f t="shared" si="193"/>
        <v>1.6124013011694638E-2</v>
      </c>
      <c r="BD189" s="528">
        <f t="shared" si="193"/>
        <v>1.4542518852547712E-2</v>
      </c>
      <c r="BE189" s="528">
        <f t="shared" si="193"/>
        <v>1.3029076865496142E-2</v>
      </c>
      <c r="BF189" s="528">
        <f t="shared" si="193"/>
        <v>1.1595651970849588E-2</v>
      </c>
      <c r="BG189" s="528">
        <f t="shared" si="193"/>
        <v>1.0251424390037267E-2</v>
      </c>
      <c r="BH189" s="528">
        <f t="shared" si="193"/>
        <v>9.0028656360641359E-3</v>
      </c>
      <c r="BI189" s="528">
        <f t="shared" si="193"/>
        <v>7.8538904439648151E-3</v>
      </c>
      <c r="BJ189" s="528">
        <f t="shared" si="193"/>
        <v>6.8060701930653788E-3</v>
      </c>
      <c r="BK189" s="528">
        <f t="shared" si="193"/>
        <v>5.8588924127747338E-3</v>
      </c>
      <c r="BL189" s="528">
        <f t="shared" si="193"/>
        <v>5.0100508828696709E-3</v>
      </c>
      <c r="BM189" s="528" t="str">
        <f t="shared" si="193"/>
        <v/>
      </c>
    </row>
    <row r="190" spans="6:65" ht="15.75" customHeight="1" x14ac:dyDescent="0.25">
      <c r="F190" s="197"/>
      <c r="G190" s="197">
        <f t="shared" si="3"/>
        <v>0</v>
      </c>
      <c r="H190" s="197">
        <f t="shared" si="4"/>
        <v>504</v>
      </c>
      <c r="I190" s="523">
        <v>1</v>
      </c>
      <c r="J190" s="533">
        <f>'Monthly DCF'!$I$3</f>
        <v>46418</v>
      </c>
      <c r="K190" s="533">
        <f t="shared" si="5"/>
        <v>47907</v>
      </c>
      <c r="L190" s="536">
        <f t="shared" si="149"/>
        <v>50</v>
      </c>
      <c r="M190" s="20" t="s">
        <v>366</v>
      </c>
      <c r="N190" s="20">
        <f t="shared" si="6"/>
        <v>12.5</v>
      </c>
      <c r="O190" s="537">
        <v>4</v>
      </c>
      <c r="P190" s="528">
        <f t="shared" ref="P190:BM190" si="194">IFERROR(+IF(AND($M190="Flat",P$5&gt;=$J190,P$5&lt;=$K190),$I190/$L190,0)+IF(AND($M190="S-Curve",P$5&gt;=$J190,P$5&lt;=$K190),(_xlfn.NORM.DIST((YEAR(P$5)-YEAR($J190))*12+MONTH(P$5)-MONTH($J190)+1,$L190/2,$N190,TRUE)-_xlfn.NORM.DIST((YEAR(P$5)-YEAR($J190))*12+MONTH(P$5)-MONTH($J190),$L190/2,$N190,TRUE))/(1-2*_xlfn.NORM.DIST(0,$L190/2,$N190,TRUE))*$I190," "),"")</f>
        <v>4.9018533779349128E-3</v>
      </c>
      <c r="Q190" s="528">
        <f t="shared" si="194"/>
        <v>5.7152126386075227E-3</v>
      </c>
      <c r="R190" s="528">
        <f t="shared" si="194"/>
        <v>6.6210438717528826E-3</v>
      </c>
      <c r="S190" s="528">
        <f t="shared" si="194"/>
        <v>7.6215364982012927E-3</v>
      </c>
      <c r="T190" s="528">
        <f t="shared" si="194"/>
        <v>8.7172720128803078E-3</v>
      </c>
      <c r="U190" s="528">
        <f t="shared" si="194"/>
        <v>9.9069656718595734E-3</v>
      </c>
      <c r="V190" s="528">
        <f t="shared" si="194"/>
        <v>1.1187233805826671E-2</v>
      </c>
      <c r="W190" s="528">
        <f t="shared" si="194"/>
        <v>1.255239992172924E-2</v>
      </c>
      <c r="X190" s="528">
        <f t="shared" si="194"/>
        <v>1.3994352750566562E-2</v>
      </c>
      <c r="Y190" s="528">
        <f t="shared" si="194"/>
        <v>1.5502468683406245E-2</v>
      </c>
      <c r="Z190" s="528">
        <f t="shared" si="194"/>
        <v>1.7063609558980449E-2</v>
      </c>
      <c r="AA190" s="528">
        <f t="shared" si="194"/>
        <v>1.8662204518741256E-2</v>
      </c>
      <c r="AB190" s="528">
        <f t="shared" si="194"/>
        <v>2.0280421673950558E-2</v>
      </c>
      <c r="AC190" s="528">
        <f t="shared" si="194"/>
        <v>2.1898431732625161E-2</v>
      </c>
      <c r="AD190" s="528">
        <f t="shared" si="194"/>
        <v>2.3494761662510782E-2</v>
      </c>
      <c r="AE190" s="528">
        <f t="shared" si="194"/>
        <v>2.5046732116915625E-2</v>
      </c>
      <c r="AF190" s="528">
        <f t="shared" si="194"/>
        <v>2.653096795708346E-2</v>
      </c>
      <c r="AG190" s="528">
        <f t="shared" si="194"/>
        <v>2.7923967024828442E-2</v>
      </c>
      <c r="AH190" s="528">
        <f t="shared" si="194"/>
        <v>2.9202708615698247E-2</v>
      </c>
      <c r="AI190" s="528">
        <f t="shared" si="194"/>
        <v>3.034528012725209E-2</v>
      </c>
      <c r="AJ190" s="528">
        <f t="shared" si="194"/>
        <v>3.133149832925352E-2</v>
      </c>
      <c r="AK190" s="528">
        <f t="shared" si="194"/>
        <v>3.2143500794213728E-2</v>
      </c>
      <c r="AL190" s="528">
        <f t="shared" si="194"/>
        <v>3.2766283345485481E-2</v>
      </c>
      <c r="AM190" s="528">
        <f t="shared" si="194"/>
        <v>3.3188160959329763E-2</v>
      </c>
      <c r="AN190" s="528">
        <f t="shared" si="194"/>
        <v>3.3401132350366243E-2</v>
      </c>
      <c r="AO190" s="528">
        <f t="shared" si="194"/>
        <v>3.3401132350366305E-2</v>
      </c>
      <c r="AP190" s="528">
        <f t="shared" si="194"/>
        <v>3.3188160959329763E-2</v>
      </c>
      <c r="AQ190" s="528">
        <f t="shared" si="194"/>
        <v>3.2766283345485363E-2</v>
      </c>
      <c r="AR190" s="528">
        <f t="shared" si="194"/>
        <v>3.214350079421379E-2</v>
      </c>
      <c r="AS190" s="528">
        <f t="shared" si="194"/>
        <v>3.1331498329253582E-2</v>
      </c>
      <c r="AT190" s="528">
        <f t="shared" si="194"/>
        <v>3.0345280127251972E-2</v>
      </c>
      <c r="AU190" s="528">
        <f t="shared" si="194"/>
        <v>2.9202708615698302E-2</v>
      </c>
      <c r="AV190" s="528">
        <f t="shared" si="194"/>
        <v>2.7923967024828383E-2</v>
      </c>
      <c r="AW190" s="528">
        <f t="shared" si="194"/>
        <v>2.6530967957083519E-2</v>
      </c>
      <c r="AX190" s="528">
        <f t="shared" si="194"/>
        <v>2.5046732116915597E-2</v>
      </c>
      <c r="AY190" s="528">
        <f t="shared" si="194"/>
        <v>2.3494761662510782E-2</v>
      </c>
      <c r="AZ190" s="528">
        <f t="shared" si="194"/>
        <v>2.1898431732625161E-2</v>
      </c>
      <c r="BA190" s="528">
        <f t="shared" si="194"/>
        <v>2.0280421673950645E-2</v>
      </c>
      <c r="BB190" s="528">
        <f t="shared" si="194"/>
        <v>1.8662204518741198E-2</v>
      </c>
      <c r="BC190" s="528">
        <f t="shared" si="194"/>
        <v>1.7063609558980505E-2</v>
      </c>
      <c r="BD190" s="528">
        <f t="shared" si="194"/>
        <v>1.5502468683406174E-2</v>
      </c>
      <c r="BE190" s="528">
        <f t="shared" si="194"/>
        <v>1.3994352750566532E-2</v>
      </c>
      <c r="BF190" s="528">
        <f t="shared" si="194"/>
        <v>1.2552399921729299E-2</v>
      </c>
      <c r="BG190" s="528">
        <f t="shared" si="194"/>
        <v>1.1187233805826671E-2</v>
      </c>
      <c r="BH190" s="528">
        <f t="shared" si="194"/>
        <v>9.90696567185953E-3</v>
      </c>
      <c r="BI190" s="528">
        <f t="shared" si="194"/>
        <v>8.7172720128803147E-3</v>
      </c>
      <c r="BJ190" s="528">
        <f t="shared" si="194"/>
        <v>7.621536498201271E-3</v>
      </c>
      <c r="BK190" s="528">
        <f t="shared" si="194"/>
        <v>6.6210438717529624E-3</v>
      </c>
      <c r="BL190" s="528">
        <f t="shared" si="194"/>
        <v>5.715212638607494E-3</v>
      </c>
      <c r="BM190" s="528">
        <f t="shared" si="194"/>
        <v>4.9018533779348868E-3</v>
      </c>
    </row>
    <row r="191" spans="6:65" ht="15.75" customHeight="1" x14ac:dyDescent="0.25">
      <c r="F191" s="197"/>
      <c r="G191" s="197">
        <f t="shared" si="3"/>
        <v>0</v>
      </c>
      <c r="H191" s="197">
        <f t="shared" si="4"/>
        <v>55</v>
      </c>
      <c r="I191" s="523">
        <v>1</v>
      </c>
      <c r="J191" s="533">
        <f>'Monthly DCF'!$I$3</f>
        <v>46418</v>
      </c>
      <c r="K191" s="533">
        <f t="shared" si="5"/>
        <v>46538</v>
      </c>
      <c r="L191" s="536">
        <v>5</v>
      </c>
      <c r="M191" s="20" t="s">
        <v>366</v>
      </c>
      <c r="N191" s="20">
        <f t="shared" si="6"/>
        <v>1</v>
      </c>
      <c r="O191" s="537">
        <v>5</v>
      </c>
      <c r="P191" s="528">
        <f t="shared" ref="P191:BM191" si="195">IFERROR(+IF(AND($M191="Flat",P$5&gt;=$J191,P$5&lt;=$K191),$I191/$L191,0)+IF(AND($M191="S-Curve",P$5&gt;=$J191,P$5&lt;=$K191),(_xlfn.NORM.DIST((YEAR(P$5)-YEAR($J191))*12+MONTH(P$5)-MONTH($J191)+1,$L191/2,$N191,TRUE)-_xlfn.NORM.DIST((YEAR(P$5)-YEAR($J191))*12+MONTH(P$5)-MONTH($J191),$L191/2,$N191,TRUE))/(1-2*_xlfn.NORM.DIST(0,$L191/2,$N191,TRUE))*$I191," "),"")</f>
        <v>6.1359580866503699E-2</v>
      </c>
      <c r="Q191" s="528">
        <f t="shared" si="195"/>
        <v>0.24477021974985541</v>
      </c>
      <c r="R191" s="528">
        <f t="shared" si="195"/>
        <v>0.38774039876728184</v>
      </c>
      <c r="S191" s="528">
        <f t="shared" si="195"/>
        <v>0.24477021974985538</v>
      </c>
      <c r="T191" s="528">
        <f t="shared" si="195"/>
        <v>6.1359580866503699E-2</v>
      </c>
      <c r="U191" s="528" t="str">
        <f t="shared" si="195"/>
        <v/>
      </c>
      <c r="V191" s="528" t="str">
        <f t="shared" si="195"/>
        <v/>
      </c>
      <c r="W191" s="528" t="str">
        <f t="shared" si="195"/>
        <v/>
      </c>
      <c r="X191" s="528" t="str">
        <f t="shared" si="195"/>
        <v/>
      </c>
      <c r="Y191" s="528" t="str">
        <f t="shared" si="195"/>
        <v/>
      </c>
      <c r="Z191" s="528" t="str">
        <f t="shared" si="195"/>
        <v/>
      </c>
      <c r="AA191" s="528" t="str">
        <f t="shared" si="195"/>
        <v/>
      </c>
      <c r="AB191" s="528" t="str">
        <f t="shared" si="195"/>
        <v/>
      </c>
      <c r="AC191" s="528" t="str">
        <f t="shared" si="195"/>
        <v/>
      </c>
      <c r="AD191" s="528" t="str">
        <f t="shared" si="195"/>
        <v/>
      </c>
      <c r="AE191" s="528" t="str">
        <f t="shared" si="195"/>
        <v/>
      </c>
      <c r="AF191" s="528" t="str">
        <f t="shared" si="195"/>
        <v/>
      </c>
      <c r="AG191" s="528" t="str">
        <f t="shared" si="195"/>
        <v/>
      </c>
      <c r="AH191" s="528" t="str">
        <f t="shared" si="195"/>
        <v/>
      </c>
      <c r="AI191" s="528" t="str">
        <f t="shared" si="195"/>
        <v/>
      </c>
      <c r="AJ191" s="528" t="str">
        <f t="shared" si="195"/>
        <v/>
      </c>
      <c r="AK191" s="528" t="str">
        <f t="shared" si="195"/>
        <v/>
      </c>
      <c r="AL191" s="528" t="str">
        <f t="shared" si="195"/>
        <v/>
      </c>
      <c r="AM191" s="528" t="str">
        <f t="shared" si="195"/>
        <v/>
      </c>
      <c r="AN191" s="528" t="str">
        <f t="shared" si="195"/>
        <v/>
      </c>
      <c r="AO191" s="528" t="str">
        <f t="shared" si="195"/>
        <v/>
      </c>
      <c r="AP191" s="528" t="str">
        <f t="shared" si="195"/>
        <v/>
      </c>
      <c r="AQ191" s="528" t="str">
        <f t="shared" si="195"/>
        <v/>
      </c>
      <c r="AR191" s="528" t="str">
        <f t="shared" si="195"/>
        <v/>
      </c>
      <c r="AS191" s="528" t="str">
        <f t="shared" si="195"/>
        <v/>
      </c>
      <c r="AT191" s="528" t="str">
        <f t="shared" si="195"/>
        <v/>
      </c>
      <c r="AU191" s="528" t="str">
        <f t="shared" si="195"/>
        <v/>
      </c>
      <c r="AV191" s="528" t="str">
        <f t="shared" si="195"/>
        <v/>
      </c>
      <c r="AW191" s="528" t="str">
        <f t="shared" si="195"/>
        <v/>
      </c>
      <c r="AX191" s="528" t="str">
        <f t="shared" si="195"/>
        <v/>
      </c>
      <c r="AY191" s="528" t="str">
        <f t="shared" si="195"/>
        <v/>
      </c>
      <c r="AZ191" s="528" t="str">
        <f t="shared" si="195"/>
        <v/>
      </c>
      <c r="BA191" s="528" t="str">
        <f t="shared" si="195"/>
        <v/>
      </c>
      <c r="BB191" s="528" t="str">
        <f t="shared" si="195"/>
        <v/>
      </c>
      <c r="BC191" s="528" t="str">
        <f t="shared" si="195"/>
        <v/>
      </c>
      <c r="BD191" s="528" t="str">
        <f t="shared" si="195"/>
        <v/>
      </c>
      <c r="BE191" s="528" t="str">
        <f t="shared" si="195"/>
        <v/>
      </c>
      <c r="BF191" s="528" t="str">
        <f t="shared" si="195"/>
        <v/>
      </c>
      <c r="BG191" s="528" t="str">
        <f t="shared" si="195"/>
        <v/>
      </c>
      <c r="BH191" s="528" t="str">
        <f t="shared" si="195"/>
        <v/>
      </c>
      <c r="BI191" s="528" t="str">
        <f t="shared" si="195"/>
        <v/>
      </c>
      <c r="BJ191" s="528" t="str">
        <f t="shared" si="195"/>
        <v/>
      </c>
      <c r="BK191" s="528" t="str">
        <f t="shared" si="195"/>
        <v/>
      </c>
      <c r="BL191" s="528" t="str">
        <f t="shared" si="195"/>
        <v/>
      </c>
      <c r="BM191" s="528" t="str">
        <f t="shared" si="195"/>
        <v/>
      </c>
    </row>
    <row r="192" spans="6:65" ht="15.75" customHeight="1" x14ac:dyDescent="0.25">
      <c r="F192" s="197"/>
      <c r="G192" s="197">
        <f t="shared" si="3"/>
        <v>0</v>
      </c>
      <c r="H192" s="197">
        <f t="shared" si="4"/>
        <v>65</v>
      </c>
      <c r="I192" s="523">
        <v>1</v>
      </c>
      <c r="J192" s="533">
        <f>'Monthly DCF'!$I$3</f>
        <v>46418</v>
      </c>
      <c r="K192" s="533">
        <f t="shared" si="5"/>
        <v>46568</v>
      </c>
      <c r="L192" s="536">
        <f t="shared" ref="L192:L236" si="196">L191+1</f>
        <v>6</v>
      </c>
      <c r="M192" s="20" t="s">
        <v>366</v>
      </c>
      <c r="N192" s="20">
        <f t="shared" si="6"/>
        <v>1.2</v>
      </c>
      <c r="O192" s="537">
        <v>5</v>
      </c>
      <c r="P192" s="528">
        <f t="shared" ref="P192:BM192" si="197">IFERROR(+IF(AND($M192="Flat",P$5&gt;=$J192,P$5&lt;=$K192),$I192/$L192,0)+IF(AND($M192="S-Curve",P$5&gt;=$J192,P$5&lt;=$K192),(_xlfn.NORM.DIST((YEAR(P$5)-YEAR($J192))*12+MONTH(P$5)-MONTH($J192)+1,$L192/2,$N192,TRUE)-_xlfn.NORM.DIST((YEAR(P$5)-YEAR($J192))*12+MONTH(P$5)-MONTH($J192),$L192/2,$N192,TRUE))/(1-2*_xlfn.NORM.DIST(0,$L192/2,$N192,TRUE))*$I192," "),"")</f>
        <v>4.2103585294425885E-2</v>
      </c>
      <c r="Q192" s="528">
        <f t="shared" si="197"/>
        <v>0.1564814232267063</v>
      </c>
      <c r="R192" s="528">
        <f t="shared" si="197"/>
        <v>0.30141499147886786</v>
      </c>
      <c r="S192" s="528">
        <f t="shared" si="197"/>
        <v>0.30141499147886786</v>
      </c>
      <c r="T192" s="528">
        <f t="shared" si="197"/>
        <v>0.1564814232267063</v>
      </c>
      <c r="U192" s="528">
        <f t="shared" si="197"/>
        <v>4.2103585294425844E-2</v>
      </c>
      <c r="V192" s="528" t="str">
        <f t="shared" si="197"/>
        <v/>
      </c>
      <c r="W192" s="528" t="str">
        <f t="shared" si="197"/>
        <v/>
      </c>
      <c r="X192" s="528" t="str">
        <f t="shared" si="197"/>
        <v/>
      </c>
      <c r="Y192" s="528" t="str">
        <f t="shared" si="197"/>
        <v/>
      </c>
      <c r="Z192" s="528" t="str">
        <f t="shared" si="197"/>
        <v/>
      </c>
      <c r="AA192" s="528" t="str">
        <f t="shared" si="197"/>
        <v/>
      </c>
      <c r="AB192" s="528" t="str">
        <f t="shared" si="197"/>
        <v/>
      </c>
      <c r="AC192" s="528" t="str">
        <f t="shared" si="197"/>
        <v/>
      </c>
      <c r="AD192" s="528" t="str">
        <f t="shared" si="197"/>
        <v/>
      </c>
      <c r="AE192" s="528" t="str">
        <f t="shared" si="197"/>
        <v/>
      </c>
      <c r="AF192" s="528" t="str">
        <f t="shared" si="197"/>
        <v/>
      </c>
      <c r="AG192" s="528" t="str">
        <f t="shared" si="197"/>
        <v/>
      </c>
      <c r="AH192" s="528" t="str">
        <f t="shared" si="197"/>
        <v/>
      </c>
      <c r="AI192" s="528" t="str">
        <f t="shared" si="197"/>
        <v/>
      </c>
      <c r="AJ192" s="528" t="str">
        <f t="shared" si="197"/>
        <v/>
      </c>
      <c r="AK192" s="528" t="str">
        <f t="shared" si="197"/>
        <v/>
      </c>
      <c r="AL192" s="528" t="str">
        <f t="shared" si="197"/>
        <v/>
      </c>
      <c r="AM192" s="528" t="str">
        <f t="shared" si="197"/>
        <v/>
      </c>
      <c r="AN192" s="528" t="str">
        <f t="shared" si="197"/>
        <v/>
      </c>
      <c r="AO192" s="528" t="str">
        <f t="shared" si="197"/>
        <v/>
      </c>
      <c r="AP192" s="528" t="str">
        <f t="shared" si="197"/>
        <v/>
      </c>
      <c r="AQ192" s="528" t="str">
        <f t="shared" si="197"/>
        <v/>
      </c>
      <c r="AR192" s="528" t="str">
        <f t="shared" si="197"/>
        <v/>
      </c>
      <c r="AS192" s="528" t="str">
        <f t="shared" si="197"/>
        <v/>
      </c>
      <c r="AT192" s="528" t="str">
        <f t="shared" si="197"/>
        <v/>
      </c>
      <c r="AU192" s="528" t="str">
        <f t="shared" si="197"/>
        <v/>
      </c>
      <c r="AV192" s="528" t="str">
        <f t="shared" si="197"/>
        <v/>
      </c>
      <c r="AW192" s="528" t="str">
        <f t="shared" si="197"/>
        <v/>
      </c>
      <c r="AX192" s="528" t="str">
        <f t="shared" si="197"/>
        <v/>
      </c>
      <c r="AY192" s="528" t="str">
        <f t="shared" si="197"/>
        <v/>
      </c>
      <c r="AZ192" s="528" t="str">
        <f t="shared" si="197"/>
        <v/>
      </c>
      <c r="BA192" s="528" t="str">
        <f t="shared" si="197"/>
        <v/>
      </c>
      <c r="BB192" s="528" t="str">
        <f t="shared" si="197"/>
        <v/>
      </c>
      <c r="BC192" s="528" t="str">
        <f t="shared" si="197"/>
        <v/>
      </c>
      <c r="BD192" s="528" t="str">
        <f t="shared" si="197"/>
        <v/>
      </c>
      <c r="BE192" s="528" t="str">
        <f t="shared" si="197"/>
        <v/>
      </c>
      <c r="BF192" s="528" t="str">
        <f t="shared" si="197"/>
        <v/>
      </c>
      <c r="BG192" s="528" t="str">
        <f t="shared" si="197"/>
        <v/>
      </c>
      <c r="BH192" s="528" t="str">
        <f t="shared" si="197"/>
        <v/>
      </c>
      <c r="BI192" s="528" t="str">
        <f t="shared" si="197"/>
        <v/>
      </c>
      <c r="BJ192" s="528" t="str">
        <f t="shared" si="197"/>
        <v/>
      </c>
      <c r="BK192" s="528" t="str">
        <f t="shared" si="197"/>
        <v/>
      </c>
      <c r="BL192" s="528" t="str">
        <f t="shared" si="197"/>
        <v/>
      </c>
      <c r="BM192" s="528" t="str">
        <f t="shared" si="197"/>
        <v/>
      </c>
    </row>
    <row r="193" spans="6:65" ht="15.75" customHeight="1" x14ac:dyDescent="0.25">
      <c r="F193" s="197"/>
      <c r="G193" s="197">
        <f t="shared" si="3"/>
        <v>0</v>
      </c>
      <c r="H193" s="197">
        <f t="shared" si="4"/>
        <v>75</v>
      </c>
      <c r="I193" s="523">
        <v>1</v>
      </c>
      <c r="J193" s="533">
        <f>'Monthly DCF'!$I$3</f>
        <v>46418</v>
      </c>
      <c r="K193" s="533">
        <f t="shared" si="5"/>
        <v>46599</v>
      </c>
      <c r="L193" s="536">
        <f t="shared" si="196"/>
        <v>7</v>
      </c>
      <c r="M193" s="20" t="s">
        <v>366</v>
      </c>
      <c r="N193" s="20">
        <f t="shared" si="6"/>
        <v>1.4</v>
      </c>
      <c r="O193" s="537">
        <v>5</v>
      </c>
      <c r="P193" s="528">
        <f t="shared" ref="P193:BM193" si="198">IFERROR(+IF(AND($M193="Flat",P$5&gt;=$J193,P$5&lt;=$K193),$I193/$L193,0)+IF(AND($M193="S-Curve",P$5&gt;=$J193,P$5&lt;=$K193),(_xlfn.NORM.DIST((YEAR(P$5)-YEAR($J193))*12+MONTH(P$5)-MONTH($J193)+1,$L193/2,$N193,TRUE)-_xlfn.NORM.DIST((YEAR(P$5)-YEAR($J193))*12+MONTH(P$5)-MONTH($J193),$L193/2,$N193,TRUE))/(1-2*_xlfn.NORM.DIST(0,$L193/2,$N193,TRUE))*$I193," "),"")</f>
        <v>3.1251219457635891E-2</v>
      </c>
      <c r="Q193" s="528">
        <f t="shared" si="198"/>
        <v>0.10623498775950133</v>
      </c>
      <c r="R193" s="528">
        <f t="shared" si="198"/>
        <v>0.22125184489438884</v>
      </c>
      <c r="S193" s="528">
        <f t="shared" si="198"/>
        <v>0.28252389577694803</v>
      </c>
      <c r="T193" s="528">
        <f t="shared" si="198"/>
        <v>0.22125184489438884</v>
      </c>
      <c r="U193" s="528">
        <f t="shared" si="198"/>
        <v>0.1062349877595013</v>
      </c>
      <c r="V193" s="528">
        <f t="shared" si="198"/>
        <v>3.1251219457635829E-2</v>
      </c>
      <c r="W193" s="528" t="str">
        <f t="shared" si="198"/>
        <v/>
      </c>
      <c r="X193" s="528" t="str">
        <f t="shared" si="198"/>
        <v/>
      </c>
      <c r="Y193" s="528" t="str">
        <f t="shared" si="198"/>
        <v/>
      </c>
      <c r="Z193" s="528" t="str">
        <f t="shared" si="198"/>
        <v/>
      </c>
      <c r="AA193" s="528" t="str">
        <f t="shared" si="198"/>
        <v/>
      </c>
      <c r="AB193" s="528" t="str">
        <f t="shared" si="198"/>
        <v/>
      </c>
      <c r="AC193" s="528" t="str">
        <f t="shared" si="198"/>
        <v/>
      </c>
      <c r="AD193" s="528" t="str">
        <f t="shared" si="198"/>
        <v/>
      </c>
      <c r="AE193" s="528" t="str">
        <f t="shared" si="198"/>
        <v/>
      </c>
      <c r="AF193" s="528" t="str">
        <f t="shared" si="198"/>
        <v/>
      </c>
      <c r="AG193" s="528" t="str">
        <f t="shared" si="198"/>
        <v/>
      </c>
      <c r="AH193" s="528" t="str">
        <f t="shared" si="198"/>
        <v/>
      </c>
      <c r="AI193" s="528" t="str">
        <f t="shared" si="198"/>
        <v/>
      </c>
      <c r="AJ193" s="528" t="str">
        <f t="shared" si="198"/>
        <v/>
      </c>
      <c r="AK193" s="528" t="str">
        <f t="shared" si="198"/>
        <v/>
      </c>
      <c r="AL193" s="528" t="str">
        <f t="shared" si="198"/>
        <v/>
      </c>
      <c r="AM193" s="528" t="str">
        <f t="shared" si="198"/>
        <v/>
      </c>
      <c r="AN193" s="528" t="str">
        <f t="shared" si="198"/>
        <v/>
      </c>
      <c r="AO193" s="528" t="str">
        <f t="shared" si="198"/>
        <v/>
      </c>
      <c r="AP193" s="528" t="str">
        <f t="shared" si="198"/>
        <v/>
      </c>
      <c r="AQ193" s="528" t="str">
        <f t="shared" si="198"/>
        <v/>
      </c>
      <c r="AR193" s="528" t="str">
        <f t="shared" si="198"/>
        <v/>
      </c>
      <c r="AS193" s="528" t="str">
        <f t="shared" si="198"/>
        <v/>
      </c>
      <c r="AT193" s="528" t="str">
        <f t="shared" si="198"/>
        <v/>
      </c>
      <c r="AU193" s="528" t="str">
        <f t="shared" si="198"/>
        <v/>
      </c>
      <c r="AV193" s="528" t="str">
        <f t="shared" si="198"/>
        <v/>
      </c>
      <c r="AW193" s="528" t="str">
        <f t="shared" si="198"/>
        <v/>
      </c>
      <c r="AX193" s="528" t="str">
        <f t="shared" si="198"/>
        <v/>
      </c>
      <c r="AY193" s="528" t="str">
        <f t="shared" si="198"/>
        <v/>
      </c>
      <c r="AZ193" s="528" t="str">
        <f t="shared" si="198"/>
        <v/>
      </c>
      <c r="BA193" s="528" t="str">
        <f t="shared" si="198"/>
        <v/>
      </c>
      <c r="BB193" s="528" t="str">
        <f t="shared" si="198"/>
        <v/>
      </c>
      <c r="BC193" s="528" t="str">
        <f t="shared" si="198"/>
        <v/>
      </c>
      <c r="BD193" s="528" t="str">
        <f t="shared" si="198"/>
        <v/>
      </c>
      <c r="BE193" s="528" t="str">
        <f t="shared" si="198"/>
        <v/>
      </c>
      <c r="BF193" s="528" t="str">
        <f t="shared" si="198"/>
        <v/>
      </c>
      <c r="BG193" s="528" t="str">
        <f t="shared" si="198"/>
        <v/>
      </c>
      <c r="BH193" s="528" t="str">
        <f t="shared" si="198"/>
        <v/>
      </c>
      <c r="BI193" s="528" t="str">
        <f t="shared" si="198"/>
        <v/>
      </c>
      <c r="BJ193" s="528" t="str">
        <f t="shared" si="198"/>
        <v/>
      </c>
      <c r="BK193" s="528" t="str">
        <f t="shared" si="198"/>
        <v/>
      </c>
      <c r="BL193" s="528" t="str">
        <f t="shared" si="198"/>
        <v/>
      </c>
      <c r="BM193" s="528" t="str">
        <f t="shared" si="198"/>
        <v/>
      </c>
    </row>
    <row r="194" spans="6:65" ht="15.75" customHeight="1" x14ac:dyDescent="0.25">
      <c r="F194" s="197"/>
      <c r="G194" s="197">
        <f t="shared" si="3"/>
        <v>0</v>
      </c>
      <c r="H194" s="197">
        <f t="shared" si="4"/>
        <v>85</v>
      </c>
      <c r="I194" s="523">
        <v>1</v>
      </c>
      <c r="J194" s="533">
        <f>'Monthly DCF'!$I$3</f>
        <v>46418</v>
      </c>
      <c r="K194" s="533">
        <f t="shared" si="5"/>
        <v>46630</v>
      </c>
      <c r="L194" s="536">
        <f t="shared" si="196"/>
        <v>8</v>
      </c>
      <c r="M194" s="20" t="s">
        <v>366</v>
      </c>
      <c r="N194" s="20">
        <f t="shared" si="6"/>
        <v>1.6</v>
      </c>
      <c r="O194" s="537">
        <v>5</v>
      </c>
      <c r="P194" s="528">
        <f t="shared" ref="P194:BM194" si="199">IFERROR(+IF(AND($M194="Flat",P$5&gt;=$J194,P$5&lt;=$K194),$I194/$L194,0)+IF(AND($M194="S-Curve",P$5&gt;=$J194,P$5&lt;=$K194),(_xlfn.NORM.DIST((YEAR(P$5)-YEAR($J194))*12+MONTH(P$5)-MONTH($J194)+1,$L194/2,$N194,TRUE)-_xlfn.NORM.DIST((YEAR(P$5)-YEAR($J194))*12+MONTH(P$5)-MONTH($J194),$L194/2,$N194,TRUE))/(1-2*_xlfn.NORM.DIST(0,$L194/2,$N194,TRUE))*$I194," "),"")</f>
        <v>2.4490856484100997E-2</v>
      </c>
      <c r="Q194" s="528">
        <f t="shared" si="199"/>
        <v>7.6199761940705074E-2</v>
      </c>
      <c r="R194" s="528">
        <f t="shared" si="199"/>
        <v>0.16235205928810464</v>
      </c>
      <c r="S194" s="528">
        <f t="shared" si="199"/>
        <v>0.23695732228708932</v>
      </c>
      <c r="T194" s="528">
        <f t="shared" si="199"/>
        <v>0.23695732228708927</v>
      </c>
      <c r="U194" s="528">
        <f t="shared" si="199"/>
        <v>0.1623520592881047</v>
      </c>
      <c r="V194" s="528">
        <f t="shared" si="199"/>
        <v>7.6199761940705033E-2</v>
      </c>
      <c r="W194" s="528">
        <f t="shared" si="199"/>
        <v>2.4490856484100997E-2</v>
      </c>
      <c r="X194" s="528" t="str">
        <f t="shared" si="199"/>
        <v/>
      </c>
      <c r="Y194" s="528" t="str">
        <f t="shared" si="199"/>
        <v/>
      </c>
      <c r="Z194" s="528" t="str">
        <f t="shared" si="199"/>
        <v/>
      </c>
      <c r="AA194" s="528" t="str">
        <f t="shared" si="199"/>
        <v/>
      </c>
      <c r="AB194" s="528" t="str">
        <f t="shared" si="199"/>
        <v/>
      </c>
      <c r="AC194" s="528" t="str">
        <f t="shared" si="199"/>
        <v/>
      </c>
      <c r="AD194" s="528" t="str">
        <f t="shared" si="199"/>
        <v/>
      </c>
      <c r="AE194" s="528" t="str">
        <f t="shared" si="199"/>
        <v/>
      </c>
      <c r="AF194" s="528" t="str">
        <f t="shared" si="199"/>
        <v/>
      </c>
      <c r="AG194" s="528" t="str">
        <f t="shared" si="199"/>
        <v/>
      </c>
      <c r="AH194" s="528" t="str">
        <f t="shared" si="199"/>
        <v/>
      </c>
      <c r="AI194" s="528" t="str">
        <f t="shared" si="199"/>
        <v/>
      </c>
      <c r="AJ194" s="528" t="str">
        <f t="shared" si="199"/>
        <v/>
      </c>
      <c r="AK194" s="528" t="str">
        <f t="shared" si="199"/>
        <v/>
      </c>
      <c r="AL194" s="528" t="str">
        <f t="shared" si="199"/>
        <v/>
      </c>
      <c r="AM194" s="528" t="str">
        <f t="shared" si="199"/>
        <v/>
      </c>
      <c r="AN194" s="528" t="str">
        <f t="shared" si="199"/>
        <v/>
      </c>
      <c r="AO194" s="528" t="str">
        <f t="shared" si="199"/>
        <v/>
      </c>
      <c r="AP194" s="528" t="str">
        <f t="shared" si="199"/>
        <v/>
      </c>
      <c r="AQ194" s="528" t="str">
        <f t="shared" si="199"/>
        <v/>
      </c>
      <c r="AR194" s="528" t="str">
        <f t="shared" si="199"/>
        <v/>
      </c>
      <c r="AS194" s="528" t="str">
        <f t="shared" si="199"/>
        <v/>
      </c>
      <c r="AT194" s="528" t="str">
        <f t="shared" si="199"/>
        <v/>
      </c>
      <c r="AU194" s="528" t="str">
        <f t="shared" si="199"/>
        <v/>
      </c>
      <c r="AV194" s="528" t="str">
        <f t="shared" si="199"/>
        <v/>
      </c>
      <c r="AW194" s="528" t="str">
        <f t="shared" si="199"/>
        <v/>
      </c>
      <c r="AX194" s="528" t="str">
        <f t="shared" si="199"/>
        <v/>
      </c>
      <c r="AY194" s="528" t="str">
        <f t="shared" si="199"/>
        <v/>
      </c>
      <c r="AZ194" s="528" t="str">
        <f t="shared" si="199"/>
        <v/>
      </c>
      <c r="BA194" s="528" t="str">
        <f t="shared" si="199"/>
        <v/>
      </c>
      <c r="BB194" s="528" t="str">
        <f t="shared" si="199"/>
        <v/>
      </c>
      <c r="BC194" s="528" t="str">
        <f t="shared" si="199"/>
        <v/>
      </c>
      <c r="BD194" s="528" t="str">
        <f t="shared" si="199"/>
        <v/>
      </c>
      <c r="BE194" s="528" t="str">
        <f t="shared" si="199"/>
        <v/>
      </c>
      <c r="BF194" s="528" t="str">
        <f t="shared" si="199"/>
        <v/>
      </c>
      <c r="BG194" s="528" t="str">
        <f t="shared" si="199"/>
        <v/>
      </c>
      <c r="BH194" s="528" t="str">
        <f t="shared" si="199"/>
        <v/>
      </c>
      <c r="BI194" s="528" t="str">
        <f t="shared" si="199"/>
        <v/>
      </c>
      <c r="BJ194" s="528" t="str">
        <f t="shared" si="199"/>
        <v/>
      </c>
      <c r="BK194" s="528" t="str">
        <f t="shared" si="199"/>
        <v/>
      </c>
      <c r="BL194" s="528" t="str">
        <f t="shared" si="199"/>
        <v/>
      </c>
      <c r="BM194" s="528" t="str">
        <f t="shared" si="199"/>
        <v/>
      </c>
    </row>
    <row r="195" spans="6:65" ht="15.75" customHeight="1" x14ac:dyDescent="0.25">
      <c r="F195" s="197"/>
      <c r="G195" s="197">
        <f t="shared" si="3"/>
        <v>0</v>
      </c>
      <c r="H195" s="197">
        <f t="shared" si="4"/>
        <v>95</v>
      </c>
      <c r="I195" s="523">
        <v>1</v>
      </c>
      <c r="J195" s="533">
        <f>'Monthly DCF'!$I$3</f>
        <v>46418</v>
      </c>
      <c r="K195" s="533">
        <f t="shared" si="5"/>
        <v>46660</v>
      </c>
      <c r="L195" s="536">
        <f t="shared" si="196"/>
        <v>9</v>
      </c>
      <c r="M195" s="20" t="s">
        <v>366</v>
      </c>
      <c r="N195" s="20">
        <f t="shared" si="6"/>
        <v>1.8</v>
      </c>
      <c r="O195" s="537">
        <v>5</v>
      </c>
      <c r="P195" s="528">
        <f t="shared" ref="P195:BM195" si="200">IFERROR(+IF(AND($M195="Flat",P$5&gt;=$J195,P$5&lt;=$K195),$I195/$L195,0)+IF(AND($M195="S-Curve",P$5&gt;=$J195,P$5&lt;=$K195),(_xlfn.NORM.DIST((YEAR(P$5)-YEAR($J195))*12+MONTH(P$5)-MONTH($J195)+1,$L195/2,$N195,TRUE)-_xlfn.NORM.DIST((YEAR(P$5)-YEAR($J195))*12+MONTH(P$5)-MONTH($J195),$L195/2,$N195,TRUE))/(1-2*_xlfn.NORM.DIST(0,$L195/2,$N195,TRUE))*$I195," "),"")</f>
        <v>1.9959153357134152E-2</v>
      </c>
      <c r="Q195" s="528">
        <f t="shared" si="200"/>
        <v>5.722300189755164E-2</v>
      </c>
      <c r="R195" s="528">
        <f t="shared" si="200"/>
        <v>0.12140285326644638</v>
      </c>
      <c r="S195" s="528">
        <f t="shared" si="200"/>
        <v>0.19063059891009992</v>
      </c>
      <c r="T195" s="528">
        <f t="shared" si="200"/>
        <v>0.22156878513753586</v>
      </c>
      <c r="U195" s="528">
        <f t="shared" si="200"/>
        <v>0.19063059891009992</v>
      </c>
      <c r="V195" s="528">
        <f t="shared" si="200"/>
        <v>0.12140285326644643</v>
      </c>
      <c r="W195" s="528">
        <f t="shared" si="200"/>
        <v>5.7223001897551584E-2</v>
      </c>
      <c r="X195" s="528">
        <f t="shared" si="200"/>
        <v>1.9959153357134139E-2</v>
      </c>
      <c r="Y195" s="528" t="str">
        <f t="shared" si="200"/>
        <v/>
      </c>
      <c r="Z195" s="528" t="str">
        <f t="shared" si="200"/>
        <v/>
      </c>
      <c r="AA195" s="528" t="str">
        <f t="shared" si="200"/>
        <v/>
      </c>
      <c r="AB195" s="528" t="str">
        <f t="shared" si="200"/>
        <v/>
      </c>
      <c r="AC195" s="528" t="str">
        <f t="shared" si="200"/>
        <v/>
      </c>
      <c r="AD195" s="528" t="str">
        <f t="shared" si="200"/>
        <v/>
      </c>
      <c r="AE195" s="528" t="str">
        <f t="shared" si="200"/>
        <v/>
      </c>
      <c r="AF195" s="528" t="str">
        <f t="shared" si="200"/>
        <v/>
      </c>
      <c r="AG195" s="528" t="str">
        <f t="shared" si="200"/>
        <v/>
      </c>
      <c r="AH195" s="528" t="str">
        <f t="shared" si="200"/>
        <v/>
      </c>
      <c r="AI195" s="528" t="str">
        <f t="shared" si="200"/>
        <v/>
      </c>
      <c r="AJ195" s="528" t="str">
        <f t="shared" si="200"/>
        <v/>
      </c>
      <c r="AK195" s="528" t="str">
        <f t="shared" si="200"/>
        <v/>
      </c>
      <c r="AL195" s="528" t="str">
        <f t="shared" si="200"/>
        <v/>
      </c>
      <c r="AM195" s="528" t="str">
        <f t="shared" si="200"/>
        <v/>
      </c>
      <c r="AN195" s="528" t="str">
        <f t="shared" si="200"/>
        <v/>
      </c>
      <c r="AO195" s="528" t="str">
        <f t="shared" si="200"/>
        <v/>
      </c>
      <c r="AP195" s="528" t="str">
        <f t="shared" si="200"/>
        <v/>
      </c>
      <c r="AQ195" s="528" t="str">
        <f t="shared" si="200"/>
        <v/>
      </c>
      <c r="AR195" s="528" t="str">
        <f t="shared" si="200"/>
        <v/>
      </c>
      <c r="AS195" s="528" t="str">
        <f t="shared" si="200"/>
        <v/>
      </c>
      <c r="AT195" s="528" t="str">
        <f t="shared" si="200"/>
        <v/>
      </c>
      <c r="AU195" s="528" t="str">
        <f t="shared" si="200"/>
        <v/>
      </c>
      <c r="AV195" s="528" t="str">
        <f t="shared" si="200"/>
        <v/>
      </c>
      <c r="AW195" s="528" t="str">
        <f t="shared" si="200"/>
        <v/>
      </c>
      <c r="AX195" s="528" t="str">
        <f t="shared" si="200"/>
        <v/>
      </c>
      <c r="AY195" s="528" t="str">
        <f t="shared" si="200"/>
        <v/>
      </c>
      <c r="AZ195" s="528" t="str">
        <f t="shared" si="200"/>
        <v/>
      </c>
      <c r="BA195" s="528" t="str">
        <f t="shared" si="200"/>
        <v/>
      </c>
      <c r="BB195" s="528" t="str">
        <f t="shared" si="200"/>
        <v/>
      </c>
      <c r="BC195" s="528" t="str">
        <f t="shared" si="200"/>
        <v/>
      </c>
      <c r="BD195" s="528" t="str">
        <f t="shared" si="200"/>
        <v/>
      </c>
      <c r="BE195" s="528" t="str">
        <f t="shared" si="200"/>
        <v/>
      </c>
      <c r="BF195" s="528" t="str">
        <f t="shared" si="200"/>
        <v/>
      </c>
      <c r="BG195" s="528" t="str">
        <f t="shared" si="200"/>
        <v/>
      </c>
      <c r="BH195" s="528" t="str">
        <f t="shared" si="200"/>
        <v/>
      </c>
      <c r="BI195" s="528" t="str">
        <f t="shared" si="200"/>
        <v/>
      </c>
      <c r="BJ195" s="528" t="str">
        <f t="shared" si="200"/>
        <v/>
      </c>
      <c r="BK195" s="528" t="str">
        <f t="shared" si="200"/>
        <v/>
      </c>
      <c r="BL195" s="528" t="str">
        <f t="shared" si="200"/>
        <v/>
      </c>
      <c r="BM195" s="528" t="str">
        <f t="shared" si="200"/>
        <v/>
      </c>
    </row>
    <row r="196" spans="6:65" ht="15.75" customHeight="1" x14ac:dyDescent="0.25">
      <c r="F196" s="197"/>
      <c r="G196" s="197">
        <f t="shared" si="3"/>
        <v>0</v>
      </c>
      <c r="H196" s="197">
        <f t="shared" si="4"/>
        <v>105</v>
      </c>
      <c r="I196" s="523">
        <v>1</v>
      </c>
      <c r="J196" s="533">
        <f>'Monthly DCF'!$I$3</f>
        <v>46418</v>
      </c>
      <c r="K196" s="533">
        <f t="shared" si="5"/>
        <v>46691</v>
      </c>
      <c r="L196" s="536">
        <f t="shared" si="196"/>
        <v>10</v>
      </c>
      <c r="M196" s="20" t="s">
        <v>366</v>
      </c>
      <c r="N196" s="20">
        <f t="shared" si="6"/>
        <v>2</v>
      </c>
      <c r="O196" s="537">
        <v>5</v>
      </c>
      <c r="P196" s="528">
        <f t="shared" ref="P196:BM196" si="201">IFERROR(+IF(AND($M196="Flat",P$5&gt;=$J196,P$5&lt;=$K196),$I196/$L196,0)+IF(AND($M196="S-Curve",P$5&gt;=$J196,P$5&lt;=$K196),(_xlfn.NORM.DIST((YEAR(P$5)-YEAR($J196))*12+MONTH(P$5)-MONTH($J196)+1,$L196/2,$N196,TRUE)-_xlfn.NORM.DIST((YEAR(P$5)-YEAR($J196))*12+MONTH(P$5)-MONTH($J196),$L196/2,$N196,TRUE))/(1-2*_xlfn.NORM.DIST(0,$L196/2,$N196,TRUE))*$I196," "),"")</f>
        <v>1.6748471426962581E-2</v>
      </c>
      <c r="Q196" s="528">
        <f t="shared" si="201"/>
        <v>4.4611109439541108E-2</v>
      </c>
      <c r="R196" s="528">
        <f t="shared" si="201"/>
        <v>9.3003088773695133E-2</v>
      </c>
      <c r="S196" s="528">
        <f t="shared" si="201"/>
        <v>0.15176713097616026</v>
      </c>
      <c r="T196" s="528">
        <f t="shared" si="201"/>
        <v>0.19387019938364092</v>
      </c>
      <c r="U196" s="528">
        <f t="shared" si="201"/>
        <v>0.19387019938364092</v>
      </c>
      <c r="V196" s="528">
        <f t="shared" si="201"/>
        <v>0.15176713097616029</v>
      </c>
      <c r="W196" s="528">
        <f t="shared" si="201"/>
        <v>9.3003088773695064E-2</v>
      </c>
      <c r="X196" s="528">
        <f t="shared" si="201"/>
        <v>4.4611109439541122E-2</v>
      </c>
      <c r="Y196" s="528">
        <f t="shared" si="201"/>
        <v>1.6748471426962574E-2</v>
      </c>
      <c r="Z196" s="528" t="str">
        <f t="shared" si="201"/>
        <v/>
      </c>
      <c r="AA196" s="528" t="str">
        <f t="shared" si="201"/>
        <v/>
      </c>
      <c r="AB196" s="528" t="str">
        <f t="shared" si="201"/>
        <v/>
      </c>
      <c r="AC196" s="528" t="str">
        <f t="shared" si="201"/>
        <v/>
      </c>
      <c r="AD196" s="528" t="str">
        <f t="shared" si="201"/>
        <v/>
      </c>
      <c r="AE196" s="528" t="str">
        <f t="shared" si="201"/>
        <v/>
      </c>
      <c r="AF196" s="528" t="str">
        <f t="shared" si="201"/>
        <v/>
      </c>
      <c r="AG196" s="528" t="str">
        <f t="shared" si="201"/>
        <v/>
      </c>
      <c r="AH196" s="528" t="str">
        <f t="shared" si="201"/>
        <v/>
      </c>
      <c r="AI196" s="528" t="str">
        <f t="shared" si="201"/>
        <v/>
      </c>
      <c r="AJ196" s="528" t="str">
        <f t="shared" si="201"/>
        <v/>
      </c>
      <c r="AK196" s="528" t="str">
        <f t="shared" si="201"/>
        <v/>
      </c>
      <c r="AL196" s="528" t="str">
        <f t="shared" si="201"/>
        <v/>
      </c>
      <c r="AM196" s="528" t="str">
        <f t="shared" si="201"/>
        <v/>
      </c>
      <c r="AN196" s="528" t="str">
        <f t="shared" si="201"/>
        <v/>
      </c>
      <c r="AO196" s="528" t="str">
        <f t="shared" si="201"/>
        <v/>
      </c>
      <c r="AP196" s="528" t="str">
        <f t="shared" si="201"/>
        <v/>
      </c>
      <c r="AQ196" s="528" t="str">
        <f t="shared" si="201"/>
        <v/>
      </c>
      <c r="AR196" s="528" t="str">
        <f t="shared" si="201"/>
        <v/>
      </c>
      <c r="AS196" s="528" t="str">
        <f t="shared" si="201"/>
        <v/>
      </c>
      <c r="AT196" s="528" t="str">
        <f t="shared" si="201"/>
        <v/>
      </c>
      <c r="AU196" s="528" t="str">
        <f t="shared" si="201"/>
        <v/>
      </c>
      <c r="AV196" s="528" t="str">
        <f t="shared" si="201"/>
        <v/>
      </c>
      <c r="AW196" s="528" t="str">
        <f t="shared" si="201"/>
        <v/>
      </c>
      <c r="AX196" s="528" t="str">
        <f t="shared" si="201"/>
        <v/>
      </c>
      <c r="AY196" s="528" t="str">
        <f t="shared" si="201"/>
        <v/>
      </c>
      <c r="AZ196" s="528" t="str">
        <f t="shared" si="201"/>
        <v/>
      </c>
      <c r="BA196" s="528" t="str">
        <f t="shared" si="201"/>
        <v/>
      </c>
      <c r="BB196" s="528" t="str">
        <f t="shared" si="201"/>
        <v/>
      </c>
      <c r="BC196" s="528" t="str">
        <f t="shared" si="201"/>
        <v/>
      </c>
      <c r="BD196" s="528" t="str">
        <f t="shared" si="201"/>
        <v/>
      </c>
      <c r="BE196" s="528" t="str">
        <f t="shared" si="201"/>
        <v/>
      </c>
      <c r="BF196" s="528" t="str">
        <f t="shared" si="201"/>
        <v/>
      </c>
      <c r="BG196" s="528" t="str">
        <f t="shared" si="201"/>
        <v/>
      </c>
      <c r="BH196" s="528" t="str">
        <f t="shared" si="201"/>
        <v/>
      </c>
      <c r="BI196" s="528" t="str">
        <f t="shared" si="201"/>
        <v/>
      </c>
      <c r="BJ196" s="528" t="str">
        <f t="shared" si="201"/>
        <v/>
      </c>
      <c r="BK196" s="528" t="str">
        <f t="shared" si="201"/>
        <v/>
      </c>
      <c r="BL196" s="528" t="str">
        <f t="shared" si="201"/>
        <v/>
      </c>
      <c r="BM196" s="528" t="str">
        <f t="shared" si="201"/>
        <v/>
      </c>
    </row>
    <row r="197" spans="6:65" ht="15.75" customHeight="1" x14ac:dyDescent="0.25">
      <c r="F197" s="197"/>
      <c r="G197" s="197">
        <f t="shared" si="3"/>
        <v>0</v>
      </c>
      <c r="H197" s="197">
        <f t="shared" si="4"/>
        <v>115</v>
      </c>
      <c r="I197" s="523">
        <v>1</v>
      </c>
      <c r="J197" s="533">
        <f>'Monthly DCF'!$I$3</f>
        <v>46418</v>
      </c>
      <c r="K197" s="533">
        <f t="shared" si="5"/>
        <v>46721</v>
      </c>
      <c r="L197" s="536">
        <f t="shared" si="196"/>
        <v>11</v>
      </c>
      <c r="M197" s="20" t="s">
        <v>366</v>
      </c>
      <c r="N197" s="20">
        <f t="shared" si="6"/>
        <v>2.2000000000000002</v>
      </c>
      <c r="O197" s="537">
        <v>5</v>
      </c>
      <c r="P197" s="528">
        <f t="shared" ref="P197:BM197" si="202">IFERROR(+IF(AND($M197="Flat",P$5&gt;=$J197,P$5&lt;=$K197),$I197/$L197,0)+IF(AND($M197="S-Curve",P$5&gt;=$J197,P$5&lt;=$K197),(_xlfn.NORM.DIST((YEAR(P$5)-YEAR($J197))*12+MONTH(P$5)-MONTH($J197)+1,$L197/2,$N197,TRUE)-_xlfn.NORM.DIST((YEAR(P$5)-YEAR($J197))*12+MONTH(P$5)-MONTH($J197),$L197/2,$N197,TRUE))/(1-2*_xlfn.NORM.DIST(0,$L197/2,$N197,TRUE))*$I197," "),"")</f>
        <v>1.4373881722386645E-2</v>
      </c>
      <c r="Q197" s="528">
        <f t="shared" si="202"/>
        <v>3.5855283743859157E-2</v>
      </c>
      <c r="R197" s="528">
        <f t="shared" si="202"/>
        <v>7.299371894158517E-2</v>
      </c>
      <c r="S197" s="528">
        <f t="shared" si="202"/>
        <v>0.12128098769483839</v>
      </c>
      <c r="T197" s="528">
        <f t="shared" si="202"/>
        <v>0.16447150233931837</v>
      </c>
      <c r="U197" s="528">
        <f t="shared" si="202"/>
        <v>0.1820492511160246</v>
      </c>
      <c r="V197" s="528">
        <f t="shared" si="202"/>
        <v>0.16447150233931837</v>
      </c>
      <c r="W197" s="528">
        <f t="shared" si="202"/>
        <v>0.12128098769483842</v>
      </c>
      <c r="X197" s="528">
        <f t="shared" si="202"/>
        <v>7.2993718941585087E-2</v>
      </c>
      <c r="Y197" s="528">
        <f t="shared" si="202"/>
        <v>3.5855283743859261E-2</v>
      </c>
      <c r="Z197" s="528">
        <f t="shared" si="202"/>
        <v>1.4373881722386564E-2</v>
      </c>
      <c r="AA197" s="528" t="str">
        <f t="shared" si="202"/>
        <v/>
      </c>
      <c r="AB197" s="528" t="str">
        <f t="shared" si="202"/>
        <v/>
      </c>
      <c r="AC197" s="528" t="str">
        <f t="shared" si="202"/>
        <v/>
      </c>
      <c r="AD197" s="528" t="str">
        <f t="shared" si="202"/>
        <v/>
      </c>
      <c r="AE197" s="528" t="str">
        <f t="shared" si="202"/>
        <v/>
      </c>
      <c r="AF197" s="528" t="str">
        <f t="shared" si="202"/>
        <v/>
      </c>
      <c r="AG197" s="528" t="str">
        <f t="shared" si="202"/>
        <v/>
      </c>
      <c r="AH197" s="528" t="str">
        <f t="shared" si="202"/>
        <v/>
      </c>
      <c r="AI197" s="528" t="str">
        <f t="shared" si="202"/>
        <v/>
      </c>
      <c r="AJ197" s="528" t="str">
        <f t="shared" si="202"/>
        <v/>
      </c>
      <c r="AK197" s="528" t="str">
        <f t="shared" si="202"/>
        <v/>
      </c>
      <c r="AL197" s="528" t="str">
        <f t="shared" si="202"/>
        <v/>
      </c>
      <c r="AM197" s="528" t="str">
        <f t="shared" si="202"/>
        <v/>
      </c>
      <c r="AN197" s="528" t="str">
        <f t="shared" si="202"/>
        <v/>
      </c>
      <c r="AO197" s="528" t="str">
        <f t="shared" si="202"/>
        <v/>
      </c>
      <c r="AP197" s="528" t="str">
        <f t="shared" si="202"/>
        <v/>
      </c>
      <c r="AQ197" s="528" t="str">
        <f t="shared" si="202"/>
        <v/>
      </c>
      <c r="AR197" s="528" t="str">
        <f t="shared" si="202"/>
        <v/>
      </c>
      <c r="AS197" s="528" t="str">
        <f t="shared" si="202"/>
        <v/>
      </c>
      <c r="AT197" s="528" t="str">
        <f t="shared" si="202"/>
        <v/>
      </c>
      <c r="AU197" s="528" t="str">
        <f t="shared" si="202"/>
        <v/>
      </c>
      <c r="AV197" s="528" t="str">
        <f t="shared" si="202"/>
        <v/>
      </c>
      <c r="AW197" s="528" t="str">
        <f t="shared" si="202"/>
        <v/>
      </c>
      <c r="AX197" s="528" t="str">
        <f t="shared" si="202"/>
        <v/>
      </c>
      <c r="AY197" s="528" t="str">
        <f t="shared" si="202"/>
        <v/>
      </c>
      <c r="AZ197" s="528" t="str">
        <f t="shared" si="202"/>
        <v/>
      </c>
      <c r="BA197" s="528" t="str">
        <f t="shared" si="202"/>
        <v/>
      </c>
      <c r="BB197" s="528" t="str">
        <f t="shared" si="202"/>
        <v/>
      </c>
      <c r="BC197" s="528" t="str">
        <f t="shared" si="202"/>
        <v/>
      </c>
      <c r="BD197" s="528" t="str">
        <f t="shared" si="202"/>
        <v/>
      </c>
      <c r="BE197" s="528" t="str">
        <f t="shared" si="202"/>
        <v/>
      </c>
      <c r="BF197" s="528" t="str">
        <f t="shared" si="202"/>
        <v/>
      </c>
      <c r="BG197" s="528" t="str">
        <f t="shared" si="202"/>
        <v/>
      </c>
      <c r="BH197" s="528" t="str">
        <f t="shared" si="202"/>
        <v/>
      </c>
      <c r="BI197" s="528" t="str">
        <f t="shared" si="202"/>
        <v/>
      </c>
      <c r="BJ197" s="528" t="str">
        <f t="shared" si="202"/>
        <v/>
      </c>
      <c r="BK197" s="528" t="str">
        <f t="shared" si="202"/>
        <v/>
      </c>
      <c r="BL197" s="528" t="str">
        <f t="shared" si="202"/>
        <v/>
      </c>
      <c r="BM197" s="528" t="str">
        <f t="shared" si="202"/>
        <v/>
      </c>
    </row>
    <row r="198" spans="6:65" ht="15.75" customHeight="1" x14ac:dyDescent="0.25">
      <c r="F198" s="197"/>
      <c r="G198" s="197">
        <f t="shared" si="3"/>
        <v>0</v>
      </c>
      <c r="H198" s="197">
        <f t="shared" si="4"/>
        <v>125</v>
      </c>
      <c r="I198" s="523">
        <v>1</v>
      </c>
      <c r="J198" s="533">
        <f>'Monthly DCF'!$I$3</f>
        <v>46418</v>
      </c>
      <c r="K198" s="533">
        <f t="shared" si="5"/>
        <v>46752</v>
      </c>
      <c r="L198" s="536">
        <f t="shared" si="196"/>
        <v>12</v>
      </c>
      <c r="M198" s="20" t="s">
        <v>366</v>
      </c>
      <c r="N198" s="20">
        <f t="shared" si="6"/>
        <v>2.4</v>
      </c>
      <c r="O198" s="537">
        <v>5</v>
      </c>
      <c r="P198" s="528">
        <f t="shared" ref="P198:BM198" si="203">IFERROR(+IF(AND($M198="Flat",P$5&gt;=$J198,P$5&lt;=$K198),$I198/$L198,0)+IF(AND($M198="S-Curve",P$5&gt;=$J198,P$5&lt;=$K198),(_xlfn.NORM.DIST((YEAR(P$5)-YEAR($J198))*12+MONTH(P$5)-MONTH($J198)+1,$L198/2,$N198,TRUE)-_xlfn.NORM.DIST((YEAR(P$5)-YEAR($J198))*12+MONTH(P$5)-MONTH($J198),$L198/2,$N198,TRUE))/(1-2*_xlfn.NORM.DIST(0,$L198/2,$N198,TRUE))*$I198," "),"")</f>
        <v>1.2556705744647215E-2</v>
      </c>
      <c r="Q198" s="528">
        <f t="shared" si="203"/>
        <v>2.9546879549778665E-2</v>
      </c>
      <c r="R198" s="528">
        <f t="shared" si="203"/>
        <v>5.8587033130380196E-2</v>
      </c>
      <c r="S198" s="528">
        <f t="shared" si="203"/>
        <v>9.7894390096326098E-2</v>
      </c>
      <c r="T198" s="528">
        <f t="shared" si="203"/>
        <v>0.13784467717139465</v>
      </c>
      <c r="U198" s="528">
        <f t="shared" si="203"/>
        <v>0.16357031430747321</v>
      </c>
      <c r="V198" s="528">
        <f t="shared" si="203"/>
        <v>0.16357031430747315</v>
      </c>
      <c r="W198" s="528">
        <f t="shared" si="203"/>
        <v>0.1378446771713947</v>
      </c>
      <c r="X198" s="528">
        <f t="shared" si="203"/>
        <v>9.7894390096326112E-2</v>
      </c>
      <c r="Y198" s="528">
        <f t="shared" si="203"/>
        <v>5.8587033130380189E-2</v>
      </c>
      <c r="Z198" s="528">
        <f t="shared" si="203"/>
        <v>2.9546879549778672E-2</v>
      </c>
      <c r="AA198" s="528">
        <f t="shared" si="203"/>
        <v>1.2556705744647175E-2</v>
      </c>
      <c r="AB198" s="528" t="str">
        <f t="shared" si="203"/>
        <v/>
      </c>
      <c r="AC198" s="528" t="str">
        <f t="shared" si="203"/>
        <v/>
      </c>
      <c r="AD198" s="528" t="str">
        <f t="shared" si="203"/>
        <v/>
      </c>
      <c r="AE198" s="528" t="str">
        <f t="shared" si="203"/>
        <v/>
      </c>
      <c r="AF198" s="528" t="str">
        <f t="shared" si="203"/>
        <v/>
      </c>
      <c r="AG198" s="528" t="str">
        <f t="shared" si="203"/>
        <v/>
      </c>
      <c r="AH198" s="528" t="str">
        <f t="shared" si="203"/>
        <v/>
      </c>
      <c r="AI198" s="528" t="str">
        <f t="shared" si="203"/>
        <v/>
      </c>
      <c r="AJ198" s="528" t="str">
        <f t="shared" si="203"/>
        <v/>
      </c>
      <c r="AK198" s="528" t="str">
        <f t="shared" si="203"/>
        <v/>
      </c>
      <c r="AL198" s="528" t="str">
        <f t="shared" si="203"/>
        <v/>
      </c>
      <c r="AM198" s="528" t="str">
        <f t="shared" si="203"/>
        <v/>
      </c>
      <c r="AN198" s="528" t="str">
        <f t="shared" si="203"/>
        <v/>
      </c>
      <c r="AO198" s="528" t="str">
        <f t="shared" si="203"/>
        <v/>
      </c>
      <c r="AP198" s="528" t="str">
        <f t="shared" si="203"/>
        <v/>
      </c>
      <c r="AQ198" s="528" t="str">
        <f t="shared" si="203"/>
        <v/>
      </c>
      <c r="AR198" s="528" t="str">
        <f t="shared" si="203"/>
        <v/>
      </c>
      <c r="AS198" s="528" t="str">
        <f t="shared" si="203"/>
        <v/>
      </c>
      <c r="AT198" s="528" t="str">
        <f t="shared" si="203"/>
        <v/>
      </c>
      <c r="AU198" s="528" t="str">
        <f t="shared" si="203"/>
        <v/>
      </c>
      <c r="AV198" s="528" t="str">
        <f t="shared" si="203"/>
        <v/>
      </c>
      <c r="AW198" s="528" t="str">
        <f t="shared" si="203"/>
        <v/>
      </c>
      <c r="AX198" s="528" t="str">
        <f t="shared" si="203"/>
        <v/>
      </c>
      <c r="AY198" s="528" t="str">
        <f t="shared" si="203"/>
        <v/>
      </c>
      <c r="AZ198" s="528" t="str">
        <f t="shared" si="203"/>
        <v/>
      </c>
      <c r="BA198" s="528" t="str">
        <f t="shared" si="203"/>
        <v/>
      </c>
      <c r="BB198" s="528" t="str">
        <f t="shared" si="203"/>
        <v/>
      </c>
      <c r="BC198" s="528" t="str">
        <f t="shared" si="203"/>
        <v/>
      </c>
      <c r="BD198" s="528" t="str">
        <f t="shared" si="203"/>
        <v/>
      </c>
      <c r="BE198" s="528" t="str">
        <f t="shared" si="203"/>
        <v/>
      </c>
      <c r="BF198" s="528" t="str">
        <f t="shared" si="203"/>
        <v/>
      </c>
      <c r="BG198" s="528" t="str">
        <f t="shared" si="203"/>
        <v/>
      </c>
      <c r="BH198" s="528" t="str">
        <f t="shared" si="203"/>
        <v/>
      </c>
      <c r="BI198" s="528" t="str">
        <f t="shared" si="203"/>
        <v/>
      </c>
      <c r="BJ198" s="528" t="str">
        <f t="shared" si="203"/>
        <v/>
      </c>
      <c r="BK198" s="528" t="str">
        <f t="shared" si="203"/>
        <v/>
      </c>
      <c r="BL198" s="528" t="str">
        <f t="shared" si="203"/>
        <v/>
      </c>
      <c r="BM198" s="528" t="str">
        <f t="shared" si="203"/>
        <v/>
      </c>
    </row>
    <row r="199" spans="6:65" ht="15.75" customHeight="1" x14ac:dyDescent="0.25">
      <c r="F199" s="197"/>
      <c r="G199" s="197">
        <f t="shared" si="3"/>
        <v>0</v>
      </c>
      <c r="H199" s="197">
        <f t="shared" si="4"/>
        <v>135</v>
      </c>
      <c r="I199" s="523">
        <v>1</v>
      </c>
      <c r="J199" s="533">
        <f>'Monthly DCF'!$I$3</f>
        <v>46418</v>
      </c>
      <c r="K199" s="533">
        <f t="shared" si="5"/>
        <v>46783</v>
      </c>
      <c r="L199" s="536">
        <f t="shared" si="196"/>
        <v>13</v>
      </c>
      <c r="M199" s="20" t="s">
        <v>366</v>
      </c>
      <c r="N199" s="20">
        <f t="shared" si="6"/>
        <v>2.6</v>
      </c>
      <c r="O199" s="537">
        <v>5</v>
      </c>
      <c r="P199" s="528">
        <f t="shared" ref="P199:BM199" si="204">IFERROR(+IF(AND($M199="Flat",P$5&gt;=$J199,P$5&lt;=$K199),$I199/$L199,0)+IF(AND($M199="S-Curve",P$5&gt;=$J199,P$5&lt;=$K199),(_xlfn.NORM.DIST((YEAR(P$5)-YEAR($J199))*12+MONTH(P$5)-MONTH($J199)+1,$L199/2,$N199,TRUE)-_xlfn.NORM.DIST((YEAR(P$5)-YEAR($J199))*12+MONTH(P$5)-MONTH($J199),$L199/2,$N199,TRUE))/(1-2*_xlfn.NORM.DIST(0,$L199/2,$N199,TRUE))*$I199," "),"")</f>
        <v>1.1127115978376735E-2</v>
      </c>
      <c r="Q199" s="528">
        <f t="shared" si="204"/>
        <v>2.4856578010467929E-2</v>
      </c>
      <c r="R199" s="528">
        <f t="shared" si="204"/>
        <v>4.7975814682945928E-2</v>
      </c>
      <c r="S199" s="528">
        <f t="shared" si="204"/>
        <v>8.0007940196357E-2</v>
      </c>
      <c r="T199" s="528">
        <f t="shared" si="204"/>
        <v>0.11528674630069601</v>
      </c>
      <c r="U199" s="528">
        <f t="shared" si="204"/>
        <v>0.14353752632540365</v>
      </c>
      <c r="V199" s="528">
        <f t="shared" si="204"/>
        <v>0.15441655701150553</v>
      </c>
      <c r="W199" s="528">
        <f t="shared" si="204"/>
        <v>0.1435375263254037</v>
      </c>
      <c r="X199" s="528">
        <f t="shared" si="204"/>
        <v>0.11528674630069595</v>
      </c>
      <c r="Y199" s="528">
        <f t="shared" si="204"/>
        <v>8.0007940196357027E-2</v>
      </c>
      <c r="Z199" s="528">
        <f t="shared" si="204"/>
        <v>4.797581468294599E-2</v>
      </c>
      <c r="AA199" s="528">
        <f t="shared" si="204"/>
        <v>2.485657801046786E-2</v>
      </c>
      <c r="AB199" s="528">
        <f t="shared" si="204"/>
        <v>1.1127115978376744E-2</v>
      </c>
      <c r="AC199" s="528" t="str">
        <f t="shared" si="204"/>
        <v/>
      </c>
      <c r="AD199" s="528" t="str">
        <f t="shared" si="204"/>
        <v/>
      </c>
      <c r="AE199" s="528" t="str">
        <f t="shared" si="204"/>
        <v/>
      </c>
      <c r="AF199" s="528" t="str">
        <f t="shared" si="204"/>
        <v/>
      </c>
      <c r="AG199" s="528" t="str">
        <f t="shared" si="204"/>
        <v/>
      </c>
      <c r="AH199" s="528" t="str">
        <f t="shared" si="204"/>
        <v/>
      </c>
      <c r="AI199" s="528" t="str">
        <f t="shared" si="204"/>
        <v/>
      </c>
      <c r="AJ199" s="528" t="str">
        <f t="shared" si="204"/>
        <v/>
      </c>
      <c r="AK199" s="528" t="str">
        <f t="shared" si="204"/>
        <v/>
      </c>
      <c r="AL199" s="528" t="str">
        <f t="shared" si="204"/>
        <v/>
      </c>
      <c r="AM199" s="528" t="str">
        <f t="shared" si="204"/>
        <v/>
      </c>
      <c r="AN199" s="528" t="str">
        <f t="shared" si="204"/>
        <v/>
      </c>
      <c r="AO199" s="528" t="str">
        <f t="shared" si="204"/>
        <v/>
      </c>
      <c r="AP199" s="528" t="str">
        <f t="shared" si="204"/>
        <v/>
      </c>
      <c r="AQ199" s="528" t="str">
        <f t="shared" si="204"/>
        <v/>
      </c>
      <c r="AR199" s="528" t="str">
        <f t="shared" si="204"/>
        <v/>
      </c>
      <c r="AS199" s="528" t="str">
        <f t="shared" si="204"/>
        <v/>
      </c>
      <c r="AT199" s="528" t="str">
        <f t="shared" si="204"/>
        <v/>
      </c>
      <c r="AU199" s="528" t="str">
        <f t="shared" si="204"/>
        <v/>
      </c>
      <c r="AV199" s="528" t="str">
        <f t="shared" si="204"/>
        <v/>
      </c>
      <c r="AW199" s="528" t="str">
        <f t="shared" si="204"/>
        <v/>
      </c>
      <c r="AX199" s="528" t="str">
        <f t="shared" si="204"/>
        <v/>
      </c>
      <c r="AY199" s="528" t="str">
        <f t="shared" si="204"/>
        <v/>
      </c>
      <c r="AZ199" s="528" t="str">
        <f t="shared" si="204"/>
        <v/>
      </c>
      <c r="BA199" s="528" t="str">
        <f t="shared" si="204"/>
        <v/>
      </c>
      <c r="BB199" s="528" t="str">
        <f t="shared" si="204"/>
        <v/>
      </c>
      <c r="BC199" s="528" t="str">
        <f t="shared" si="204"/>
        <v/>
      </c>
      <c r="BD199" s="528" t="str">
        <f t="shared" si="204"/>
        <v/>
      </c>
      <c r="BE199" s="528" t="str">
        <f t="shared" si="204"/>
        <v/>
      </c>
      <c r="BF199" s="528" t="str">
        <f t="shared" si="204"/>
        <v/>
      </c>
      <c r="BG199" s="528" t="str">
        <f t="shared" si="204"/>
        <v/>
      </c>
      <c r="BH199" s="528" t="str">
        <f t="shared" si="204"/>
        <v/>
      </c>
      <c r="BI199" s="528" t="str">
        <f t="shared" si="204"/>
        <v/>
      </c>
      <c r="BJ199" s="528" t="str">
        <f t="shared" si="204"/>
        <v/>
      </c>
      <c r="BK199" s="528" t="str">
        <f t="shared" si="204"/>
        <v/>
      </c>
      <c r="BL199" s="528" t="str">
        <f t="shared" si="204"/>
        <v/>
      </c>
      <c r="BM199" s="528" t="str">
        <f t="shared" si="204"/>
        <v/>
      </c>
    </row>
    <row r="200" spans="6:65" ht="15.75" customHeight="1" x14ac:dyDescent="0.25">
      <c r="F200" s="197"/>
      <c r="G200" s="197">
        <f t="shared" si="3"/>
        <v>0</v>
      </c>
      <c r="H200" s="197">
        <f t="shared" si="4"/>
        <v>145</v>
      </c>
      <c r="I200" s="523">
        <v>1</v>
      </c>
      <c r="J200" s="533">
        <f>'Monthly DCF'!$I$3</f>
        <v>46418</v>
      </c>
      <c r="K200" s="533">
        <f t="shared" si="5"/>
        <v>46812</v>
      </c>
      <c r="L200" s="536">
        <f t="shared" si="196"/>
        <v>14</v>
      </c>
      <c r="M200" s="20" t="s">
        <v>366</v>
      </c>
      <c r="N200" s="20">
        <f t="shared" si="6"/>
        <v>2.8</v>
      </c>
      <c r="O200" s="537">
        <v>5</v>
      </c>
      <c r="P200" s="528">
        <f t="shared" ref="P200:BM200" si="205">IFERROR(+IF(AND($M200="Flat",P$5&gt;=$J200,P$5&lt;=$K200),$I200/$L200,0)+IF(AND($M200="S-Curve",P$5&gt;=$J200,P$5&lt;=$K200),(_xlfn.NORM.DIST((YEAR(P$5)-YEAR($J200))*12+MONTH(P$5)-MONTH($J200)+1,$L200/2,$N200,TRUE)-_xlfn.NORM.DIST((YEAR(P$5)-YEAR($J200))*12+MONTH(P$5)-MONTH($J200),$L200/2,$N200,TRUE))/(1-2*_xlfn.NORM.DIST(0,$L200/2,$N200,TRUE))*$I200," "),"")</f>
        <v>9.9765220035669764E-3</v>
      </c>
      <c r="Q200" s="528">
        <f t="shared" si="205"/>
        <v>2.127469745406891E-2</v>
      </c>
      <c r="R200" s="528">
        <f t="shared" si="205"/>
        <v>3.9987578918677429E-2</v>
      </c>
      <c r="S200" s="528">
        <f t="shared" si="205"/>
        <v>6.624740884082389E-2</v>
      </c>
      <c r="T200" s="528">
        <f t="shared" si="205"/>
        <v>9.6738301099545301E-2</v>
      </c>
      <c r="U200" s="528">
        <f t="shared" si="205"/>
        <v>0.12451354379484354</v>
      </c>
      <c r="V200" s="528">
        <f t="shared" si="205"/>
        <v>0.14126194788847399</v>
      </c>
      <c r="W200" s="528">
        <f t="shared" si="205"/>
        <v>0.14126194788847404</v>
      </c>
      <c r="X200" s="528">
        <f t="shared" si="205"/>
        <v>0.12451354379484343</v>
      </c>
      <c r="Y200" s="528">
        <f t="shared" si="205"/>
        <v>9.6738301099545412E-2</v>
      </c>
      <c r="Z200" s="528">
        <f t="shared" si="205"/>
        <v>6.6247408840823876E-2</v>
      </c>
      <c r="AA200" s="528">
        <f t="shared" si="205"/>
        <v>3.9987578918677422E-2</v>
      </c>
      <c r="AB200" s="528">
        <f t="shared" si="205"/>
        <v>2.1274697454068927E-2</v>
      </c>
      <c r="AC200" s="528">
        <f t="shared" si="205"/>
        <v>9.9765220035669001E-3</v>
      </c>
      <c r="AD200" s="528" t="str">
        <f t="shared" si="205"/>
        <v/>
      </c>
      <c r="AE200" s="528" t="str">
        <f t="shared" si="205"/>
        <v/>
      </c>
      <c r="AF200" s="528" t="str">
        <f t="shared" si="205"/>
        <v/>
      </c>
      <c r="AG200" s="528" t="str">
        <f t="shared" si="205"/>
        <v/>
      </c>
      <c r="AH200" s="528" t="str">
        <f t="shared" si="205"/>
        <v/>
      </c>
      <c r="AI200" s="528" t="str">
        <f t="shared" si="205"/>
        <v/>
      </c>
      <c r="AJ200" s="528" t="str">
        <f t="shared" si="205"/>
        <v/>
      </c>
      <c r="AK200" s="528" t="str">
        <f t="shared" si="205"/>
        <v/>
      </c>
      <c r="AL200" s="528" t="str">
        <f t="shared" si="205"/>
        <v/>
      </c>
      <c r="AM200" s="528" t="str">
        <f t="shared" si="205"/>
        <v/>
      </c>
      <c r="AN200" s="528" t="str">
        <f t="shared" si="205"/>
        <v/>
      </c>
      <c r="AO200" s="528" t="str">
        <f t="shared" si="205"/>
        <v/>
      </c>
      <c r="AP200" s="528" t="str">
        <f t="shared" si="205"/>
        <v/>
      </c>
      <c r="AQ200" s="528" t="str">
        <f t="shared" si="205"/>
        <v/>
      </c>
      <c r="AR200" s="528" t="str">
        <f t="shared" si="205"/>
        <v/>
      </c>
      <c r="AS200" s="528" t="str">
        <f t="shared" si="205"/>
        <v/>
      </c>
      <c r="AT200" s="528" t="str">
        <f t="shared" si="205"/>
        <v/>
      </c>
      <c r="AU200" s="528" t="str">
        <f t="shared" si="205"/>
        <v/>
      </c>
      <c r="AV200" s="528" t="str">
        <f t="shared" si="205"/>
        <v/>
      </c>
      <c r="AW200" s="528" t="str">
        <f t="shared" si="205"/>
        <v/>
      </c>
      <c r="AX200" s="528" t="str">
        <f t="shared" si="205"/>
        <v/>
      </c>
      <c r="AY200" s="528" t="str">
        <f t="shared" si="205"/>
        <v/>
      </c>
      <c r="AZ200" s="528" t="str">
        <f t="shared" si="205"/>
        <v/>
      </c>
      <c r="BA200" s="528" t="str">
        <f t="shared" si="205"/>
        <v/>
      </c>
      <c r="BB200" s="528" t="str">
        <f t="shared" si="205"/>
        <v/>
      </c>
      <c r="BC200" s="528" t="str">
        <f t="shared" si="205"/>
        <v/>
      </c>
      <c r="BD200" s="528" t="str">
        <f t="shared" si="205"/>
        <v/>
      </c>
      <c r="BE200" s="528" t="str">
        <f t="shared" si="205"/>
        <v/>
      </c>
      <c r="BF200" s="528" t="str">
        <f t="shared" si="205"/>
        <v/>
      </c>
      <c r="BG200" s="528" t="str">
        <f t="shared" si="205"/>
        <v/>
      </c>
      <c r="BH200" s="528" t="str">
        <f t="shared" si="205"/>
        <v/>
      </c>
      <c r="BI200" s="528" t="str">
        <f t="shared" si="205"/>
        <v/>
      </c>
      <c r="BJ200" s="528" t="str">
        <f t="shared" si="205"/>
        <v/>
      </c>
      <c r="BK200" s="528" t="str">
        <f t="shared" si="205"/>
        <v/>
      </c>
      <c r="BL200" s="528" t="str">
        <f t="shared" si="205"/>
        <v/>
      </c>
      <c r="BM200" s="528" t="str">
        <f t="shared" si="205"/>
        <v/>
      </c>
    </row>
    <row r="201" spans="6:65" ht="15.75" customHeight="1" x14ac:dyDescent="0.25">
      <c r="F201" s="197"/>
      <c r="G201" s="197">
        <f t="shared" si="3"/>
        <v>0</v>
      </c>
      <c r="H201" s="197">
        <f t="shared" si="4"/>
        <v>155</v>
      </c>
      <c r="I201" s="523">
        <v>1</v>
      </c>
      <c r="J201" s="533">
        <f>'Monthly DCF'!$I$3</f>
        <v>46418</v>
      </c>
      <c r="K201" s="533">
        <f t="shared" si="5"/>
        <v>46843</v>
      </c>
      <c r="L201" s="536">
        <f t="shared" si="196"/>
        <v>15</v>
      </c>
      <c r="M201" s="20" t="s">
        <v>366</v>
      </c>
      <c r="N201" s="20">
        <f t="shared" si="6"/>
        <v>3</v>
      </c>
      <c r="O201" s="537">
        <v>5</v>
      </c>
      <c r="P201" s="528">
        <f t="shared" ref="P201:BM201" si="206">IFERROR(+IF(AND($M201="Flat",P$5&gt;=$J201,P$5&lt;=$K201),$I201/$L201,0)+IF(AND($M201="S-Curve",P$5&gt;=$J201,P$5&lt;=$K201),(_xlfn.NORM.DIST((YEAR(P$5)-YEAR($J201))*12+MONTH(P$5)-MONTH($J201)+1,$L201/2,$N201,TRUE)-_xlfn.NORM.DIST((YEAR(P$5)-YEAR($J201))*12+MONTH(P$5)-MONTH($J201),$L201/2,$N201,TRUE))/(1-2*_xlfn.NORM.DIST(0,$L201/2,$N201,TRUE))*$I201," "),"")</f>
        <v>9.0326542036762714E-3</v>
      </c>
      <c r="Q201" s="528">
        <f t="shared" si="206"/>
        <v>1.8475824953742163E-2</v>
      </c>
      <c r="R201" s="528">
        <f t="shared" si="206"/>
        <v>3.3851101709085264E-2</v>
      </c>
      <c r="S201" s="528">
        <f t="shared" si="206"/>
        <v>5.5555262479692273E-2</v>
      </c>
      <c r="T201" s="528">
        <f t="shared" si="206"/>
        <v>8.1670165174936207E-2</v>
      </c>
      <c r="U201" s="528">
        <f t="shared" si="206"/>
        <v>0.10754479209522692</v>
      </c>
      <c r="V201" s="528">
        <f t="shared" si="206"/>
        <v>0.12685407131931969</v>
      </c>
      <c r="W201" s="528">
        <f t="shared" si="206"/>
        <v>0.13403225612864247</v>
      </c>
      <c r="X201" s="528">
        <f t="shared" si="206"/>
        <v>0.12685407131931969</v>
      </c>
      <c r="Y201" s="528">
        <f t="shared" si="206"/>
        <v>0.10754479209522692</v>
      </c>
      <c r="Z201" s="528">
        <f t="shared" si="206"/>
        <v>8.167016517493618E-2</v>
      </c>
      <c r="AA201" s="528">
        <f t="shared" si="206"/>
        <v>5.5555262479692273E-2</v>
      </c>
      <c r="AB201" s="528">
        <f t="shared" si="206"/>
        <v>3.3851101709085292E-2</v>
      </c>
      <c r="AC201" s="528">
        <f t="shared" si="206"/>
        <v>1.847582495374215E-2</v>
      </c>
      <c r="AD201" s="528">
        <f t="shared" si="206"/>
        <v>9.0326542036762558E-3</v>
      </c>
      <c r="AE201" s="528" t="str">
        <f t="shared" si="206"/>
        <v/>
      </c>
      <c r="AF201" s="528" t="str">
        <f t="shared" si="206"/>
        <v/>
      </c>
      <c r="AG201" s="528" t="str">
        <f t="shared" si="206"/>
        <v/>
      </c>
      <c r="AH201" s="528" t="str">
        <f t="shared" si="206"/>
        <v/>
      </c>
      <c r="AI201" s="528" t="str">
        <f t="shared" si="206"/>
        <v/>
      </c>
      <c r="AJ201" s="528" t="str">
        <f t="shared" si="206"/>
        <v/>
      </c>
      <c r="AK201" s="528" t="str">
        <f t="shared" si="206"/>
        <v/>
      </c>
      <c r="AL201" s="528" t="str">
        <f t="shared" si="206"/>
        <v/>
      </c>
      <c r="AM201" s="528" t="str">
        <f t="shared" si="206"/>
        <v/>
      </c>
      <c r="AN201" s="528" t="str">
        <f t="shared" si="206"/>
        <v/>
      </c>
      <c r="AO201" s="528" t="str">
        <f t="shared" si="206"/>
        <v/>
      </c>
      <c r="AP201" s="528" t="str">
        <f t="shared" si="206"/>
        <v/>
      </c>
      <c r="AQ201" s="528" t="str">
        <f t="shared" si="206"/>
        <v/>
      </c>
      <c r="AR201" s="528" t="str">
        <f t="shared" si="206"/>
        <v/>
      </c>
      <c r="AS201" s="528" t="str">
        <f t="shared" si="206"/>
        <v/>
      </c>
      <c r="AT201" s="528" t="str">
        <f t="shared" si="206"/>
        <v/>
      </c>
      <c r="AU201" s="528" t="str">
        <f t="shared" si="206"/>
        <v/>
      </c>
      <c r="AV201" s="528" t="str">
        <f t="shared" si="206"/>
        <v/>
      </c>
      <c r="AW201" s="528" t="str">
        <f t="shared" si="206"/>
        <v/>
      </c>
      <c r="AX201" s="528" t="str">
        <f t="shared" si="206"/>
        <v/>
      </c>
      <c r="AY201" s="528" t="str">
        <f t="shared" si="206"/>
        <v/>
      </c>
      <c r="AZ201" s="528" t="str">
        <f t="shared" si="206"/>
        <v/>
      </c>
      <c r="BA201" s="528" t="str">
        <f t="shared" si="206"/>
        <v/>
      </c>
      <c r="BB201" s="528" t="str">
        <f t="shared" si="206"/>
        <v/>
      </c>
      <c r="BC201" s="528" t="str">
        <f t="shared" si="206"/>
        <v/>
      </c>
      <c r="BD201" s="528" t="str">
        <f t="shared" si="206"/>
        <v/>
      </c>
      <c r="BE201" s="528" t="str">
        <f t="shared" si="206"/>
        <v/>
      </c>
      <c r="BF201" s="528" t="str">
        <f t="shared" si="206"/>
        <v/>
      </c>
      <c r="BG201" s="528" t="str">
        <f t="shared" si="206"/>
        <v/>
      </c>
      <c r="BH201" s="528" t="str">
        <f t="shared" si="206"/>
        <v/>
      </c>
      <c r="BI201" s="528" t="str">
        <f t="shared" si="206"/>
        <v/>
      </c>
      <c r="BJ201" s="528" t="str">
        <f t="shared" si="206"/>
        <v/>
      </c>
      <c r="BK201" s="528" t="str">
        <f t="shared" si="206"/>
        <v/>
      </c>
      <c r="BL201" s="528" t="str">
        <f t="shared" si="206"/>
        <v/>
      </c>
      <c r="BM201" s="528" t="str">
        <f t="shared" si="206"/>
        <v/>
      </c>
    </row>
    <row r="202" spans="6:65" ht="15.75" customHeight="1" x14ac:dyDescent="0.25">
      <c r="F202" s="197"/>
      <c r="G202" s="197">
        <f t="shared" si="3"/>
        <v>0</v>
      </c>
      <c r="H202" s="197">
        <f t="shared" si="4"/>
        <v>165</v>
      </c>
      <c r="I202" s="523">
        <v>1</v>
      </c>
      <c r="J202" s="533">
        <f>'Monthly DCF'!$I$3</f>
        <v>46418</v>
      </c>
      <c r="K202" s="533">
        <f t="shared" si="5"/>
        <v>46873</v>
      </c>
      <c r="L202" s="536">
        <f t="shared" si="196"/>
        <v>16</v>
      </c>
      <c r="M202" s="20" t="s">
        <v>366</v>
      </c>
      <c r="N202" s="20">
        <f t="shared" si="6"/>
        <v>3.2</v>
      </c>
      <c r="O202" s="537">
        <v>5</v>
      </c>
      <c r="P202" s="528">
        <f t="shared" ref="P202:BM202" si="207">IFERROR(+IF(AND($M202="Flat",P$5&gt;=$J202,P$5&lt;=$K202),$I202/$L202,0)+IF(AND($M202="S-Curve",P$5&gt;=$J202,P$5&lt;=$K202),(_xlfn.NORM.DIST((YEAR(P$5)-YEAR($J202))*12+MONTH(P$5)-MONTH($J202)+1,$L202/2,$N202,TRUE)-_xlfn.NORM.DIST((YEAR(P$5)-YEAR($J202))*12+MONTH(P$5)-MONTH($J202),$L202/2,$N202,TRUE))/(1-2*_xlfn.NORM.DIST(0,$L202/2,$N202,TRUE))*$I202," "),"")</f>
        <v>8.2457631419599071E-3</v>
      </c>
      <c r="Q202" s="528">
        <f t="shared" si="207"/>
        <v>1.6245093342141092E-2</v>
      </c>
      <c r="R202" s="528">
        <f t="shared" si="207"/>
        <v>2.904953697234014E-2</v>
      </c>
      <c r="S202" s="528">
        <f t="shared" si="207"/>
        <v>4.7150224968364934E-2</v>
      </c>
      <c r="T202" s="528">
        <f t="shared" si="207"/>
        <v>6.9463630002950874E-2</v>
      </c>
      <c r="U202" s="528">
        <f t="shared" si="207"/>
        <v>9.2888429285153756E-2</v>
      </c>
      <c r="V202" s="528">
        <f t="shared" si="207"/>
        <v>0.11274496953712312</v>
      </c>
      <c r="W202" s="528">
        <f t="shared" si="207"/>
        <v>0.1242123527499662</v>
      </c>
      <c r="X202" s="528">
        <f t="shared" si="207"/>
        <v>0.12421235274996614</v>
      </c>
      <c r="Y202" s="528">
        <f t="shared" si="207"/>
        <v>0.11274496953712312</v>
      </c>
      <c r="Z202" s="528">
        <f t="shared" si="207"/>
        <v>9.2888429285153784E-2</v>
      </c>
      <c r="AA202" s="528">
        <f t="shared" si="207"/>
        <v>6.9463630002950916E-2</v>
      </c>
      <c r="AB202" s="528">
        <f t="shared" si="207"/>
        <v>4.71502249683649E-2</v>
      </c>
      <c r="AC202" s="528">
        <f t="shared" si="207"/>
        <v>2.9049536972340136E-2</v>
      </c>
      <c r="AD202" s="528">
        <f t="shared" si="207"/>
        <v>1.6245093342141078E-2</v>
      </c>
      <c r="AE202" s="528">
        <f t="shared" si="207"/>
        <v>8.245763141959921E-3</v>
      </c>
      <c r="AF202" s="528" t="str">
        <f t="shared" si="207"/>
        <v/>
      </c>
      <c r="AG202" s="528" t="str">
        <f t="shared" si="207"/>
        <v/>
      </c>
      <c r="AH202" s="528" t="str">
        <f t="shared" si="207"/>
        <v/>
      </c>
      <c r="AI202" s="528" t="str">
        <f t="shared" si="207"/>
        <v/>
      </c>
      <c r="AJ202" s="528" t="str">
        <f t="shared" si="207"/>
        <v/>
      </c>
      <c r="AK202" s="528" t="str">
        <f t="shared" si="207"/>
        <v/>
      </c>
      <c r="AL202" s="528" t="str">
        <f t="shared" si="207"/>
        <v/>
      </c>
      <c r="AM202" s="528" t="str">
        <f t="shared" si="207"/>
        <v/>
      </c>
      <c r="AN202" s="528" t="str">
        <f t="shared" si="207"/>
        <v/>
      </c>
      <c r="AO202" s="528" t="str">
        <f t="shared" si="207"/>
        <v/>
      </c>
      <c r="AP202" s="528" t="str">
        <f t="shared" si="207"/>
        <v/>
      </c>
      <c r="AQ202" s="528" t="str">
        <f t="shared" si="207"/>
        <v/>
      </c>
      <c r="AR202" s="528" t="str">
        <f t="shared" si="207"/>
        <v/>
      </c>
      <c r="AS202" s="528" t="str">
        <f t="shared" si="207"/>
        <v/>
      </c>
      <c r="AT202" s="528" t="str">
        <f t="shared" si="207"/>
        <v/>
      </c>
      <c r="AU202" s="528" t="str">
        <f t="shared" si="207"/>
        <v/>
      </c>
      <c r="AV202" s="528" t="str">
        <f t="shared" si="207"/>
        <v/>
      </c>
      <c r="AW202" s="528" t="str">
        <f t="shared" si="207"/>
        <v/>
      </c>
      <c r="AX202" s="528" t="str">
        <f t="shared" si="207"/>
        <v/>
      </c>
      <c r="AY202" s="528" t="str">
        <f t="shared" si="207"/>
        <v/>
      </c>
      <c r="AZ202" s="528" t="str">
        <f t="shared" si="207"/>
        <v/>
      </c>
      <c r="BA202" s="528" t="str">
        <f t="shared" si="207"/>
        <v/>
      </c>
      <c r="BB202" s="528" t="str">
        <f t="shared" si="207"/>
        <v/>
      </c>
      <c r="BC202" s="528" t="str">
        <f t="shared" si="207"/>
        <v/>
      </c>
      <c r="BD202" s="528" t="str">
        <f t="shared" si="207"/>
        <v/>
      </c>
      <c r="BE202" s="528" t="str">
        <f t="shared" si="207"/>
        <v/>
      </c>
      <c r="BF202" s="528" t="str">
        <f t="shared" si="207"/>
        <v/>
      </c>
      <c r="BG202" s="528" t="str">
        <f t="shared" si="207"/>
        <v/>
      </c>
      <c r="BH202" s="528" t="str">
        <f t="shared" si="207"/>
        <v/>
      </c>
      <c r="BI202" s="528" t="str">
        <f t="shared" si="207"/>
        <v/>
      </c>
      <c r="BJ202" s="528" t="str">
        <f t="shared" si="207"/>
        <v/>
      </c>
      <c r="BK202" s="528" t="str">
        <f t="shared" si="207"/>
        <v/>
      </c>
      <c r="BL202" s="528" t="str">
        <f t="shared" si="207"/>
        <v/>
      </c>
      <c r="BM202" s="528" t="str">
        <f t="shared" si="207"/>
        <v/>
      </c>
    </row>
    <row r="203" spans="6:65" ht="15.75" customHeight="1" x14ac:dyDescent="0.25">
      <c r="F203" s="197"/>
      <c r="G203" s="197">
        <f t="shared" si="3"/>
        <v>0</v>
      </c>
      <c r="H203" s="197">
        <f t="shared" si="4"/>
        <v>175</v>
      </c>
      <c r="I203" s="523">
        <v>1</v>
      </c>
      <c r="J203" s="533">
        <f>'Monthly DCF'!$I$3</f>
        <v>46418</v>
      </c>
      <c r="K203" s="533">
        <f t="shared" si="5"/>
        <v>46904</v>
      </c>
      <c r="L203" s="536">
        <f t="shared" si="196"/>
        <v>17</v>
      </c>
      <c r="M203" s="20" t="s">
        <v>366</v>
      </c>
      <c r="N203" s="20">
        <f t="shared" si="6"/>
        <v>3.4</v>
      </c>
      <c r="O203" s="537">
        <v>5</v>
      </c>
      <c r="P203" s="528">
        <f t="shared" ref="P203:BM203" si="208">IFERROR(+IF(AND($M203="Flat",P$5&gt;=$J203,P$5&lt;=$K203),$I203/$L203,0)+IF(AND($M203="S-Curve",P$5&gt;=$J203,P$5&lt;=$K203),(_xlfn.NORM.DIST((YEAR(P$5)-YEAR($J203))*12+MONTH(P$5)-MONTH($J203)+1,$L203/2,$N203,TRUE)-_xlfn.NORM.DIST((YEAR(P$5)-YEAR($J203))*12+MONTH(P$5)-MONTH($J203),$L203/2,$N203,TRUE))/(1-2*_xlfn.NORM.DIST(0,$L203/2,$N203,TRUE))*$I203," "),"")</f>
        <v>7.580599716605684E-3</v>
      </c>
      <c r="Q203" s="528">
        <f t="shared" si="208"/>
        <v>1.4436361198175403E-2</v>
      </c>
      <c r="R203" s="528">
        <f t="shared" si="208"/>
        <v>2.5229483641118201E-2</v>
      </c>
      <c r="S203" s="528">
        <f t="shared" si="208"/>
        <v>4.0462872112814047E-2</v>
      </c>
      <c r="T203" s="528">
        <f t="shared" si="208"/>
        <v>5.9553029307634835E-2</v>
      </c>
      <c r="U203" s="528">
        <f t="shared" si="208"/>
        <v>8.0436045256025296E-2</v>
      </c>
      <c r="V203" s="528">
        <f t="shared" si="208"/>
        <v>9.9700643277550599E-2</v>
      </c>
      <c r="W203" s="528">
        <f t="shared" si="208"/>
        <v>0.1134086315772749</v>
      </c>
      <c r="X203" s="528">
        <f t="shared" si="208"/>
        <v>0.1183846678256021</v>
      </c>
      <c r="Y203" s="528">
        <f t="shared" si="208"/>
        <v>0.1134086315772749</v>
      </c>
      <c r="Z203" s="528">
        <f t="shared" si="208"/>
        <v>9.9700643277550627E-2</v>
      </c>
      <c r="AA203" s="528">
        <f t="shared" si="208"/>
        <v>8.0436045256025296E-2</v>
      </c>
      <c r="AB203" s="528">
        <f t="shared" si="208"/>
        <v>5.9553029307634862E-2</v>
      </c>
      <c r="AC203" s="528">
        <f t="shared" si="208"/>
        <v>4.0462872112814012E-2</v>
      </c>
      <c r="AD203" s="528">
        <f t="shared" si="208"/>
        <v>2.5229483641118187E-2</v>
      </c>
      <c r="AE203" s="528">
        <f t="shared" si="208"/>
        <v>1.4436361198175427E-2</v>
      </c>
      <c r="AF203" s="528">
        <f t="shared" si="208"/>
        <v>7.5805997166056268E-3</v>
      </c>
      <c r="AG203" s="528" t="str">
        <f t="shared" si="208"/>
        <v/>
      </c>
      <c r="AH203" s="528" t="str">
        <f t="shared" si="208"/>
        <v/>
      </c>
      <c r="AI203" s="528" t="str">
        <f t="shared" si="208"/>
        <v/>
      </c>
      <c r="AJ203" s="528" t="str">
        <f t="shared" si="208"/>
        <v/>
      </c>
      <c r="AK203" s="528" t="str">
        <f t="shared" si="208"/>
        <v/>
      </c>
      <c r="AL203" s="528" t="str">
        <f t="shared" si="208"/>
        <v/>
      </c>
      <c r="AM203" s="528" t="str">
        <f t="shared" si="208"/>
        <v/>
      </c>
      <c r="AN203" s="528" t="str">
        <f t="shared" si="208"/>
        <v/>
      </c>
      <c r="AO203" s="528" t="str">
        <f t="shared" si="208"/>
        <v/>
      </c>
      <c r="AP203" s="528" t="str">
        <f t="shared" si="208"/>
        <v/>
      </c>
      <c r="AQ203" s="528" t="str">
        <f t="shared" si="208"/>
        <v/>
      </c>
      <c r="AR203" s="528" t="str">
        <f t="shared" si="208"/>
        <v/>
      </c>
      <c r="AS203" s="528" t="str">
        <f t="shared" si="208"/>
        <v/>
      </c>
      <c r="AT203" s="528" t="str">
        <f t="shared" si="208"/>
        <v/>
      </c>
      <c r="AU203" s="528" t="str">
        <f t="shared" si="208"/>
        <v/>
      </c>
      <c r="AV203" s="528" t="str">
        <f t="shared" si="208"/>
        <v/>
      </c>
      <c r="AW203" s="528" t="str">
        <f t="shared" si="208"/>
        <v/>
      </c>
      <c r="AX203" s="528" t="str">
        <f t="shared" si="208"/>
        <v/>
      </c>
      <c r="AY203" s="528" t="str">
        <f t="shared" si="208"/>
        <v/>
      </c>
      <c r="AZ203" s="528" t="str">
        <f t="shared" si="208"/>
        <v/>
      </c>
      <c r="BA203" s="528" t="str">
        <f t="shared" si="208"/>
        <v/>
      </c>
      <c r="BB203" s="528" t="str">
        <f t="shared" si="208"/>
        <v/>
      </c>
      <c r="BC203" s="528" t="str">
        <f t="shared" si="208"/>
        <v/>
      </c>
      <c r="BD203" s="528" t="str">
        <f t="shared" si="208"/>
        <v/>
      </c>
      <c r="BE203" s="528" t="str">
        <f t="shared" si="208"/>
        <v/>
      </c>
      <c r="BF203" s="528" t="str">
        <f t="shared" si="208"/>
        <v/>
      </c>
      <c r="BG203" s="528" t="str">
        <f t="shared" si="208"/>
        <v/>
      </c>
      <c r="BH203" s="528" t="str">
        <f t="shared" si="208"/>
        <v/>
      </c>
      <c r="BI203" s="528" t="str">
        <f t="shared" si="208"/>
        <v/>
      </c>
      <c r="BJ203" s="528" t="str">
        <f t="shared" si="208"/>
        <v/>
      </c>
      <c r="BK203" s="528" t="str">
        <f t="shared" si="208"/>
        <v/>
      </c>
      <c r="BL203" s="528" t="str">
        <f t="shared" si="208"/>
        <v/>
      </c>
      <c r="BM203" s="528" t="str">
        <f t="shared" si="208"/>
        <v/>
      </c>
    </row>
    <row r="204" spans="6:65" ht="15.75" customHeight="1" x14ac:dyDescent="0.25">
      <c r="F204" s="197"/>
      <c r="G204" s="197">
        <f t="shared" si="3"/>
        <v>0</v>
      </c>
      <c r="H204" s="197">
        <f t="shared" si="4"/>
        <v>185</v>
      </c>
      <c r="I204" s="523">
        <v>1</v>
      </c>
      <c r="J204" s="533">
        <f>'Monthly DCF'!$I$3</f>
        <v>46418</v>
      </c>
      <c r="K204" s="533">
        <f t="shared" si="5"/>
        <v>46934</v>
      </c>
      <c r="L204" s="536">
        <f t="shared" si="196"/>
        <v>18</v>
      </c>
      <c r="M204" s="20" t="s">
        <v>366</v>
      </c>
      <c r="N204" s="20">
        <f t="shared" si="6"/>
        <v>3.6</v>
      </c>
      <c r="O204" s="537">
        <v>5</v>
      </c>
      <c r="P204" s="528">
        <f t="shared" ref="P204:BM204" si="209">IFERROR(+IF(AND($M204="Flat",P$5&gt;=$J204,P$5&lt;=$K204),$I204/$L204,0)+IF(AND($M204="S-Curve",P$5&gt;=$J204,P$5&lt;=$K204),(_xlfn.NORM.DIST((YEAR(P$5)-YEAR($J204))*12+MONTH(P$5)-MONTH($J204)+1,$L204/2,$N204,TRUE)-_xlfn.NORM.DIST((YEAR(P$5)-YEAR($J204))*12+MONTH(P$5)-MONTH($J204),$L204/2,$N204,TRUE))/(1-2*_xlfn.NORM.DIST(0,$L204/2,$N204,TRUE))*$I204," "),"")</f>
        <v>7.0115592378021951E-3</v>
      </c>
      <c r="Q204" s="528">
        <f t="shared" si="209"/>
        <v>1.2947594119331959E-2</v>
      </c>
      <c r="R204" s="528">
        <f t="shared" si="209"/>
        <v>2.2144431937291726E-2</v>
      </c>
      <c r="S204" s="528">
        <f t="shared" si="209"/>
        <v>3.507856996025991E-2</v>
      </c>
      <c r="T204" s="528">
        <f t="shared" si="209"/>
        <v>5.1466168391169284E-2</v>
      </c>
      <c r="U204" s="528">
        <f t="shared" si="209"/>
        <v>6.9936684875277086E-2</v>
      </c>
      <c r="V204" s="528">
        <f t="shared" si="209"/>
        <v>8.802215605098869E-2</v>
      </c>
      <c r="W204" s="528">
        <f t="shared" si="209"/>
        <v>0.10260844285911123</v>
      </c>
      <c r="X204" s="528">
        <f t="shared" si="209"/>
        <v>0.11078439256876793</v>
      </c>
      <c r="Y204" s="528">
        <f t="shared" si="209"/>
        <v>0.11078439256876793</v>
      </c>
      <c r="Z204" s="528">
        <f t="shared" si="209"/>
        <v>0.10260844285911129</v>
      </c>
      <c r="AA204" s="528">
        <f t="shared" si="209"/>
        <v>8.8022156050988634E-2</v>
      </c>
      <c r="AB204" s="528">
        <f t="shared" si="209"/>
        <v>6.993668487527703E-2</v>
      </c>
      <c r="AC204" s="528">
        <f t="shared" si="209"/>
        <v>5.1466168391169388E-2</v>
      </c>
      <c r="AD204" s="528">
        <f t="shared" si="209"/>
        <v>3.5078569960259876E-2</v>
      </c>
      <c r="AE204" s="528">
        <f t="shared" si="209"/>
        <v>2.2144431937291709E-2</v>
      </c>
      <c r="AF204" s="528">
        <f t="shared" si="209"/>
        <v>1.2947594119331973E-2</v>
      </c>
      <c r="AG204" s="528">
        <f t="shared" si="209"/>
        <v>7.0115592378021674E-3</v>
      </c>
      <c r="AH204" s="528" t="str">
        <f t="shared" si="209"/>
        <v/>
      </c>
      <c r="AI204" s="528" t="str">
        <f t="shared" si="209"/>
        <v/>
      </c>
      <c r="AJ204" s="528" t="str">
        <f t="shared" si="209"/>
        <v/>
      </c>
      <c r="AK204" s="528" t="str">
        <f t="shared" si="209"/>
        <v/>
      </c>
      <c r="AL204" s="528" t="str">
        <f t="shared" si="209"/>
        <v/>
      </c>
      <c r="AM204" s="528" t="str">
        <f t="shared" si="209"/>
        <v/>
      </c>
      <c r="AN204" s="528" t="str">
        <f t="shared" si="209"/>
        <v/>
      </c>
      <c r="AO204" s="528" t="str">
        <f t="shared" si="209"/>
        <v/>
      </c>
      <c r="AP204" s="528" t="str">
        <f t="shared" si="209"/>
        <v/>
      </c>
      <c r="AQ204" s="528" t="str">
        <f t="shared" si="209"/>
        <v/>
      </c>
      <c r="AR204" s="528" t="str">
        <f t="shared" si="209"/>
        <v/>
      </c>
      <c r="AS204" s="528" t="str">
        <f t="shared" si="209"/>
        <v/>
      </c>
      <c r="AT204" s="528" t="str">
        <f t="shared" si="209"/>
        <v/>
      </c>
      <c r="AU204" s="528" t="str">
        <f t="shared" si="209"/>
        <v/>
      </c>
      <c r="AV204" s="528" t="str">
        <f t="shared" si="209"/>
        <v/>
      </c>
      <c r="AW204" s="528" t="str">
        <f t="shared" si="209"/>
        <v/>
      </c>
      <c r="AX204" s="528" t="str">
        <f t="shared" si="209"/>
        <v/>
      </c>
      <c r="AY204" s="528" t="str">
        <f t="shared" si="209"/>
        <v/>
      </c>
      <c r="AZ204" s="528" t="str">
        <f t="shared" si="209"/>
        <v/>
      </c>
      <c r="BA204" s="528" t="str">
        <f t="shared" si="209"/>
        <v/>
      </c>
      <c r="BB204" s="528" t="str">
        <f t="shared" si="209"/>
        <v/>
      </c>
      <c r="BC204" s="528" t="str">
        <f t="shared" si="209"/>
        <v/>
      </c>
      <c r="BD204" s="528" t="str">
        <f t="shared" si="209"/>
        <v/>
      </c>
      <c r="BE204" s="528" t="str">
        <f t="shared" si="209"/>
        <v/>
      </c>
      <c r="BF204" s="528" t="str">
        <f t="shared" si="209"/>
        <v/>
      </c>
      <c r="BG204" s="528" t="str">
        <f t="shared" si="209"/>
        <v/>
      </c>
      <c r="BH204" s="528" t="str">
        <f t="shared" si="209"/>
        <v/>
      </c>
      <c r="BI204" s="528" t="str">
        <f t="shared" si="209"/>
        <v/>
      </c>
      <c r="BJ204" s="528" t="str">
        <f t="shared" si="209"/>
        <v/>
      </c>
      <c r="BK204" s="528" t="str">
        <f t="shared" si="209"/>
        <v/>
      </c>
      <c r="BL204" s="528" t="str">
        <f t="shared" si="209"/>
        <v/>
      </c>
      <c r="BM204" s="528" t="str">
        <f t="shared" si="209"/>
        <v/>
      </c>
    </row>
    <row r="205" spans="6:65" ht="15.75" customHeight="1" x14ac:dyDescent="0.25">
      <c r="F205" s="197"/>
      <c r="G205" s="197">
        <f t="shared" si="3"/>
        <v>0</v>
      </c>
      <c r="H205" s="197">
        <f t="shared" si="4"/>
        <v>195</v>
      </c>
      <c r="I205" s="523">
        <v>1</v>
      </c>
      <c r="J205" s="533">
        <f>'Monthly DCF'!$I$3</f>
        <v>46418</v>
      </c>
      <c r="K205" s="533">
        <f t="shared" si="5"/>
        <v>46965</v>
      </c>
      <c r="L205" s="536">
        <f t="shared" si="196"/>
        <v>19</v>
      </c>
      <c r="M205" s="20" t="s">
        <v>366</v>
      </c>
      <c r="N205" s="20">
        <f t="shared" si="6"/>
        <v>3.8</v>
      </c>
      <c r="O205" s="537">
        <v>5</v>
      </c>
      <c r="P205" s="528">
        <f t="shared" ref="P205:BM205" si="210">IFERROR(+IF(AND($M205="Flat",P$5&gt;=$J205,P$5&lt;=$K205),$I205/$L205,0)+IF(AND($M205="S-Curve",P$5&gt;=$J205,P$5&lt;=$K205),(_xlfn.NORM.DIST((YEAR(P$5)-YEAR($J205))*12+MONTH(P$5)-MONTH($J205)+1,$L205/2,$N205,TRUE)-_xlfn.NORM.DIST((YEAR(P$5)-YEAR($J205))*12+MONTH(P$5)-MONTH($J205),$L205/2,$N205,TRUE))/(1-2*_xlfn.NORM.DIST(0,$L205/2,$N205,TRUE))*$I205," "),"")</f>
        <v>6.5196349473263665E-3</v>
      </c>
      <c r="Q205" s="528">
        <f t="shared" si="210"/>
        <v>1.1705879237127848E-2</v>
      </c>
      <c r="R205" s="528">
        <f t="shared" si="210"/>
        <v>1.9619121246713962E-2</v>
      </c>
      <c r="S205" s="528">
        <f t="shared" si="210"/>
        <v>3.0693783195376141E-2</v>
      </c>
      <c r="T205" s="528">
        <f t="shared" si="210"/>
        <v>4.4824677985386079E-2</v>
      </c>
      <c r="U205" s="528">
        <f t="shared" si="210"/>
        <v>6.1105495786300507E-2</v>
      </c>
      <c r="V205" s="528">
        <f t="shared" si="210"/>
        <v>7.7757103016859633E-2</v>
      </c>
      <c r="W205" s="528">
        <f t="shared" si="210"/>
        <v>9.2362752161929157E-2</v>
      </c>
      <c r="X205" s="528">
        <f t="shared" si="210"/>
        <v>0.10241200263567925</v>
      </c>
      <c r="Y205" s="528">
        <f t="shared" si="210"/>
        <v>0.10599909957460218</v>
      </c>
      <c r="Z205" s="528">
        <f t="shared" si="210"/>
        <v>0.10241200263567925</v>
      </c>
      <c r="AA205" s="528">
        <f t="shared" si="210"/>
        <v>9.2362752161929101E-2</v>
      </c>
      <c r="AB205" s="528">
        <f t="shared" si="210"/>
        <v>7.7757103016859716E-2</v>
      </c>
      <c r="AC205" s="528">
        <f t="shared" si="210"/>
        <v>6.1105495786300507E-2</v>
      </c>
      <c r="AD205" s="528">
        <f t="shared" si="210"/>
        <v>4.4824677985386016E-2</v>
      </c>
      <c r="AE205" s="528">
        <f t="shared" si="210"/>
        <v>3.0693783195376148E-2</v>
      </c>
      <c r="AF205" s="528">
        <f t="shared" si="210"/>
        <v>1.9619121246713965E-2</v>
      </c>
      <c r="AG205" s="528">
        <f t="shared" si="210"/>
        <v>1.1705879237127825E-2</v>
      </c>
      <c r="AH205" s="528">
        <f t="shared" si="210"/>
        <v>6.5196349473263812E-3</v>
      </c>
      <c r="AI205" s="528" t="str">
        <f t="shared" si="210"/>
        <v/>
      </c>
      <c r="AJ205" s="528" t="str">
        <f t="shared" si="210"/>
        <v/>
      </c>
      <c r="AK205" s="528" t="str">
        <f t="shared" si="210"/>
        <v/>
      </c>
      <c r="AL205" s="528" t="str">
        <f t="shared" si="210"/>
        <v/>
      </c>
      <c r="AM205" s="528" t="str">
        <f t="shared" si="210"/>
        <v/>
      </c>
      <c r="AN205" s="528" t="str">
        <f t="shared" si="210"/>
        <v/>
      </c>
      <c r="AO205" s="528" t="str">
        <f t="shared" si="210"/>
        <v/>
      </c>
      <c r="AP205" s="528" t="str">
        <f t="shared" si="210"/>
        <v/>
      </c>
      <c r="AQ205" s="528" t="str">
        <f t="shared" si="210"/>
        <v/>
      </c>
      <c r="AR205" s="528" t="str">
        <f t="shared" si="210"/>
        <v/>
      </c>
      <c r="AS205" s="528" t="str">
        <f t="shared" si="210"/>
        <v/>
      </c>
      <c r="AT205" s="528" t="str">
        <f t="shared" si="210"/>
        <v/>
      </c>
      <c r="AU205" s="528" t="str">
        <f t="shared" si="210"/>
        <v/>
      </c>
      <c r="AV205" s="528" t="str">
        <f t="shared" si="210"/>
        <v/>
      </c>
      <c r="AW205" s="528" t="str">
        <f t="shared" si="210"/>
        <v/>
      </c>
      <c r="AX205" s="528" t="str">
        <f t="shared" si="210"/>
        <v/>
      </c>
      <c r="AY205" s="528" t="str">
        <f t="shared" si="210"/>
        <v/>
      </c>
      <c r="AZ205" s="528" t="str">
        <f t="shared" si="210"/>
        <v/>
      </c>
      <c r="BA205" s="528" t="str">
        <f t="shared" si="210"/>
        <v/>
      </c>
      <c r="BB205" s="528" t="str">
        <f t="shared" si="210"/>
        <v/>
      </c>
      <c r="BC205" s="528" t="str">
        <f t="shared" si="210"/>
        <v/>
      </c>
      <c r="BD205" s="528" t="str">
        <f t="shared" si="210"/>
        <v/>
      </c>
      <c r="BE205" s="528" t="str">
        <f t="shared" si="210"/>
        <v/>
      </c>
      <c r="BF205" s="528" t="str">
        <f t="shared" si="210"/>
        <v/>
      </c>
      <c r="BG205" s="528" t="str">
        <f t="shared" si="210"/>
        <v/>
      </c>
      <c r="BH205" s="528" t="str">
        <f t="shared" si="210"/>
        <v/>
      </c>
      <c r="BI205" s="528" t="str">
        <f t="shared" si="210"/>
        <v/>
      </c>
      <c r="BJ205" s="528" t="str">
        <f t="shared" si="210"/>
        <v/>
      </c>
      <c r="BK205" s="528" t="str">
        <f t="shared" si="210"/>
        <v/>
      </c>
      <c r="BL205" s="528" t="str">
        <f t="shared" si="210"/>
        <v/>
      </c>
      <c r="BM205" s="528" t="str">
        <f t="shared" si="210"/>
        <v/>
      </c>
    </row>
    <row r="206" spans="6:65" ht="15.75" customHeight="1" x14ac:dyDescent="0.25">
      <c r="F206" s="197"/>
      <c r="G206" s="197">
        <f t="shared" si="3"/>
        <v>0</v>
      </c>
      <c r="H206" s="197">
        <f t="shared" si="4"/>
        <v>205</v>
      </c>
      <c r="I206" s="523">
        <v>1</v>
      </c>
      <c r="J206" s="533">
        <f>'Monthly DCF'!$I$3</f>
        <v>46418</v>
      </c>
      <c r="K206" s="533">
        <f t="shared" si="5"/>
        <v>46996</v>
      </c>
      <c r="L206" s="536">
        <f t="shared" si="196"/>
        <v>20</v>
      </c>
      <c r="M206" s="20" t="s">
        <v>366</v>
      </c>
      <c r="N206" s="20">
        <f t="shared" si="6"/>
        <v>4</v>
      </c>
      <c r="O206" s="537">
        <v>5</v>
      </c>
      <c r="P206" s="528">
        <f t="shared" ref="P206:BM206" si="211">IFERROR(+IF(AND($M206="Flat",P$5&gt;=$J206,P$5&lt;=$K206),$I206/$L206,0)+IF(AND($M206="S-Curve",P$5&gt;=$J206,P$5&lt;=$K206),(_xlfn.NORM.DIST((YEAR(P$5)-YEAR($J206))*12+MONTH(P$5)-MONTH($J206)+1,$L206/2,$N206,TRUE)-_xlfn.NORM.DIST((YEAR(P$5)-YEAR($J206))*12+MONTH(P$5)-MONTH($J206),$L206/2,$N206,TRUE))/(1-2*_xlfn.NORM.DIST(0,$L206/2,$N206,TRUE))*$I206," "),"")</f>
        <v>6.0904465994021601E-3</v>
      </c>
      <c r="Q206" s="528">
        <f t="shared" si="211"/>
        <v>1.0658024827560422E-2</v>
      </c>
      <c r="R206" s="528">
        <f t="shared" si="211"/>
        <v>1.7526694732752784E-2</v>
      </c>
      <c r="S206" s="528">
        <f t="shared" si="211"/>
        <v>2.7084414706788327E-2</v>
      </c>
      <c r="T206" s="528">
        <f t="shared" si="211"/>
        <v>3.9331037558302376E-2</v>
      </c>
      <c r="U206" s="528">
        <f t="shared" si="211"/>
        <v>5.3672051215392751E-2</v>
      </c>
      <c r="V206" s="528">
        <f t="shared" si="211"/>
        <v>6.8826882253837082E-2</v>
      </c>
      <c r="W206" s="528">
        <f t="shared" si="211"/>
        <v>8.2940248722323195E-2</v>
      </c>
      <c r="X206" s="528">
        <f t="shared" si="211"/>
        <v>9.3922591308196524E-2</v>
      </c>
      <c r="Y206" s="528">
        <f t="shared" si="211"/>
        <v>9.9947608075444408E-2</v>
      </c>
      <c r="Z206" s="528">
        <f t="shared" si="211"/>
        <v>9.9947608075444408E-2</v>
      </c>
      <c r="AA206" s="528">
        <f t="shared" si="211"/>
        <v>9.3922591308196524E-2</v>
      </c>
      <c r="AB206" s="528">
        <f t="shared" si="211"/>
        <v>8.294024872232314E-2</v>
      </c>
      <c r="AC206" s="528">
        <f t="shared" si="211"/>
        <v>6.8826882253837166E-2</v>
      </c>
      <c r="AD206" s="528">
        <f t="shared" si="211"/>
        <v>5.3672051215392737E-2</v>
      </c>
      <c r="AE206" s="528">
        <f t="shared" si="211"/>
        <v>3.9331037558302334E-2</v>
      </c>
      <c r="AF206" s="528">
        <f t="shared" si="211"/>
        <v>2.7084414706788341E-2</v>
      </c>
      <c r="AG206" s="528">
        <f t="shared" si="211"/>
        <v>1.7526694732752781E-2</v>
      </c>
      <c r="AH206" s="528">
        <f t="shared" si="211"/>
        <v>1.0658024827560465E-2</v>
      </c>
      <c r="AI206" s="528">
        <f t="shared" si="211"/>
        <v>6.0904465994021098E-3</v>
      </c>
      <c r="AJ206" s="528" t="str">
        <f t="shared" si="211"/>
        <v/>
      </c>
      <c r="AK206" s="528" t="str">
        <f t="shared" si="211"/>
        <v/>
      </c>
      <c r="AL206" s="528" t="str">
        <f t="shared" si="211"/>
        <v/>
      </c>
      <c r="AM206" s="528" t="str">
        <f t="shared" si="211"/>
        <v/>
      </c>
      <c r="AN206" s="528" t="str">
        <f t="shared" si="211"/>
        <v/>
      </c>
      <c r="AO206" s="528" t="str">
        <f t="shared" si="211"/>
        <v/>
      </c>
      <c r="AP206" s="528" t="str">
        <f t="shared" si="211"/>
        <v/>
      </c>
      <c r="AQ206" s="528" t="str">
        <f t="shared" si="211"/>
        <v/>
      </c>
      <c r="AR206" s="528" t="str">
        <f t="shared" si="211"/>
        <v/>
      </c>
      <c r="AS206" s="528" t="str">
        <f t="shared" si="211"/>
        <v/>
      </c>
      <c r="AT206" s="528" t="str">
        <f t="shared" si="211"/>
        <v/>
      </c>
      <c r="AU206" s="528" t="str">
        <f t="shared" si="211"/>
        <v/>
      </c>
      <c r="AV206" s="528" t="str">
        <f t="shared" si="211"/>
        <v/>
      </c>
      <c r="AW206" s="528" t="str">
        <f t="shared" si="211"/>
        <v/>
      </c>
      <c r="AX206" s="528" t="str">
        <f t="shared" si="211"/>
        <v/>
      </c>
      <c r="AY206" s="528" t="str">
        <f t="shared" si="211"/>
        <v/>
      </c>
      <c r="AZ206" s="528" t="str">
        <f t="shared" si="211"/>
        <v/>
      </c>
      <c r="BA206" s="528" t="str">
        <f t="shared" si="211"/>
        <v/>
      </c>
      <c r="BB206" s="528" t="str">
        <f t="shared" si="211"/>
        <v/>
      </c>
      <c r="BC206" s="528" t="str">
        <f t="shared" si="211"/>
        <v/>
      </c>
      <c r="BD206" s="528" t="str">
        <f t="shared" si="211"/>
        <v/>
      </c>
      <c r="BE206" s="528" t="str">
        <f t="shared" si="211"/>
        <v/>
      </c>
      <c r="BF206" s="528" t="str">
        <f t="shared" si="211"/>
        <v/>
      </c>
      <c r="BG206" s="528" t="str">
        <f t="shared" si="211"/>
        <v/>
      </c>
      <c r="BH206" s="528" t="str">
        <f t="shared" si="211"/>
        <v/>
      </c>
      <c r="BI206" s="528" t="str">
        <f t="shared" si="211"/>
        <v/>
      </c>
      <c r="BJ206" s="528" t="str">
        <f t="shared" si="211"/>
        <v/>
      </c>
      <c r="BK206" s="528" t="str">
        <f t="shared" si="211"/>
        <v/>
      </c>
      <c r="BL206" s="528" t="str">
        <f t="shared" si="211"/>
        <v/>
      </c>
      <c r="BM206" s="528" t="str">
        <f t="shared" si="211"/>
        <v/>
      </c>
    </row>
    <row r="207" spans="6:65" ht="15.75" customHeight="1" x14ac:dyDescent="0.25">
      <c r="F207" s="197"/>
      <c r="G207" s="197">
        <f t="shared" si="3"/>
        <v>0</v>
      </c>
      <c r="H207" s="197">
        <f t="shared" si="4"/>
        <v>215</v>
      </c>
      <c r="I207" s="523">
        <v>1</v>
      </c>
      <c r="J207" s="533">
        <f>'Monthly DCF'!$I$3</f>
        <v>46418</v>
      </c>
      <c r="K207" s="533">
        <f t="shared" si="5"/>
        <v>47026</v>
      </c>
      <c r="L207" s="536">
        <f t="shared" si="196"/>
        <v>21</v>
      </c>
      <c r="M207" s="20" t="s">
        <v>366</v>
      </c>
      <c r="N207" s="20">
        <f t="shared" si="6"/>
        <v>4.2</v>
      </c>
      <c r="O207" s="537">
        <v>5</v>
      </c>
      <c r="P207" s="528">
        <f t="shared" ref="P207:BM207" si="212">IFERROR(+IF(AND($M207="Flat",P$5&gt;=$J207,P$5&lt;=$K207),$I207/$L207,0)+IF(AND($M207="S-Curve",P$5&gt;=$J207,P$5&lt;=$K207),(_xlfn.NORM.DIST((YEAR(P$5)-YEAR($J207))*12+MONTH(P$5)-MONTH($J207)+1,$L207/2,$N207,TRUE)-_xlfn.NORM.DIST((YEAR(P$5)-YEAR($J207))*12+MONTH(P$5)-MONTH($J207),$L207/2,$N207,TRUE))/(1-2*_xlfn.NORM.DIST(0,$L207/2,$N207,TRUE))*$I207," "),"")</f>
        <v>5.712929487908293E-3</v>
      </c>
      <c r="Q207" s="528">
        <f t="shared" si="212"/>
        <v>9.7645014808717193E-3</v>
      </c>
      <c r="R207" s="528">
        <f t="shared" si="212"/>
        <v>1.5773788488855901E-2</v>
      </c>
      <c r="S207" s="528">
        <f t="shared" si="212"/>
        <v>2.4083354939403112E-2</v>
      </c>
      <c r="T207" s="528">
        <f t="shared" si="212"/>
        <v>3.4753077611848177E-2</v>
      </c>
      <c r="U207" s="528">
        <f t="shared" si="212"/>
        <v>4.7398555208249996E-2</v>
      </c>
      <c r="V207" s="528">
        <f t="shared" si="212"/>
        <v>6.1098801303994969E-2</v>
      </c>
      <c r="W207" s="528">
        <f t="shared" si="212"/>
        <v>7.4438256920248164E-2</v>
      </c>
      <c r="X207" s="528">
        <f t="shared" si="212"/>
        <v>8.5714786670145718E-2</v>
      </c>
      <c r="Y207" s="528">
        <f t="shared" si="212"/>
        <v>9.3284920043914255E-2</v>
      </c>
      <c r="Z207" s="528">
        <f t="shared" si="212"/>
        <v>9.5954055689119397E-2</v>
      </c>
      <c r="AA207" s="528">
        <f t="shared" si="212"/>
        <v>9.3284920043914366E-2</v>
      </c>
      <c r="AB207" s="528">
        <f t="shared" si="212"/>
        <v>8.5714786670145662E-2</v>
      </c>
      <c r="AC207" s="528">
        <f t="shared" si="212"/>
        <v>7.4438256920248164E-2</v>
      </c>
      <c r="AD207" s="528">
        <f t="shared" si="212"/>
        <v>6.1098801303995025E-2</v>
      </c>
      <c r="AE207" s="528">
        <f t="shared" si="212"/>
        <v>4.7398555208249954E-2</v>
      </c>
      <c r="AF207" s="528">
        <f t="shared" si="212"/>
        <v>3.4753077611848177E-2</v>
      </c>
      <c r="AG207" s="528">
        <f t="shared" si="212"/>
        <v>2.4083354939403046E-2</v>
      </c>
      <c r="AH207" s="528">
        <f t="shared" si="212"/>
        <v>1.5773788488855987E-2</v>
      </c>
      <c r="AI207" s="528">
        <f t="shared" si="212"/>
        <v>9.7645014808716499E-3</v>
      </c>
      <c r="AJ207" s="528">
        <f t="shared" si="212"/>
        <v>5.7129294879083017E-3</v>
      </c>
      <c r="AK207" s="528" t="str">
        <f t="shared" si="212"/>
        <v/>
      </c>
      <c r="AL207" s="528" t="str">
        <f t="shared" si="212"/>
        <v/>
      </c>
      <c r="AM207" s="528" t="str">
        <f t="shared" si="212"/>
        <v/>
      </c>
      <c r="AN207" s="528" t="str">
        <f t="shared" si="212"/>
        <v/>
      </c>
      <c r="AO207" s="528" t="str">
        <f t="shared" si="212"/>
        <v/>
      </c>
      <c r="AP207" s="528" t="str">
        <f t="shared" si="212"/>
        <v/>
      </c>
      <c r="AQ207" s="528" t="str">
        <f t="shared" si="212"/>
        <v/>
      </c>
      <c r="AR207" s="528" t="str">
        <f t="shared" si="212"/>
        <v/>
      </c>
      <c r="AS207" s="528" t="str">
        <f t="shared" si="212"/>
        <v/>
      </c>
      <c r="AT207" s="528" t="str">
        <f t="shared" si="212"/>
        <v/>
      </c>
      <c r="AU207" s="528" t="str">
        <f t="shared" si="212"/>
        <v/>
      </c>
      <c r="AV207" s="528" t="str">
        <f t="shared" si="212"/>
        <v/>
      </c>
      <c r="AW207" s="528" t="str">
        <f t="shared" si="212"/>
        <v/>
      </c>
      <c r="AX207" s="528" t="str">
        <f t="shared" si="212"/>
        <v/>
      </c>
      <c r="AY207" s="528" t="str">
        <f t="shared" si="212"/>
        <v/>
      </c>
      <c r="AZ207" s="528" t="str">
        <f t="shared" si="212"/>
        <v/>
      </c>
      <c r="BA207" s="528" t="str">
        <f t="shared" si="212"/>
        <v/>
      </c>
      <c r="BB207" s="528" t="str">
        <f t="shared" si="212"/>
        <v/>
      </c>
      <c r="BC207" s="528" t="str">
        <f t="shared" si="212"/>
        <v/>
      </c>
      <c r="BD207" s="528" t="str">
        <f t="shared" si="212"/>
        <v/>
      </c>
      <c r="BE207" s="528" t="str">
        <f t="shared" si="212"/>
        <v/>
      </c>
      <c r="BF207" s="528" t="str">
        <f t="shared" si="212"/>
        <v/>
      </c>
      <c r="BG207" s="528" t="str">
        <f t="shared" si="212"/>
        <v/>
      </c>
      <c r="BH207" s="528" t="str">
        <f t="shared" si="212"/>
        <v/>
      </c>
      <c r="BI207" s="528" t="str">
        <f t="shared" si="212"/>
        <v/>
      </c>
      <c r="BJ207" s="528" t="str">
        <f t="shared" si="212"/>
        <v/>
      </c>
      <c r="BK207" s="528" t="str">
        <f t="shared" si="212"/>
        <v/>
      </c>
      <c r="BL207" s="528" t="str">
        <f t="shared" si="212"/>
        <v/>
      </c>
      <c r="BM207" s="528" t="str">
        <f t="shared" si="212"/>
        <v/>
      </c>
    </row>
    <row r="208" spans="6:65" ht="15.75" customHeight="1" x14ac:dyDescent="0.25">
      <c r="F208" s="197"/>
      <c r="G208" s="197">
        <f t="shared" si="3"/>
        <v>0</v>
      </c>
      <c r="H208" s="197">
        <f t="shared" si="4"/>
        <v>225</v>
      </c>
      <c r="I208" s="523">
        <v>1</v>
      </c>
      <c r="J208" s="533">
        <f>'Monthly DCF'!$I$3</f>
        <v>46418</v>
      </c>
      <c r="K208" s="533">
        <f t="shared" si="5"/>
        <v>47057</v>
      </c>
      <c r="L208" s="536">
        <f t="shared" si="196"/>
        <v>22</v>
      </c>
      <c r="M208" s="20" t="s">
        <v>366</v>
      </c>
      <c r="N208" s="20">
        <f t="shared" si="6"/>
        <v>4.4000000000000004</v>
      </c>
      <c r="O208" s="537">
        <v>5</v>
      </c>
      <c r="P208" s="528">
        <f t="shared" ref="P208:BM208" si="213">IFERROR(+IF(AND($M208="Flat",P$5&gt;=$J208,P$5&lt;=$K208),$I208/$L208,0)+IF(AND($M208="S-Curve",P$5&gt;=$J208,P$5&lt;=$K208),(_xlfn.NORM.DIST((YEAR(P$5)-YEAR($J208))*12+MONTH(P$5)-MONTH($J208)+1,$L208/2,$N208,TRUE)-_xlfn.NORM.DIST((YEAR(P$5)-YEAR($J208))*12+MONTH(P$5)-MONTH($J208),$L208/2,$N208,TRUE))/(1-2*_xlfn.NORM.DIST(0,$L208/2,$N208,TRUE))*$I208," "),"")</f>
        <v>5.3784413597414045E-3</v>
      </c>
      <c r="Q208" s="528">
        <f t="shared" si="213"/>
        <v>8.9954403626452406E-3</v>
      </c>
      <c r="R208" s="528">
        <f t="shared" si="213"/>
        <v>1.4290620884886862E-2</v>
      </c>
      <c r="S208" s="528">
        <f t="shared" si="213"/>
        <v>2.1564662858972294E-2</v>
      </c>
      <c r="T208" s="528">
        <f t="shared" si="213"/>
        <v>3.0909882583838481E-2</v>
      </c>
      <c r="U208" s="528">
        <f t="shared" si="213"/>
        <v>4.2083836357746679E-2</v>
      </c>
      <c r="V208" s="528">
        <f t="shared" si="213"/>
        <v>5.442478586645616E-2</v>
      </c>
      <c r="W208" s="528">
        <f t="shared" si="213"/>
        <v>6.6856201828382228E-2</v>
      </c>
      <c r="X208" s="528">
        <f t="shared" si="213"/>
        <v>7.8010010988760398E-2</v>
      </c>
      <c r="Y208" s="528">
        <f t="shared" si="213"/>
        <v>8.6461491350557973E-2</v>
      </c>
      <c r="Z208" s="528">
        <f t="shared" si="213"/>
        <v>9.1024625558012301E-2</v>
      </c>
      <c r="AA208" s="528">
        <f t="shared" si="213"/>
        <v>9.1024625558012301E-2</v>
      </c>
      <c r="AB208" s="528">
        <f t="shared" si="213"/>
        <v>8.6461491350557973E-2</v>
      </c>
      <c r="AC208" s="528">
        <f t="shared" si="213"/>
        <v>7.8010010988760398E-2</v>
      </c>
      <c r="AD208" s="528">
        <f t="shared" si="213"/>
        <v>6.68562018283822E-2</v>
      </c>
      <c r="AE208" s="528">
        <f t="shared" si="213"/>
        <v>5.4424785866456216E-2</v>
      </c>
      <c r="AF208" s="528">
        <f t="shared" si="213"/>
        <v>4.2083836357746665E-2</v>
      </c>
      <c r="AG208" s="528">
        <f t="shared" si="213"/>
        <v>3.0909882583838418E-2</v>
      </c>
      <c r="AH208" s="528">
        <f t="shared" si="213"/>
        <v>2.1564662858972395E-2</v>
      </c>
      <c r="AI208" s="528">
        <f t="shared" si="213"/>
        <v>1.4290620884886869E-2</v>
      </c>
      <c r="AJ208" s="528">
        <f t="shared" si="213"/>
        <v>8.9954403626452042E-3</v>
      </c>
      <c r="AK208" s="528">
        <f t="shared" si="213"/>
        <v>5.3784413597413594E-3</v>
      </c>
      <c r="AL208" s="528" t="str">
        <f t="shared" si="213"/>
        <v/>
      </c>
      <c r="AM208" s="528" t="str">
        <f t="shared" si="213"/>
        <v/>
      </c>
      <c r="AN208" s="528" t="str">
        <f t="shared" si="213"/>
        <v/>
      </c>
      <c r="AO208" s="528" t="str">
        <f t="shared" si="213"/>
        <v/>
      </c>
      <c r="AP208" s="528" t="str">
        <f t="shared" si="213"/>
        <v/>
      </c>
      <c r="AQ208" s="528" t="str">
        <f t="shared" si="213"/>
        <v/>
      </c>
      <c r="AR208" s="528" t="str">
        <f t="shared" si="213"/>
        <v/>
      </c>
      <c r="AS208" s="528" t="str">
        <f t="shared" si="213"/>
        <v/>
      </c>
      <c r="AT208" s="528" t="str">
        <f t="shared" si="213"/>
        <v/>
      </c>
      <c r="AU208" s="528" t="str">
        <f t="shared" si="213"/>
        <v/>
      </c>
      <c r="AV208" s="528" t="str">
        <f t="shared" si="213"/>
        <v/>
      </c>
      <c r="AW208" s="528" t="str">
        <f t="shared" si="213"/>
        <v/>
      </c>
      <c r="AX208" s="528" t="str">
        <f t="shared" si="213"/>
        <v/>
      </c>
      <c r="AY208" s="528" t="str">
        <f t="shared" si="213"/>
        <v/>
      </c>
      <c r="AZ208" s="528" t="str">
        <f t="shared" si="213"/>
        <v/>
      </c>
      <c r="BA208" s="528" t="str">
        <f t="shared" si="213"/>
        <v/>
      </c>
      <c r="BB208" s="528" t="str">
        <f t="shared" si="213"/>
        <v/>
      </c>
      <c r="BC208" s="528" t="str">
        <f t="shared" si="213"/>
        <v/>
      </c>
      <c r="BD208" s="528" t="str">
        <f t="shared" si="213"/>
        <v/>
      </c>
      <c r="BE208" s="528" t="str">
        <f t="shared" si="213"/>
        <v/>
      </c>
      <c r="BF208" s="528" t="str">
        <f t="shared" si="213"/>
        <v/>
      </c>
      <c r="BG208" s="528" t="str">
        <f t="shared" si="213"/>
        <v/>
      </c>
      <c r="BH208" s="528" t="str">
        <f t="shared" si="213"/>
        <v/>
      </c>
      <c r="BI208" s="528" t="str">
        <f t="shared" si="213"/>
        <v/>
      </c>
      <c r="BJ208" s="528" t="str">
        <f t="shared" si="213"/>
        <v/>
      </c>
      <c r="BK208" s="528" t="str">
        <f t="shared" si="213"/>
        <v/>
      </c>
      <c r="BL208" s="528" t="str">
        <f t="shared" si="213"/>
        <v/>
      </c>
      <c r="BM208" s="528" t="str">
        <f t="shared" si="213"/>
        <v/>
      </c>
    </row>
    <row r="209" spans="6:65" ht="15.75" customHeight="1" x14ac:dyDescent="0.25">
      <c r="F209" s="197"/>
      <c r="G209" s="197">
        <f t="shared" si="3"/>
        <v>0</v>
      </c>
      <c r="H209" s="197">
        <f t="shared" si="4"/>
        <v>235</v>
      </c>
      <c r="I209" s="523">
        <v>1</v>
      </c>
      <c r="J209" s="533">
        <f>'Monthly DCF'!$I$3</f>
        <v>46418</v>
      </c>
      <c r="K209" s="533">
        <f t="shared" si="5"/>
        <v>47087</v>
      </c>
      <c r="L209" s="536">
        <f t="shared" si="196"/>
        <v>23</v>
      </c>
      <c r="M209" s="20" t="s">
        <v>366</v>
      </c>
      <c r="N209" s="20">
        <f t="shared" si="6"/>
        <v>4.5999999999999996</v>
      </c>
      <c r="O209" s="537">
        <v>5</v>
      </c>
      <c r="P209" s="528">
        <f t="shared" ref="P209:BM209" si="214">IFERROR(+IF(AND($M209="Flat",P$5&gt;=$J209,P$5&lt;=$K209),$I209/$L209,0)+IF(AND($M209="S-Curve",P$5&gt;=$J209,P$5&lt;=$K209),(_xlfn.NORM.DIST((YEAR(P$5)-YEAR($J209))*12+MONTH(P$5)-MONTH($J209)+1,$L209/2,$N209,TRUE)-_xlfn.NORM.DIST((YEAR(P$5)-YEAR($J209))*12+MONTH(P$5)-MONTH($J209),$L209/2,$N209,TRUE))/(1-2*_xlfn.NORM.DIST(0,$L209/2,$N209,TRUE))*$I209," "),"")</f>
        <v>5.0801407673508438E-3</v>
      </c>
      <c r="Q209" s="528">
        <f t="shared" si="214"/>
        <v>8.3279310361360926E-3</v>
      </c>
      <c r="R209" s="528">
        <f t="shared" si="214"/>
        <v>1.3024287980073931E-2</v>
      </c>
      <c r="S209" s="528">
        <f t="shared" si="214"/>
        <v>1.9432403743943099E-2</v>
      </c>
      <c r="T209" s="528">
        <f t="shared" si="214"/>
        <v>2.7660171936732394E-2</v>
      </c>
      <c r="U209" s="528">
        <f t="shared" si="214"/>
        <v>3.7561175422491405E-2</v>
      </c>
      <c r="V209" s="528">
        <f t="shared" si="214"/>
        <v>4.8660832900467625E-2</v>
      </c>
      <c r="W209" s="528">
        <f t="shared" si="214"/>
        <v>6.0141750568065838E-2</v>
      </c>
      <c r="X209" s="528">
        <f t="shared" si="214"/>
        <v>7.0913486078249877E-2</v>
      </c>
      <c r="Y209" s="528">
        <f t="shared" si="214"/>
        <v>7.9769691516153096E-2</v>
      </c>
      <c r="Z209" s="528">
        <f t="shared" si="214"/>
        <v>8.5605829679994916E-2</v>
      </c>
      <c r="AA209" s="528">
        <f t="shared" si="214"/>
        <v>8.7644596740681827E-2</v>
      </c>
      <c r="AB209" s="528">
        <f t="shared" si="214"/>
        <v>8.5605829679994916E-2</v>
      </c>
      <c r="AC209" s="528">
        <f t="shared" si="214"/>
        <v>7.9769691516153041E-2</v>
      </c>
      <c r="AD209" s="528">
        <f t="shared" si="214"/>
        <v>7.0913486078249904E-2</v>
      </c>
      <c r="AE209" s="528">
        <f t="shared" si="214"/>
        <v>6.014175056806581E-2</v>
      </c>
      <c r="AF209" s="528">
        <f t="shared" si="214"/>
        <v>4.8660832900467653E-2</v>
      </c>
      <c r="AG209" s="528">
        <f t="shared" si="214"/>
        <v>3.7561175422491391E-2</v>
      </c>
      <c r="AH209" s="528">
        <f t="shared" si="214"/>
        <v>2.7660171936732425E-2</v>
      </c>
      <c r="AI209" s="528">
        <f t="shared" si="214"/>
        <v>1.9432403743943078E-2</v>
      </c>
      <c r="AJ209" s="528">
        <f t="shared" si="214"/>
        <v>1.3024287980074004E-2</v>
      </c>
      <c r="AK209" s="528">
        <f t="shared" si="214"/>
        <v>8.3279310361360319E-3</v>
      </c>
      <c r="AL209" s="528">
        <f t="shared" si="214"/>
        <v>5.0801407673508403E-3</v>
      </c>
      <c r="AM209" s="528" t="str">
        <f t="shared" si="214"/>
        <v/>
      </c>
      <c r="AN209" s="528" t="str">
        <f t="shared" si="214"/>
        <v/>
      </c>
      <c r="AO209" s="528" t="str">
        <f t="shared" si="214"/>
        <v/>
      </c>
      <c r="AP209" s="528" t="str">
        <f t="shared" si="214"/>
        <v/>
      </c>
      <c r="AQ209" s="528" t="str">
        <f t="shared" si="214"/>
        <v/>
      </c>
      <c r="AR209" s="528" t="str">
        <f t="shared" si="214"/>
        <v/>
      </c>
      <c r="AS209" s="528" t="str">
        <f t="shared" si="214"/>
        <v/>
      </c>
      <c r="AT209" s="528" t="str">
        <f t="shared" si="214"/>
        <v/>
      </c>
      <c r="AU209" s="528" t="str">
        <f t="shared" si="214"/>
        <v/>
      </c>
      <c r="AV209" s="528" t="str">
        <f t="shared" si="214"/>
        <v/>
      </c>
      <c r="AW209" s="528" t="str">
        <f t="shared" si="214"/>
        <v/>
      </c>
      <c r="AX209" s="528" t="str">
        <f t="shared" si="214"/>
        <v/>
      </c>
      <c r="AY209" s="528" t="str">
        <f t="shared" si="214"/>
        <v/>
      </c>
      <c r="AZ209" s="528" t="str">
        <f t="shared" si="214"/>
        <v/>
      </c>
      <c r="BA209" s="528" t="str">
        <f t="shared" si="214"/>
        <v/>
      </c>
      <c r="BB209" s="528" t="str">
        <f t="shared" si="214"/>
        <v/>
      </c>
      <c r="BC209" s="528" t="str">
        <f t="shared" si="214"/>
        <v/>
      </c>
      <c r="BD209" s="528" t="str">
        <f t="shared" si="214"/>
        <v/>
      </c>
      <c r="BE209" s="528" t="str">
        <f t="shared" si="214"/>
        <v/>
      </c>
      <c r="BF209" s="528" t="str">
        <f t="shared" si="214"/>
        <v/>
      </c>
      <c r="BG209" s="528" t="str">
        <f t="shared" si="214"/>
        <v/>
      </c>
      <c r="BH209" s="528" t="str">
        <f t="shared" si="214"/>
        <v/>
      </c>
      <c r="BI209" s="528" t="str">
        <f t="shared" si="214"/>
        <v/>
      </c>
      <c r="BJ209" s="528" t="str">
        <f t="shared" si="214"/>
        <v/>
      </c>
      <c r="BK209" s="528" t="str">
        <f t="shared" si="214"/>
        <v/>
      </c>
      <c r="BL209" s="528" t="str">
        <f t="shared" si="214"/>
        <v/>
      </c>
      <c r="BM209" s="528" t="str">
        <f t="shared" si="214"/>
        <v/>
      </c>
    </row>
    <row r="210" spans="6:65" ht="15.75" customHeight="1" x14ac:dyDescent="0.25">
      <c r="F210" s="197"/>
      <c r="G210" s="197">
        <f t="shared" si="3"/>
        <v>0</v>
      </c>
      <c r="H210" s="197">
        <f t="shared" si="4"/>
        <v>245</v>
      </c>
      <c r="I210" s="523">
        <v>1</v>
      </c>
      <c r="J210" s="533">
        <f>'Monthly DCF'!$I$3</f>
        <v>46418</v>
      </c>
      <c r="K210" s="533">
        <f t="shared" si="5"/>
        <v>47118</v>
      </c>
      <c r="L210" s="536">
        <f t="shared" si="196"/>
        <v>24</v>
      </c>
      <c r="M210" s="20" t="s">
        <v>366</v>
      </c>
      <c r="N210" s="20">
        <f t="shared" si="6"/>
        <v>4.8</v>
      </c>
      <c r="O210" s="537">
        <v>5</v>
      </c>
      <c r="P210" s="528">
        <f t="shared" ref="P210:BM210" si="215">IFERROR(+IF(AND($M210="Flat",P$5&gt;=$J210,P$5&lt;=$K210),$I210/$L210,0)+IF(AND($M210="S-Curve",P$5&gt;=$J210,P$5&lt;=$K210),(_xlfn.NORM.DIST((YEAR(P$5)-YEAR($J210))*12+MONTH(P$5)-MONTH($J210)+1,$L210/2,$N210,TRUE)-_xlfn.NORM.DIST((YEAR(P$5)-YEAR($J210))*12+MONTH(P$5)-MONTH($J210),$L210/2,$N210,TRUE))/(1-2*_xlfn.NORM.DIST(0,$L210/2,$N210,TRUE))*$I210," "),"")</f>
        <v>4.8125459224818232E-3</v>
      </c>
      <c r="Q210" s="528">
        <f t="shared" si="215"/>
        <v>7.7441598221653926E-3</v>
      </c>
      <c r="R210" s="528">
        <f t="shared" si="215"/>
        <v>1.1934150739453784E-2</v>
      </c>
      <c r="S210" s="528">
        <f t="shared" si="215"/>
        <v>1.7612728810324881E-2</v>
      </c>
      <c r="T210" s="528">
        <f t="shared" si="215"/>
        <v>2.4893147255405729E-2</v>
      </c>
      <c r="U210" s="528">
        <f t="shared" si="215"/>
        <v>3.3693885874974468E-2</v>
      </c>
      <c r="V210" s="528">
        <f t="shared" si="215"/>
        <v>4.3675774398615752E-2</v>
      </c>
      <c r="W210" s="528">
        <f t="shared" si="215"/>
        <v>5.4218615697710346E-2</v>
      </c>
      <c r="X210" s="528">
        <f t="shared" si="215"/>
        <v>6.4457669191778533E-2</v>
      </c>
      <c r="Y210" s="528">
        <f t="shared" si="215"/>
        <v>7.3387007979616115E-2</v>
      </c>
      <c r="Z210" s="528">
        <f t="shared" si="215"/>
        <v>8.0016991139491567E-2</v>
      </c>
      <c r="AA210" s="528">
        <f t="shared" si="215"/>
        <v>8.3553323167981655E-2</v>
      </c>
      <c r="AB210" s="528">
        <f t="shared" si="215"/>
        <v>8.3553323167981655E-2</v>
      </c>
      <c r="AC210" s="528">
        <f t="shared" si="215"/>
        <v>8.0016991139491511E-2</v>
      </c>
      <c r="AD210" s="528">
        <f t="shared" si="215"/>
        <v>7.3387007979616115E-2</v>
      </c>
      <c r="AE210" s="528">
        <f t="shared" si="215"/>
        <v>6.4457669191778588E-2</v>
      </c>
      <c r="AF210" s="528">
        <f t="shared" si="215"/>
        <v>5.4218615697710346E-2</v>
      </c>
      <c r="AG210" s="528">
        <f t="shared" si="215"/>
        <v>4.3675774398615766E-2</v>
      </c>
      <c r="AH210" s="528">
        <f t="shared" si="215"/>
        <v>3.3693885874974495E-2</v>
      </c>
      <c r="AI210" s="528">
        <f t="shared" si="215"/>
        <v>2.4893147255405694E-2</v>
      </c>
      <c r="AJ210" s="528">
        <f t="shared" si="215"/>
        <v>1.761272881032485E-2</v>
      </c>
      <c r="AK210" s="528">
        <f t="shared" si="215"/>
        <v>1.1934150739453822E-2</v>
      </c>
      <c r="AL210" s="528">
        <f t="shared" si="215"/>
        <v>7.7441598221653528E-3</v>
      </c>
      <c r="AM210" s="528">
        <f t="shared" si="215"/>
        <v>4.8125459224818232E-3</v>
      </c>
      <c r="AN210" s="528" t="str">
        <f t="shared" si="215"/>
        <v/>
      </c>
      <c r="AO210" s="528" t="str">
        <f t="shared" si="215"/>
        <v/>
      </c>
      <c r="AP210" s="528" t="str">
        <f t="shared" si="215"/>
        <v/>
      </c>
      <c r="AQ210" s="528" t="str">
        <f t="shared" si="215"/>
        <v/>
      </c>
      <c r="AR210" s="528" t="str">
        <f t="shared" si="215"/>
        <v/>
      </c>
      <c r="AS210" s="528" t="str">
        <f t="shared" si="215"/>
        <v/>
      </c>
      <c r="AT210" s="528" t="str">
        <f t="shared" si="215"/>
        <v/>
      </c>
      <c r="AU210" s="528" t="str">
        <f t="shared" si="215"/>
        <v/>
      </c>
      <c r="AV210" s="528" t="str">
        <f t="shared" si="215"/>
        <v/>
      </c>
      <c r="AW210" s="528" t="str">
        <f t="shared" si="215"/>
        <v/>
      </c>
      <c r="AX210" s="528" t="str">
        <f t="shared" si="215"/>
        <v/>
      </c>
      <c r="AY210" s="528" t="str">
        <f t="shared" si="215"/>
        <v/>
      </c>
      <c r="AZ210" s="528" t="str">
        <f t="shared" si="215"/>
        <v/>
      </c>
      <c r="BA210" s="528" t="str">
        <f t="shared" si="215"/>
        <v/>
      </c>
      <c r="BB210" s="528" t="str">
        <f t="shared" si="215"/>
        <v/>
      </c>
      <c r="BC210" s="528" t="str">
        <f t="shared" si="215"/>
        <v/>
      </c>
      <c r="BD210" s="528" t="str">
        <f t="shared" si="215"/>
        <v/>
      </c>
      <c r="BE210" s="528" t="str">
        <f t="shared" si="215"/>
        <v/>
      </c>
      <c r="BF210" s="528" t="str">
        <f t="shared" si="215"/>
        <v/>
      </c>
      <c r="BG210" s="528" t="str">
        <f t="shared" si="215"/>
        <v/>
      </c>
      <c r="BH210" s="528" t="str">
        <f t="shared" si="215"/>
        <v/>
      </c>
      <c r="BI210" s="528" t="str">
        <f t="shared" si="215"/>
        <v/>
      </c>
      <c r="BJ210" s="528" t="str">
        <f t="shared" si="215"/>
        <v/>
      </c>
      <c r="BK210" s="528" t="str">
        <f t="shared" si="215"/>
        <v/>
      </c>
      <c r="BL210" s="528" t="str">
        <f t="shared" si="215"/>
        <v/>
      </c>
      <c r="BM210" s="528" t="str">
        <f t="shared" si="215"/>
        <v/>
      </c>
    </row>
    <row r="211" spans="6:65" ht="15.75" customHeight="1" x14ac:dyDescent="0.25">
      <c r="F211" s="197"/>
      <c r="G211" s="197">
        <f t="shared" si="3"/>
        <v>0</v>
      </c>
      <c r="H211" s="197">
        <f t="shared" si="4"/>
        <v>255</v>
      </c>
      <c r="I211" s="523">
        <v>1</v>
      </c>
      <c r="J211" s="533">
        <f>'Monthly DCF'!$I$3</f>
        <v>46418</v>
      </c>
      <c r="K211" s="533">
        <f t="shared" si="5"/>
        <v>47149</v>
      </c>
      <c r="L211" s="536">
        <f t="shared" si="196"/>
        <v>25</v>
      </c>
      <c r="M211" s="20" t="s">
        <v>366</v>
      </c>
      <c r="N211" s="20">
        <f t="shared" si="6"/>
        <v>5</v>
      </c>
      <c r="O211" s="537">
        <v>5</v>
      </c>
      <c r="P211" s="528">
        <f t="shared" ref="P211:BM211" si="216">IFERROR(+IF(AND($M211="Flat",P$5&gt;=$J211,P$5&lt;=$K211),$I211/$L211,0)+IF(AND($M211="S-Curve",P$5&gt;=$J211,P$5&lt;=$K211),(_xlfn.NORM.DIST((YEAR(P$5)-YEAR($J211))*12+MONTH(P$5)-MONTH($J211)+1,$L211/2,$N211,TRUE)-_xlfn.NORM.DIST((YEAR(P$5)-YEAR($J211))*12+MONTH(P$5)-MONTH($J211),$L211/2,$N211,TRUE))/(1-2*_xlfn.NORM.DIST(0,$L211/2,$N211,TRUE))*$I211," "),"")</f>
        <v>4.5712161406298727E-3</v>
      </c>
      <c r="Q211" s="528">
        <f t="shared" si="216"/>
        <v>7.2301035882481636E-3</v>
      </c>
      <c r="R211" s="528">
        <f t="shared" si="216"/>
        <v>1.0988610439636197E-2</v>
      </c>
      <c r="S211" s="528">
        <f t="shared" si="216"/>
        <v>1.6048210981081161E-2</v>
      </c>
      <c r="T211" s="528">
        <f t="shared" si="216"/>
        <v>2.2521439716908304E-2</v>
      </c>
      <c r="U211" s="528">
        <f t="shared" si="216"/>
        <v>3.0370464153110861E-2</v>
      </c>
      <c r="V211" s="528">
        <f t="shared" si="216"/>
        <v>3.9354330807643015E-2</v>
      </c>
      <c r="W211" s="528">
        <f t="shared" si="216"/>
        <v>4.9002644444533977E-2</v>
      </c>
      <c r="X211" s="528">
        <f t="shared" si="216"/>
        <v>5.8631693261589547E-2</v>
      </c>
      <c r="Y211" s="528">
        <f t="shared" si="216"/>
        <v>6.7411087082977994E-2</v>
      </c>
      <c r="Z211" s="528">
        <f t="shared" si="216"/>
        <v>7.4475980917675766E-2</v>
      </c>
      <c r="AA211" s="528">
        <f t="shared" si="216"/>
        <v>7.90655258202239E-2</v>
      </c>
      <c r="AB211" s="528">
        <f t="shared" si="216"/>
        <v>8.0657385291482545E-2</v>
      </c>
      <c r="AC211" s="528">
        <f t="shared" si="216"/>
        <v>7.90655258202239E-2</v>
      </c>
      <c r="AD211" s="528">
        <f t="shared" si="216"/>
        <v>7.4475980917675766E-2</v>
      </c>
      <c r="AE211" s="528">
        <f t="shared" si="216"/>
        <v>6.7411087082977939E-2</v>
      </c>
      <c r="AF211" s="528">
        <f t="shared" si="216"/>
        <v>5.8631693261589575E-2</v>
      </c>
      <c r="AG211" s="528">
        <f t="shared" si="216"/>
        <v>4.9002644444533977E-2</v>
      </c>
      <c r="AH211" s="528">
        <f t="shared" si="216"/>
        <v>3.9354330807643063E-2</v>
      </c>
      <c r="AI211" s="528">
        <f t="shared" si="216"/>
        <v>3.0370464153110819E-2</v>
      </c>
      <c r="AJ211" s="528">
        <f t="shared" si="216"/>
        <v>2.2521439716908367E-2</v>
      </c>
      <c r="AK211" s="528">
        <f t="shared" si="216"/>
        <v>1.6048210981081074E-2</v>
      </c>
      <c r="AL211" s="528">
        <f t="shared" si="216"/>
        <v>1.0988610439636231E-2</v>
      </c>
      <c r="AM211" s="528">
        <f t="shared" si="216"/>
        <v>7.2301035882481549E-3</v>
      </c>
      <c r="AN211" s="528">
        <f t="shared" si="216"/>
        <v>4.5712161406298727E-3</v>
      </c>
      <c r="AO211" s="528" t="str">
        <f t="shared" si="216"/>
        <v/>
      </c>
      <c r="AP211" s="528" t="str">
        <f t="shared" si="216"/>
        <v/>
      </c>
      <c r="AQ211" s="528" t="str">
        <f t="shared" si="216"/>
        <v/>
      </c>
      <c r="AR211" s="528" t="str">
        <f t="shared" si="216"/>
        <v/>
      </c>
      <c r="AS211" s="528" t="str">
        <f t="shared" si="216"/>
        <v/>
      </c>
      <c r="AT211" s="528" t="str">
        <f t="shared" si="216"/>
        <v/>
      </c>
      <c r="AU211" s="528" t="str">
        <f t="shared" si="216"/>
        <v/>
      </c>
      <c r="AV211" s="528" t="str">
        <f t="shared" si="216"/>
        <v/>
      </c>
      <c r="AW211" s="528" t="str">
        <f t="shared" si="216"/>
        <v/>
      </c>
      <c r="AX211" s="528" t="str">
        <f t="shared" si="216"/>
        <v/>
      </c>
      <c r="AY211" s="528" t="str">
        <f t="shared" si="216"/>
        <v/>
      </c>
      <c r="AZ211" s="528" t="str">
        <f t="shared" si="216"/>
        <v/>
      </c>
      <c r="BA211" s="528" t="str">
        <f t="shared" si="216"/>
        <v/>
      </c>
      <c r="BB211" s="528" t="str">
        <f t="shared" si="216"/>
        <v/>
      </c>
      <c r="BC211" s="528" t="str">
        <f t="shared" si="216"/>
        <v/>
      </c>
      <c r="BD211" s="528" t="str">
        <f t="shared" si="216"/>
        <v/>
      </c>
      <c r="BE211" s="528" t="str">
        <f t="shared" si="216"/>
        <v/>
      </c>
      <c r="BF211" s="528" t="str">
        <f t="shared" si="216"/>
        <v/>
      </c>
      <c r="BG211" s="528" t="str">
        <f t="shared" si="216"/>
        <v/>
      </c>
      <c r="BH211" s="528" t="str">
        <f t="shared" si="216"/>
        <v/>
      </c>
      <c r="BI211" s="528" t="str">
        <f t="shared" si="216"/>
        <v/>
      </c>
      <c r="BJ211" s="528" t="str">
        <f t="shared" si="216"/>
        <v/>
      </c>
      <c r="BK211" s="528" t="str">
        <f t="shared" si="216"/>
        <v/>
      </c>
      <c r="BL211" s="528" t="str">
        <f t="shared" si="216"/>
        <v/>
      </c>
      <c r="BM211" s="528" t="str">
        <f t="shared" si="216"/>
        <v/>
      </c>
    </row>
    <row r="212" spans="6:65" ht="15.75" customHeight="1" x14ac:dyDescent="0.25">
      <c r="F212" s="197"/>
      <c r="G212" s="197">
        <f t="shared" si="3"/>
        <v>0</v>
      </c>
      <c r="H212" s="197">
        <f t="shared" si="4"/>
        <v>265</v>
      </c>
      <c r="I212" s="523">
        <v>1</v>
      </c>
      <c r="J212" s="533">
        <f>'Monthly DCF'!$I$3</f>
        <v>46418</v>
      </c>
      <c r="K212" s="533">
        <f t="shared" si="5"/>
        <v>47177</v>
      </c>
      <c r="L212" s="536">
        <f t="shared" si="196"/>
        <v>26</v>
      </c>
      <c r="M212" s="20" t="s">
        <v>366</v>
      </c>
      <c r="N212" s="20">
        <f t="shared" si="6"/>
        <v>5.2</v>
      </c>
      <c r="O212" s="537">
        <v>5</v>
      </c>
      <c r="P212" s="528">
        <f t="shared" ref="P212:BM212" si="217">IFERROR(+IF(AND($M212="Flat",P$5&gt;=$J212,P$5&lt;=$K212),$I212/$L212,0)+IF(AND($M212="S-Curve",P$5&gt;=$J212,P$5&lt;=$K212),(_xlfn.NORM.DIST((YEAR(P$5)-YEAR($J212))*12+MONTH(P$5)-MONTH($J212)+1,$L212/2,$N212,TRUE)-_xlfn.NORM.DIST((YEAR(P$5)-YEAR($J212))*12+MONTH(P$5)-MONTH($J212),$L212/2,$N212,TRUE))/(1-2*_xlfn.NORM.DIST(0,$L212/2,$N212,TRUE))*$I212," "),"")</f>
        <v>4.3525181500556264E-3</v>
      </c>
      <c r="Q212" s="528">
        <f t="shared" si="217"/>
        <v>6.774597828321109E-3</v>
      </c>
      <c r="R212" s="528">
        <f t="shared" si="217"/>
        <v>1.0162820469887352E-2</v>
      </c>
      <c r="S212" s="528">
        <f t="shared" si="217"/>
        <v>1.4693757540580577E-2</v>
      </c>
      <c r="T212" s="528">
        <f t="shared" si="217"/>
        <v>2.0475731799006539E-2</v>
      </c>
      <c r="U212" s="528">
        <f t="shared" si="217"/>
        <v>2.7500082883939389E-2</v>
      </c>
      <c r="V212" s="528">
        <f t="shared" si="217"/>
        <v>3.5597265217589422E-2</v>
      </c>
      <c r="W212" s="528">
        <f t="shared" si="217"/>
        <v>4.4410674978767578E-2</v>
      </c>
      <c r="X212" s="528">
        <f t="shared" si="217"/>
        <v>5.3400615381540797E-2</v>
      </c>
      <c r="Y212" s="528">
        <f t="shared" si="217"/>
        <v>6.1886130919155208E-2</v>
      </c>
      <c r="Z212" s="528">
        <f t="shared" si="217"/>
        <v>6.9123960058855266E-2</v>
      </c>
      <c r="AA212" s="528">
        <f t="shared" si="217"/>
        <v>7.4413566266548381E-2</v>
      </c>
      <c r="AB212" s="528">
        <f t="shared" si="217"/>
        <v>7.7208278505752792E-2</v>
      </c>
      <c r="AC212" s="528">
        <f t="shared" si="217"/>
        <v>7.7208278505752737E-2</v>
      </c>
      <c r="AD212" s="528">
        <f t="shared" si="217"/>
        <v>7.4413566266548437E-2</v>
      </c>
      <c r="AE212" s="528">
        <f t="shared" si="217"/>
        <v>6.9123960058855266E-2</v>
      </c>
      <c r="AF212" s="528">
        <f t="shared" si="217"/>
        <v>6.1886130919155263E-2</v>
      </c>
      <c r="AG212" s="528">
        <f t="shared" si="217"/>
        <v>5.3400615381540686E-2</v>
      </c>
      <c r="AH212" s="528">
        <f t="shared" si="217"/>
        <v>4.4410674978767578E-2</v>
      </c>
      <c r="AI212" s="528">
        <f t="shared" si="217"/>
        <v>3.5597265217589449E-2</v>
      </c>
      <c r="AJ212" s="528">
        <f t="shared" si="217"/>
        <v>2.7500082883939438E-2</v>
      </c>
      <c r="AK212" s="528">
        <f t="shared" si="217"/>
        <v>2.0475731799006556E-2</v>
      </c>
      <c r="AL212" s="528">
        <f t="shared" si="217"/>
        <v>1.4693757540580513E-2</v>
      </c>
      <c r="AM212" s="528">
        <f t="shared" si="217"/>
        <v>1.0162820469887346E-2</v>
      </c>
      <c r="AN212" s="528">
        <f t="shared" si="217"/>
        <v>6.7745978283211394E-3</v>
      </c>
      <c r="AO212" s="528">
        <f t="shared" si="217"/>
        <v>4.3525181500556048E-3</v>
      </c>
      <c r="AP212" s="528" t="str">
        <f t="shared" si="217"/>
        <v/>
      </c>
      <c r="AQ212" s="528" t="str">
        <f t="shared" si="217"/>
        <v/>
      </c>
      <c r="AR212" s="528" t="str">
        <f t="shared" si="217"/>
        <v/>
      </c>
      <c r="AS212" s="528" t="str">
        <f t="shared" si="217"/>
        <v/>
      </c>
      <c r="AT212" s="528" t="str">
        <f t="shared" si="217"/>
        <v/>
      </c>
      <c r="AU212" s="528" t="str">
        <f t="shared" si="217"/>
        <v/>
      </c>
      <c r="AV212" s="528" t="str">
        <f t="shared" si="217"/>
        <v/>
      </c>
      <c r="AW212" s="528" t="str">
        <f t="shared" si="217"/>
        <v/>
      </c>
      <c r="AX212" s="528" t="str">
        <f t="shared" si="217"/>
        <v/>
      </c>
      <c r="AY212" s="528" t="str">
        <f t="shared" si="217"/>
        <v/>
      </c>
      <c r="AZ212" s="528" t="str">
        <f t="shared" si="217"/>
        <v/>
      </c>
      <c r="BA212" s="528" t="str">
        <f t="shared" si="217"/>
        <v/>
      </c>
      <c r="BB212" s="528" t="str">
        <f t="shared" si="217"/>
        <v/>
      </c>
      <c r="BC212" s="528" t="str">
        <f t="shared" si="217"/>
        <v/>
      </c>
      <c r="BD212" s="528" t="str">
        <f t="shared" si="217"/>
        <v/>
      </c>
      <c r="BE212" s="528" t="str">
        <f t="shared" si="217"/>
        <v/>
      </c>
      <c r="BF212" s="528" t="str">
        <f t="shared" si="217"/>
        <v/>
      </c>
      <c r="BG212" s="528" t="str">
        <f t="shared" si="217"/>
        <v/>
      </c>
      <c r="BH212" s="528" t="str">
        <f t="shared" si="217"/>
        <v/>
      </c>
      <c r="BI212" s="528" t="str">
        <f t="shared" si="217"/>
        <v/>
      </c>
      <c r="BJ212" s="528" t="str">
        <f t="shared" si="217"/>
        <v/>
      </c>
      <c r="BK212" s="528" t="str">
        <f t="shared" si="217"/>
        <v/>
      </c>
      <c r="BL212" s="528" t="str">
        <f t="shared" si="217"/>
        <v/>
      </c>
      <c r="BM212" s="528" t="str">
        <f t="shared" si="217"/>
        <v/>
      </c>
    </row>
    <row r="213" spans="6:65" ht="15.75" customHeight="1" x14ac:dyDescent="0.25">
      <c r="F213" s="197"/>
      <c r="G213" s="197">
        <f t="shared" si="3"/>
        <v>0</v>
      </c>
      <c r="H213" s="197">
        <f t="shared" si="4"/>
        <v>275</v>
      </c>
      <c r="I213" s="523">
        <v>1</v>
      </c>
      <c r="J213" s="533">
        <f>'Monthly DCF'!$I$3</f>
        <v>46418</v>
      </c>
      <c r="K213" s="533">
        <f t="shared" si="5"/>
        <v>47208</v>
      </c>
      <c r="L213" s="536">
        <f t="shared" si="196"/>
        <v>27</v>
      </c>
      <c r="M213" s="20" t="s">
        <v>366</v>
      </c>
      <c r="N213" s="20">
        <f t="shared" si="6"/>
        <v>5.4</v>
      </c>
      <c r="O213" s="537">
        <v>5</v>
      </c>
      <c r="P213" s="528">
        <f t="shared" ref="P213:BM213" si="218">IFERROR(+IF(AND($M213="Flat",P$5&gt;=$J213,P$5&lt;=$K213),$I213/$L213,0)+IF(AND($M213="S-Curve",P$5&gt;=$J213,P$5&lt;=$K213),(_xlfn.NORM.DIST((YEAR(P$5)-YEAR($J213))*12+MONTH(P$5)-MONTH($J213)+1,$L213/2,$N213,TRUE)-_xlfn.NORM.DIST((YEAR(P$5)-YEAR($J213))*12+MONTH(P$5)-MONTH($J213),$L213/2,$N213,TRUE))/(1-2*_xlfn.NORM.DIST(0,$L213/2,$N213,TRUE))*$I213," "),"")</f>
        <v>4.153452176799792E-3</v>
      </c>
      <c r="Q213" s="528">
        <f t="shared" si="218"/>
        <v>6.3686615371536873E-3</v>
      </c>
      <c r="R213" s="528">
        <f t="shared" si="218"/>
        <v>9.4370396431806766E-3</v>
      </c>
      <c r="S213" s="528">
        <f t="shared" si="218"/>
        <v>1.3513632450605469E-2</v>
      </c>
      <c r="T213" s="528">
        <f t="shared" si="218"/>
        <v>1.8700671023454428E-2</v>
      </c>
      <c r="U213" s="528">
        <f t="shared" si="218"/>
        <v>2.5008698423491741E-2</v>
      </c>
      <c r="V213" s="528">
        <f t="shared" si="218"/>
        <v>3.2320185317691479E-2</v>
      </c>
      <c r="W213" s="528">
        <f t="shared" si="218"/>
        <v>4.0365049174058358E-2</v>
      </c>
      <c r="X213" s="528">
        <f t="shared" si="218"/>
        <v>4.871761877469654E-2</v>
      </c>
      <c r="Y213" s="528">
        <f t="shared" si="218"/>
        <v>5.6821876241942036E-2</v>
      </c>
      <c r="Z213" s="528">
        <f t="shared" si="218"/>
        <v>6.4046302175747458E-2</v>
      </c>
      <c r="AA213" s="528">
        <f t="shared" si="218"/>
        <v>6.9762420492410437E-2</v>
      </c>
      <c r="AB213" s="528">
        <f t="shared" si="218"/>
        <v>7.3434141815862913E-2</v>
      </c>
      <c r="AC213" s="528">
        <f t="shared" si="218"/>
        <v>7.4700501505810091E-2</v>
      </c>
      <c r="AD213" s="528">
        <f t="shared" si="218"/>
        <v>7.3434141815862858E-2</v>
      </c>
      <c r="AE213" s="528">
        <f t="shared" si="218"/>
        <v>6.9762420492410437E-2</v>
      </c>
      <c r="AF213" s="528">
        <f t="shared" si="218"/>
        <v>6.4046302175747513E-2</v>
      </c>
      <c r="AG213" s="528">
        <f t="shared" si="218"/>
        <v>5.6821876241941981E-2</v>
      </c>
      <c r="AH213" s="528">
        <f t="shared" si="218"/>
        <v>4.871761877469654E-2</v>
      </c>
      <c r="AI213" s="528">
        <f t="shared" si="218"/>
        <v>4.0365049174058303E-2</v>
      </c>
      <c r="AJ213" s="528">
        <f t="shared" si="218"/>
        <v>3.2320185317691576E-2</v>
      </c>
      <c r="AK213" s="528">
        <f t="shared" si="218"/>
        <v>2.5008698423491727E-2</v>
      </c>
      <c r="AL213" s="528">
        <f t="shared" si="218"/>
        <v>1.8700671023454372E-2</v>
      </c>
      <c r="AM213" s="528">
        <f t="shared" si="218"/>
        <v>1.3513632450605486E-2</v>
      </c>
      <c r="AN213" s="528">
        <f t="shared" si="218"/>
        <v>9.4370396431807252E-3</v>
      </c>
      <c r="AO213" s="528">
        <f t="shared" si="218"/>
        <v>6.3686615371535927E-3</v>
      </c>
      <c r="AP213" s="528">
        <f t="shared" si="218"/>
        <v>4.1534521767998215E-3</v>
      </c>
      <c r="AQ213" s="528" t="str">
        <f t="shared" si="218"/>
        <v/>
      </c>
      <c r="AR213" s="528" t="str">
        <f t="shared" si="218"/>
        <v/>
      </c>
      <c r="AS213" s="528" t="str">
        <f t="shared" si="218"/>
        <v/>
      </c>
      <c r="AT213" s="528" t="str">
        <f t="shared" si="218"/>
        <v/>
      </c>
      <c r="AU213" s="528" t="str">
        <f t="shared" si="218"/>
        <v/>
      </c>
      <c r="AV213" s="528" t="str">
        <f t="shared" si="218"/>
        <v/>
      </c>
      <c r="AW213" s="528" t="str">
        <f t="shared" si="218"/>
        <v/>
      </c>
      <c r="AX213" s="528" t="str">
        <f t="shared" si="218"/>
        <v/>
      </c>
      <c r="AY213" s="528" t="str">
        <f t="shared" si="218"/>
        <v/>
      </c>
      <c r="AZ213" s="528" t="str">
        <f t="shared" si="218"/>
        <v/>
      </c>
      <c r="BA213" s="528" t="str">
        <f t="shared" si="218"/>
        <v/>
      </c>
      <c r="BB213" s="528" t="str">
        <f t="shared" si="218"/>
        <v/>
      </c>
      <c r="BC213" s="528" t="str">
        <f t="shared" si="218"/>
        <v/>
      </c>
      <c r="BD213" s="528" t="str">
        <f t="shared" si="218"/>
        <v/>
      </c>
      <c r="BE213" s="528" t="str">
        <f t="shared" si="218"/>
        <v/>
      </c>
      <c r="BF213" s="528" t="str">
        <f t="shared" si="218"/>
        <v/>
      </c>
      <c r="BG213" s="528" t="str">
        <f t="shared" si="218"/>
        <v/>
      </c>
      <c r="BH213" s="528" t="str">
        <f t="shared" si="218"/>
        <v/>
      </c>
      <c r="BI213" s="528" t="str">
        <f t="shared" si="218"/>
        <v/>
      </c>
      <c r="BJ213" s="528" t="str">
        <f t="shared" si="218"/>
        <v/>
      </c>
      <c r="BK213" s="528" t="str">
        <f t="shared" si="218"/>
        <v/>
      </c>
      <c r="BL213" s="528" t="str">
        <f t="shared" si="218"/>
        <v/>
      </c>
      <c r="BM213" s="528" t="str">
        <f t="shared" si="218"/>
        <v/>
      </c>
    </row>
    <row r="214" spans="6:65" ht="15.75" customHeight="1" x14ac:dyDescent="0.25">
      <c r="F214" s="197"/>
      <c r="G214" s="197">
        <f t="shared" si="3"/>
        <v>0</v>
      </c>
      <c r="H214" s="197">
        <f t="shared" si="4"/>
        <v>285</v>
      </c>
      <c r="I214" s="523">
        <v>1</v>
      </c>
      <c r="J214" s="533">
        <f>'Monthly DCF'!$I$3</f>
        <v>46418</v>
      </c>
      <c r="K214" s="533">
        <f t="shared" si="5"/>
        <v>47238</v>
      </c>
      <c r="L214" s="536">
        <f t="shared" si="196"/>
        <v>28</v>
      </c>
      <c r="M214" s="20" t="s">
        <v>366</v>
      </c>
      <c r="N214" s="20">
        <f t="shared" si="6"/>
        <v>5.6</v>
      </c>
      <c r="O214" s="537">
        <v>5</v>
      </c>
      <c r="P214" s="528">
        <f t="shared" ref="P214:BM214" si="219">IFERROR(+IF(AND($M214="Flat",P$5&gt;=$J214,P$5&lt;=$K214),$I214/$L214,0)+IF(AND($M214="S-Curve",P$5&gt;=$J214,P$5&lt;=$K214),(_xlfn.NORM.DIST((YEAR(P$5)-YEAR($J214))*12+MONTH(P$5)-MONTH($J214)+1,$L214/2,$N214,TRUE)-_xlfn.NORM.DIST((YEAR(P$5)-YEAR($J214))*12+MONTH(P$5)-MONTH($J214),$L214/2,$N214,TRUE))/(1-2*_xlfn.NORM.DIST(0,$L214/2,$N214,TRUE))*$I214," "),"")</f>
        <v>3.9715208054704985E-3</v>
      </c>
      <c r="Q214" s="528">
        <f t="shared" si="219"/>
        <v>6.005001198096477E-3</v>
      </c>
      <c r="R214" s="528">
        <f t="shared" si="219"/>
        <v>8.7954314858890454E-3</v>
      </c>
      <c r="S214" s="528">
        <f t="shared" si="219"/>
        <v>1.2479265968179866E-2</v>
      </c>
      <c r="T214" s="528">
        <f t="shared" si="219"/>
        <v>1.7151764768131558E-2</v>
      </c>
      <c r="U214" s="528">
        <f t="shared" si="219"/>
        <v>2.283581415054587E-2</v>
      </c>
      <c r="V214" s="528">
        <f t="shared" si="219"/>
        <v>2.9451820048492759E-2</v>
      </c>
      <c r="W214" s="528">
        <f t="shared" si="219"/>
        <v>3.6795588792331128E-2</v>
      </c>
      <c r="X214" s="528">
        <f t="shared" si="219"/>
        <v>4.4531505867411794E-2</v>
      </c>
      <c r="Y214" s="528">
        <f t="shared" si="219"/>
        <v>5.2206795232133507E-2</v>
      </c>
      <c r="Z214" s="528">
        <f t="shared" si="219"/>
        <v>5.9289083155216998E-2</v>
      </c>
      <c r="AA214" s="528">
        <f t="shared" si="219"/>
        <v>6.5224460639626544E-2</v>
      </c>
      <c r="AB214" s="528">
        <f t="shared" si="219"/>
        <v>6.950792624179343E-2</v>
      </c>
      <c r="AC214" s="528">
        <f t="shared" si="219"/>
        <v>7.1754021646680544E-2</v>
      </c>
      <c r="AD214" s="528">
        <f t="shared" si="219"/>
        <v>7.1754021646680544E-2</v>
      </c>
      <c r="AE214" s="528">
        <f t="shared" si="219"/>
        <v>6.9507926241793486E-2</v>
      </c>
      <c r="AF214" s="528">
        <f t="shared" si="219"/>
        <v>6.5224460639626489E-2</v>
      </c>
      <c r="AG214" s="528">
        <f t="shared" si="219"/>
        <v>5.9289083155216943E-2</v>
      </c>
      <c r="AH214" s="528">
        <f t="shared" si="219"/>
        <v>5.2206795232133535E-2</v>
      </c>
      <c r="AI214" s="528">
        <f t="shared" si="219"/>
        <v>4.4531505867411877E-2</v>
      </c>
      <c r="AJ214" s="528">
        <f t="shared" si="219"/>
        <v>3.6795588792331087E-2</v>
      </c>
      <c r="AK214" s="528">
        <f t="shared" si="219"/>
        <v>2.945182004849279E-2</v>
      </c>
      <c r="AL214" s="528">
        <f t="shared" si="219"/>
        <v>2.2835814150545853E-2</v>
      </c>
      <c r="AM214" s="528">
        <f t="shared" si="219"/>
        <v>1.7151764768131565E-2</v>
      </c>
      <c r="AN214" s="528">
        <f t="shared" si="219"/>
        <v>1.2479265968179784E-2</v>
      </c>
      <c r="AO214" s="528">
        <f t="shared" si="219"/>
        <v>8.7954314858891408E-3</v>
      </c>
      <c r="AP214" s="528">
        <f t="shared" si="219"/>
        <v>6.0050011980964752E-3</v>
      </c>
      <c r="AQ214" s="528">
        <f t="shared" si="219"/>
        <v>3.9715208054704248E-3</v>
      </c>
      <c r="AR214" s="528" t="str">
        <f t="shared" si="219"/>
        <v/>
      </c>
      <c r="AS214" s="528" t="str">
        <f t="shared" si="219"/>
        <v/>
      </c>
      <c r="AT214" s="528" t="str">
        <f t="shared" si="219"/>
        <v/>
      </c>
      <c r="AU214" s="528" t="str">
        <f t="shared" si="219"/>
        <v/>
      </c>
      <c r="AV214" s="528" t="str">
        <f t="shared" si="219"/>
        <v/>
      </c>
      <c r="AW214" s="528" t="str">
        <f t="shared" si="219"/>
        <v/>
      </c>
      <c r="AX214" s="528" t="str">
        <f t="shared" si="219"/>
        <v/>
      </c>
      <c r="AY214" s="528" t="str">
        <f t="shared" si="219"/>
        <v/>
      </c>
      <c r="AZ214" s="528" t="str">
        <f t="shared" si="219"/>
        <v/>
      </c>
      <c r="BA214" s="528" t="str">
        <f t="shared" si="219"/>
        <v/>
      </c>
      <c r="BB214" s="528" t="str">
        <f t="shared" si="219"/>
        <v/>
      </c>
      <c r="BC214" s="528" t="str">
        <f t="shared" si="219"/>
        <v/>
      </c>
      <c r="BD214" s="528" t="str">
        <f t="shared" si="219"/>
        <v/>
      </c>
      <c r="BE214" s="528" t="str">
        <f t="shared" si="219"/>
        <v/>
      </c>
      <c r="BF214" s="528" t="str">
        <f t="shared" si="219"/>
        <v/>
      </c>
      <c r="BG214" s="528" t="str">
        <f t="shared" si="219"/>
        <v/>
      </c>
      <c r="BH214" s="528" t="str">
        <f t="shared" si="219"/>
        <v/>
      </c>
      <c r="BI214" s="528" t="str">
        <f t="shared" si="219"/>
        <v/>
      </c>
      <c r="BJ214" s="528" t="str">
        <f t="shared" si="219"/>
        <v/>
      </c>
      <c r="BK214" s="528" t="str">
        <f t="shared" si="219"/>
        <v/>
      </c>
      <c r="BL214" s="528" t="str">
        <f t="shared" si="219"/>
        <v/>
      </c>
      <c r="BM214" s="528" t="str">
        <f t="shared" si="219"/>
        <v/>
      </c>
    </row>
    <row r="215" spans="6:65" ht="15.75" customHeight="1" x14ac:dyDescent="0.25">
      <c r="F215" s="197"/>
      <c r="G215" s="197">
        <f t="shared" si="3"/>
        <v>0</v>
      </c>
      <c r="H215" s="197">
        <f t="shared" si="4"/>
        <v>295</v>
      </c>
      <c r="I215" s="523">
        <v>1</v>
      </c>
      <c r="J215" s="533">
        <f>'Monthly DCF'!$I$3</f>
        <v>46418</v>
      </c>
      <c r="K215" s="533">
        <f t="shared" si="5"/>
        <v>47269</v>
      </c>
      <c r="L215" s="536">
        <f t="shared" si="196"/>
        <v>29</v>
      </c>
      <c r="M215" s="20" t="s">
        <v>366</v>
      </c>
      <c r="N215" s="20">
        <f t="shared" si="6"/>
        <v>5.8</v>
      </c>
      <c r="O215" s="537">
        <v>5</v>
      </c>
      <c r="P215" s="528">
        <f t="shared" ref="P215:BM215" si="220">IFERROR(+IF(AND($M215="Flat",P$5&gt;=$J215,P$5&lt;=$K215),$I215/$L215,0)+IF(AND($M215="S-Curve",P$5&gt;=$J215,P$5&lt;=$K215),(_xlfn.NORM.DIST((YEAR(P$5)-YEAR($J215))*12+MONTH(P$5)-MONTH($J215)+1,$L215/2,$N215,TRUE)-_xlfn.NORM.DIST((YEAR(P$5)-YEAR($J215))*12+MONTH(P$5)-MONTH($J215),$L215/2,$N215,TRUE))/(1-2*_xlfn.NORM.DIST(0,$L215/2,$N215,TRUE))*$I215," "),"")</f>
        <v>3.8046288971054186E-3</v>
      </c>
      <c r="Q215" s="528">
        <f t="shared" si="220"/>
        <v>5.6776416153667946E-3</v>
      </c>
      <c r="R215" s="528">
        <f t="shared" si="220"/>
        <v>8.2251778859273317E-3</v>
      </c>
      <c r="S215" s="528">
        <f t="shared" si="220"/>
        <v>1.1567627850154423E-2</v>
      </c>
      <c r="T215" s="528">
        <f t="shared" si="220"/>
        <v>1.5793014515988475E-2</v>
      </c>
      <c r="U215" s="528">
        <f t="shared" si="220"/>
        <v>2.0931844878939784E-2</v>
      </c>
      <c r="V215" s="528">
        <f t="shared" si="220"/>
        <v>2.6932195232403092E-2</v>
      </c>
      <c r="W215" s="528">
        <f t="shared" si="220"/>
        <v>3.3640140236082298E-2</v>
      </c>
      <c r="X215" s="528">
        <f t="shared" si="220"/>
        <v>4.0791122766723448E-2</v>
      </c>
      <c r="Y215" s="528">
        <f t="shared" si="220"/>
        <v>4.8017037016849326E-2</v>
      </c>
      <c r="Z215" s="528">
        <f t="shared" si="220"/>
        <v>5.4871509508100755E-2</v>
      </c>
      <c r="AA215" s="528">
        <f t="shared" si="220"/>
        <v>6.0872385648472194E-2</v>
      </c>
      <c r="AB215" s="528">
        <f t="shared" si="220"/>
        <v>6.5556477778872801E-2</v>
      </c>
      <c r="AC215" s="528">
        <f t="shared" si="220"/>
        <v>6.8538213881711205E-2</v>
      </c>
      <c r="AD215" s="528">
        <f t="shared" si="220"/>
        <v>6.9561964574605381E-2</v>
      </c>
      <c r="AE215" s="528">
        <f t="shared" si="220"/>
        <v>6.8538213881711205E-2</v>
      </c>
      <c r="AF215" s="528">
        <f t="shared" si="220"/>
        <v>6.5556477778872732E-2</v>
      </c>
      <c r="AG215" s="528">
        <f t="shared" si="220"/>
        <v>6.0872385648472249E-2</v>
      </c>
      <c r="AH215" s="528">
        <f t="shared" si="220"/>
        <v>5.487150950810081E-2</v>
      </c>
      <c r="AI215" s="528">
        <f t="shared" si="220"/>
        <v>4.8017037016849298E-2</v>
      </c>
      <c r="AJ215" s="528">
        <f t="shared" si="220"/>
        <v>4.0791122766723392E-2</v>
      </c>
      <c r="AK215" s="528">
        <f t="shared" si="220"/>
        <v>3.3640140236082354E-2</v>
      </c>
      <c r="AL215" s="528">
        <f t="shared" si="220"/>
        <v>2.6932195232403106E-2</v>
      </c>
      <c r="AM215" s="528">
        <f t="shared" si="220"/>
        <v>2.0931844878939759E-2</v>
      </c>
      <c r="AN215" s="528">
        <f t="shared" si="220"/>
        <v>1.5793014515988468E-2</v>
      </c>
      <c r="AO215" s="528">
        <f t="shared" si="220"/>
        <v>1.1567627850154406E-2</v>
      </c>
      <c r="AP215" s="528">
        <f t="shared" si="220"/>
        <v>8.2251778859273594E-3</v>
      </c>
      <c r="AQ215" s="528">
        <f t="shared" si="220"/>
        <v>5.6776416153667356E-3</v>
      </c>
      <c r="AR215" s="528">
        <f t="shared" si="220"/>
        <v>3.8046288971054277E-3</v>
      </c>
      <c r="AS215" s="528" t="str">
        <f t="shared" si="220"/>
        <v/>
      </c>
      <c r="AT215" s="528" t="str">
        <f t="shared" si="220"/>
        <v/>
      </c>
      <c r="AU215" s="528" t="str">
        <f t="shared" si="220"/>
        <v/>
      </c>
      <c r="AV215" s="528" t="str">
        <f t="shared" si="220"/>
        <v/>
      </c>
      <c r="AW215" s="528" t="str">
        <f t="shared" si="220"/>
        <v/>
      </c>
      <c r="AX215" s="528" t="str">
        <f t="shared" si="220"/>
        <v/>
      </c>
      <c r="AY215" s="528" t="str">
        <f t="shared" si="220"/>
        <v/>
      </c>
      <c r="AZ215" s="528" t="str">
        <f t="shared" si="220"/>
        <v/>
      </c>
      <c r="BA215" s="528" t="str">
        <f t="shared" si="220"/>
        <v/>
      </c>
      <c r="BB215" s="528" t="str">
        <f t="shared" si="220"/>
        <v/>
      </c>
      <c r="BC215" s="528" t="str">
        <f t="shared" si="220"/>
        <v/>
      </c>
      <c r="BD215" s="528" t="str">
        <f t="shared" si="220"/>
        <v/>
      </c>
      <c r="BE215" s="528" t="str">
        <f t="shared" si="220"/>
        <v/>
      </c>
      <c r="BF215" s="528" t="str">
        <f t="shared" si="220"/>
        <v/>
      </c>
      <c r="BG215" s="528" t="str">
        <f t="shared" si="220"/>
        <v/>
      </c>
      <c r="BH215" s="528" t="str">
        <f t="shared" si="220"/>
        <v/>
      </c>
      <c r="BI215" s="528" t="str">
        <f t="shared" si="220"/>
        <v/>
      </c>
      <c r="BJ215" s="528" t="str">
        <f t="shared" si="220"/>
        <v/>
      </c>
      <c r="BK215" s="528" t="str">
        <f t="shared" si="220"/>
        <v/>
      </c>
      <c r="BL215" s="528" t="str">
        <f t="shared" si="220"/>
        <v/>
      </c>
      <c r="BM215" s="528" t="str">
        <f t="shared" si="220"/>
        <v/>
      </c>
    </row>
    <row r="216" spans="6:65" ht="15.75" customHeight="1" x14ac:dyDescent="0.25">
      <c r="F216" s="197"/>
      <c r="G216" s="197">
        <f t="shared" si="3"/>
        <v>0</v>
      </c>
      <c r="H216" s="197">
        <f t="shared" si="4"/>
        <v>305</v>
      </c>
      <c r="I216" s="523">
        <v>1</v>
      </c>
      <c r="J216" s="533">
        <f>'Monthly DCF'!$I$3</f>
        <v>46418</v>
      </c>
      <c r="K216" s="533">
        <f t="shared" si="5"/>
        <v>47299</v>
      </c>
      <c r="L216" s="536">
        <f t="shared" si="196"/>
        <v>30</v>
      </c>
      <c r="M216" s="20" t="s">
        <v>366</v>
      </c>
      <c r="N216" s="20">
        <f t="shared" si="6"/>
        <v>6</v>
      </c>
      <c r="O216" s="537">
        <v>5</v>
      </c>
      <c r="P216" s="528">
        <f t="shared" ref="P216:BM216" si="221">IFERROR(+IF(AND($M216="Flat",P$5&gt;=$J216,P$5&lt;=$K216),$I216/$L216,0)+IF(AND($M216="S-Curve",P$5&gt;=$J216,P$5&lt;=$K216),(_xlfn.NORM.DIST((YEAR(P$5)-YEAR($J216))*12+MONTH(P$5)-MONTH($J216)+1,$L216/2,$N216,TRUE)-_xlfn.NORM.DIST((YEAR(P$5)-YEAR($J216))*12+MONTH(P$5)-MONTH($J216),$L216/2,$N216,TRUE))/(1-2*_xlfn.NORM.DIST(0,$L216/2,$N216,TRUE))*$I216," "),"")</f>
        <v>3.6510063580406284E-3</v>
      </c>
      <c r="Q216" s="528">
        <f t="shared" si="221"/>
        <v>5.3816478456356421E-3</v>
      </c>
      <c r="R216" s="528">
        <f t="shared" si="221"/>
        <v>7.715817223286312E-3</v>
      </c>
      <c r="S216" s="528">
        <f t="shared" si="221"/>
        <v>1.0760007730455849E-2</v>
      </c>
      <c r="T216" s="528">
        <f t="shared" si="221"/>
        <v>1.4595106137007449E-2</v>
      </c>
      <c r="U216" s="528">
        <f t="shared" si="221"/>
        <v>1.9255995572077817E-2</v>
      </c>
      <c r="V216" s="528">
        <f t="shared" si="221"/>
        <v>2.4710911436845225E-2</v>
      </c>
      <c r="W216" s="528">
        <f t="shared" si="221"/>
        <v>3.0844351042847044E-2</v>
      </c>
      <c r="X216" s="528">
        <f t="shared" si="221"/>
        <v>3.7447826294002853E-2</v>
      </c>
      <c r="Y216" s="528">
        <f t="shared" si="221"/>
        <v>4.4222338880933347E-2</v>
      </c>
      <c r="Z216" s="528">
        <f t="shared" si="221"/>
        <v>5.0794996439506537E-2</v>
      </c>
      <c r="AA216" s="528">
        <f t="shared" si="221"/>
        <v>5.6749795655720386E-2</v>
      </c>
      <c r="AB216" s="528">
        <f t="shared" si="221"/>
        <v>6.166969782423725E-2</v>
      </c>
      <c r="AC216" s="528">
        <f t="shared" si="221"/>
        <v>6.5184373495082437E-2</v>
      </c>
      <c r="AD216" s="528">
        <f t="shared" si="221"/>
        <v>6.7016128064321237E-2</v>
      </c>
      <c r="AE216" s="528">
        <f t="shared" si="221"/>
        <v>6.7016128064321237E-2</v>
      </c>
      <c r="AF216" s="528">
        <f t="shared" si="221"/>
        <v>6.5184373495082493E-2</v>
      </c>
      <c r="AG216" s="528">
        <f t="shared" si="221"/>
        <v>6.1669697824237195E-2</v>
      </c>
      <c r="AH216" s="528">
        <f t="shared" si="221"/>
        <v>5.6749795655720386E-2</v>
      </c>
      <c r="AI216" s="528">
        <f t="shared" si="221"/>
        <v>5.0794996439506537E-2</v>
      </c>
      <c r="AJ216" s="528">
        <f t="shared" si="221"/>
        <v>4.4222338880933375E-2</v>
      </c>
      <c r="AK216" s="528">
        <f t="shared" si="221"/>
        <v>3.7447826294002798E-2</v>
      </c>
      <c r="AL216" s="528">
        <f t="shared" si="221"/>
        <v>3.0844351042847076E-2</v>
      </c>
      <c r="AM216" s="528">
        <f t="shared" si="221"/>
        <v>2.4710911436845198E-2</v>
      </c>
      <c r="AN216" s="528">
        <f t="shared" si="221"/>
        <v>1.9255995572077852E-2</v>
      </c>
      <c r="AO216" s="528">
        <f t="shared" si="221"/>
        <v>1.4595106137007442E-2</v>
      </c>
      <c r="AP216" s="528">
        <f t="shared" si="221"/>
        <v>1.0760007730455831E-2</v>
      </c>
      <c r="AQ216" s="528">
        <f t="shared" si="221"/>
        <v>7.7158172232863172E-3</v>
      </c>
      <c r="AR216" s="528">
        <f t="shared" si="221"/>
        <v>5.381647845635675E-3</v>
      </c>
      <c r="AS216" s="528">
        <f t="shared" si="221"/>
        <v>3.6510063580405812E-3</v>
      </c>
      <c r="AT216" s="528" t="str">
        <f t="shared" si="221"/>
        <v/>
      </c>
      <c r="AU216" s="528" t="str">
        <f t="shared" si="221"/>
        <v/>
      </c>
      <c r="AV216" s="528" t="str">
        <f t="shared" si="221"/>
        <v/>
      </c>
      <c r="AW216" s="528" t="str">
        <f t="shared" si="221"/>
        <v/>
      </c>
      <c r="AX216" s="528" t="str">
        <f t="shared" si="221"/>
        <v/>
      </c>
      <c r="AY216" s="528" t="str">
        <f t="shared" si="221"/>
        <v/>
      </c>
      <c r="AZ216" s="528" t="str">
        <f t="shared" si="221"/>
        <v/>
      </c>
      <c r="BA216" s="528" t="str">
        <f t="shared" si="221"/>
        <v/>
      </c>
      <c r="BB216" s="528" t="str">
        <f t="shared" si="221"/>
        <v/>
      </c>
      <c r="BC216" s="528" t="str">
        <f t="shared" si="221"/>
        <v/>
      </c>
      <c r="BD216" s="528" t="str">
        <f t="shared" si="221"/>
        <v/>
      </c>
      <c r="BE216" s="528" t="str">
        <f t="shared" si="221"/>
        <v/>
      </c>
      <c r="BF216" s="528" t="str">
        <f t="shared" si="221"/>
        <v/>
      </c>
      <c r="BG216" s="528" t="str">
        <f t="shared" si="221"/>
        <v/>
      </c>
      <c r="BH216" s="528" t="str">
        <f t="shared" si="221"/>
        <v/>
      </c>
      <c r="BI216" s="528" t="str">
        <f t="shared" si="221"/>
        <v/>
      </c>
      <c r="BJ216" s="528" t="str">
        <f t="shared" si="221"/>
        <v/>
      </c>
      <c r="BK216" s="528" t="str">
        <f t="shared" si="221"/>
        <v/>
      </c>
      <c r="BL216" s="528" t="str">
        <f t="shared" si="221"/>
        <v/>
      </c>
      <c r="BM216" s="528" t="str">
        <f t="shared" si="221"/>
        <v/>
      </c>
    </row>
    <row r="217" spans="6:65" ht="15.75" customHeight="1" x14ac:dyDescent="0.25">
      <c r="F217" s="197"/>
      <c r="G217" s="197">
        <f t="shared" si="3"/>
        <v>0</v>
      </c>
      <c r="H217" s="197">
        <f t="shared" si="4"/>
        <v>315</v>
      </c>
      <c r="I217" s="523">
        <v>1</v>
      </c>
      <c r="J217" s="533">
        <f>'Monthly DCF'!$I$3</f>
        <v>46418</v>
      </c>
      <c r="K217" s="533">
        <f t="shared" si="5"/>
        <v>47330</v>
      </c>
      <c r="L217" s="536">
        <f t="shared" si="196"/>
        <v>31</v>
      </c>
      <c r="M217" s="20" t="s">
        <v>366</v>
      </c>
      <c r="N217" s="20">
        <f t="shared" si="6"/>
        <v>6.2</v>
      </c>
      <c r="O217" s="537">
        <v>5</v>
      </c>
      <c r="P217" s="528">
        <f t="shared" ref="P217:BM217" si="222">IFERROR(+IF(AND($M217="Flat",P$5&gt;=$J217,P$5&lt;=$K217),$I217/$L217,0)+IF(AND($M217="S-Curve",P$5&gt;=$J217,P$5&lt;=$K217),(_xlfn.NORM.DIST((YEAR(P$5)-YEAR($J217))*12+MONTH(P$5)-MONTH($J217)+1,$L217/2,$N217,TRUE)-_xlfn.NORM.DIST((YEAR(P$5)-YEAR($J217))*12+MONTH(P$5)-MONTH($J217),$L217/2,$N217,TRUE))/(1-2*_xlfn.NORM.DIST(0,$L217/2,$N217,TRUE))*$I217," "),"")</f>
        <v>3.5091479296363304E-3</v>
      </c>
      <c r="Q217" s="528">
        <f t="shared" si="222"/>
        <v>5.1129134134775605E-3</v>
      </c>
      <c r="R217" s="528">
        <f t="shared" si="222"/>
        <v>7.2587447743479106E-3</v>
      </c>
      <c r="S217" s="528">
        <f t="shared" si="222"/>
        <v>1.0041092399538896E-2</v>
      </c>
      <c r="T217" s="528">
        <f t="shared" si="222"/>
        <v>1.3534018631095599E-2</v>
      </c>
      <c r="U217" s="528">
        <f t="shared" si="222"/>
        <v>1.7774564333096064E-2</v>
      </c>
      <c r="V217" s="528">
        <f t="shared" si="222"/>
        <v>2.2745608764756564E-2</v>
      </c>
      <c r="W217" s="528">
        <f t="shared" si="222"/>
        <v>2.8361068317897465E-2</v>
      </c>
      <c r="X217" s="528">
        <f t="shared" si="222"/>
        <v>3.4456728613707951E-2</v>
      </c>
      <c r="Y217" s="528">
        <f t="shared" si="222"/>
        <v>4.0789834770890404E-2</v>
      </c>
      <c r="Z217" s="528">
        <f t="shared" si="222"/>
        <v>4.7049640354798368E-2</v>
      </c>
      <c r="AA217" s="528">
        <f t="shared" si="222"/>
        <v>5.2879475307990559E-2</v>
      </c>
      <c r="AB217" s="528">
        <f t="shared" si="222"/>
        <v>5.7908783421184176E-2</v>
      </c>
      <c r="AC217" s="528">
        <f t="shared" si="222"/>
        <v>6.1791427092230317E-2</v>
      </c>
      <c r="AD217" s="528">
        <f t="shared" si="222"/>
        <v>6.4244875888166034E-2</v>
      </c>
      <c r="AE217" s="528">
        <f t="shared" si="222"/>
        <v>6.508415197437166E-2</v>
      </c>
      <c r="AF217" s="528">
        <f t="shared" si="222"/>
        <v>6.4244875888166089E-2</v>
      </c>
      <c r="AG217" s="528">
        <f t="shared" si="222"/>
        <v>6.1791427092230261E-2</v>
      </c>
      <c r="AH217" s="528">
        <f t="shared" si="222"/>
        <v>5.7908783421184121E-2</v>
      </c>
      <c r="AI217" s="528">
        <f t="shared" si="222"/>
        <v>5.2879475307990642E-2</v>
      </c>
      <c r="AJ217" s="528">
        <f t="shared" si="222"/>
        <v>4.7049640354798368E-2</v>
      </c>
      <c r="AK217" s="528">
        <f t="shared" si="222"/>
        <v>4.0789834770890432E-2</v>
      </c>
      <c r="AL217" s="528">
        <f t="shared" si="222"/>
        <v>3.4456728613707924E-2</v>
      </c>
      <c r="AM217" s="528">
        <f t="shared" si="222"/>
        <v>2.8361068317897465E-2</v>
      </c>
      <c r="AN217" s="528">
        <f t="shared" si="222"/>
        <v>2.2745608764756578E-2</v>
      </c>
      <c r="AO217" s="528">
        <f t="shared" si="222"/>
        <v>1.7774564333096023E-2</v>
      </c>
      <c r="AP217" s="528">
        <f t="shared" si="222"/>
        <v>1.3534018631095641E-2</v>
      </c>
      <c r="AQ217" s="528">
        <f t="shared" si="222"/>
        <v>1.0041092399538883E-2</v>
      </c>
      <c r="AR217" s="528">
        <f t="shared" si="222"/>
        <v>7.2587447743478559E-3</v>
      </c>
      <c r="AS217" s="528">
        <f t="shared" si="222"/>
        <v>5.1129134134776186E-3</v>
      </c>
      <c r="AT217" s="528">
        <f t="shared" si="222"/>
        <v>3.5091479296362723E-3</v>
      </c>
      <c r="AU217" s="528" t="str">
        <f t="shared" si="222"/>
        <v/>
      </c>
      <c r="AV217" s="528" t="str">
        <f t="shared" si="222"/>
        <v/>
      </c>
      <c r="AW217" s="528" t="str">
        <f t="shared" si="222"/>
        <v/>
      </c>
      <c r="AX217" s="528" t="str">
        <f t="shared" si="222"/>
        <v/>
      </c>
      <c r="AY217" s="528" t="str">
        <f t="shared" si="222"/>
        <v/>
      </c>
      <c r="AZ217" s="528" t="str">
        <f t="shared" si="222"/>
        <v/>
      </c>
      <c r="BA217" s="528" t="str">
        <f t="shared" si="222"/>
        <v/>
      </c>
      <c r="BB217" s="528" t="str">
        <f t="shared" si="222"/>
        <v/>
      </c>
      <c r="BC217" s="528" t="str">
        <f t="shared" si="222"/>
        <v/>
      </c>
      <c r="BD217" s="528" t="str">
        <f t="shared" si="222"/>
        <v/>
      </c>
      <c r="BE217" s="528" t="str">
        <f t="shared" si="222"/>
        <v/>
      </c>
      <c r="BF217" s="528" t="str">
        <f t="shared" si="222"/>
        <v/>
      </c>
      <c r="BG217" s="528" t="str">
        <f t="shared" si="222"/>
        <v/>
      </c>
      <c r="BH217" s="528" t="str">
        <f t="shared" si="222"/>
        <v/>
      </c>
      <c r="BI217" s="528" t="str">
        <f t="shared" si="222"/>
        <v/>
      </c>
      <c r="BJ217" s="528" t="str">
        <f t="shared" si="222"/>
        <v/>
      </c>
      <c r="BK217" s="528" t="str">
        <f t="shared" si="222"/>
        <v/>
      </c>
      <c r="BL217" s="528" t="str">
        <f t="shared" si="222"/>
        <v/>
      </c>
      <c r="BM217" s="528" t="str">
        <f t="shared" si="222"/>
        <v/>
      </c>
    </row>
    <row r="218" spans="6:65" ht="15.75" customHeight="1" x14ac:dyDescent="0.25">
      <c r="F218" s="197"/>
      <c r="G218" s="197">
        <f t="shared" si="3"/>
        <v>0</v>
      </c>
      <c r="H218" s="197">
        <f t="shared" si="4"/>
        <v>325</v>
      </c>
      <c r="I218" s="523">
        <v>1</v>
      </c>
      <c r="J218" s="533">
        <f>'Monthly DCF'!$I$3</f>
        <v>46418</v>
      </c>
      <c r="K218" s="533">
        <f t="shared" si="5"/>
        <v>47361</v>
      </c>
      <c r="L218" s="536">
        <f t="shared" si="196"/>
        <v>32</v>
      </c>
      <c r="M218" s="20" t="s">
        <v>366</v>
      </c>
      <c r="N218" s="20">
        <f t="shared" si="6"/>
        <v>6.4</v>
      </c>
      <c r="O218" s="537">
        <v>5</v>
      </c>
      <c r="P218" s="528">
        <f t="shared" ref="P218:BM218" si="223">IFERROR(+IF(AND($M218="Flat",P$5&gt;=$J218,P$5&lt;=$K218),$I218/$L218,0)+IF(AND($M218="S-Curve",P$5&gt;=$J218,P$5&lt;=$K218),(_xlfn.NORM.DIST((YEAR(P$5)-YEAR($J218))*12+MONTH(P$5)-MONTH($J218)+1,$L218/2,$N218,TRUE)-_xlfn.NORM.DIST((YEAR(P$5)-YEAR($J218))*12+MONTH(P$5)-MONTH($J218),$L218/2,$N218,TRUE))/(1-2*_xlfn.NORM.DIST(0,$L218/2,$N218,TRUE))*$I218," "),"")</f>
        <v>3.3777658009555974E-3</v>
      </c>
      <c r="Q218" s="528">
        <f t="shared" si="223"/>
        <v>4.8679973410043096E-3</v>
      </c>
      <c r="R218" s="528">
        <f t="shared" si="223"/>
        <v>6.8468317766635671E-3</v>
      </c>
      <c r="S218" s="528">
        <f t="shared" si="223"/>
        <v>9.3982615654775257E-3</v>
      </c>
      <c r="T218" s="528">
        <f t="shared" si="223"/>
        <v>1.2589948672606932E-2</v>
      </c>
      <c r="U218" s="528">
        <f t="shared" si="223"/>
        <v>1.6459588299733211E-2</v>
      </c>
      <c r="V218" s="528">
        <f t="shared" si="223"/>
        <v>2.1000641803186271E-2</v>
      </c>
      <c r="W218" s="528">
        <f t="shared" si="223"/>
        <v>2.6149583165178659E-2</v>
      </c>
      <c r="X218" s="528">
        <f t="shared" si="223"/>
        <v>3.1777197156725293E-2</v>
      </c>
      <c r="Y218" s="528">
        <f t="shared" si="223"/>
        <v>3.7686432846225582E-2</v>
      </c>
      <c r="Z218" s="528">
        <f t="shared" si="223"/>
        <v>4.3618739344061012E-2</v>
      </c>
      <c r="AA218" s="528">
        <f t="shared" si="223"/>
        <v>4.9269689941092744E-2</v>
      </c>
      <c r="AB218" s="528">
        <f t="shared" si="223"/>
        <v>5.431317575687758E-2</v>
      </c>
      <c r="AC218" s="528">
        <f t="shared" si="223"/>
        <v>5.8431793780245538E-2</v>
      </c>
      <c r="AD218" s="528">
        <f t="shared" si="223"/>
        <v>6.1349622914181549E-2</v>
      </c>
      <c r="AE218" s="528">
        <f t="shared" si="223"/>
        <v>6.2862729835784656E-2</v>
      </c>
      <c r="AF218" s="528">
        <f t="shared" si="223"/>
        <v>6.2862729835784656E-2</v>
      </c>
      <c r="AG218" s="528">
        <f t="shared" si="223"/>
        <v>6.1349622914181494E-2</v>
      </c>
      <c r="AH218" s="528">
        <f t="shared" si="223"/>
        <v>5.84317937802456E-2</v>
      </c>
      <c r="AI218" s="528">
        <f t="shared" si="223"/>
        <v>5.4313175756877524E-2</v>
      </c>
      <c r="AJ218" s="528">
        <f t="shared" si="223"/>
        <v>4.9269689941092827E-2</v>
      </c>
      <c r="AK218" s="528">
        <f t="shared" si="223"/>
        <v>4.3618739344060957E-2</v>
      </c>
      <c r="AL218" s="528">
        <f t="shared" si="223"/>
        <v>3.7686432846225554E-2</v>
      </c>
      <c r="AM218" s="528">
        <f t="shared" si="223"/>
        <v>3.1777197156725369E-2</v>
      </c>
      <c r="AN218" s="528">
        <f t="shared" si="223"/>
        <v>2.6149583165178687E-2</v>
      </c>
      <c r="AO218" s="528">
        <f t="shared" si="223"/>
        <v>2.1000641803186209E-2</v>
      </c>
      <c r="AP218" s="528">
        <f t="shared" si="223"/>
        <v>1.6459588299733253E-2</v>
      </c>
      <c r="AQ218" s="528">
        <f t="shared" si="223"/>
        <v>1.2589948672606887E-2</v>
      </c>
      <c r="AR218" s="528">
        <f t="shared" si="223"/>
        <v>9.3982615654775569E-3</v>
      </c>
      <c r="AS218" s="528">
        <f t="shared" si="223"/>
        <v>6.8468317766635194E-3</v>
      </c>
      <c r="AT218" s="528">
        <f t="shared" si="223"/>
        <v>4.8679973410043834E-3</v>
      </c>
      <c r="AU218" s="528">
        <f t="shared" si="223"/>
        <v>3.3777658009555376E-3</v>
      </c>
      <c r="AV218" s="528" t="str">
        <f t="shared" si="223"/>
        <v/>
      </c>
      <c r="AW218" s="528" t="str">
        <f t="shared" si="223"/>
        <v/>
      </c>
      <c r="AX218" s="528" t="str">
        <f t="shared" si="223"/>
        <v/>
      </c>
      <c r="AY218" s="528" t="str">
        <f t="shared" si="223"/>
        <v/>
      </c>
      <c r="AZ218" s="528" t="str">
        <f t="shared" si="223"/>
        <v/>
      </c>
      <c r="BA218" s="528" t="str">
        <f t="shared" si="223"/>
        <v/>
      </c>
      <c r="BB218" s="528" t="str">
        <f t="shared" si="223"/>
        <v/>
      </c>
      <c r="BC218" s="528" t="str">
        <f t="shared" si="223"/>
        <v/>
      </c>
      <c r="BD218" s="528" t="str">
        <f t="shared" si="223"/>
        <v/>
      </c>
      <c r="BE218" s="528" t="str">
        <f t="shared" si="223"/>
        <v/>
      </c>
      <c r="BF218" s="528" t="str">
        <f t="shared" si="223"/>
        <v/>
      </c>
      <c r="BG218" s="528" t="str">
        <f t="shared" si="223"/>
        <v/>
      </c>
      <c r="BH218" s="528" t="str">
        <f t="shared" si="223"/>
        <v/>
      </c>
      <c r="BI218" s="528" t="str">
        <f t="shared" si="223"/>
        <v/>
      </c>
      <c r="BJ218" s="528" t="str">
        <f t="shared" si="223"/>
        <v/>
      </c>
      <c r="BK218" s="528" t="str">
        <f t="shared" si="223"/>
        <v/>
      </c>
      <c r="BL218" s="528" t="str">
        <f t="shared" si="223"/>
        <v/>
      </c>
      <c r="BM218" s="528" t="str">
        <f t="shared" si="223"/>
        <v/>
      </c>
    </row>
    <row r="219" spans="6:65" ht="15.75" customHeight="1" x14ac:dyDescent="0.25">
      <c r="F219" s="197"/>
      <c r="G219" s="197">
        <f t="shared" si="3"/>
        <v>0</v>
      </c>
      <c r="H219" s="197">
        <f t="shared" si="4"/>
        <v>335</v>
      </c>
      <c r="I219" s="523">
        <v>1</v>
      </c>
      <c r="J219" s="533">
        <f>'Monthly DCF'!$I$3</f>
        <v>46418</v>
      </c>
      <c r="K219" s="533">
        <f t="shared" si="5"/>
        <v>47391</v>
      </c>
      <c r="L219" s="536">
        <f t="shared" si="196"/>
        <v>33</v>
      </c>
      <c r="M219" s="20" t="s">
        <v>366</v>
      </c>
      <c r="N219" s="20">
        <f t="shared" si="6"/>
        <v>6.6</v>
      </c>
      <c r="O219" s="537">
        <v>5</v>
      </c>
      <c r="P219" s="528">
        <f t="shared" ref="P219:BM219" si="224">IFERROR(+IF(AND($M219="Flat",P$5&gt;=$J219,P$5&lt;=$K219),$I219/$L219,0)+IF(AND($M219="S-Curve",P$5&gt;=$J219,P$5&lt;=$K219),(_xlfn.NORM.DIST((YEAR(P$5)-YEAR($J219))*12+MONTH(P$5)-MONTH($J219)+1,$L219/2,$N219,TRUE)-_xlfn.NORM.DIST((YEAR(P$5)-YEAR($J219))*12+MONTH(P$5)-MONTH($J219),$L219/2,$N219,TRUE))/(1-2*_xlfn.NORM.DIST(0,$L219/2,$N219,TRUE))*$I219," "),"")</f>
        <v>3.2557519840890883E-3</v>
      </c>
      <c r="Q219" s="528">
        <f t="shared" si="224"/>
        <v>4.6439975326367572E-3</v>
      </c>
      <c r="R219" s="528">
        <f t="shared" si="224"/>
        <v>6.4741322056607997E-3</v>
      </c>
      <c r="S219" s="528">
        <f t="shared" si="224"/>
        <v>8.8210458298663402E-3</v>
      </c>
      <c r="T219" s="528">
        <f t="shared" si="224"/>
        <v>1.174647444051664E-2</v>
      </c>
      <c r="U219" s="528">
        <f t="shared" si="224"/>
        <v>1.5287763473476121E-2</v>
      </c>
      <c r="V219" s="528">
        <f t="shared" si="224"/>
        <v>1.9445957865946332E-2</v>
      </c>
      <c r="W219" s="528">
        <f t="shared" si="224"/>
        <v>2.4174845387843712E-2</v>
      </c>
      <c r="X219" s="528">
        <f t="shared" si="224"/>
        <v>2.9372915687795112E-2</v>
      </c>
      <c r="Y219" s="528">
        <f t="shared" si="224"/>
        <v>3.488023557223037E-2</v>
      </c>
      <c r="Z219" s="528">
        <f t="shared" si="224"/>
        <v>4.048188854107089E-2</v>
      </c>
      <c r="AA219" s="528">
        <f t="shared" si="224"/>
        <v>4.5918863581537184E-2</v>
      </c>
      <c r="AB219" s="528">
        <f t="shared" si="224"/>
        <v>5.0906180702418188E-2</v>
      </c>
      <c r="AC219" s="528">
        <f t="shared" si="224"/>
        <v>5.5156781885839203E-2</v>
      </c>
      <c r="AD219" s="528">
        <f t="shared" si="224"/>
        <v>5.8408539751060987E-2</v>
      </c>
      <c r="AE219" s="528">
        <f t="shared" si="224"/>
        <v>6.045090477257619E-2</v>
      </c>
      <c r="AF219" s="528">
        <f t="shared" si="224"/>
        <v>6.1147441570872263E-2</v>
      </c>
      <c r="AG219" s="528">
        <f t="shared" si="224"/>
        <v>6.0450904772576135E-2</v>
      </c>
      <c r="AH219" s="528">
        <f t="shared" si="224"/>
        <v>5.8408539751061042E-2</v>
      </c>
      <c r="AI219" s="528">
        <f t="shared" si="224"/>
        <v>5.515678188583914E-2</v>
      </c>
      <c r="AJ219" s="528">
        <f t="shared" si="224"/>
        <v>5.0906180702418188E-2</v>
      </c>
      <c r="AK219" s="528">
        <f t="shared" si="224"/>
        <v>4.5918863581537184E-2</v>
      </c>
      <c r="AL219" s="528">
        <f t="shared" si="224"/>
        <v>4.0481888541070918E-2</v>
      </c>
      <c r="AM219" s="528">
        <f t="shared" si="224"/>
        <v>3.4880235572230314E-2</v>
      </c>
      <c r="AN219" s="528">
        <f t="shared" si="224"/>
        <v>2.9372915687795199E-2</v>
      </c>
      <c r="AO219" s="528">
        <f t="shared" si="224"/>
        <v>2.4174845387843629E-2</v>
      </c>
      <c r="AP219" s="528">
        <f t="shared" si="224"/>
        <v>1.9445957865946367E-2</v>
      </c>
      <c r="AQ219" s="528">
        <f t="shared" si="224"/>
        <v>1.5287763473476171E-2</v>
      </c>
      <c r="AR219" s="528">
        <f t="shared" si="224"/>
        <v>1.1746474440516535E-2</v>
      </c>
      <c r="AS219" s="528">
        <f t="shared" si="224"/>
        <v>8.821045829866446E-3</v>
      </c>
      <c r="AT219" s="528">
        <f t="shared" si="224"/>
        <v>6.4741322056607433E-3</v>
      </c>
      <c r="AU219" s="528">
        <f t="shared" si="224"/>
        <v>4.6439975326367467E-3</v>
      </c>
      <c r="AV219" s="528">
        <f t="shared" si="224"/>
        <v>3.2557519840890727E-3</v>
      </c>
      <c r="AW219" s="528" t="str">
        <f t="shared" si="224"/>
        <v/>
      </c>
      <c r="AX219" s="528" t="str">
        <f t="shared" si="224"/>
        <v/>
      </c>
      <c r="AY219" s="528" t="str">
        <f t="shared" si="224"/>
        <v/>
      </c>
      <c r="AZ219" s="528" t="str">
        <f t="shared" si="224"/>
        <v/>
      </c>
      <c r="BA219" s="528" t="str">
        <f t="shared" si="224"/>
        <v/>
      </c>
      <c r="BB219" s="528" t="str">
        <f t="shared" si="224"/>
        <v/>
      </c>
      <c r="BC219" s="528" t="str">
        <f t="shared" si="224"/>
        <v/>
      </c>
      <c r="BD219" s="528" t="str">
        <f t="shared" si="224"/>
        <v/>
      </c>
      <c r="BE219" s="528" t="str">
        <f t="shared" si="224"/>
        <v/>
      </c>
      <c r="BF219" s="528" t="str">
        <f t="shared" si="224"/>
        <v/>
      </c>
      <c r="BG219" s="528" t="str">
        <f t="shared" si="224"/>
        <v/>
      </c>
      <c r="BH219" s="528" t="str">
        <f t="shared" si="224"/>
        <v/>
      </c>
      <c r="BI219" s="528" t="str">
        <f t="shared" si="224"/>
        <v/>
      </c>
      <c r="BJ219" s="528" t="str">
        <f t="shared" si="224"/>
        <v/>
      </c>
      <c r="BK219" s="528" t="str">
        <f t="shared" si="224"/>
        <v/>
      </c>
      <c r="BL219" s="528" t="str">
        <f t="shared" si="224"/>
        <v/>
      </c>
      <c r="BM219" s="528" t="str">
        <f t="shared" si="224"/>
        <v/>
      </c>
    </row>
    <row r="220" spans="6:65" ht="15.75" customHeight="1" x14ac:dyDescent="0.25">
      <c r="F220" s="197"/>
      <c r="G220" s="197">
        <f t="shared" si="3"/>
        <v>0</v>
      </c>
      <c r="H220" s="197">
        <f t="shared" si="4"/>
        <v>345</v>
      </c>
      <c r="I220" s="523">
        <v>1</v>
      </c>
      <c r="J220" s="533">
        <f>'Monthly DCF'!$I$3</f>
        <v>46418</v>
      </c>
      <c r="K220" s="533">
        <f t="shared" si="5"/>
        <v>47422</v>
      </c>
      <c r="L220" s="536">
        <f t="shared" si="196"/>
        <v>34</v>
      </c>
      <c r="M220" s="20" t="s">
        <v>366</v>
      </c>
      <c r="N220" s="20">
        <f t="shared" si="6"/>
        <v>6.8</v>
      </c>
      <c r="O220" s="537">
        <v>5</v>
      </c>
      <c r="P220" s="528">
        <f t="shared" ref="P220:BM220" si="225">IFERROR(+IF(AND($M220="Flat",P$5&gt;=$J220,P$5&lt;=$K220),$I220/$L220,0)+IF(AND($M220="S-Curve",P$5&gt;=$J220,P$5&lt;=$K220),(_xlfn.NORM.DIST((YEAR(P$5)-YEAR($J220))*12+MONTH(P$5)-MONTH($J220)+1,$L220/2,$N220,TRUE)-_xlfn.NORM.DIST((YEAR(P$5)-YEAR($J220))*12+MONTH(P$5)-MONTH($J220),$L220/2,$N220,TRUE))/(1-2*_xlfn.NORM.DIST(0,$L220/2,$N220,TRUE))*$I220," "),"")</f>
        <v>3.1421481953191441E-3</v>
      </c>
      <c r="Q220" s="528">
        <f t="shared" si="225"/>
        <v>4.4384515212865404E-3</v>
      </c>
      <c r="R220" s="528">
        <f t="shared" si="225"/>
        <v>6.1356550496421509E-3</v>
      </c>
      <c r="S220" s="528">
        <f t="shared" si="225"/>
        <v>8.3007061485332514E-3</v>
      </c>
      <c r="T220" s="528">
        <f t="shared" si="225"/>
        <v>1.0989901627982898E-2</v>
      </c>
      <c r="U220" s="528">
        <f t="shared" si="225"/>
        <v>1.4239582013135303E-2</v>
      </c>
      <c r="V220" s="528">
        <f t="shared" si="225"/>
        <v>1.8056158481155261E-2</v>
      </c>
      <c r="W220" s="528">
        <f t="shared" si="225"/>
        <v>2.2406713631658789E-2</v>
      </c>
      <c r="X220" s="528">
        <f t="shared" si="225"/>
        <v>2.7211699502548509E-2</v>
      </c>
      <c r="Y220" s="528">
        <f t="shared" si="225"/>
        <v>3.2341329805086326E-2</v>
      </c>
      <c r="Z220" s="528">
        <f t="shared" si="225"/>
        <v>3.7617054844454413E-2</v>
      </c>
      <c r="AA220" s="528">
        <f t="shared" si="225"/>
        <v>4.2818990411570883E-2</v>
      </c>
      <c r="AB220" s="528">
        <f t="shared" si="225"/>
        <v>4.7699384695250993E-2</v>
      </c>
      <c r="AC220" s="528">
        <f t="shared" si="225"/>
        <v>5.2001258582299606E-2</v>
      </c>
      <c r="AD220" s="528">
        <f t="shared" si="225"/>
        <v>5.5480409864067319E-2</v>
      </c>
      <c r="AE220" s="528">
        <f t="shared" si="225"/>
        <v>5.7928221713207585E-2</v>
      </c>
      <c r="AF220" s="528">
        <f t="shared" si="225"/>
        <v>5.919233391280105E-2</v>
      </c>
      <c r="AG220" s="528">
        <f t="shared" si="225"/>
        <v>5.919233391280105E-2</v>
      </c>
      <c r="AH220" s="528">
        <f t="shared" si="225"/>
        <v>5.792822171320753E-2</v>
      </c>
      <c r="AI220" s="528">
        <f t="shared" si="225"/>
        <v>5.5480409864067375E-2</v>
      </c>
      <c r="AJ220" s="528">
        <f t="shared" si="225"/>
        <v>5.2001258582299606E-2</v>
      </c>
      <c r="AK220" s="528">
        <f t="shared" si="225"/>
        <v>4.7699384695251021E-2</v>
      </c>
      <c r="AL220" s="528">
        <f t="shared" si="225"/>
        <v>4.2818990411570883E-2</v>
      </c>
      <c r="AM220" s="528">
        <f t="shared" si="225"/>
        <v>3.7617054844454413E-2</v>
      </c>
      <c r="AN220" s="528">
        <f t="shared" si="225"/>
        <v>3.2341329805086312E-2</v>
      </c>
      <c r="AO220" s="528">
        <f t="shared" si="225"/>
        <v>2.721169950254855E-2</v>
      </c>
      <c r="AP220" s="528">
        <f t="shared" si="225"/>
        <v>2.2406713631658678E-2</v>
      </c>
      <c r="AQ220" s="528">
        <f t="shared" si="225"/>
        <v>1.8056158481155337E-2</v>
      </c>
      <c r="AR220" s="528">
        <f t="shared" si="225"/>
        <v>1.4239582013135252E-2</v>
      </c>
      <c r="AS220" s="528">
        <f t="shared" si="225"/>
        <v>1.0989901627982935E-2</v>
      </c>
      <c r="AT220" s="528">
        <f t="shared" si="225"/>
        <v>8.3007061485332722E-3</v>
      </c>
      <c r="AU220" s="528">
        <f t="shared" si="225"/>
        <v>6.1356550496421544E-3</v>
      </c>
      <c r="AV220" s="528">
        <f t="shared" si="225"/>
        <v>4.438451521286484E-3</v>
      </c>
      <c r="AW220" s="528">
        <f t="shared" si="225"/>
        <v>3.1421481953191424E-3</v>
      </c>
      <c r="AX220" s="528" t="str">
        <f t="shared" si="225"/>
        <v/>
      </c>
      <c r="AY220" s="528" t="str">
        <f t="shared" si="225"/>
        <v/>
      </c>
      <c r="AZ220" s="528" t="str">
        <f t="shared" si="225"/>
        <v/>
      </c>
      <c r="BA220" s="528" t="str">
        <f t="shared" si="225"/>
        <v/>
      </c>
      <c r="BB220" s="528" t="str">
        <f t="shared" si="225"/>
        <v/>
      </c>
      <c r="BC220" s="528" t="str">
        <f t="shared" si="225"/>
        <v/>
      </c>
      <c r="BD220" s="528" t="str">
        <f t="shared" si="225"/>
        <v/>
      </c>
      <c r="BE220" s="528" t="str">
        <f t="shared" si="225"/>
        <v/>
      </c>
      <c r="BF220" s="528" t="str">
        <f t="shared" si="225"/>
        <v/>
      </c>
      <c r="BG220" s="528" t="str">
        <f t="shared" si="225"/>
        <v/>
      </c>
      <c r="BH220" s="528" t="str">
        <f t="shared" si="225"/>
        <v/>
      </c>
      <c r="BI220" s="528" t="str">
        <f t="shared" si="225"/>
        <v/>
      </c>
      <c r="BJ220" s="528" t="str">
        <f t="shared" si="225"/>
        <v/>
      </c>
      <c r="BK220" s="528" t="str">
        <f t="shared" si="225"/>
        <v/>
      </c>
      <c r="BL220" s="528" t="str">
        <f t="shared" si="225"/>
        <v/>
      </c>
      <c r="BM220" s="528" t="str">
        <f t="shared" si="225"/>
        <v/>
      </c>
    </row>
    <row r="221" spans="6:65" ht="15.75" customHeight="1" x14ac:dyDescent="0.25">
      <c r="F221" s="197"/>
      <c r="G221" s="197">
        <f t="shared" si="3"/>
        <v>0</v>
      </c>
      <c r="H221" s="197">
        <f t="shared" si="4"/>
        <v>355</v>
      </c>
      <c r="I221" s="523">
        <v>1</v>
      </c>
      <c r="J221" s="533">
        <f>'Monthly DCF'!$I$3</f>
        <v>46418</v>
      </c>
      <c r="K221" s="533">
        <f t="shared" si="5"/>
        <v>47452</v>
      </c>
      <c r="L221" s="536">
        <f t="shared" si="196"/>
        <v>35</v>
      </c>
      <c r="M221" s="20" t="s">
        <v>366</v>
      </c>
      <c r="N221" s="20">
        <f t="shared" si="6"/>
        <v>7</v>
      </c>
      <c r="O221" s="537">
        <v>5</v>
      </c>
      <c r="P221" s="528">
        <f t="shared" ref="P221:BM221" si="226">IFERROR(+IF(AND($M221="Flat",P$5&gt;=$J221,P$5&lt;=$K221),$I221/$L221,0)+IF(AND($M221="S-Curve",P$5&gt;=$J221,P$5&lt;=$K221),(_xlfn.NORM.DIST((YEAR(P$5)-YEAR($J221))*12+MONTH(P$5)-MONTH($J221)+1,$L221/2,$N221,TRUE)-_xlfn.NORM.DIST((YEAR(P$5)-YEAR($J221))*12+MONTH(P$5)-MONTH($J221),$L221/2,$N221,TRUE))/(1-2*_xlfn.NORM.DIST(0,$L221/2,$N221,TRUE))*$I221," "),"")</f>
        <v>3.0361215599268875E-3</v>
      </c>
      <c r="Q221" s="528">
        <f t="shared" si="226"/>
        <v>4.2492580098945744E-3</v>
      </c>
      <c r="R221" s="528">
        <f t="shared" si="226"/>
        <v>5.8271859661910763E-3</v>
      </c>
      <c r="S221" s="528">
        <f t="shared" si="226"/>
        <v>7.8299050361060156E-3</v>
      </c>
      <c r="T221" s="528">
        <f t="shared" si="226"/>
        <v>1.0308748885517333E-2</v>
      </c>
      <c r="U221" s="528">
        <f t="shared" si="226"/>
        <v>1.3298641665407196E-2</v>
      </c>
      <c r="V221" s="528">
        <f t="shared" si="226"/>
        <v>1.6809719743460613E-2</v>
      </c>
      <c r="W221" s="528">
        <f t="shared" si="226"/>
        <v>2.0819271758660805E-2</v>
      </c>
      <c r="X221" s="528">
        <f t="shared" si="226"/>
        <v>2.5265184534979016E-2</v>
      </c>
      <c r="Y221" s="528">
        <f t="shared" si="226"/>
        <v>3.0042170056993688E-2</v>
      </c>
      <c r="Z221" s="528">
        <f t="shared" si="226"/>
        <v>3.5001931943800073E-2</v>
      </c>
      <c r="AA221" s="528">
        <f t="shared" si="226"/>
        <v>3.9958081374289932E-2</v>
      </c>
      <c r="AB221" s="528">
        <f t="shared" si="226"/>
        <v>4.4696049265829971E-2</v>
      </c>
      <c r="AC221" s="528">
        <f t="shared" si="226"/>
        <v>4.8987530815301918E-2</v>
      </c>
      <c r="AD221" s="528">
        <f t="shared" si="226"/>
        <v>5.2608251495166951E-2</v>
      </c>
      <c r="AE221" s="528">
        <f t="shared" si="226"/>
        <v>5.5357197213196145E-2</v>
      </c>
      <c r="AF221" s="528">
        <f t="shared" si="226"/>
        <v>5.707504045498505E-2</v>
      </c>
      <c r="AG221" s="528">
        <f t="shared" si="226"/>
        <v>5.7659420440585578E-2</v>
      </c>
      <c r="AH221" s="528">
        <f t="shared" si="226"/>
        <v>5.707504045498505E-2</v>
      </c>
      <c r="AI221" s="528">
        <f t="shared" si="226"/>
        <v>5.5357197213196201E-2</v>
      </c>
      <c r="AJ221" s="528">
        <f t="shared" si="226"/>
        <v>5.2608251495166888E-2</v>
      </c>
      <c r="AK221" s="528">
        <f t="shared" si="226"/>
        <v>4.8987530815301918E-2</v>
      </c>
      <c r="AL221" s="528">
        <f t="shared" si="226"/>
        <v>4.4696049265830005E-2</v>
      </c>
      <c r="AM221" s="528">
        <f t="shared" si="226"/>
        <v>3.9958081374289932E-2</v>
      </c>
      <c r="AN221" s="528">
        <f t="shared" si="226"/>
        <v>3.5001931943800101E-2</v>
      </c>
      <c r="AO221" s="528">
        <f t="shared" si="226"/>
        <v>3.0042170056993674E-2</v>
      </c>
      <c r="AP221" s="528">
        <f t="shared" si="226"/>
        <v>2.5265184534978918E-2</v>
      </c>
      <c r="AQ221" s="528">
        <f t="shared" si="226"/>
        <v>2.0819271758660832E-2</v>
      </c>
      <c r="AR221" s="528">
        <f t="shared" si="226"/>
        <v>1.680971974346062E-2</v>
      </c>
      <c r="AS221" s="528">
        <f t="shared" si="226"/>
        <v>1.3298641665407252E-2</v>
      </c>
      <c r="AT221" s="528">
        <f t="shared" si="226"/>
        <v>1.0308748885517249E-2</v>
      </c>
      <c r="AU221" s="528">
        <f t="shared" si="226"/>
        <v>7.8299050361060902E-3</v>
      </c>
      <c r="AV221" s="528">
        <f t="shared" si="226"/>
        <v>5.8271859661910884E-3</v>
      </c>
      <c r="AW221" s="528">
        <f t="shared" si="226"/>
        <v>4.2492580098945094E-3</v>
      </c>
      <c r="AX221" s="528">
        <f t="shared" si="226"/>
        <v>3.0361215599268893E-3</v>
      </c>
      <c r="AY221" s="528" t="str">
        <f t="shared" si="226"/>
        <v/>
      </c>
      <c r="AZ221" s="528" t="str">
        <f t="shared" si="226"/>
        <v/>
      </c>
      <c r="BA221" s="528" t="str">
        <f t="shared" si="226"/>
        <v/>
      </c>
      <c r="BB221" s="528" t="str">
        <f t="shared" si="226"/>
        <v/>
      </c>
      <c r="BC221" s="528" t="str">
        <f t="shared" si="226"/>
        <v/>
      </c>
      <c r="BD221" s="528" t="str">
        <f t="shared" si="226"/>
        <v/>
      </c>
      <c r="BE221" s="528" t="str">
        <f t="shared" si="226"/>
        <v/>
      </c>
      <c r="BF221" s="528" t="str">
        <f t="shared" si="226"/>
        <v/>
      </c>
      <c r="BG221" s="528" t="str">
        <f t="shared" si="226"/>
        <v/>
      </c>
      <c r="BH221" s="528" t="str">
        <f t="shared" si="226"/>
        <v/>
      </c>
      <c r="BI221" s="528" t="str">
        <f t="shared" si="226"/>
        <v/>
      </c>
      <c r="BJ221" s="528" t="str">
        <f t="shared" si="226"/>
        <v/>
      </c>
      <c r="BK221" s="528" t="str">
        <f t="shared" si="226"/>
        <v/>
      </c>
      <c r="BL221" s="528" t="str">
        <f t="shared" si="226"/>
        <v/>
      </c>
      <c r="BM221" s="528" t="str">
        <f t="shared" si="226"/>
        <v/>
      </c>
    </row>
    <row r="222" spans="6:65" ht="15.75" customHeight="1" x14ac:dyDescent="0.25">
      <c r="F222" s="197"/>
      <c r="G222" s="197">
        <f t="shared" si="3"/>
        <v>0</v>
      </c>
      <c r="H222" s="197">
        <f t="shared" si="4"/>
        <v>365</v>
      </c>
      <c r="I222" s="523">
        <v>1</v>
      </c>
      <c r="J222" s="533">
        <f>'Monthly DCF'!$I$3</f>
        <v>46418</v>
      </c>
      <c r="K222" s="533">
        <f t="shared" si="5"/>
        <v>47483</v>
      </c>
      <c r="L222" s="536">
        <f t="shared" si="196"/>
        <v>36</v>
      </c>
      <c r="M222" s="20" t="s">
        <v>366</v>
      </c>
      <c r="N222" s="20">
        <f t="shared" si="6"/>
        <v>7.2</v>
      </c>
      <c r="O222" s="537">
        <v>5</v>
      </c>
      <c r="P222" s="528">
        <f t="shared" ref="P222:BM222" si="227">IFERROR(+IF(AND($M222="Flat",P$5&gt;=$J222,P$5&lt;=$K222),$I222/$L222,0)+IF(AND($M222="S-Curve",P$5&gt;=$J222,P$5&lt;=$K222),(_xlfn.NORM.DIST((YEAR(P$5)-YEAR($J222))*12+MONTH(P$5)-MONTH($J222)+1,$L222/2,$N222,TRUE)-_xlfn.NORM.DIST((YEAR(P$5)-YEAR($J222))*12+MONTH(P$5)-MONTH($J222),$L222/2,$N222,TRUE))/(1-2*_xlfn.NORM.DIST(0,$L222/2,$N222,TRUE))*$I222," "),"")</f>
        <v>2.9369448741535307E-3</v>
      </c>
      <c r="Q222" s="528">
        <f t="shared" si="227"/>
        <v>4.0746143636486648E-3</v>
      </c>
      <c r="R222" s="528">
        <f t="shared" si="227"/>
        <v>5.5451465068450207E-3</v>
      </c>
      <c r="S222" s="528">
        <f t="shared" si="227"/>
        <v>7.4024476124869391E-3</v>
      </c>
      <c r="T222" s="528">
        <f t="shared" si="227"/>
        <v>9.6933405735856112E-3</v>
      </c>
      <c r="U222" s="528">
        <f t="shared" si="227"/>
        <v>1.2451091363706113E-2</v>
      </c>
      <c r="V222" s="528">
        <f t="shared" si="227"/>
        <v>1.5688347235735717E-2</v>
      </c>
      <c r="W222" s="528">
        <f t="shared" si="227"/>
        <v>1.9390222724524196E-2</v>
      </c>
      <c r="X222" s="528">
        <f t="shared" si="227"/>
        <v>2.3508463170120279E-2</v>
      </c>
      <c r="Y222" s="528">
        <f t="shared" si="227"/>
        <v>2.7957705221049005E-2</v>
      </c>
      <c r="Z222" s="528">
        <f t="shared" si="227"/>
        <v>3.2614794796034866E-2</v>
      </c>
      <c r="AA222" s="528">
        <f t="shared" si="227"/>
        <v>3.7321890079242227E-2</v>
      </c>
      <c r="AB222" s="528">
        <f t="shared" si="227"/>
        <v>4.1893675279879146E-2</v>
      </c>
      <c r="AC222" s="528">
        <f t="shared" si="227"/>
        <v>4.6128480771109551E-2</v>
      </c>
      <c r="AD222" s="528">
        <f t="shared" si="227"/>
        <v>4.9822521120405944E-2</v>
      </c>
      <c r="AE222" s="528">
        <f t="shared" si="227"/>
        <v>5.2785921738705284E-2</v>
      </c>
      <c r="AF222" s="528">
        <f t="shared" si="227"/>
        <v>5.4858809890115184E-2</v>
      </c>
      <c r="AG222" s="528">
        <f t="shared" si="227"/>
        <v>5.592558267865274E-2</v>
      </c>
      <c r="AH222" s="528">
        <f t="shared" si="227"/>
        <v>5.5925582678652795E-2</v>
      </c>
      <c r="AI222" s="528">
        <f t="shared" si="227"/>
        <v>5.4858809890115129E-2</v>
      </c>
      <c r="AJ222" s="528">
        <f t="shared" si="227"/>
        <v>5.2785921738705228E-2</v>
      </c>
      <c r="AK222" s="528">
        <f t="shared" si="227"/>
        <v>4.9822521120406055E-2</v>
      </c>
      <c r="AL222" s="528">
        <f t="shared" si="227"/>
        <v>4.612848077110944E-2</v>
      </c>
      <c r="AM222" s="528">
        <f t="shared" si="227"/>
        <v>4.1893675279879201E-2</v>
      </c>
      <c r="AN222" s="528">
        <f t="shared" si="227"/>
        <v>3.73218900792422E-2</v>
      </c>
      <c r="AO222" s="528">
        <f t="shared" si="227"/>
        <v>3.2614794796034838E-2</v>
      </c>
      <c r="AP222" s="528">
        <f t="shared" si="227"/>
        <v>2.7957705221049078E-2</v>
      </c>
      <c r="AQ222" s="528">
        <f t="shared" si="227"/>
        <v>2.3508463170120307E-2</v>
      </c>
      <c r="AR222" s="528">
        <f t="shared" si="227"/>
        <v>1.9390222724524168E-2</v>
      </c>
      <c r="AS222" s="528">
        <f t="shared" si="227"/>
        <v>1.5688347235735711E-2</v>
      </c>
      <c r="AT222" s="528">
        <f t="shared" si="227"/>
        <v>1.2451091363706134E-2</v>
      </c>
      <c r="AU222" s="528">
        <f t="shared" si="227"/>
        <v>9.6933405735855731E-3</v>
      </c>
      <c r="AV222" s="528">
        <f t="shared" si="227"/>
        <v>7.4024476124869643E-3</v>
      </c>
      <c r="AW222" s="528">
        <f t="shared" si="227"/>
        <v>5.5451465068450086E-3</v>
      </c>
      <c r="AX222" s="528">
        <f t="shared" si="227"/>
        <v>4.0746143636486891E-3</v>
      </c>
      <c r="AY222" s="528">
        <f t="shared" si="227"/>
        <v>2.9369448741534783E-3</v>
      </c>
      <c r="AZ222" s="528" t="str">
        <f t="shared" si="227"/>
        <v/>
      </c>
      <c r="BA222" s="528" t="str">
        <f t="shared" si="227"/>
        <v/>
      </c>
      <c r="BB222" s="528" t="str">
        <f t="shared" si="227"/>
        <v/>
      </c>
      <c r="BC222" s="528" t="str">
        <f t="shared" si="227"/>
        <v/>
      </c>
      <c r="BD222" s="528" t="str">
        <f t="shared" si="227"/>
        <v/>
      </c>
      <c r="BE222" s="528" t="str">
        <f t="shared" si="227"/>
        <v/>
      </c>
      <c r="BF222" s="528" t="str">
        <f t="shared" si="227"/>
        <v/>
      </c>
      <c r="BG222" s="528" t="str">
        <f t="shared" si="227"/>
        <v/>
      </c>
      <c r="BH222" s="528" t="str">
        <f t="shared" si="227"/>
        <v/>
      </c>
      <c r="BI222" s="528" t="str">
        <f t="shared" si="227"/>
        <v/>
      </c>
      <c r="BJ222" s="528" t="str">
        <f t="shared" si="227"/>
        <v/>
      </c>
      <c r="BK222" s="528" t="str">
        <f t="shared" si="227"/>
        <v/>
      </c>
      <c r="BL222" s="528" t="str">
        <f t="shared" si="227"/>
        <v/>
      </c>
      <c r="BM222" s="528" t="str">
        <f t="shared" si="227"/>
        <v/>
      </c>
    </row>
    <row r="223" spans="6:65" ht="15.75" customHeight="1" x14ac:dyDescent="0.25">
      <c r="F223" s="197"/>
      <c r="G223" s="197">
        <f t="shared" si="3"/>
        <v>0</v>
      </c>
      <c r="H223" s="197">
        <f t="shared" si="4"/>
        <v>375</v>
      </c>
      <c r="I223" s="523">
        <v>1</v>
      </c>
      <c r="J223" s="533">
        <f>'Monthly DCF'!$I$3</f>
        <v>46418</v>
      </c>
      <c r="K223" s="533">
        <f t="shared" si="5"/>
        <v>47514</v>
      </c>
      <c r="L223" s="536">
        <f t="shared" si="196"/>
        <v>37</v>
      </c>
      <c r="M223" s="20" t="s">
        <v>366</v>
      </c>
      <c r="N223" s="20">
        <f t="shared" si="6"/>
        <v>7.4</v>
      </c>
      <c r="O223" s="537">
        <v>5</v>
      </c>
      <c r="P223" s="528">
        <f t="shared" ref="P223:BM223" si="228">IFERROR(+IF(AND($M223="Flat",P$5&gt;=$J223,P$5&lt;=$K223),$I223/$L223,0)+IF(AND($M223="S-Curve",P$5&gt;=$J223,P$5&lt;=$K223),(_xlfn.NORM.DIST((YEAR(P$5)-YEAR($J223))*12+MONTH(P$5)-MONTH($J223)+1,$L223/2,$N223,TRUE)-_xlfn.NORM.DIST((YEAR(P$5)-YEAR($J223))*12+MONTH(P$5)-MONTH($J223),$L223/2,$N223,TRUE))/(1-2*_xlfn.NORM.DIST(0,$L223/2,$N223,TRUE))*$I223," "),"")</f>
        <v>2.8439804618408445E-3</v>
      </c>
      <c r="Q223" s="528">
        <f t="shared" si="228"/>
        <v>3.9129664426447493E-3</v>
      </c>
      <c r="R223" s="528">
        <f t="shared" si="228"/>
        <v>5.286482167648412E-3</v>
      </c>
      <c r="S223" s="528">
        <f t="shared" si="228"/>
        <v>7.0130762287190698E-3</v>
      </c>
      <c r="T223" s="528">
        <f t="shared" si="228"/>
        <v>9.1354825703183814E-3</v>
      </c>
      <c r="U223" s="528">
        <f t="shared" si="228"/>
        <v>1.1685184634410584E-2</v>
      </c>
      <c r="V223" s="528">
        <f t="shared" si="228"/>
        <v>1.4676443320323572E-2</v>
      </c>
      <c r="W223" s="528">
        <f t="shared" si="228"/>
        <v>1.810036057871476E-2</v>
      </c>
      <c r="X223" s="528">
        <f t="shared" si="228"/>
        <v>2.1919709702497972E-2</v>
      </c>
      <c r="Y223" s="528">
        <f t="shared" si="228"/>
        <v>2.6065348791031312E-2</v>
      </c>
      <c r="Z223" s="528">
        <f t="shared" si="228"/>
        <v>3.0435010653501997E-2</v>
      </c>
      <c r="AA223" s="528">
        <f t="shared" si="228"/>
        <v>3.4895108547506777E-2</v>
      </c>
      <c r="AB223" s="528">
        <f t="shared" si="228"/>
        <v>3.9285911167871723E-2</v>
      </c>
      <c r="AC223" s="528">
        <f t="shared" si="228"/>
        <v>4.3430046140898182E-2</v>
      </c>
      <c r="AD223" s="528">
        <f t="shared" si="228"/>
        <v>4.7143838162796117E-2</v>
      </c>
      <c r="AE223" s="528">
        <f t="shared" si="228"/>
        <v>5.0250544440369083E-2</v>
      </c>
      <c r="AF223" s="528">
        <f t="shared" si="228"/>
        <v>5.2594192906896098E-2</v>
      </c>
      <c r="AG223" s="528">
        <f t="shared" si="228"/>
        <v>5.4052527777837846E-2</v>
      </c>
      <c r="AH223" s="528">
        <f t="shared" si="228"/>
        <v>5.4547570608345024E-2</v>
      </c>
      <c r="AI223" s="528">
        <f t="shared" si="228"/>
        <v>5.4052527777837901E-2</v>
      </c>
      <c r="AJ223" s="528">
        <f t="shared" si="228"/>
        <v>5.2594192906896098E-2</v>
      </c>
      <c r="AK223" s="528">
        <f t="shared" si="228"/>
        <v>5.0250544440369083E-2</v>
      </c>
      <c r="AL223" s="528">
        <f t="shared" si="228"/>
        <v>4.7143838162796117E-2</v>
      </c>
      <c r="AM223" s="528">
        <f t="shared" si="228"/>
        <v>4.343004614089821E-2</v>
      </c>
      <c r="AN223" s="528">
        <f t="shared" si="228"/>
        <v>3.9285911167871695E-2</v>
      </c>
      <c r="AO223" s="528">
        <f t="shared" si="228"/>
        <v>3.4895108547506805E-2</v>
      </c>
      <c r="AP223" s="528">
        <f t="shared" si="228"/>
        <v>3.0435010653501997E-2</v>
      </c>
      <c r="AQ223" s="528">
        <f t="shared" si="228"/>
        <v>2.6065348791031298E-2</v>
      </c>
      <c r="AR223" s="528">
        <f t="shared" si="228"/>
        <v>2.1919709702497944E-2</v>
      </c>
      <c r="AS223" s="528">
        <f t="shared" si="228"/>
        <v>1.8100360578714732E-2</v>
      </c>
      <c r="AT223" s="528">
        <f t="shared" si="228"/>
        <v>1.467644332032363E-2</v>
      </c>
      <c r="AU223" s="528">
        <f t="shared" si="228"/>
        <v>1.1685184634410513E-2</v>
      </c>
      <c r="AV223" s="528">
        <f t="shared" si="228"/>
        <v>9.1354825703184456E-3</v>
      </c>
      <c r="AW223" s="528">
        <f t="shared" si="228"/>
        <v>7.0130762287190698E-3</v>
      </c>
      <c r="AX223" s="528">
        <f t="shared" si="228"/>
        <v>5.2864821676484389E-3</v>
      </c>
      <c r="AY223" s="528">
        <f t="shared" si="228"/>
        <v>3.9129664426447329E-3</v>
      </c>
      <c r="AZ223" s="528">
        <f t="shared" si="228"/>
        <v>2.8439804618408007E-3</v>
      </c>
      <c r="BA223" s="528" t="str">
        <f t="shared" si="228"/>
        <v/>
      </c>
      <c r="BB223" s="528" t="str">
        <f t="shared" si="228"/>
        <v/>
      </c>
      <c r="BC223" s="528" t="str">
        <f t="shared" si="228"/>
        <v/>
      </c>
      <c r="BD223" s="528" t="str">
        <f t="shared" si="228"/>
        <v/>
      </c>
      <c r="BE223" s="528" t="str">
        <f t="shared" si="228"/>
        <v/>
      </c>
      <c r="BF223" s="528" t="str">
        <f t="shared" si="228"/>
        <v/>
      </c>
      <c r="BG223" s="528" t="str">
        <f t="shared" si="228"/>
        <v/>
      </c>
      <c r="BH223" s="528" t="str">
        <f t="shared" si="228"/>
        <v/>
      </c>
      <c r="BI223" s="528" t="str">
        <f t="shared" si="228"/>
        <v/>
      </c>
      <c r="BJ223" s="528" t="str">
        <f t="shared" si="228"/>
        <v/>
      </c>
      <c r="BK223" s="528" t="str">
        <f t="shared" si="228"/>
        <v/>
      </c>
      <c r="BL223" s="528" t="str">
        <f t="shared" si="228"/>
        <v/>
      </c>
      <c r="BM223" s="528" t="str">
        <f t="shared" si="228"/>
        <v/>
      </c>
    </row>
    <row r="224" spans="6:65" ht="15.75" customHeight="1" x14ac:dyDescent="0.25">
      <c r="F224" s="197"/>
      <c r="G224" s="197">
        <f t="shared" si="3"/>
        <v>0</v>
      </c>
      <c r="H224" s="197">
        <f t="shared" si="4"/>
        <v>385</v>
      </c>
      <c r="I224" s="523">
        <v>1</v>
      </c>
      <c r="J224" s="533">
        <f>'Monthly DCF'!$I$3</f>
        <v>46418</v>
      </c>
      <c r="K224" s="533">
        <f t="shared" si="5"/>
        <v>47542</v>
      </c>
      <c r="L224" s="536">
        <f t="shared" si="196"/>
        <v>38</v>
      </c>
      <c r="M224" s="20" t="s">
        <v>366</v>
      </c>
      <c r="N224" s="20">
        <f t="shared" si="6"/>
        <v>7.6</v>
      </c>
      <c r="O224" s="537">
        <v>5</v>
      </c>
      <c r="P224" s="528">
        <f t="shared" ref="P224:BM224" si="229">IFERROR(+IF(AND($M224="Flat",P$5&gt;=$J224,P$5&lt;=$K224),$I224/$L224,0)+IF(AND($M224="S-Curve",P$5&gt;=$J224,P$5&lt;=$K224),(_xlfn.NORM.DIST((YEAR(P$5)-YEAR($J224))*12+MONTH(P$5)-MONTH($J224)+1,$L224/2,$N224,TRUE)-_xlfn.NORM.DIST((YEAR(P$5)-YEAR($J224))*12+MONTH(P$5)-MONTH($J224),$L224/2,$N224,TRUE))/(1-2*_xlfn.NORM.DIST(0,$L224/2,$N224,TRUE))*$I224," "),"")</f>
        <v>2.7566668878726691E-3</v>
      </c>
      <c r="Q224" s="528">
        <f t="shared" si="229"/>
        <v>3.7629680594536978E-3</v>
      </c>
      <c r="R224" s="528">
        <f t="shared" si="229"/>
        <v>5.0485727365415902E-3</v>
      </c>
      <c r="S224" s="528">
        <f t="shared" si="229"/>
        <v>6.6573065005862573E-3</v>
      </c>
      <c r="T224" s="528">
        <f t="shared" si="229"/>
        <v>8.6282027290005125E-3</v>
      </c>
      <c r="U224" s="528">
        <f t="shared" si="229"/>
        <v>1.0990918517713449E-2</v>
      </c>
      <c r="V224" s="528">
        <f t="shared" si="229"/>
        <v>1.3760667433809643E-2</v>
      </c>
      <c r="W224" s="528">
        <f t="shared" si="229"/>
        <v>1.6933115761566499E-2</v>
      </c>
      <c r="X224" s="528">
        <f t="shared" si="229"/>
        <v>2.0479819623686005E-2</v>
      </c>
      <c r="Y224" s="528">
        <f t="shared" si="229"/>
        <v>2.434485836170007E-2</v>
      </c>
      <c r="Z224" s="528">
        <f t="shared" si="229"/>
        <v>2.8443317904628465E-2</v>
      </c>
      <c r="AA224" s="528">
        <f t="shared" si="229"/>
        <v>3.2662177881672042E-2</v>
      </c>
      <c r="AB224" s="528">
        <f t="shared" si="229"/>
        <v>3.6863953350351357E-2</v>
      </c>
      <c r="AC224" s="528">
        <f t="shared" si="229"/>
        <v>4.0893149666508283E-2</v>
      </c>
      <c r="AD224" s="528">
        <f t="shared" si="229"/>
        <v>4.4585239530096646E-2</v>
      </c>
      <c r="AE224" s="528">
        <f t="shared" si="229"/>
        <v>4.7777512631832511E-2</v>
      </c>
      <c r="AF224" s="528">
        <f t="shared" si="229"/>
        <v>5.0320837285580913E-2</v>
      </c>
      <c r="AG224" s="528">
        <f t="shared" si="229"/>
        <v>5.2091165350098327E-2</v>
      </c>
      <c r="AH224" s="528">
        <f t="shared" si="229"/>
        <v>5.2999549787301092E-2</v>
      </c>
      <c r="AI224" s="528">
        <f t="shared" si="229"/>
        <v>5.2999549787301092E-2</v>
      </c>
      <c r="AJ224" s="528">
        <f t="shared" si="229"/>
        <v>5.2091165350098272E-2</v>
      </c>
      <c r="AK224" s="528">
        <f t="shared" si="229"/>
        <v>5.0320837285580969E-2</v>
      </c>
      <c r="AL224" s="528">
        <f t="shared" si="229"/>
        <v>4.7777512631832567E-2</v>
      </c>
      <c r="AM224" s="528">
        <f t="shared" si="229"/>
        <v>4.4585239530096535E-2</v>
      </c>
      <c r="AN224" s="528">
        <f t="shared" si="229"/>
        <v>4.0893149666508338E-2</v>
      </c>
      <c r="AO224" s="528">
        <f t="shared" si="229"/>
        <v>3.6863953350351385E-2</v>
      </c>
      <c r="AP224" s="528">
        <f t="shared" si="229"/>
        <v>3.2662177881672014E-2</v>
      </c>
      <c r="AQ224" s="528">
        <f t="shared" si="229"/>
        <v>2.8443317904628493E-2</v>
      </c>
      <c r="AR224" s="528">
        <f t="shared" si="229"/>
        <v>2.4344858361700025E-2</v>
      </c>
      <c r="AS224" s="528">
        <f t="shared" si="229"/>
        <v>2.0479819623685992E-2</v>
      </c>
      <c r="AT224" s="528">
        <f t="shared" si="229"/>
        <v>1.6933115761566492E-2</v>
      </c>
      <c r="AU224" s="528">
        <f t="shared" si="229"/>
        <v>1.3760667433809657E-2</v>
      </c>
      <c r="AV224" s="528">
        <f t="shared" si="229"/>
        <v>1.0990918517713492E-2</v>
      </c>
      <c r="AW224" s="528">
        <f t="shared" si="229"/>
        <v>8.6282027290004743E-3</v>
      </c>
      <c r="AX224" s="528">
        <f t="shared" si="229"/>
        <v>6.6573065005862677E-3</v>
      </c>
      <c r="AY224" s="528">
        <f t="shared" si="229"/>
        <v>5.0485727365415563E-3</v>
      </c>
      <c r="AZ224" s="528">
        <f t="shared" si="229"/>
        <v>3.7629680594536996E-3</v>
      </c>
      <c r="BA224" s="528">
        <f t="shared" si="229"/>
        <v>2.7566668878726813E-3</v>
      </c>
      <c r="BB224" s="528" t="str">
        <f t="shared" si="229"/>
        <v/>
      </c>
      <c r="BC224" s="528" t="str">
        <f t="shared" si="229"/>
        <v/>
      </c>
      <c r="BD224" s="528" t="str">
        <f t="shared" si="229"/>
        <v/>
      </c>
      <c r="BE224" s="528" t="str">
        <f t="shared" si="229"/>
        <v/>
      </c>
      <c r="BF224" s="528" t="str">
        <f t="shared" si="229"/>
        <v/>
      </c>
      <c r="BG224" s="528" t="str">
        <f t="shared" si="229"/>
        <v/>
      </c>
      <c r="BH224" s="528" t="str">
        <f t="shared" si="229"/>
        <v/>
      </c>
      <c r="BI224" s="528" t="str">
        <f t="shared" si="229"/>
        <v/>
      </c>
      <c r="BJ224" s="528" t="str">
        <f t="shared" si="229"/>
        <v/>
      </c>
      <c r="BK224" s="528" t="str">
        <f t="shared" si="229"/>
        <v/>
      </c>
      <c r="BL224" s="528" t="str">
        <f t="shared" si="229"/>
        <v/>
      </c>
      <c r="BM224" s="528" t="str">
        <f t="shared" si="229"/>
        <v/>
      </c>
    </row>
    <row r="225" spans="6:65" ht="15.75" customHeight="1" x14ac:dyDescent="0.25">
      <c r="F225" s="197"/>
      <c r="G225" s="197">
        <f t="shared" si="3"/>
        <v>0</v>
      </c>
      <c r="H225" s="197">
        <f t="shared" si="4"/>
        <v>395</v>
      </c>
      <c r="I225" s="523">
        <v>1</v>
      </c>
      <c r="J225" s="533">
        <f>'Monthly DCF'!$I$3</f>
        <v>46418</v>
      </c>
      <c r="K225" s="533">
        <f t="shared" si="5"/>
        <v>47573</v>
      </c>
      <c r="L225" s="536">
        <f t="shared" si="196"/>
        <v>39</v>
      </c>
      <c r="M225" s="20" t="s">
        <v>366</v>
      </c>
      <c r="N225" s="20">
        <f t="shared" si="6"/>
        <v>7.8</v>
      </c>
      <c r="O225" s="537">
        <v>5</v>
      </c>
      <c r="P225" s="528">
        <f t="shared" ref="P225:BM225" si="230">IFERROR(+IF(AND($M225="Flat",P$5&gt;=$J225,P$5&lt;=$K225),$I225/$L225,0)+IF(AND($M225="S-Curve",P$5&gt;=$J225,P$5&lt;=$K225),(_xlfn.NORM.DIST((YEAR(P$5)-YEAR($J225))*12+MONTH(P$5)-MONTH($J225)+1,$L225/2,$N225,TRUE)-_xlfn.NORM.DIST((YEAR(P$5)-YEAR($J225))*12+MONTH(P$5)-MONTH($J225),$L225/2,$N225,TRUE))/(1-2*_xlfn.NORM.DIST(0,$L225/2,$N225,TRUE))*$I225," "),"")</f>
        <v>2.6745079580457664E-3</v>
      </c>
      <c r="Q225" s="528">
        <f t="shared" si="230"/>
        <v>3.6234480010235463E-3</v>
      </c>
      <c r="R225" s="528">
        <f t="shared" si="230"/>
        <v>4.8291600193074227E-3</v>
      </c>
      <c r="S225" s="528">
        <f t="shared" si="230"/>
        <v>6.331295569936557E-3</v>
      </c>
      <c r="T225" s="528">
        <f t="shared" si="230"/>
        <v>8.1655419442691404E-3</v>
      </c>
      <c r="U225" s="528">
        <f t="shared" si="230"/>
        <v>1.0359740496262213E-2</v>
      </c>
      <c r="V225" s="528">
        <f t="shared" si="230"/>
        <v>1.2929572947381103E-2</v>
      </c>
      <c r="W225" s="528">
        <f t="shared" si="230"/>
        <v>1.5874166434738227E-2</v>
      </c>
      <c r="X225" s="528">
        <f t="shared" si="230"/>
        <v>1.9172075300826593E-2</v>
      </c>
      <c r="Y225" s="528">
        <f t="shared" si="230"/>
        <v>2.2778167055722831E-2</v>
      </c>
      <c r="Z225" s="528">
        <f t="shared" si="230"/>
        <v>2.6621950722833451E-2</v>
      </c>
      <c r="AA225" s="528">
        <f t="shared" si="230"/>
        <v>3.0607822417800745E-2</v>
      </c>
      <c r="AB225" s="528">
        <f t="shared" si="230"/>
        <v>3.4617559652984582E-2</v>
      </c>
      <c r="AC225" s="528">
        <f t="shared" si="230"/>
        <v>3.8515179482013974E-2</v>
      </c>
      <c r="AD225" s="528">
        <f t="shared" si="230"/>
        <v>4.2154007165697456E-2</v>
      </c>
      <c r="AE225" s="528">
        <f t="shared" si="230"/>
        <v>4.5385514980655628E-2</v>
      </c>
      <c r="AF225" s="528">
        <f t="shared" si="230"/>
        <v>4.806922665186672E-2</v>
      </c>
      <c r="AG225" s="528">
        <f t="shared" si="230"/>
        <v>5.008278469288123E-2</v>
      </c>
      <c r="AH225" s="528">
        <f t="shared" si="230"/>
        <v>5.1331182387160189E-2</v>
      </c>
      <c r="AI225" s="528">
        <f t="shared" si="230"/>
        <v>5.1754192237185262E-2</v>
      </c>
      <c r="AJ225" s="528">
        <f t="shared" si="230"/>
        <v>5.1331182387160244E-2</v>
      </c>
      <c r="AK225" s="528">
        <f t="shared" si="230"/>
        <v>5.008278469288123E-2</v>
      </c>
      <c r="AL225" s="528">
        <f t="shared" si="230"/>
        <v>4.806922665186672E-2</v>
      </c>
      <c r="AM225" s="528">
        <f t="shared" si="230"/>
        <v>4.5385514980655628E-2</v>
      </c>
      <c r="AN225" s="528">
        <f t="shared" si="230"/>
        <v>4.2154007165697456E-2</v>
      </c>
      <c r="AO225" s="528">
        <f t="shared" si="230"/>
        <v>3.8515179482013974E-2</v>
      </c>
      <c r="AP225" s="528">
        <f t="shared" si="230"/>
        <v>3.4617559652984527E-2</v>
      </c>
      <c r="AQ225" s="528">
        <f t="shared" si="230"/>
        <v>3.0607822417800801E-2</v>
      </c>
      <c r="AR225" s="528">
        <f t="shared" si="230"/>
        <v>2.6621950722833493E-2</v>
      </c>
      <c r="AS225" s="528">
        <f t="shared" si="230"/>
        <v>2.2778167055722845E-2</v>
      </c>
      <c r="AT225" s="528">
        <f t="shared" si="230"/>
        <v>1.9172075300826538E-2</v>
      </c>
      <c r="AU225" s="528">
        <f t="shared" si="230"/>
        <v>1.5874166434738227E-2</v>
      </c>
      <c r="AV225" s="528">
        <f t="shared" si="230"/>
        <v>1.2929572947381117E-2</v>
      </c>
      <c r="AW225" s="528">
        <f t="shared" si="230"/>
        <v>1.0359740496262178E-2</v>
      </c>
      <c r="AX225" s="528">
        <f t="shared" si="230"/>
        <v>8.1655419442691508E-3</v>
      </c>
      <c r="AY225" s="528">
        <f t="shared" si="230"/>
        <v>6.3312955699365318E-3</v>
      </c>
      <c r="AZ225" s="528">
        <f t="shared" si="230"/>
        <v>4.8291600193074227E-3</v>
      </c>
      <c r="BA225" s="528">
        <f t="shared" si="230"/>
        <v>3.623448001023548E-3</v>
      </c>
      <c r="BB225" s="528">
        <f t="shared" si="230"/>
        <v>2.6745079580457734E-3</v>
      </c>
      <c r="BC225" s="528" t="str">
        <f t="shared" si="230"/>
        <v/>
      </c>
      <c r="BD225" s="528" t="str">
        <f t="shared" si="230"/>
        <v/>
      </c>
      <c r="BE225" s="528" t="str">
        <f t="shared" si="230"/>
        <v/>
      </c>
      <c r="BF225" s="528" t="str">
        <f t="shared" si="230"/>
        <v/>
      </c>
      <c r="BG225" s="528" t="str">
        <f t="shared" si="230"/>
        <v/>
      </c>
      <c r="BH225" s="528" t="str">
        <f t="shared" si="230"/>
        <v/>
      </c>
      <c r="BI225" s="528" t="str">
        <f t="shared" si="230"/>
        <v/>
      </c>
      <c r="BJ225" s="528" t="str">
        <f t="shared" si="230"/>
        <v/>
      </c>
      <c r="BK225" s="528" t="str">
        <f t="shared" si="230"/>
        <v/>
      </c>
      <c r="BL225" s="528" t="str">
        <f t="shared" si="230"/>
        <v/>
      </c>
      <c r="BM225" s="528" t="str">
        <f t="shared" si="230"/>
        <v/>
      </c>
    </row>
    <row r="226" spans="6:65" ht="15.75" customHeight="1" x14ac:dyDescent="0.25">
      <c r="F226" s="197"/>
      <c r="G226" s="197">
        <f t="shared" si="3"/>
        <v>0</v>
      </c>
      <c r="H226" s="197">
        <f t="shared" si="4"/>
        <v>405</v>
      </c>
      <c r="I226" s="523">
        <v>1</v>
      </c>
      <c r="J226" s="533">
        <f>'Monthly DCF'!$I$3</f>
        <v>46418</v>
      </c>
      <c r="K226" s="533">
        <f t="shared" si="5"/>
        <v>47603</v>
      </c>
      <c r="L226" s="536">
        <f t="shared" si="196"/>
        <v>40</v>
      </c>
      <c r="M226" s="20" t="s">
        <v>366</v>
      </c>
      <c r="N226" s="20">
        <f t="shared" si="6"/>
        <v>8</v>
      </c>
      <c r="O226" s="537">
        <v>5</v>
      </c>
      <c r="P226" s="528">
        <f t="shared" ref="P226:BM226" si="231">IFERROR(+IF(AND($M226="Flat",P$5&gt;=$J226,P$5&lt;=$K226),$I226/$L226,0)+IF(AND($M226="S-Curve",P$5&gt;=$J226,P$5&lt;=$K226),(_xlfn.NORM.DIST((YEAR(P$5)-YEAR($J226))*12+MONTH(P$5)-MONTH($J226)+1,$L226/2,$N226,TRUE)-_xlfn.NORM.DIST((YEAR(P$5)-YEAR($J226))*12+MONTH(P$5)-MONTH($J226),$L226/2,$N226,TRUE))/(1-2*_xlfn.NORM.DIST(0,$L226/2,$N226,TRUE))*$I226," "),"")</f>
        <v>2.5970635610500052E-3</v>
      </c>
      <c r="Q226" s="528">
        <f t="shared" si="231"/>
        <v>3.4933830383521553E-3</v>
      </c>
      <c r="R226" s="528">
        <f t="shared" si="231"/>
        <v>4.6262892087776215E-3</v>
      </c>
      <c r="S226" s="528">
        <f t="shared" si="231"/>
        <v>6.0317356187828009E-3</v>
      </c>
      <c r="T226" s="528">
        <f t="shared" si="231"/>
        <v>7.7423850571384173E-3</v>
      </c>
      <c r="U226" s="528">
        <f t="shared" si="231"/>
        <v>9.784309675614368E-3</v>
      </c>
      <c r="V226" s="528">
        <f t="shared" si="231"/>
        <v>1.2173306874600911E-2</v>
      </c>
      <c r="W226" s="528">
        <f t="shared" si="231"/>
        <v>1.4911107832187418E-2</v>
      </c>
      <c r="X226" s="528">
        <f t="shared" si="231"/>
        <v>1.7981843543164677E-2</v>
      </c>
      <c r="Y226" s="528">
        <f t="shared" si="231"/>
        <v>2.1349194015137699E-2</v>
      </c>
      <c r="Z226" s="528">
        <f t="shared" si="231"/>
        <v>2.495466368961315E-2</v>
      </c>
      <c r="AA226" s="528">
        <f t="shared" si="231"/>
        <v>2.8717387525779597E-2</v>
      </c>
      <c r="AB226" s="528">
        <f t="shared" si="231"/>
        <v>3.2535771424376296E-2</v>
      </c>
      <c r="AC226" s="528">
        <f t="shared" si="231"/>
        <v>3.6291110829460786E-2</v>
      </c>
      <c r="AD226" s="528">
        <f t="shared" si="231"/>
        <v>3.9853125818874804E-2</v>
      </c>
      <c r="AE226" s="528">
        <f t="shared" si="231"/>
        <v>4.3087122903448391E-2</v>
      </c>
      <c r="AF226" s="528">
        <f t="shared" si="231"/>
        <v>4.5862273338309605E-2</v>
      </c>
      <c r="AG226" s="528">
        <f t="shared" si="231"/>
        <v>4.8060317969886919E-2</v>
      </c>
      <c r="AH226" s="528">
        <f t="shared" si="231"/>
        <v>4.9583899698155583E-2</v>
      </c>
      <c r="AI226" s="528">
        <f t="shared" si="231"/>
        <v>5.0363708377288825E-2</v>
      </c>
      <c r="AJ226" s="528">
        <f t="shared" si="231"/>
        <v>5.0363708377288825E-2</v>
      </c>
      <c r="AK226" s="528">
        <f t="shared" si="231"/>
        <v>4.9583899698155583E-2</v>
      </c>
      <c r="AL226" s="528">
        <f t="shared" si="231"/>
        <v>4.8060317969886919E-2</v>
      </c>
      <c r="AM226" s="528">
        <f t="shared" si="231"/>
        <v>4.5862273338309605E-2</v>
      </c>
      <c r="AN226" s="528">
        <f t="shared" si="231"/>
        <v>4.3087122903448336E-2</v>
      </c>
      <c r="AO226" s="528">
        <f t="shared" si="231"/>
        <v>3.9853125818874804E-2</v>
      </c>
      <c r="AP226" s="528">
        <f t="shared" si="231"/>
        <v>3.6291110829460897E-2</v>
      </c>
      <c r="AQ226" s="528">
        <f t="shared" si="231"/>
        <v>3.2535771424376261E-2</v>
      </c>
      <c r="AR226" s="528">
        <f t="shared" si="231"/>
        <v>2.8717387525779542E-2</v>
      </c>
      <c r="AS226" s="528">
        <f t="shared" si="231"/>
        <v>2.4954663689613195E-2</v>
      </c>
      <c r="AT226" s="528">
        <f t="shared" si="231"/>
        <v>2.134919401513774E-2</v>
      </c>
      <c r="AU226" s="528">
        <f t="shared" si="231"/>
        <v>1.7981843543164594E-2</v>
      </c>
      <c r="AV226" s="528">
        <f t="shared" si="231"/>
        <v>1.4911107832187411E-2</v>
      </c>
      <c r="AW226" s="528">
        <f t="shared" si="231"/>
        <v>1.2173306874600932E-2</v>
      </c>
      <c r="AX226" s="528">
        <f t="shared" si="231"/>
        <v>9.7843096756143576E-3</v>
      </c>
      <c r="AY226" s="528">
        <f t="shared" si="231"/>
        <v>7.7423850571384243E-3</v>
      </c>
      <c r="AZ226" s="528">
        <f t="shared" si="231"/>
        <v>6.0317356187828321E-3</v>
      </c>
      <c r="BA226" s="528">
        <f t="shared" si="231"/>
        <v>4.6262892087776319E-3</v>
      </c>
      <c r="BB226" s="528">
        <f t="shared" si="231"/>
        <v>3.4933830383521254E-3</v>
      </c>
      <c r="BC226" s="528">
        <f t="shared" si="231"/>
        <v>2.597063561049984E-3</v>
      </c>
      <c r="BD226" s="528" t="str">
        <f t="shared" si="231"/>
        <v/>
      </c>
      <c r="BE226" s="528" t="str">
        <f t="shared" si="231"/>
        <v/>
      </c>
      <c r="BF226" s="528" t="str">
        <f t="shared" si="231"/>
        <v/>
      </c>
      <c r="BG226" s="528" t="str">
        <f t="shared" si="231"/>
        <v/>
      </c>
      <c r="BH226" s="528" t="str">
        <f t="shared" si="231"/>
        <v/>
      </c>
      <c r="BI226" s="528" t="str">
        <f t="shared" si="231"/>
        <v/>
      </c>
      <c r="BJ226" s="528" t="str">
        <f t="shared" si="231"/>
        <v/>
      </c>
      <c r="BK226" s="528" t="str">
        <f t="shared" si="231"/>
        <v/>
      </c>
      <c r="BL226" s="528" t="str">
        <f t="shared" si="231"/>
        <v/>
      </c>
      <c r="BM226" s="528" t="str">
        <f t="shared" si="231"/>
        <v/>
      </c>
    </row>
    <row r="227" spans="6:65" ht="15.75" customHeight="1" x14ac:dyDescent="0.25">
      <c r="F227" s="197"/>
      <c r="G227" s="197">
        <f t="shared" si="3"/>
        <v>0</v>
      </c>
      <c r="H227" s="197">
        <f t="shared" si="4"/>
        <v>415</v>
      </c>
      <c r="I227" s="523">
        <v>1</v>
      </c>
      <c r="J227" s="533">
        <f>'Monthly DCF'!$I$3</f>
        <v>46418</v>
      </c>
      <c r="K227" s="533">
        <f t="shared" si="5"/>
        <v>47634</v>
      </c>
      <c r="L227" s="536">
        <f t="shared" si="196"/>
        <v>41</v>
      </c>
      <c r="M227" s="20" t="s">
        <v>366</v>
      </c>
      <c r="N227" s="20">
        <f t="shared" si="6"/>
        <v>8.1999999999999993</v>
      </c>
      <c r="O227" s="537">
        <v>5</v>
      </c>
      <c r="P227" s="528">
        <f t="shared" ref="P227:BM227" si="232">IFERROR(+IF(AND($M227="Flat",P$5&gt;=$J227,P$5&lt;=$K227),$I227/$L227,0)+IF(AND($M227="S-Curve",P$5&gt;=$J227,P$5&lt;=$K227),(_xlfn.NORM.DIST((YEAR(P$5)-YEAR($J227))*12+MONTH(P$5)-MONTH($J227)+1,$L227/2,$N227,TRUE)-_xlfn.NORM.DIST((YEAR(P$5)-YEAR($J227))*12+MONTH(P$5)-MONTH($J227),$L227/2,$N227,TRUE))/(1-2*_xlfn.NORM.DIST(0,$L227/2,$N227,TRUE))*$I227," "),"")</f>
        <v>2.5239420038938431E-3</v>
      </c>
      <c r="Q227" s="528">
        <f t="shared" si="232"/>
        <v>3.3718757082252578E-3</v>
      </c>
      <c r="R227" s="528">
        <f t="shared" si="232"/>
        <v>4.4382610383741907E-3</v>
      </c>
      <c r="S227" s="528">
        <f t="shared" si="232"/>
        <v>5.7557672989350999E-3</v>
      </c>
      <c r="T227" s="528">
        <f t="shared" si="232"/>
        <v>7.3543232928558067E-3</v>
      </c>
      <c r="U227" s="528">
        <f t="shared" si="232"/>
        <v>9.258301390597393E-3</v>
      </c>
      <c r="V227" s="528">
        <f t="shared" si="232"/>
        <v>1.1483361099788168E-2</v>
      </c>
      <c r="W227" s="528">
        <f t="shared" si="232"/>
        <v>1.4033171775513435E-2</v>
      </c>
      <c r="X227" s="528">
        <f t="shared" si="232"/>
        <v>1.6896306376328368E-2</v>
      </c>
      <c r="Y227" s="528">
        <f t="shared" si="232"/>
        <v>2.0043650785813601E-2</v>
      </c>
      <c r="Z227" s="528">
        <f t="shared" si="232"/>
        <v>2.342669365309161E-2</v>
      </c>
      <c r="AA227" s="528">
        <f t="shared" si="232"/>
        <v>2.6977039647776768E-2</v>
      </c>
      <c r="AB227" s="528">
        <f t="shared" si="232"/>
        <v>3.0607418708835266E-2</v>
      </c>
      <c r="AC227" s="528">
        <f t="shared" si="232"/>
        <v>3.4214346032721464E-2</v>
      </c>
      <c r="AD227" s="528">
        <f t="shared" si="232"/>
        <v>3.7682430562559092E-2</v>
      </c>
      <c r="AE227" s="528">
        <f t="shared" si="232"/>
        <v>4.0890149496306594E-2</v>
      </c>
      <c r="AF227" s="528">
        <f t="shared" si="232"/>
        <v>4.3716724706157263E-2</v>
      </c>
      <c r="AG227" s="528">
        <f t="shared" si="232"/>
        <v>4.6049578951115291E-2</v>
      </c>
      <c r="AH227" s="528">
        <f t="shared" si="232"/>
        <v>4.7791739660846634E-2</v>
      </c>
      <c r="AI227" s="528">
        <f t="shared" si="232"/>
        <v>4.8868515317176633E-2</v>
      </c>
      <c r="AJ227" s="528">
        <f t="shared" si="232"/>
        <v>4.9232804986176486E-2</v>
      </c>
      <c r="AK227" s="528">
        <f t="shared" si="232"/>
        <v>4.8868515317176633E-2</v>
      </c>
      <c r="AL227" s="528">
        <f t="shared" si="232"/>
        <v>4.7791739660846697E-2</v>
      </c>
      <c r="AM227" s="528">
        <f t="shared" si="232"/>
        <v>4.6049578951115236E-2</v>
      </c>
      <c r="AN227" s="528">
        <f t="shared" si="232"/>
        <v>4.3716724706157208E-2</v>
      </c>
      <c r="AO227" s="528">
        <f t="shared" si="232"/>
        <v>4.0890149496306656E-2</v>
      </c>
      <c r="AP227" s="528">
        <f t="shared" si="232"/>
        <v>3.7682430562559092E-2</v>
      </c>
      <c r="AQ227" s="528">
        <f t="shared" si="232"/>
        <v>3.4214346032721464E-2</v>
      </c>
      <c r="AR227" s="528">
        <f t="shared" si="232"/>
        <v>3.0607418708835238E-2</v>
      </c>
      <c r="AS227" s="528">
        <f t="shared" si="232"/>
        <v>2.6977039647776823E-2</v>
      </c>
      <c r="AT227" s="528">
        <f t="shared" si="232"/>
        <v>2.3426693653091638E-2</v>
      </c>
      <c r="AU227" s="528">
        <f t="shared" si="232"/>
        <v>2.0043650785813532E-2</v>
      </c>
      <c r="AV227" s="528">
        <f t="shared" si="232"/>
        <v>1.689630637632834E-2</v>
      </c>
      <c r="AW227" s="528">
        <f t="shared" si="232"/>
        <v>1.4033171775513463E-2</v>
      </c>
      <c r="AX227" s="528">
        <f t="shared" si="232"/>
        <v>1.1483361099788147E-2</v>
      </c>
      <c r="AY227" s="528">
        <f t="shared" si="232"/>
        <v>9.2583013905974277E-3</v>
      </c>
      <c r="AZ227" s="528">
        <f t="shared" si="232"/>
        <v>7.3543232928557998E-3</v>
      </c>
      <c r="BA227" s="528">
        <f t="shared" si="232"/>
        <v>5.755767298935093E-3</v>
      </c>
      <c r="BB227" s="528">
        <f t="shared" si="232"/>
        <v>4.4382610383742072E-3</v>
      </c>
      <c r="BC227" s="528">
        <f t="shared" si="232"/>
        <v>3.3718757082252704E-3</v>
      </c>
      <c r="BD227" s="528">
        <f t="shared" si="232"/>
        <v>2.5239420038938028E-3</v>
      </c>
      <c r="BE227" s="528" t="str">
        <f t="shared" si="232"/>
        <v/>
      </c>
      <c r="BF227" s="528" t="str">
        <f t="shared" si="232"/>
        <v/>
      </c>
      <c r="BG227" s="528" t="str">
        <f t="shared" si="232"/>
        <v/>
      </c>
      <c r="BH227" s="528" t="str">
        <f t="shared" si="232"/>
        <v/>
      </c>
      <c r="BI227" s="528" t="str">
        <f t="shared" si="232"/>
        <v/>
      </c>
      <c r="BJ227" s="528" t="str">
        <f t="shared" si="232"/>
        <v/>
      </c>
      <c r="BK227" s="528" t="str">
        <f t="shared" si="232"/>
        <v/>
      </c>
      <c r="BL227" s="528" t="str">
        <f t="shared" si="232"/>
        <v/>
      </c>
      <c r="BM227" s="528" t="str">
        <f t="shared" si="232"/>
        <v/>
      </c>
    </row>
    <row r="228" spans="6:65" ht="15.75" customHeight="1" x14ac:dyDescent="0.25">
      <c r="F228" s="197"/>
      <c r="G228" s="197">
        <f t="shared" si="3"/>
        <v>0</v>
      </c>
      <c r="H228" s="197">
        <f t="shared" si="4"/>
        <v>425</v>
      </c>
      <c r="I228" s="523">
        <v>1</v>
      </c>
      <c r="J228" s="533">
        <f>'Monthly DCF'!$I$3</f>
        <v>46418</v>
      </c>
      <c r="K228" s="533">
        <f t="shared" si="5"/>
        <v>47664</v>
      </c>
      <c r="L228" s="536">
        <f t="shared" si="196"/>
        <v>42</v>
      </c>
      <c r="M228" s="20" t="s">
        <v>366</v>
      </c>
      <c r="N228" s="20">
        <f t="shared" si="6"/>
        <v>8.4</v>
      </c>
      <c r="O228" s="537">
        <v>5</v>
      </c>
      <c r="P228" s="528">
        <f t="shared" ref="P228:BM228" si="233">IFERROR(+IF(AND($M228="Flat",P$5&gt;=$J228,P$5&lt;=$K228),$I228/$L228,0)+IF(AND($M228="S-Curve",P$5&gt;=$J228,P$5&lt;=$K228),(_xlfn.NORM.DIST((YEAR(P$5)-YEAR($J228))*12+MONTH(P$5)-MONTH($J228)+1,$L228/2,$N228,TRUE)-_xlfn.NORM.DIST((YEAR(P$5)-YEAR($J228))*12+MONTH(P$5)-MONTH($J228),$L228/2,$N228,TRUE))/(1-2*_xlfn.NORM.DIST(0,$L228/2,$N228,TRUE))*$I228," "),"")</f>
        <v>2.4547935652801866E-3</v>
      </c>
      <c r="Q228" s="528">
        <f t="shared" si="233"/>
        <v>3.258135922628106E-3</v>
      </c>
      <c r="R228" s="528">
        <f t="shared" si="233"/>
        <v>4.2635925156586825E-3</v>
      </c>
      <c r="S228" s="528">
        <f t="shared" si="233"/>
        <v>5.5009089652130376E-3</v>
      </c>
      <c r="T228" s="528">
        <f t="shared" si="233"/>
        <v>6.9975417908946964E-3</v>
      </c>
      <c r="U228" s="528">
        <f t="shared" si="233"/>
        <v>8.7762466979612059E-3</v>
      </c>
      <c r="V228" s="528">
        <f t="shared" si="233"/>
        <v>1.0852365836789965E-2</v>
      </c>
      <c r="W228" s="528">
        <f t="shared" si="233"/>
        <v>1.3230989102613146E-2</v>
      </c>
      <c r="X228" s="528">
        <f t="shared" si="233"/>
        <v>1.5904223979274289E-2</v>
      </c>
      <c r="Y228" s="528">
        <f t="shared" si="233"/>
        <v>1.8848853632573891E-2</v>
      </c>
      <c r="Z228" s="528">
        <f t="shared" si="233"/>
        <v>2.2024684185019173E-2</v>
      </c>
      <c r="AA228" s="528">
        <f t="shared" si="233"/>
        <v>2.5373871023230826E-2</v>
      </c>
      <c r="AB228" s="528">
        <f t="shared" si="233"/>
        <v>2.8821465397239818E-2</v>
      </c>
      <c r="AC228" s="528">
        <f t="shared" si="233"/>
        <v>3.2277335906755154E-2</v>
      </c>
      <c r="AD228" s="528">
        <f t="shared" si="233"/>
        <v>3.5639499795550332E-2</v>
      </c>
      <c r="AE228" s="528">
        <f t="shared" si="233"/>
        <v>3.8798757124697825E-2</v>
      </c>
      <c r="AF228" s="528">
        <f t="shared" si="233"/>
        <v>4.1644372615892634E-2</v>
      </c>
      <c r="AG228" s="528">
        <f t="shared" si="233"/>
        <v>4.4070414054253083E-2</v>
      </c>
      <c r="AH228" s="528">
        <f t="shared" si="233"/>
        <v>4.5982251840592424E-2</v>
      </c>
      <c r="AI228" s="528">
        <f t="shared" si="233"/>
        <v>4.7302668203321831E-2</v>
      </c>
      <c r="AJ228" s="528">
        <f t="shared" si="233"/>
        <v>4.7977027844559726E-2</v>
      </c>
      <c r="AK228" s="528">
        <f t="shared" si="233"/>
        <v>4.7977027844559671E-2</v>
      </c>
      <c r="AL228" s="528">
        <f t="shared" si="233"/>
        <v>4.7302668203321886E-2</v>
      </c>
      <c r="AM228" s="528">
        <f t="shared" si="233"/>
        <v>4.5982251840592479E-2</v>
      </c>
      <c r="AN228" s="528">
        <f t="shared" si="233"/>
        <v>4.4070414054253028E-2</v>
      </c>
      <c r="AO228" s="528">
        <f t="shared" si="233"/>
        <v>4.1644372615892634E-2</v>
      </c>
      <c r="AP228" s="528">
        <f t="shared" si="233"/>
        <v>3.8798757124697769E-2</v>
      </c>
      <c r="AQ228" s="528">
        <f t="shared" si="233"/>
        <v>3.5639499795550388E-2</v>
      </c>
      <c r="AR228" s="528">
        <f t="shared" si="233"/>
        <v>3.2277335906755182E-2</v>
      </c>
      <c r="AS228" s="528">
        <f t="shared" si="233"/>
        <v>2.8821465397239846E-2</v>
      </c>
      <c r="AT228" s="528">
        <f t="shared" si="233"/>
        <v>2.5373871023230753E-2</v>
      </c>
      <c r="AU228" s="528">
        <f t="shared" si="233"/>
        <v>2.2024684185019201E-2</v>
      </c>
      <c r="AV228" s="528">
        <f t="shared" si="233"/>
        <v>1.8848853632573919E-2</v>
      </c>
      <c r="AW228" s="528">
        <f t="shared" si="233"/>
        <v>1.5904223979274257E-2</v>
      </c>
      <c r="AX228" s="528">
        <f t="shared" si="233"/>
        <v>1.3230989102613139E-2</v>
      </c>
      <c r="AY228" s="528">
        <f t="shared" si="233"/>
        <v>1.0852365836789909E-2</v>
      </c>
      <c r="AZ228" s="528">
        <f t="shared" si="233"/>
        <v>8.7762466979612718E-3</v>
      </c>
      <c r="BA228" s="528">
        <f t="shared" si="233"/>
        <v>6.9975417908947138E-3</v>
      </c>
      <c r="BB228" s="528">
        <f t="shared" si="233"/>
        <v>5.5009089652130515E-3</v>
      </c>
      <c r="BC228" s="528">
        <f t="shared" si="233"/>
        <v>4.2635925156585984E-3</v>
      </c>
      <c r="BD228" s="528">
        <f t="shared" si="233"/>
        <v>3.2581359226281463E-3</v>
      </c>
      <c r="BE228" s="528">
        <f t="shared" si="233"/>
        <v>2.4547935652801554E-3</v>
      </c>
      <c r="BF228" s="528" t="str">
        <f t="shared" si="233"/>
        <v/>
      </c>
      <c r="BG228" s="528" t="str">
        <f t="shared" si="233"/>
        <v/>
      </c>
      <c r="BH228" s="528" t="str">
        <f t="shared" si="233"/>
        <v/>
      </c>
      <c r="BI228" s="528" t="str">
        <f t="shared" si="233"/>
        <v/>
      </c>
      <c r="BJ228" s="528" t="str">
        <f t="shared" si="233"/>
        <v/>
      </c>
      <c r="BK228" s="528" t="str">
        <f t="shared" si="233"/>
        <v/>
      </c>
      <c r="BL228" s="528" t="str">
        <f t="shared" si="233"/>
        <v/>
      </c>
      <c r="BM228" s="528" t="str">
        <f t="shared" si="233"/>
        <v/>
      </c>
    </row>
    <row r="229" spans="6:65" ht="15.75" customHeight="1" x14ac:dyDescent="0.25">
      <c r="F229" s="197"/>
      <c r="G229" s="197">
        <f t="shared" si="3"/>
        <v>0</v>
      </c>
      <c r="H229" s="197">
        <f t="shared" si="4"/>
        <v>435</v>
      </c>
      <c r="I229" s="523">
        <v>1</v>
      </c>
      <c r="J229" s="533">
        <f>'Monthly DCF'!$I$3</f>
        <v>46418</v>
      </c>
      <c r="K229" s="533">
        <f t="shared" si="5"/>
        <v>47695</v>
      </c>
      <c r="L229" s="536">
        <f t="shared" si="196"/>
        <v>43</v>
      </c>
      <c r="M229" s="20" t="s">
        <v>366</v>
      </c>
      <c r="N229" s="20">
        <f t="shared" si="6"/>
        <v>8.6</v>
      </c>
      <c r="O229" s="537">
        <v>5</v>
      </c>
      <c r="P229" s="528">
        <f t="shared" ref="P229:BM229" si="234">IFERROR(+IF(AND($M229="Flat",P$5&gt;=$J229,P$5&lt;=$K229),$I229/$L229,0)+IF(AND($M229="S-Curve",P$5&gt;=$J229,P$5&lt;=$K229),(_xlfn.NORM.DIST((YEAR(P$5)-YEAR($J229))*12+MONTH(P$5)-MONTH($J229)+1,$L229/2,$N229,TRUE)-_xlfn.NORM.DIST((YEAR(P$5)-YEAR($J229))*12+MONTH(P$5)-MONTH($J229),$L229/2,$N229,TRUE))/(1-2*_xlfn.NORM.DIST(0,$L229/2,$N229,TRUE))*$I229," "),"")</f>
        <v>2.3893050478273098E-3</v>
      </c>
      <c r="Q229" s="528">
        <f t="shared" si="234"/>
        <v>3.1514656670548879E-3</v>
      </c>
      <c r="R229" s="528">
        <f t="shared" si="234"/>
        <v>4.1009845243516136E-3</v>
      </c>
      <c r="S229" s="528">
        <f t="shared" si="234"/>
        <v>5.2649985235354501E-3</v>
      </c>
      <c r="T229" s="528">
        <f t="shared" si="234"/>
        <v>6.6687272058972803E-3</v>
      </c>
      <c r="U229" s="528">
        <f t="shared" si="234"/>
        <v>8.3334000002480615E-3</v>
      </c>
      <c r="V229" s="528">
        <f t="shared" si="234"/>
        <v>1.0273917728511902E-2</v>
      </c>
      <c r="W229" s="528">
        <f t="shared" si="234"/>
        <v>1.2496388549775601E-2</v>
      </c>
      <c r="X229" s="528">
        <f t="shared" si="234"/>
        <v>1.4995727497481117E-2</v>
      </c>
      <c r="Y229" s="528">
        <f t="shared" si="234"/>
        <v>1.7753547399878604E-2</v>
      </c>
      <c r="Z229" s="528">
        <f t="shared" si="234"/>
        <v>2.0736589681407052E-2</v>
      </c>
      <c r="AA229" s="528">
        <f t="shared" si="234"/>
        <v>2.3895939612591146E-2</v>
      </c>
      <c r="AB229" s="528">
        <f t="shared" si="234"/>
        <v>2.716723745134372E-2</v>
      </c>
      <c r="AC229" s="528">
        <f t="shared" si="234"/>
        <v>3.0472033362382838E-2</v>
      </c>
      <c r="AD229" s="528">
        <f t="shared" si="234"/>
        <v>3.3720342921449174E-2</v>
      </c>
      <c r="AE229" s="528">
        <f t="shared" si="234"/>
        <v>3.6814348722045233E-2</v>
      </c>
      <c r="AF229" s="528">
        <f t="shared" si="234"/>
        <v>3.965307338257397E-2</v>
      </c>
      <c r="AG229" s="528">
        <f t="shared" si="234"/>
        <v>4.213773416073243E-2</v>
      </c>
      <c r="AH229" s="528">
        <f t="shared" si="234"/>
        <v>4.4177394453163488E-2</v>
      </c>
      <c r="AI229" s="528">
        <f t="shared" si="234"/>
        <v>4.569446651104335E-2</v>
      </c>
      <c r="AJ229" s="528">
        <f t="shared" si="234"/>
        <v>4.6629603125879521E-2</v>
      </c>
      <c r="AK229" s="528">
        <f t="shared" si="234"/>
        <v>4.6945548941652482E-2</v>
      </c>
      <c r="AL229" s="528">
        <f t="shared" si="234"/>
        <v>4.6629603125879521E-2</v>
      </c>
      <c r="AM229" s="528">
        <f t="shared" si="234"/>
        <v>4.5694466511043405E-2</v>
      </c>
      <c r="AN229" s="528">
        <f t="shared" si="234"/>
        <v>4.4177394453163488E-2</v>
      </c>
      <c r="AO229" s="528">
        <f t="shared" si="234"/>
        <v>4.213773416073243E-2</v>
      </c>
      <c r="AP229" s="528">
        <f t="shared" si="234"/>
        <v>3.965307338257397E-2</v>
      </c>
      <c r="AQ229" s="528">
        <f t="shared" si="234"/>
        <v>3.6814348722045205E-2</v>
      </c>
      <c r="AR229" s="528">
        <f t="shared" si="234"/>
        <v>3.3720342921449202E-2</v>
      </c>
      <c r="AS229" s="528">
        <f t="shared" si="234"/>
        <v>3.0472033362382783E-2</v>
      </c>
      <c r="AT229" s="528">
        <f t="shared" si="234"/>
        <v>2.7167237451343775E-2</v>
      </c>
      <c r="AU229" s="528">
        <f t="shared" si="234"/>
        <v>2.3895939612591177E-2</v>
      </c>
      <c r="AV229" s="528">
        <f t="shared" si="234"/>
        <v>2.0736589681407052E-2</v>
      </c>
      <c r="AW229" s="528">
        <f t="shared" si="234"/>
        <v>1.7753547399878521E-2</v>
      </c>
      <c r="AX229" s="528">
        <f t="shared" si="234"/>
        <v>1.4995727497481138E-2</v>
      </c>
      <c r="AY229" s="528">
        <f t="shared" si="234"/>
        <v>1.2496388549775677E-2</v>
      </c>
      <c r="AZ229" s="528">
        <f t="shared" si="234"/>
        <v>1.0273917728511875E-2</v>
      </c>
      <c r="BA229" s="528">
        <f t="shared" si="234"/>
        <v>8.3334000002480892E-3</v>
      </c>
      <c r="BB229" s="528">
        <f t="shared" si="234"/>
        <v>6.6687272058971927E-3</v>
      </c>
      <c r="BC229" s="528">
        <f t="shared" si="234"/>
        <v>5.2649985235354571E-3</v>
      </c>
      <c r="BD229" s="528">
        <f t="shared" si="234"/>
        <v>4.1009845243516413E-3</v>
      </c>
      <c r="BE229" s="528">
        <f t="shared" si="234"/>
        <v>3.1514656670548966E-3</v>
      </c>
      <c r="BF229" s="528">
        <f t="shared" si="234"/>
        <v>2.3893050478272851E-3</v>
      </c>
      <c r="BG229" s="528" t="str">
        <f t="shared" si="234"/>
        <v/>
      </c>
      <c r="BH229" s="528" t="str">
        <f t="shared" si="234"/>
        <v/>
      </c>
      <c r="BI229" s="528" t="str">
        <f t="shared" si="234"/>
        <v/>
      </c>
      <c r="BJ229" s="528" t="str">
        <f t="shared" si="234"/>
        <v/>
      </c>
      <c r="BK229" s="528" t="str">
        <f t="shared" si="234"/>
        <v/>
      </c>
      <c r="BL229" s="528" t="str">
        <f t="shared" si="234"/>
        <v/>
      </c>
      <c r="BM229" s="528" t="str">
        <f t="shared" si="234"/>
        <v/>
      </c>
    </row>
    <row r="230" spans="6:65" ht="15.75" customHeight="1" x14ac:dyDescent="0.25">
      <c r="F230" s="197"/>
      <c r="G230" s="197">
        <f t="shared" si="3"/>
        <v>0</v>
      </c>
      <c r="H230" s="197">
        <f t="shared" si="4"/>
        <v>445</v>
      </c>
      <c r="I230" s="523">
        <v>1</v>
      </c>
      <c r="J230" s="533">
        <f>'Monthly DCF'!$I$3</f>
        <v>46418</v>
      </c>
      <c r="K230" s="533">
        <f t="shared" si="5"/>
        <v>47726</v>
      </c>
      <c r="L230" s="536">
        <f t="shared" si="196"/>
        <v>44</v>
      </c>
      <c r="M230" s="20" t="s">
        <v>366</v>
      </c>
      <c r="N230" s="20">
        <f t="shared" si="6"/>
        <v>8.8000000000000007</v>
      </c>
      <c r="O230" s="537">
        <v>5</v>
      </c>
      <c r="P230" s="528">
        <f t="shared" ref="P230:BM230" si="235">IFERROR(+IF(AND($M230="Flat",P$5&gt;=$J230,P$5&lt;=$K230),$I230/$L230,0)+IF(AND($M230="S-Curve",P$5&gt;=$J230,P$5&lt;=$K230),(_xlfn.NORM.DIST((YEAR(P$5)-YEAR($J230))*12+MONTH(P$5)-MONTH($J230)+1,$L230/2,$N230,TRUE)-_xlfn.NORM.DIST((YEAR(P$5)-YEAR($J230))*12+MONTH(P$5)-MONTH($J230),$L230/2,$N230,TRUE))/(1-2*_xlfn.NORM.DIST(0,$L230/2,$N230,TRUE))*$I230," "),"")</f>
        <v>2.3271951537977282E-3</v>
      </c>
      <c r="Q230" s="528">
        <f t="shared" si="235"/>
        <v>3.0512462059436767E-3</v>
      </c>
      <c r="R230" s="528">
        <f t="shared" si="235"/>
        <v>3.9492949570384822E-3</v>
      </c>
      <c r="S230" s="528">
        <f t="shared" si="235"/>
        <v>5.0461454056067584E-3</v>
      </c>
      <c r="T230" s="528">
        <f t="shared" si="235"/>
        <v>6.364991444323064E-3</v>
      </c>
      <c r="U230" s="528">
        <f t="shared" si="235"/>
        <v>7.925629440563799E-3</v>
      </c>
      <c r="V230" s="528">
        <f t="shared" si="235"/>
        <v>9.7424363998613074E-3</v>
      </c>
      <c r="W230" s="528">
        <f t="shared" si="235"/>
        <v>1.1822226459110987E-2</v>
      </c>
      <c r="X230" s="528">
        <f t="shared" si="235"/>
        <v>1.4162138888717051E-2</v>
      </c>
      <c r="Y230" s="528">
        <f t="shared" si="235"/>
        <v>1.6747743695121432E-2</v>
      </c>
      <c r="Z230" s="528">
        <f t="shared" si="235"/>
        <v>1.9551570374721789E-2</v>
      </c>
      <c r="AA230" s="528">
        <f t="shared" si="235"/>
        <v>2.253226598302489E-2</v>
      </c>
      <c r="AB230" s="528">
        <f t="shared" si="235"/>
        <v>2.5634566536972579E-2</v>
      </c>
      <c r="AC230" s="528">
        <f t="shared" si="235"/>
        <v>2.8790219329483582E-2</v>
      </c>
      <c r="AD230" s="528">
        <f t="shared" si="235"/>
        <v>3.1919924525240999E-2</v>
      </c>
      <c r="AE230" s="528">
        <f t="shared" si="235"/>
        <v>3.4936277303141229E-2</v>
      </c>
      <c r="AF230" s="528">
        <f t="shared" si="235"/>
        <v>3.7747594849182345E-2</v>
      </c>
      <c r="AG230" s="528">
        <f t="shared" si="235"/>
        <v>4.0262416139578053E-2</v>
      </c>
      <c r="AH230" s="528">
        <f t="shared" si="235"/>
        <v>4.2394378335759854E-2</v>
      </c>
      <c r="AI230" s="528">
        <f t="shared" si="235"/>
        <v>4.4067113014798126E-2</v>
      </c>
      <c r="AJ230" s="528">
        <f t="shared" si="235"/>
        <v>4.5218777604988131E-2</v>
      </c>
      <c r="AK230" s="528">
        <f t="shared" si="235"/>
        <v>4.5805847953024163E-2</v>
      </c>
      <c r="AL230" s="528">
        <f t="shared" si="235"/>
        <v>4.5805847953024163E-2</v>
      </c>
      <c r="AM230" s="528">
        <f t="shared" si="235"/>
        <v>4.5218777604988131E-2</v>
      </c>
      <c r="AN230" s="528">
        <f t="shared" si="235"/>
        <v>4.4067113014798126E-2</v>
      </c>
      <c r="AO230" s="528">
        <f t="shared" si="235"/>
        <v>4.2394378335759854E-2</v>
      </c>
      <c r="AP230" s="528">
        <f t="shared" si="235"/>
        <v>4.0262416139577997E-2</v>
      </c>
      <c r="AQ230" s="528">
        <f t="shared" si="235"/>
        <v>3.77475948491824E-2</v>
      </c>
      <c r="AR230" s="528">
        <f t="shared" si="235"/>
        <v>3.4936277303141229E-2</v>
      </c>
      <c r="AS230" s="528">
        <f t="shared" si="235"/>
        <v>3.1919924525240971E-2</v>
      </c>
      <c r="AT230" s="528">
        <f t="shared" si="235"/>
        <v>2.8790219329483582E-2</v>
      </c>
      <c r="AU230" s="528">
        <f t="shared" si="235"/>
        <v>2.5634566536972634E-2</v>
      </c>
      <c r="AV230" s="528">
        <f t="shared" si="235"/>
        <v>2.2532265983024876E-2</v>
      </c>
      <c r="AW230" s="528">
        <f t="shared" si="235"/>
        <v>1.9551570374721789E-2</v>
      </c>
      <c r="AX230" s="528">
        <f t="shared" si="235"/>
        <v>1.6747743695121376E-2</v>
      </c>
      <c r="AY230" s="528">
        <f t="shared" si="235"/>
        <v>1.4162138888717044E-2</v>
      </c>
      <c r="AZ230" s="528">
        <f t="shared" si="235"/>
        <v>1.1822226459111016E-2</v>
      </c>
      <c r="BA230" s="528">
        <f t="shared" si="235"/>
        <v>9.7424363998613785E-3</v>
      </c>
      <c r="BB230" s="528">
        <f t="shared" si="235"/>
        <v>7.9256294405637175E-3</v>
      </c>
      <c r="BC230" s="528">
        <f t="shared" si="235"/>
        <v>6.3649914443231516E-3</v>
      </c>
      <c r="BD230" s="528">
        <f t="shared" si="235"/>
        <v>5.0461454056066604E-3</v>
      </c>
      <c r="BE230" s="528">
        <f t="shared" si="235"/>
        <v>3.9492949570385438E-3</v>
      </c>
      <c r="BF230" s="528">
        <f t="shared" si="235"/>
        <v>3.0512462059436398E-3</v>
      </c>
      <c r="BG230" s="528">
        <f t="shared" si="235"/>
        <v>2.3271951537977196E-3</v>
      </c>
      <c r="BH230" s="528" t="str">
        <f t="shared" si="235"/>
        <v/>
      </c>
      <c r="BI230" s="528" t="str">
        <f t="shared" si="235"/>
        <v/>
      </c>
      <c r="BJ230" s="528" t="str">
        <f t="shared" si="235"/>
        <v/>
      </c>
      <c r="BK230" s="528" t="str">
        <f t="shared" si="235"/>
        <v/>
      </c>
      <c r="BL230" s="528" t="str">
        <f t="shared" si="235"/>
        <v/>
      </c>
      <c r="BM230" s="528" t="str">
        <f t="shared" si="235"/>
        <v/>
      </c>
    </row>
    <row r="231" spans="6:65" ht="15.75" customHeight="1" x14ac:dyDescent="0.25">
      <c r="F231" s="197"/>
      <c r="G231" s="197">
        <f t="shared" si="3"/>
        <v>0</v>
      </c>
      <c r="H231" s="197">
        <f t="shared" si="4"/>
        <v>455</v>
      </c>
      <c r="I231" s="523">
        <v>1</v>
      </c>
      <c r="J231" s="533">
        <f>'Monthly DCF'!$I$3</f>
        <v>46418</v>
      </c>
      <c r="K231" s="533">
        <f t="shared" si="5"/>
        <v>47756</v>
      </c>
      <c r="L231" s="536">
        <f t="shared" si="196"/>
        <v>45</v>
      </c>
      <c r="M231" s="20" t="s">
        <v>366</v>
      </c>
      <c r="N231" s="20">
        <f t="shared" si="6"/>
        <v>9</v>
      </c>
      <c r="O231" s="537">
        <v>5</v>
      </c>
      <c r="P231" s="528">
        <f t="shared" ref="P231:BM231" si="236">IFERROR(+IF(AND($M231="Flat",P$5&gt;=$J231,P$5&lt;=$K231),$I231/$L231,0)+IF(AND($M231="S-Curve",P$5&gt;=$J231,P$5&lt;=$K231),(_xlfn.NORM.DIST((YEAR(P$5)-YEAR($J231))*12+MONTH(P$5)-MONTH($J231)+1,$L231/2,$N231,TRUE)-_xlfn.NORM.DIST((YEAR(P$5)-YEAR($J231))*12+MONTH(P$5)-MONTH($J231),$L231/2,$N231,TRUE))/(1-2*_xlfn.NORM.DIST(0,$L231/2,$N231,TRUE))*$I231," "),"")</f>
        <v>2.2682105431980374E-3</v>
      </c>
      <c r="Q231" s="528">
        <f t="shared" si="236"/>
        <v>2.9569273342096585E-3</v>
      </c>
      <c r="R231" s="528">
        <f t="shared" si="236"/>
        <v>3.8075163262685746E-3</v>
      </c>
      <c r="S231" s="528">
        <f t="shared" si="236"/>
        <v>4.8426907167945735E-3</v>
      </c>
      <c r="T231" s="528">
        <f t="shared" si="236"/>
        <v>6.083808436663311E-3</v>
      </c>
      <c r="U231" s="528">
        <f t="shared" si="236"/>
        <v>7.5493258002842763E-3</v>
      </c>
      <c r="V231" s="528">
        <f t="shared" si="236"/>
        <v>9.2530444238560876E-3</v>
      </c>
      <c r="W231" s="528">
        <f t="shared" si="236"/>
        <v>1.1202242479082858E-2</v>
      </c>
      <c r="X231" s="528">
        <f t="shared" si="236"/>
        <v>1.3395814806146319E-2</v>
      </c>
      <c r="Y231" s="528">
        <f t="shared" si="236"/>
        <v>1.5822574388182097E-2</v>
      </c>
      <c r="Z231" s="528">
        <f t="shared" si="236"/>
        <v>1.8459885539855427E-2</v>
      </c>
      <c r="AA231" s="528">
        <f t="shared" si="236"/>
        <v>2.1272802551654747E-2</v>
      </c>
      <c r="AB231" s="528">
        <f t="shared" si="236"/>
        <v>2.4213873145217973E-2</v>
      </c>
      <c r="AC231" s="528">
        <f t="shared" si="236"/>
        <v>2.7223732324967359E-2</v>
      </c>
      <c r="AD231" s="528">
        <f t="shared" si="236"/>
        <v>3.0232559704750871E-2</v>
      </c>
      <c r="AE231" s="528">
        <f t="shared" si="236"/>
        <v>3.3162405342339107E-2</v>
      </c>
      <c r="AF231" s="528">
        <f t="shared" si="236"/>
        <v>3.5930311222484516E-2</v>
      </c>
      <c r="AG231" s="528">
        <f t="shared" si="236"/>
        <v>3.84520755304033E-2</v>
      </c>
      <c r="AH231" s="528">
        <f t="shared" si="236"/>
        <v>4.0646433712837146E-2</v>
      </c>
      <c r="AI231" s="528">
        <f t="shared" si="236"/>
        <v>4.2439373102035848E-2</v>
      </c>
      <c r="AJ231" s="528">
        <f t="shared" si="236"/>
        <v>4.3768264504446687E-2</v>
      </c>
      <c r="AK231" s="528">
        <f t="shared" si="236"/>
        <v>4.4585490214355102E-2</v>
      </c>
      <c r="AL231" s="528">
        <f t="shared" si="236"/>
        <v>4.4861275699932278E-2</v>
      </c>
      <c r="AM231" s="528">
        <f t="shared" si="236"/>
        <v>4.4585490214355102E-2</v>
      </c>
      <c r="AN231" s="528">
        <f t="shared" si="236"/>
        <v>4.3768264504446687E-2</v>
      </c>
      <c r="AO231" s="528">
        <f t="shared" si="236"/>
        <v>4.2439373102035848E-2</v>
      </c>
      <c r="AP231" s="528">
        <f t="shared" si="236"/>
        <v>4.0646433712837146E-2</v>
      </c>
      <c r="AQ231" s="528">
        <f t="shared" si="236"/>
        <v>3.84520755304033E-2</v>
      </c>
      <c r="AR231" s="528">
        <f t="shared" si="236"/>
        <v>3.5930311222484489E-2</v>
      </c>
      <c r="AS231" s="528">
        <f t="shared" si="236"/>
        <v>3.3162405342339135E-2</v>
      </c>
      <c r="AT231" s="528">
        <f t="shared" si="236"/>
        <v>3.0232559704750899E-2</v>
      </c>
      <c r="AU231" s="528">
        <f t="shared" si="236"/>
        <v>2.7223732324967387E-2</v>
      </c>
      <c r="AV231" s="528">
        <f t="shared" si="236"/>
        <v>2.4213873145217887E-2</v>
      </c>
      <c r="AW231" s="528">
        <f t="shared" si="236"/>
        <v>2.1272802551654747E-2</v>
      </c>
      <c r="AX231" s="528">
        <f t="shared" si="236"/>
        <v>1.8459885539855496E-2</v>
      </c>
      <c r="AY231" s="528">
        <f t="shared" si="236"/>
        <v>1.5822574388182027E-2</v>
      </c>
      <c r="AZ231" s="528">
        <f t="shared" si="236"/>
        <v>1.3395814806146326E-2</v>
      </c>
      <c r="BA231" s="528">
        <f t="shared" si="236"/>
        <v>1.1202242479082865E-2</v>
      </c>
      <c r="BB231" s="528">
        <f t="shared" si="236"/>
        <v>9.2530444238561032E-3</v>
      </c>
      <c r="BC231" s="528">
        <f t="shared" si="236"/>
        <v>7.5493258002842659E-3</v>
      </c>
      <c r="BD231" s="528">
        <f t="shared" si="236"/>
        <v>6.0838084366633535E-3</v>
      </c>
      <c r="BE231" s="528">
        <f t="shared" si="236"/>
        <v>4.8426907167945293E-3</v>
      </c>
      <c r="BF231" s="528">
        <f t="shared" si="236"/>
        <v>3.8075163262685746E-3</v>
      </c>
      <c r="BG231" s="528">
        <f t="shared" si="236"/>
        <v>2.9569273342096988E-3</v>
      </c>
      <c r="BH231" s="528">
        <f t="shared" si="236"/>
        <v>2.2682105431979828E-3</v>
      </c>
      <c r="BI231" s="528" t="str">
        <f t="shared" si="236"/>
        <v/>
      </c>
      <c r="BJ231" s="528" t="str">
        <f t="shared" si="236"/>
        <v/>
      </c>
      <c r="BK231" s="528" t="str">
        <f t="shared" si="236"/>
        <v/>
      </c>
      <c r="BL231" s="528" t="str">
        <f t="shared" si="236"/>
        <v/>
      </c>
      <c r="BM231" s="528" t="str">
        <f t="shared" si="236"/>
        <v/>
      </c>
    </row>
    <row r="232" spans="6:65" ht="15.75" customHeight="1" x14ac:dyDescent="0.25">
      <c r="F232" s="197"/>
      <c r="G232" s="197">
        <f t="shared" si="3"/>
        <v>0</v>
      </c>
      <c r="H232" s="197">
        <f t="shared" si="4"/>
        <v>465</v>
      </c>
      <c r="I232" s="523">
        <v>1</v>
      </c>
      <c r="J232" s="533">
        <f>'Monthly DCF'!$I$3</f>
        <v>46418</v>
      </c>
      <c r="K232" s="533">
        <f t="shared" si="5"/>
        <v>47787</v>
      </c>
      <c r="L232" s="536">
        <f t="shared" si="196"/>
        <v>46</v>
      </c>
      <c r="M232" s="20" t="s">
        <v>366</v>
      </c>
      <c r="N232" s="20">
        <f t="shared" si="6"/>
        <v>9.1999999999999993</v>
      </c>
      <c r="O232" s="537">
        <v>5</v>
      </c>
      <c r="P232" s="528">
        <f t="shared" ref="P232:BM232" si="237">IFERROR(+IF(AND($M232="Flat",P$5&gt;=$J232,P$5&lt;=$K232),$I232/$L232,0)+IF(AND($M232="S-Curve",P$5&gt;=$J232,P$5&lt;=$K232),(_xlfn.NORM.DIST((YEAR(P$5)-YEAR($J232))*12+MONTH(P$5)-MONTH($J232)+1,$L232/2,$N232,TRUE)-_xlfn.NORM.DIST((YEAR(P$5)-YEAR($J232))*12+MONTH(P$5)-MONTH($J232),$L232/2,$N232,TRUE))/(1-2*_xlfn.NORM.DIST(0,$L232/2,$N232,TRUE))*$I232," "),"")</f>
        <v>2.2121224600092004E-3</v>
      </c>
      <c r="Q232" s="528">
        <f t="shared" si="237"/>
        <v>2.868018307341643E-3</v>
      </c>
      <c r="R232" s="528">
        <f t="shared" si="237"/>
        <v>3.674757021307604E-3</v>
      </c>
      <c r="S232" s="528">
        <f t="shared" si="237"/>
        <v>4.6531740148284886E-3</v>
      </c>
      <c r="T232" s="528">
        <f t="shared" si="237"/>
        <v>5.8229614906330981E-3</v>
      </c>
      <c r="U232" s="528">
        <f t="shared" si="237"/>
        <v>7.2013264894408317E-3</v>
      </c>
      <c r="V232" s="528">
        <f t="shared" si="237"/>
        <v>8.801466594316798E-3</v>
      </c>
      <c r="W232" s="528">
        <f t="shared" si="237"/>
        <v>1.0630937149626303E-2</v>
      </c>
      <c r="X232" s="528">
        <f t="shared" si="237"/>
        <v>1.2690011602773625E-2</v>
      </c>
      <c r="Y232" s="528">
        <f t="shared" si="237"/>
        <v>1.497016033395877E-2</v>
      </c>
      <c r="Z232" s="528">
        <f t="shared" si="237"/>
        <v>1.7452789447362983E-2</v>
      </c>
      <c r="AA232" s="528">
        <f t="shared" si="237"/>
        <v>2.0108385975128418E-2</v>
      </c>
      <c r="AB232" s="528">
        <f t="shared" si="237"/>
        <v>2.2896207011242502E-2</v>
      </c>
      <c r="AC232" s="528">
        <f t="shared" si="237"/>
        <v>2.5764625889225127E-2</v>
      </c>
      <c r="AD232" s="528">
        <f t="shared" si="237"/>
        <v>2.8652208755236806E-2</v>
      </c>
      <c r="AE232" s="528">
        <f t="shared" si="237"/>
        <v>3.1489541812829036E-2</v>
      </c>
      <c r="AF232" s="528">
        <f t="shared" si="237"/>
        <v>3.4201767133644777E-2</v>
      </c>
      <c r="AG232" s="528">
        <f t="shared" si="237"/>
        <v>3.67117189446051E-2</v>
      </c>
      <c r="AH232" s="528">
        <f t="shared" si="237"/>
        <v>3.8943489570207684E-2</v>
      </c>
      <c r="AI232" s="528">
        <f t="shared" si="237"/>
        <v>4.0826201945945405E-2</v>
      </c>
      <c r="AJ232" s="528">
        <f t="shared" si="237"/>
        <v>4.2297730481356766E-2</v>
      </c>
      <c r="AK232" s="528">
        <f t="shared" si="237"/>
        <v>4.3308099198638143E-2</v>
      </c>
      <c r="AL232" s="528">
        <f t="shared" si="237"/>
        <v>4.3822298370340913E-2</v>
      </c>
      <c r="AM232" s="528">
        <f t="shared" si="237"/>
        <v>4.3822298370340913E-2</v>
      </c>
      <c r="AN232" s="528">
        <f t="shared" si="237"/>
        <v>4.3308099198638143E-2</v>
      </c>
      <c r="AO232" s="528">
        <f t="shared" si="237"/>
        <v>4.2297730481356766E-2</v>
      </c>
      <c r="AP232" s="528">
        <f t="shared" si="237"/>
        <v>4.0826201945945405E-2</v>
      </c>
      <c r="AQ232" s="528">
        <f t="shared" si="237"/>
        <v>3.8943489570207629E-2</v>
      </c>
      <c r="AR232" s="528">
        <f t="shared" si="237"/>
        <v>3.6711718944605155E-2</v>
      </c>
      <c r="AS232" s="528">
        <f t="shared" si="237"/>
        <v>3.4201767133644749E-2</v>
      </c>
      <c r="AT232" s="528">
        <f t="shared" si="237"/>
        <v>3.1489541812829119E-2</v>
      </c>
      <c r="AU232" s="528">
        <f t="shared" si="237"/>
        <v>2.8652208755236695E-2</v>
      </c>
      <c r="AV232" s="528">
        <f t="shared" si="237"/>
        <v>2.576462588922521E-2</v>
      </c>
      <c r="AW232" s="528">
        <f t="shared" si="237"/>
        <v>2.2896207011242446E-2</v>
      </c>
      <c r="AX232" s="528">
        <f t="shared" si="237"/>
        <v>2.0108385975128405E-2</v>
      </c>
      <c r="AY232" s="528">
        <f t="shared" si="237"/>
        <v>1.7452789447362983E-2</v>
      </c>
      <c r="AZ232" s="528">
        <f t="shared" si="237"/>
        <v>1.4970160333958756E-2</v>
      </c>
      <c r="BA232" s="528">
        <f t="shared" si="237"/>
        <v>1.2690011602773667E-2</v>
      </c>
      <c r="BB232" s="528">
        <f t="shared" si="237"/>
        <v>1.0630937149626344E-2</v>
      </c>
      <c r="BC232" s="528">
        <f t="shared" si="237"/>
        <v>8.8014665943167356E-3</v>
      </c>
      <c r="BD232" s="528">
        <f t="shared" si="237"/>
        <v>7.2013264894408499E-3</v>
      </c>
      <c r="BE232" s="528">
        <f t="shared" si="237"/>
        <v>5.8229614906331545E-3</v>
      </c>
      <c r="BF232" s="528">
        <f t="shared" si="237"/>
        <v>4.6531740148284886E-3</v>
      </c>
      <c r="BG232" s="528">
        <f t="shared" si="237"/>
        <v>3.6747570213075424E-3</v>
      </c>
      <c r="BH232" s="528">
        <f t="shared" si="237"/>
        <v>2.8680183073416464E-3</v>
      </c>
      <c r="BI232" s="528">
        <f t="shared" si="237"/>
        <v>2.2121224600091935E-3</v>
      </c>
      <c r="BJ232" s="528" t="str">
        <f t="shared" si="237"/>
        <v/>
      </c>
      <c r="BK232" s="528" t="str">
        <f t="shared" si="237"/>
        <v/>
      </c>
      <c r="BL232" s="528" t="str">
        <f t="shared" si="237"/>
        <v/>
      </c>
      <c r="BM232" s="528" t="str">
        <f t="shared" si="237"/>
        <v/>
      </c>
    </row>
    <row r="233" spans="6:65" ht="15.75" customHeight="1" x14ac:dyDescent="0.25">
      <c r="F233" s="197"/>
      <c r="G233" s="197">
        <f t="shared" si="3"/>
        <v>0</v>
      </c>
      <c r="H233" s="197">
        <f t="shared" si="4"/>
        <v>475</v>
      </c>
      <c r="I233" s="523">
        <v>1</v>
      </c>
      <c r="J233" s="533">
        <f>'Monthly DCF'!$I$3</f>
        <v>46418</v>
      </c>
      <c r="K233" s="533">
        <f t="shared" si="5"/>
        <v>47817</v>
      </c>
      <c r="L233" s="536">
        <f t="shared" si="196"/>
        <v>47</v>
      </c>
      <c r="M233" s="20" t="s">
        <v>366</v>
      </c>
      <c r="N233" s="20">
        <f t="shared" si="6"/>
        <v>9.4</v>
      </c>
      <c r="O233" s="537">
        <v>5</v>
      </c>
      <c r="P233" s="528">
        <f t="shared" ref="P233:BM233" si="238">IFERROR(+IF(AND($M233="Flat",P$5&gt;=$J233,P$5&lt;=$K233),$I233/$L233,0)+IF(AND($M233="S-Curve",P$5&gt;=$J233,P$5&lt;=$K233),(_xlfn.NORM.DIST((YEAR(P$5)-YEAR($J233))*12+MONTH(P$5)-MONTH($J233)+1,$L233/2,$N233,TRUE)-_xlfn.NORM.DIST((YEAR(P$5)-YEAR($J233))*12+MONTH(P$5)-MONTH($J233),$L233/2,$N233,TRUE))/(1-2*_xlfn.NORM.DIST(0,$L233/2,$N233,TRUE))*$I233," "),"")</f>
        <v>2.1587238335861103E-3</v>
      </c>
      <c r="Q233" s="528">
        <f t="shared" si="238"/>
        <v>2.7840801553871215E-3</v>
      </c>
      <c r="R233" s="528">
        <f t="shared" si="238"/>
        <v>3.5502255477412423E-3</v>
      </c>
      <c r="S233" s="528">
        <f t="shared" si="238"/>
        <v>4.4763054947502042E-3</v>
      </c>
      <c r="T233" s="528">
        <f t="shared" si="238"/>
        <v>5.5804992723157776E-3</v>
      </c>
      <c r="U233" s="528">
        <f t="shared" si="238"/>
        <v>6.8788518949654751E-3</v>
      </c>
      <c r="V233" s="528">
        <f t="shared" si="238"/>
        <v>8.3839451563084422E-3</v>
      </c>
      <c r="W233" s="528">
        <f t="shared" si="238"/>
        <v>1.0103467901450811E-2</v>
      </c>
      <c r="X233" s="528">
        <f t="shared" si="238"/>
        <v>1.2038768742690538E-2</v>
      </c>
      <c r="Y233" s="528">
        <f t="shared" si="238"/>
        <v>1.4183494593545337E-2</v>
      </c>
      <c r="Z233" s="528">
        <f t="shared" si="238"/>
        <v>1.6522432766676986E-2</v>
      </c>
      <c r="AA233" s="528">
        <f t="shared" si="238"/>
        <v>1.9030680159638692E-2</v>
      </c>
      <c r="AB233" s="528">
        <f t="shared" si="238"/>
        <v>2.167325791776006E-2</v>
      </c>
      <c r="AC233" s="528">
        <f t="shared" si="238"/>
        <v>2.4405272476324943E-2</v>
      </c>
      <c r="AD233" s="528">
        <f t="shared" si="238"/>
        <v>2.7172693837950398E-2</v>
      </c>
      <c r="AE233" s="528">
        <f t="shared" si="238"/>
        <v>2.9913780598667738E-2</v>
      </c>
      <c r="AF233" s="528">
        <f t="shared" si="238"/>
        <v>3.2561131394569509E-2</v>
      </c>
      <c r="AG233" s="528">
        <f t="shared" si="238"/>
        <v>3.5044288287094348E-2</v>
      </c>
      <c r="AH233" s="528">
        <f t="shared" si="238"/>
        <v>3.7292764356020795E-2</v>
      </c>
      <c r="AI233" s="528">
        <f t="shared" si="238"/>
        <v>3.9239321121846561E-2</v>
      </c>
      <c r="AJ233" s="528">
        <f t="shared" si="238"/>
        <v>4.0823286871428943E-2</v>
      </c>
      <c r="AK233" s="528">
        <f t="shared" si="238"/>
        <v>4.1993689093022694E-2</v>
      </c>
      <c r="AL233" s="528">
        <f t="shared" si="238"/>
        <v>4.2711976047329105E-2</v>
      </c>
      <c r="AM233" s="528">
        <f t="shared" si="238"/>
        <v>4.2954124957856388E-2</v>
      </c>
      <c r="AN233" s="528">
        <f t="shared" si="238"/>
        <v>4.2711976047329105E-2</v>
      </c>
      <c r="AO233" s="528">
        <f t="shared" si="238"/>
        <v>4.1993689093022694E-2</v>
      </c>
      <c r="AP233" s="528">
        <f t="shared" si="238"/>
        <v>4.0823286871428943E-2</v>
      </c>
      <c r="AQ233" s="528">
        <f t="shared" si="238"/>
        <v>3.9239321121846506E-2</v>
      </c>
      <c r="AR233" s="528">
        <f t="shared" si="238"/>
        <v>3.7292764356020858E-2</v>
      </c>
      <c r="AS233" s="528">
        <f t="shared" si="238"/>
        <v>3.5044288287094348E-2</v>
      </c>
      <c r="AT233" s="528">
        <f t="shared" si="238"/>
        <v>3.2561131394569565E-2</v>
      </c>
      <c r="AU233" s="528">
        <f t="shared" si="238"/>
        <v>2.9913780598667738E-2</v>
      </c>
      <c r="AV233" s="528">
        <f t="shared" si="238"/>
        <v>2.7172693837950315E-2</v>
      </c>
      <c r="AW233" s="528">
        <f t="shared" si="238"/>
        <v>2.4405272476324943E-2</v>
      </c>
      <c r="AX233" s="528">
        <f t="shared" si="238"/>
        <v>2.1673257917760074E-2</v>
      </c>
      <c r="AY233" s="528">
        <f t="shared" si="238"/>
        <v>1.9030680159638665E-2</v>
      </c>
      <c r="AZ233" s="528">
        <f t="shared" si="238"/>
        <v>1.6522432766677014E-2</v>
      </c>
      <c r="BA233" s="528">
        <f t="shared" si="238"/>
        <v>1.4183494593545351E-2</v>
      </c>
      <c r="BB233" s="528">
        <f t="shared" si="238"/>
        <v>1.2038768742690574E-2</v>
      </c>
      <c r="BC233" s="528">
        <f t="shared" si="238"/>
        <v>1.0103467901450804E-2</v>
      </c>
      <c r="BD233" s="528">
        <f t="shared" si="238"/>
        <v>8.3839451563083936E-3</v>
      </c>
      <c r="BE233" s="528">
        <f t="shared" si="238"/>
        <v>6.8788518949655349E-3</v>
      </c>
      <c r="BF233" s="528">
        <f t="shared" si="238"/>
        <v>5.58049927231569E-3</v>
      </c>
      <c r="BG233" s="528">
        <f t="shared" si="238"/>
        <v>4.4763054947502953E-3</v>
      </c>
      <c r="BH233" s="528">
        <f t="shared" si="238"/>
        <v>3.5502255477412141E-3</v>
      </c>
      <c r="BI233" s="528">
        <f t="shared" si="238"/>
        <v>2.7840801553870795E-3</v>
      </c>
      <c r="BJ233" s="528">
        <f t="shared" si="238"/>
        <v>2.1587238335861124E-3</v>
      </c>
      <c r="BK233" s="528" t="str">
        <f t="shared" si="238"/>
        <v/>
      </c>
      <c r="BL233" s="528" t="str">
        <f t="shared" si="238"/>
        <v/>
      </c>
      <c r="BM233" s="528" t="str">
        <f t="shared" si="238"/>
        <v/>
      </c>
    </row>
    <row r="234" spans="6:65" ht="15.75" customHeight="1" x14ac:dyDescent="0.25">
      <c r="F234" s="197"/>
      <c r="G234" s="197">
        <f t="shared" si="3"/>
        <v>0</v>
      </c>
      <c r="H234" s="197">
        <f t="shared" si="4"/>
        <v>485</v>
      </c>
      <c r="I234" s="523">
        <v>1</v>
      </c>
      <c r="J234" s="533">
        <f>'Monthly DCF'!$I$3</f>
        <v>46418</v>
      </c>
      <c r="K234" s="533">
        <f t="shared" si="5"/>
        <v>47848</v>
      </c>
      <c r="L234" s="536">
        <f t="shared" si="196"/>
        <v>48</v>
      </c>
      <c r="M234" s="20" t="s">
        <v>366</v>
      </c>
      <c r="N234" s="20">
        <f t="shared" si="6"/>
        <v>9.6</v>
      </c>
      <c r="O234" s="537">
        <v>5</v>
      </c>
      <c r="P234" s="528">
        <f t="shared" ref="P234:BM234" si="239">IFERROR(+IF(AND($M234="Flat",P$5&gt;=$J234,P$5&lt;=$K234),$I234/$L234,0)+IF(AND($M234="S-Curve",P$5&gt;=$J234,P$5&lt;=$K234),(_xlfn.NORM.DIST((YEAR(P$5)-YEAR($J234))*12+MONTH(P$5)-MONTH($J234)+1,$L234/2,$N234,TRUE)-_xlfn.NORM.DIST((YEAR(P$5)-YEAR($J234))*12+MONTH(P$5)-MONTH($J234),$L234/2,$N234,TRUE))/(1-2*_xlfn.NORM.DIST(0,$L234/2,$N234,TRUE))*$I234," "),"")</f>
        <v>2.1078267791999985E-3</v>
      </c>
      <c r="Q234" s="528">
        <f t="shared" si="239"/>
        <v>2.7047191432818247E-3</v>
      </c>
      <c r="R234" s="528">
        <f t="shared" si="239"/>
        <v>3.4332172194780843E-3</v>
      </c>
      <c r="S234" s="528">
        <f t="shared" si="239"/>
        <v>4.3109426026873088E-3</v>
      </c>
      <c r="T234" s="528">
        <f t="shared" si="239"/>
        <v>5.3546988538854421E-3</v>
      </c>
      <c r="U234" s="528">
        <f t="shared" si="239"/>
        <v>6.5794518855683409E-3</v>
      </c>
      <c r="V234" s="528">
        <f t="shared" si="239"/>
        <v>7.9971682595911964E-3</v>
      </c>
      <c r="W234" s="528">
        <f t="shared" si="239"/>
        <v>9.6155605507336848E-3</v>
      </c>
      <c r="X234" s="528">
        <f t="shared" si="239"/>
        <v>1.143680816201526E-2</v>
      </c>
      <c r="Y234" s="528">
        <f t="shared" si="239"/>
        <v>1.3456339093390467E-2</v>
      </c>
      <c r="Z234" s="528">
        <f t="shared" si="239"/>
        <v>1.5661770881657076E-2</v>
      </c>
      <c r="AA234" s="528">
        <f t="shared" si="239"/>
        <v>1.8032114993317389E-2</v>
      </c>
      <c r="AB234" s="528">
        <f t="shared" si="239"/>
        <v>2.0537346435843304E-2</v>
      </c>
      <c r="AC234" s="528">
        <f t="shared" si="239"/>
        <v>2.3138427962772448E-2</v>
      </c>
      <c r="AD234" s="528">
        <f t="shared" si="239"/>
        <v>2.5787855604335125E-2</v>
      </c>
      <c r="AE234" s="528">
        <f t="shared" si="239"/>
        <v>2.8430760093375224E-2</v>
      </c>
      <c r="AF234" s="528">
        <f t="shared" si="239"/>
        <v>3.1006559008585951E-2</v>
      </c>
      <c r="AG234" s="528">
        <f t="shared" si="239"/>
        <v>3.3451110183192585E-2</v>
      </c>
      <c r="AH234" s="528">
        <f t="shared" si="239"/>
        <v>3.5699272081742284E-2</v>
      </c>
      <c r="AI234" s="528">
        <f t="shared" si="239"/>
        <v>3.7687735897873824E-2</v>
      </c>
      <c r="AJ234" s="528">
        <f t="shared" si="239"/>
        <v>3.935796155750701E-2</v>
      </c>
      <c r="AK234" s="528">
        <f t="shared" si="239"/>
        <v>4.065902958198455E-2</v>
      </c>
      <c r="AL234" s="528">
        <f t="shared" si="239"/>
        <v>4.1550215777348076E-2</v>
      </c>
      <c r="AM234" s="528">
        <f t="shared" si="239"/>
        <v>4.2003107390633572E-2</v>
      </c>
      <c r="AN234" s="528">
        <f t="shared" si="239"/>
        <v>4.2003107390633634E-2</v>
      </c>
      <c r="AO234" s="528">
        <f t="shared" si="239"/>
        <v>4.1550215777348021E-2</v>
      </c>
      <c r="AP234" s="528">
        <f t="shared" si="239"/>
        <v>4.0659029581984495E-2</v>
      </c>
      <c r="AQ234" s="528">
        <f t="shared" si="239"/>
        <v>3.935796155750701E-2</v>
      </c>
      <c r="AR234" s="528">
        <f t="shared" si="239"/>
        <v>3.7687735897873942E-2</v>
      </c>
      <c r="AS234" s="528">
        <f t="shared" si="239"/>
        <v>3.5699272081742173E-2</v>
      </c>
      <c r="AT234" s="528">
        <f t="shared" si="239"/>
        <v>3.3451110183192613E-2</v>
      </c>
      <c r="AU234" s="528">
        <f t="shared" si="239"/>
        <v>3.1006559008585979E-2</v>
      </c>
      <c r="AV234" s="528">
        <f t="shared" si="239"/>
        <v>2.8430760093375196E-2</v>
      </c>
      <c r="AW234" s="528">
        <f t="shared" si="239"/>
        <v>2.5787855604335153E-2</v>
      </c>
      <c r="AX234" s="528">
        <f t="shared" si="239"/>
        <v>2.3138427962772504E-2</v>
      </c>
      <c r="AY234" s="528">
        <f t="shared" si="239"/>
        <v>2.0537346435843259E-2</v>
      </c>
      <c r="AZ234" s="528">
        <f t="shared" si="239"/>
        <v>1.8032114993317347E-2</v>
      </c>
      <c r="BA234" s="528">
        <f t="shared" si="239"/>
        <v>1.5661770881657149E-2</v>
      </c>
      <c r="BB234" s="528">
        <f t="shared" si="239"/>
        <v>1.3456339093390404E-2</v>
      </c>
      <c r="BC234" s="528">
        <f t="shared" si="239"/>
        <v>1.1436808162015288E-2</v>
      </c>
      <c r="BD234" s="528">
        <f t="shared" si="239"/>
        <v>9.6155605507337195E-3</v>
      </c>
      <c r="BE234" s="528">
        <f t="shared" si="239"/>
        <v>7.9971682595911305E-3</v>
      </c>
      <c r="BF234" s="528">
        <f t="shared" si="239"/>
        <v>6.5794518855683869E-3</v>
      </c>
      <c r="BG234" s="528">
        <f t="shared" si="239"/>
        <v>5.3546988538854352E-3</v>
      </c>
      <c r="BH234" s="528">
        <f t="shared" si="239"/>
        <v>4.3109426026872542E-3</v>
      </c>
      <c r="BI234" s="528">
        <f t="shared" si="239"/>
        <v>3.4332172194780981E-3</v>
      </c>
      <c r="BJ234" s="528">
        <f t="shared" si="239"/>
        <v>2.7047191432818473E-3</v>
      </c>
      <c r="BK234" s="528">
        <f t="shared" si="239"/>
        <v>2.1078267791999755E-3</v>
      </c>
      <c r="BL234" s="528" t="str">
        <f t="shared" si="239"/>
        <v/>
      </c>
      <c r="BM234" s="528" t="str">
        <f t="shared" si="239"/>
        <v/>
      </c>
    </row>
    <row r="235" spans="6:65" ht="15.75" customHeight="1" x14ac:dyDescent="0.25">
      <c r="F235" s="197"/>
      <c r="G235" s="197">
        <f t="shared" si="3"/>
        <v>0</v>
      </c>
      <c r="H235" s="197">
        <f t="shared" si="4"/>
        <v>495</v>
      </c>
      <c r="I235" s="523">
        <v>1</v>
      </c>
      <c r="J235" s="533">
        <f>'Monthly DCF'!$I$3</f>
        <v>46418</v>
      </c>
      <c r="K235" s="533">
        <f t="shared" si="5"/>
        <v>47879</v>
      </c>
      <c r="L235" s="536">
        <f t="shared" si="196"/>
        <v>49</v>
      </c>
      <c r="M235" s="20" t="s">
        <v>366</v>
      </c>
      <c r="N235" s="20">
        <f t="shared" si="6"/>
        <v>9.8000000000000007</v>
      </c>
      <c r="O235" s="537">
        <v>5</v>
      </c>
      <c r="P235" s="528">
        <f t="shared" ref="P235:BM235" si="240">IFERROR(+IF(AND($M235="Flat",P$5&gt;=$J235,P$5&lt;=$K235),$I235/$L235,0)+IF(AND($M235="S-Curve",P$5&gt;=$J235,P$5&lt;=$K235),(_xlfn.NORM.DIST((YEAR(P$5)-YEAR($J235))*12+MONTH(P$5)-MONTH($J235)+1,$L235/2,$N235,TRUE)-_xlfn.NORM.DIST((YEAR(P$5)-YEAR($J235))*12+MONTH(P$5)-MONTH($J235),$L235/2,$N235,TRUE))/(1-2*_xlfn.NORM.DIST(0,$L235/2,$N235,TRUE))*$I235," "),"")</f>
        <v>2.0592604352478549E-3</v>
      </c>
      <c r="Q235" s="528">
        <f t="shared" si="240"/>
        <v>2.6295811850420114E-3</v>
      </c>
      <c r="R235" s="528">
        <f t="shared" si="240"/>
        <v>3.3231028763834589E-3</v>
      </c>
      <c r="S235" s="528">
        <f t="shared" si="240"/>
        <v>4.1560702943073567E-3</v>
      </c>
      <c r="T235" s="528">
        <f t="shared" si="240"/>
        <v>5.1440345738531365E-3</v>
      </c>
      <c r="U235" s="528">
        <f t="shared" si="240"/>
        <v>6.3009606949629877E-3</v>
      </c>
      <c r="V235" s="528">
        <f t="shared" si="240"/>
        <v>7.6382093978391097E-3</v>
      </c>
      <c r="W235" s="528">
        <f t="shared" si="240"/>
        <v>9.1634338409577812E-3</v>
      </c>
      <c r="X235" s="528">
        <f t="shared" si="240"/>
        <v>1.0879447396392124E-2</v>
      </c>
      <c r="Y235" s="528">
        <f t="shared" si="240"/>
        <v>1.2783133512767119E-2</v>
      </c>
      <c r="Z235" s="528">
        <f t="shared" si="240"/>
        <v>1.4864479762906032E-2</v>
      </c>
      <c r="AA235" s="528">
        <f t="shared" si="240"/>
        <v>1.7105824214890892E-2</v>
      </c>
      <c r="AB235" s="528">
        <f t="shared" si="240"/>
        <v>1.9481401524817709E-2</v>
      </c>
      <c r="AC235" s="528">
        <f t="shared" si="240"/>
        <v>2.1957267506769629E-2</v>
      </c>
      <c r="AD235" s="528">
        <f t="shared" si="240"/>
        <v>2.4491663928100704E-2</v>
      </c>
      <c r="AE235" s="528">
        <f t="shared" si="240"/>
        <v>2.7035860290833234E-2</v>
      </c>
      <c r="AF235" s="528">
        <f t="shared" si="240"/>
        <v>2.9535477709913494E-2</v>
      </c>
      <c r="AG235" s="528">
        <f t="shared" si="240"/>
        <v>3.1932263911064178E-2</v>
      </c>
      <c r="AH235" s="528">
        <f t="shared" si="240"/>
        <v>3.4166250831422516E-2</v>
      </c>
      <c r="AI235" s="528">
        <f t="shared" si="240"/>
        <v>3.6178190799610987E-2</v>
      </c>
      <c r="AJ235" s="528">
        <f t="shared" si="240"/>
        <v>3.7912137423443786E-2</v>
      </c>
      <c r="AK235" s="528">
        <f t="shared" si="240"/>
        <v>3.9318016476102641E-2</v>
      </c>
      <c r="AL235" s="528">
        <f t="shared" si="240"/>
        <v>4.0354022910903543E-2</v>
      </c>
      <c r="AM235" s="528">
        <f t="shared" si="240"/>
        <v>4.0988684267156433E-2</v>
      </c>
      <c r="AN235" s="528">
        <f t="shared" si="240"/>
        <v>4.1202448468622671E-2</v>
      </c>
      <c r="AO235" s="528">
        <f t="shared" si="240"/>
        <v>4.0988684267156322E-2</v>
      </c>
      <c r="AP235" s="528">
        <f t="shared" si="240"/>
        <v>4.0354022910903654E-2</v>
      </c>
      <c r="AQ235" s="528">
        <f t="shared" si="240"/>
        <v>3.9318016476102585E-2</v>
      </c>
      <c r="AR235" s="528">
        <f t="shared" si="240"/>
        <v>3.7912137423443786E-2</v>
      </c>
      <c r="AS235" s="528">
        <f t="shared" si="240"/>
        <v>3.6178190799610987E-2</v>
      </c>
      <c r="AT235" s="528">
        <f t="shared" si="240"/>
        <v>3.4166250831422516E-2</v>
      </c>
      <c r="AU235" s="528">
        <f t="shared" si="240"/>
        <v>3.1932263911064178E-2</v>
      </c>
      <c r="AV235" s="528">
        <f t="shared" si="240"/>
        <v>2.9535477709913466E-2</v>
      </c>
      <c r="AW235" s="528">
        <f t="shared" si="240"/>
        <v>2.703586029083329E-2</v>
      </c>
      <c r="AX235" s="528">
        <f t="shared" si="240"/>
        <v>2.4491663928100732E-2</v>
      </c>
      <c r="AY235" s="528">
        <f t="shared" si="240"/>
        <v>2.1957267506769518E-2</v>
      </c>
      <c r="AZ235" s="528">
        <f t="shared" si="240"/>
        <v>1.9481401524817806E-2</v>
      </c>
      <c r="BA235" s="528">
        <f t="shared" si="240"/>
        <v>1.7105824214890809E-2</v>
      </c>
      <c r="BB235" s="528">
        <f t="shared" si="240"/>
        <v>1.4864479762906103E-2</v>
      </c>
      <c r="BC235" s="528">
        <f t="shared" si="240"/>
        <v>1.2783133512767112E-2</v>
      </c>
      <c r="BD235" s="528">
        <f t="shared" si="240"/>
        <v>1.0879447396392152E-2</v>
      </c>
      <c r="BE235" s="528">
        <f t="shared" si="240"/>
        <v>9.163433840957684E-3</v>
      </c>
      <c r="BF235" s="528">
        <f t="shared" si="240"/>
        <v>7.6382093978392121E-3</v>
      </c>
      <c r="BG235" s="528">
        <f t="shared" si="240"/>
        <v>6.300960694962914E-3</v>
      </c>
      <c r="BH235" s="528">
        <f t="shared" si="240"/>
        <v>5.1440345738531642E-3</v>
      </c>
      <c r="BI235" s="528">
        <f t="shared" si="240"/>
        <v>4.1560702943073671E-3</v>
      </c>
      <c r="BJ235" s="528">
        <f t="shared" si="240"/>
        <v>3.3231028763834394E-3</v>
      </c>
      <c r="BK235" s="528">
        <f t="shared" si="240"/>
        <v>2.6295811850419694E-3</v>
      </c>
      <c r="BL235" s="528">
        <f t="shared" si="240"/>
        <v>2.0592604352478723E-3</v>
      </c>
      <c r="BM235" s="528" t="str">
        <f t="shared" si="240"/>
        <v/>
      </c>
    </row>
    <row r="236" spans="6:65" ht="15.75" customHeight="1" x14ac:dyDescent="0.25">
      <c r="F236" s="197"/>
      <c r="G236" s="197">
        <f t="shared" si="3"/>
        <v>0</v>
      </c>
      <c r="H236" s="197">
        <f t="shared" si="4"/>
        <v>505</v>
      </c>
      <c r="I236" s="523">
        <v>1</v>
      </c>
      <c r="J236" s="533">
        <f>'Monthly DCF'!$I$3</f>
        <v>46418</v>
      </c>
      <c r="K236" s="533">
        <f t="shared" si="5"/>
        <v>47907</v>
      </c>
      <c r="L236" s="536">
        <f t="shared" si="196"/>
        <v>50</v>
      </c>
      <c r="M236" s="20" t="s">
        <v>366</v>
      </c>
      <c r="N236" s="20">
        <f t="shared" si="6"/>
        <v>10</v>
      </c>
      <c r="O236" s="537">
        <v>5</v>
      </c>
      <c r="P236" s="528">
        <f t="shared" ref="P236:BM236" si="241">IFERROR(+IF(AND($M236="Flat",P$5&gt;=$J236,P$5&lt;=$K236),$I236/$L236,0)+IF(AND($M236="S-Curve",P$5&gt;=$J236,P$5&lt;=$K236),(_xlfn.NORM.DIST((YEAR(P$5)-YEAR($J236))*12+MONTH(P$5)-MONTH($J236)+1,$L236/2,$N236,TRUE)-_xlfn.NORM.DIST((YEAR(P$5)-YEAR($J236))*12+MONTH(P$5)-MONTH($J236),$L236/2,$N236,TRUE))/(1-2*_xlfn.NORM.DIST(0,$L236/2,$N236,TRUE))*$I236," "),"")</f>
        <v>2.0128690855517528E-3</v>
      </c>
      <c r="Q236" s="528">
        <f t="shared" si="241"/>
        <v>2.5583470550781199E-3</v>
      </c>
      <c r="R236" s="528">
        <f t="shared" si="241"/>
        <v>3.2193192824646328E-3</v>
      </c>
      <c r="S236" s="528">
        <f t="shared" si="241"/>
        <v>4.0107843057835312E-3</v>
      </c>
      <c r="T236" s="528">
        <f t="shared" si="241"/>
        <v>4.9471516980845462E-3</v>
      </c>
      <c r="U236" s="528">
        <f t="shared" si="241"/>
        <v>6.0414587415516495E-3</v>
      </c>
      <c r="V236" s="528">
        <f t="shared" si="241"/>
        <v>7.3044759995993412E-3</v>
      </c>
      <c r="W236" s="528">
        <f t="shared" si="241"/>
        <v>8.743734981481819E-3</v>
      </c>
      <c r="X236" s="528">
        <f t="shared" si="241"/>
        <v>1.0362524559909271E-2</v>
      </c>
      <c r="Y236" s="528">
        <f t="shared" si="241"/>
        <v>1.2158915156999033E-2</v>
      </c>
      <c r="Z236" s="528">
        <f t="shared" si="241"/>
        <v>1.4124879514010834E-2</v>
      </c>
      <c r="AA236" s="528">
        <f t="shared" si="241"/>
        <v>1.6245584639100027E-2</v>
      </c>
      <c r="AB236" s="528">
        <f t="shared" si="241"/>
        <v>1.8498929964021044E-2</v>
      </c>
      <c r="AC236" s="528">
        <f t="shared" si="241"/>
        <v>2.0855400843621974E-2</v>
      </c>
      <c r="AD236" s="528">
        <f t="shared" si="241"/>
        <v>2.3278293812941248E-2</v>
      </c>
      <c r="AE236" s="528">
        <f t="shared" si="241"/>
        <v>2.5724350631592729E-2</v>
      </c>
      <c r="AF236" s="528">
        <f t="shared" si="241"/>
        <v>2.8144812975100988E-2</v>
      </c>
      <c r="AG236" s="528">
        <f t="shared" si="241"/>
        <v>3.0486880286488563E-2</v>
      </c>
      <c r="AH236" s="528">
        <f t="shared" si="241"/>
        <v>3.2695522025864898E-2</v>
      </c>
      <c r="AI236" s="528">
        <f t="shared" si="241"/>
        <v>3.4715565057113096E-2</v>
      </c>
      <c r="AJ236" s="528">
        <f t="shared" si="241"/>
        <v>3.6493950096721309E-2</v>
      </c>
      <c r="AK236" s="528">
        <f t="shared" si="241"/>
        <v>3.798203082095445E-2</v>
      </c>
      <c r="AL236" s="528">
        <f t="shared" si="241"/>
        <v>3.9137777752727726E-2</v>
      </c>
      <c r="AM236" s="528">
        <f t="shared" si="241"/>
        <v>3.9927748067496167E-2</v>
      </c>
      <c r="AN236" s="528">
        <f t="shared" si="241"/>
        <v>4.0328692645741272E-2</v>
      </c>
      <c r="AO236" s="528">
        <f t="shared" si="241"/>
        <v>4.0328692645741272E-2</v>
      </c>
      <c r="AP236" s="528">
        <f t="shared" si="241"/>
        <v>3.9927748067496112E-2</v>
      </c>
      <c r="AQ236" s="528">
        <f t="shared" si="241"/>
        <v>3.9137777752727781E-2</v>
      </c>
      <c r="AR236" s="528">
        <f t="shared" si="241"/>
        <v>3.7982030820954506E-2</v>
      </c>
      <c r="AS236" s="528">
        <f t="shared" si="241"/>
        <v>3.6493950096721253E-2</v>
      </c>
      <c r="AT236" s="528">
        <f t="shared" si="241"/>
        <v>3.4715565057113096E-2</v>
      </c>
      <c r="AU236" s="528">
        <f t="shared" si="241"/>
        <v>3.2695522025864843E-2</v>
      </c>
      <c r="AV236" s="528">
        <f t="shared" si="241"/>
        <v>3.0486880286488591E-2</v>
      </c>
      <c r="AW236" s="528">
        <f t="shared" si="241"/>
        <v>2.8144812975100988E-2</v>
      </c>
      <c r="AX236" s="528">
        <f t="shared" si="241"/>
        <v>2.5724350631592785E-2</v>
      </c>
      <c r="AY236" s="528">
        <f t="shared" si="241"/>
        <v>2.3278293812941192E-2</v>
      </c>
      <c r="AZ236" s="528">
        <f t="shared" si="241"/>
        <v>2.0855400843622057E-2</v>
      </c>
      <c r="BA236" s="528">
        <f t="shared" si="241"/>
        <v>1.8498929964021003E-2</v>
      </c>
      <c r="BB236" s="528">
        <f t="shared" si="241"/>
        <v>1.6245584639099999E-2</v>
      </c>
      <c r="BC236" s="528">
        <f t="shared" si="241"/>
        <v>1.412487951401082E-2</v>
      </c>
      <c r="BD236" s="528">
        <f t="shared" si="241"/>
        <v>1.2158915156999033E-2</v>
      </c>
      <c r="BE236" s="528">
        <f t="shared" si="241"/>
        <v>1.0362524559909334E-2</v>
      </c>
      <c r="BF236" s="528">
        <f t="shared" si="241"/>
        <v>8.7437349814818051E-3</v>
      </c>
      <c r="BG236" s="528">
        <f t="shared" si="241"/>
        <v>7.3044759995992675E-3</v>
      </c>
      <c r="BH236" s="528">
        <f t="shared" si="241"/>
        <v>6.0414587415516851E-3</v>
      </c>
      <c r="BI236" s="528">
        <f t="shared" si="241"/>
        <v>4.9471516980845462E-3</v>
      </c>
      <c r="BJ236" s="528">
        <f t="shared" si="241"/>
        <v>4.0107843057835555E-3</v>
      </c>
      <c r="BK236" s="528">
        <f t="shared" si="241"/>
        <v>3.2193192824645995E-3</v>
      </c>
      <c r="BL236" s="528">
        <f t="shared" si="241"/>
        <v>2.5583470550781216E-3</v>
      </c>
      <c r="BM236" s="528">
        <f t="shared" si="241"/>
        <v>2.012869085551751E-3</v>
      </c>
    </row>
    <row r="237" spans="6:65" ht="15.75" customHeight="1" x14ac:dyDescent="0.25">
      <c r="F237" s="197"/>
      <c r="G237" s="197">
        <f t="shared" si="3"/>
        <v>0</v>
      </c>
      <c r="H237" s="197">
        <f t="shared" si="4"/>
        <v>56</v>
      </c>
      <c r="I237" s="523">
        <v>1</v>
      </c>
      <c r="J237" s="533">
        <f>'Monthly DCF'!$I$3</f>
        <v>46418</v>
      </c>
      <c r="K237" s="533">
        <f t="shared" si="5"/>
        <v>46538</v>
      </c>
      <c r="L237" s="536">
        <v>5</v>
      </c>
      <c r="M237" s="20" t="s">
        <v>366</v>
      </c>
      <c r="N237" s="20">
        <f t="shared" si="6"/>
        <v>0.83333333333333337</v>
      </c>
      <c r="O237" s="537">
        <v>6</v>
      </c>
      <c r="P237" s="528">
        <f t="shared" ref="P237:BM237" si="242">IFERROR(+IF(AND($M237="Flat",P$5&gt;=$J237,P$5&lt;=$K237),$I237/$L237,0)+IF(AND($M237="S-Curve",P$5&gt;=$J237,P$5&lt;=$K237),(_xlfn.NORM.DIST((YEAR(P$5)-YEAR($J237))*12+MONTH(P$5)-MONTH($J237)+1,$L237/2,$N237,TRUE)-_xlfn.NORM.DIST((YEAR(P$5)-YEAR($J237))*12+MONTH(P$5)-MONTH($J237),$L237/2,$N237,TRUE))/(1-2*_xlfn.NORM.DIST(0,$L237/2,$N237,TRUE))*$I237," "),"")</f>
        <v>3.4674033901520386E-2</v>
      </c>
      <c r="Q237" s="528">
        <f t="shared" si="242"/>
        <v>0.23896796340399112</v>
      </c>
      <c r="R237" s="528">
        <f t="shared" si="242"/>
        <v>0.45271600538897694</v>
      </c>
      <c r="S237" s="528">
        <f t="shared" si="242"/>
        <v>0.23896796340399118</v>
      </c>
      <c r="T237" s="528">
        <f t="shared" si="242"/>
        <v>3.4674033901520337E-2</v>
      </c>
      <c r="U237" s="528" t="str">
        <f t="shared" si="242"/>
        <v/>
      </c>
      <c r="V237" s="528" t="str">
        <f t="shared" si="242"/>
        <v/>
      </c>
      <c r="W237" s="528" t="str">
        <f t="shared" si="242"/>
        <v/>
      </c>
      <c r="X237" s="528" t="str">
        <f t="shared" si="242"/>
        <v/>
      </c>
      <c r="Y237" s="528" t="str">
        <f t="shared" si="242"/>
        <v/>
      </c>
      <c r="Z237" s="528" t="str">
        <f t="shared" si="242"/>
        <v/>
      </c>
      <c r="AA237" s="528" t="str">
        <f t="shared" si="242"/>
        <v/>
      </c>
      <c r="AB237" s="528" t="str">
        <f t="shared" si="242"/>
        <v/>
      </c>
      <c r="AC237" s="528" t="str">
        <f t="shared" si="242"/>
        <v/>
      </c>
      <c r="AD237" s="528" t="str">
        <f t="shared" si="242"/>
        <v/>
      </c>
      <c r="AE237" s="528" t="str">
        <f t="shared" si="242"/>
        <v/>
      </c>
      <c r="AF237" s="528" t="str">
        <f t="shared" si="242"/>
        <v/>
      </c>
      <c r="AG237" s="528" t="str">
        <f t="shared" si="242"/>
        <v/>
      </c>
      <c r="AH237" s="528" t="str">
        <f t="shared" si="242"/>
        <v/>
      </c>
      <c r="AI237" s="528" t="str">
        <f t="shared" si="242"/>
        <v/>
      </c>
      <c r="AJ237" s="528" t="str">
        <f t="shared" si="242"/>
        <v/>
      </c>
      <c r="AK237" s="528" t="str">
        <f t="shared" si="242"/>
        <v/>
      </c>
      <c r="AL237" s="528" t="str">
        <f t="shared" si="242"/>
        <v/>
      </c>
      <c r="AM237" s="528" t="str">
        <f t="shared" si="242"/>
        <v/>
      </c>
      <c r="AN237" s="528" t="str">
        <f t="shared" si="242"/>
        <v/>
      </c>
      <c r="AO237" s="528" t="str">
        <f t="shared" si="242"/>
        <v/>
      </c>
      <c r="AP237" s="528" t="str">
        <f t="shared" si="242"/>
        <v/>
      </c>
      <c r="AQ237" s="528" t="str">
        <f t="shared" si="242"/>
        <v/>
      </c>
      <c r="AR237" s="528" t="str">
        <f t="shared" si="242"/>
        <v/>
      </c>
      <c r="AS237" s="528" t="str">
        <f t="shared" si="242"/>
        <v/>
      </c>
      <c r="AT237" s="528" t="str">
        <f t="shared" si="242"/>
        <v/>
      </c>
      <c r="AU237" s="528" t="str">
        <f t="shared" si="242"/>
        <v/>
      </c>
      <c r="AV237" s="528" t="str">
        <f t="shared" si="242"/>
        <v/>
      </c>
      <c r="AW237" s="528" t="str">
        <f t="shared" si="242"/>
        <v/>
      </c>
      <c r="AX237" s="528" t="str">
        <f t="shared" si="242"/>
        <v/>
      </c>
      <c r="AY237" s="528" t="str">
        <f t="shared" si="242"/>
        <v/>
      </c>
      <c r="AZ237" s="528" t="str">
        <f t="shared" si="242"/>
        <v/>
      </c>
      <c r="BA237" s="528" t="str">
        <f t="shared" si="242"/>
        <v/>
      </c>
      <c r="BB237" s="528" t="str">
        <f t="shared" si="242"/>
        <v/>
      </c>
      <c r="BC237" s="528" t="str">
        <f t="shared" si="242"/>
        <v/>
      </c>
      <c r="BD237" s="528" t="str">
        <f t="shared" si="242"/>
        <v/>
      </c>
      <c r="BE237" s="528" t="str">
        <f t="shared" si="242"/>
        <v/>
      </c>
      <c r="BF237" s="528" t="str">
        <f t="shared" si="242"/>
        <v/>
      </c>
      <c r="BG237" s="528" t="str">
        <f t="shared" si="242"/>
        <v/>
      </c>
      <c r="BH237" s="528" t="str">
        <f t="shared" si="242"/>
        <v/>
      </c>
      <c r="BI237" s="528" t="str">
        <f t="shared" si="242"/>
        <v/>
      </c>
      <c r="BJ237" s="528" t="str">
        <f t="shared" si="242"/>
        <v/>
      </c>
      <c r="BK237" s="528" t="str">
        <f t="shared" si="242"/>
        <v/>
      </c>
      <c r="BL237" s="528" t="str">
        <f t="shared" si="242"/>
        <v/>
      </c>
      <c r="BM237" s="528" t="str">
        <f t="shared" si="242"/>
        <v/>
      </c>
    </row>
    <row r="238" spans="6:65" ht="15.75" customHeight="1" x14ac:dyDescent="0.25">
      <c r="F238" s="197"/>
      <c r="G238" s="197">
        <f t="shared" si="3"/>
        <v>0</v>
      </c>
      <c r="H238" s="197">
        <f t="shared" si="4"/>
        <v>66</v>
      </c>
      <c r="I238" s="523">
        <v>1</v>
      </c>
      <c r="J238" s="533">
        <f>'Monthly DCF'!$I$3</f>
        <v>46418</v>
      </c>
      <c r="K238" s="533">
        <f t="shared" si="5"/>
        <v>46568</v>
      </c>
      <c r="L238" s="536">
        <f t="shared" ref="L238:L282" si="243">L237+1</f>
        <v>6</v>
      </c>
      <c r="M238" s="20" t="s">
        <v>366</v>
      </c>
      <c r="N238" s="20">
        <f t="shared" si="6"/>
        <v>1</v>
      </c>
      <c r="O238" s="537">
        <v>6</v>
      </c>
      <c r="P238" s="528">
        <f t="shared" ref="P238:BM238" si="244">IFERROR(+IF(AND($M238="Flat",P$5&gt;=$J238,P$5&lt;=$K238),$I238/$L238,0)+IF(AND($M238="S-Curve",P$5&gt;=$J238,P$5&lt;=$K238),(_xlfn.NORM.DIST((YEAR(P$5)-YEAR($J238))*12+MONTH(P$5)-MONTH($J238)+1,$L238/2,$N238,TRUE)-_xlfn.NORM.DIST((YEAR(P$5)-YEAR($J238))*12+MONTH(P$5)-MONTH($J238),$L238/2,$N238,TRUE))/(1-2*_xlfn.NORM.DIST(0,$L238/2,$N238,TRUE))*$I238," "),"")</f>
        <v>2.1458166590234196E-2</v>
      </c>
      <c r="Q238" s="528">
        <f t="shared" si="244"/>
        <v>0.13627303137691774</v>
      </c>
      <c r="R238" s="528">
        <f t="shared" si="244"/>
        <v>0.3422688020328481</v>
      </c>
      <c r="S238" s="528">
        <f t="shared" si="244"/>
        <v>0.3422688020328481</v>
      </c>
      <c r="T238" s="528">
        <f t="shared" si="244"/>
        <v>0.13627303137691768</v>
      </c>
      <c r="U238" s="528">
        <f t="shared" si="244"/>
        <v>2.1458166590234203E-2</v>
      </c>
      <c r="V238" s="528" t="str">
        <f t="shared" si="244"/>
        <v/>
      </c>
      <c r="W238" s="528" t="str">
        <f t="shared" si="244"/>
        <v/>
      </c>
      <c r="X238" s="528" t="str">
        <f t="shared" si="244"/>
        <v/>
      </c>
      <c r="Y238" s="528" t="str">
        <f t="shared" si="244"/>
        <v/>
      </c>
      <c r="Z238" s="528" t="str">
        <f t="shared" si="244"/>
        <v/>
      </c>
      <c r="AA238" s="528" t="str">
        <f t="shared" si="244"/>
        <v/>
      </c>
      <c r="AB238" s="528" t="str">
        <f t="shared" si="244"/>
        <v/>
      </c>
      <c r="AC238" s="528" t="str">
        <f t="shared" si="244"/>
        <v/>
      </c>
      <c r="AD238" s="528" t="str">
        <f t="shared" si="244"/>
        <v/>
      </c>
      <c r="AE238" s="528" t="str">
        <f t="shared" si="244"/>
        <v/>
      </c>
      <c r="AF238" s="528" t="str">
        <f t="shared" si="244"/>
        <v/>
      </c>
      <c r="AG238" s="528" t="str">
        <f t="shared" si="244"/>
        <v/>
      </c>
      <c r="AH238" s="528" t="str">
        <f t="shared" si="244"/>
        <v/>
      </c>
      <c r="AI238" s="528" t="str">
        <f t="shared" si="244"/>
        <v/>
      </c>
      <c r="AJ238" s="528" t="str">
        <f t="shared" si="244"/>
        <v/>
      </c>
      <c r="AK238" s="528" t="str">
        <f t="shared" si="244"/>
        <v/>
      </c>
      <c r="AL238" s="528" t="str">
        <f t="shared" si="244"/>
        <v/>
      </c>
      <c r="AM238" s="528" t="str">
        <f t="shared" si="244"/>
        <v/>
      </c>
      <c r="AN238" s="528" t="str">
        <f t="shared" si="244"/>
        <v/>
      </c>
      <c r="AO238" s="528" t="str">
        <f t="shared" si="244"/>
        <v/>
      </c>
      <c r="AP238" s="528" t="str">
        <f t="shared" si="244"/>
        <v/>
      </c>
      <c r="AQ238" s="528" t="str">
        <f t="shared" si="244"/>
        <v/>
      </c>
      <c r="AR238" s="528" t="str">
        <f t="shared" si="244"/>
        <v/>
      </c>
      <c r="AS238" s="528" t="str">
        <f t="shared" si="244"/>
        <v/>
      </c>
      <c r="AT238" s="528" t="str">
        <f t="shared" si="244"/>
        <v/>
      </c>
      <c r="AU238" s="528" t="str">
        <f t="shared" si="244"/>
        <v/>
      </c>
      <c r="AV238" s="528" t="str">
        <f t="shared" si="244"/>
        <v/>
      </c>
      <c r="AW238" s="528" t="str">
        <f t="shared" si="244"/>
        <v/>
      </c>
      <c r="AX238" s="528" t="str">
        <f t="shared" si="244"/>
        <v/>
      </c>
      <c r="AY238" s="528" t="str">
        <f t="shared" si="244"/>
        <v/>
      </c>
      <c r="AZ238" s="528" t="str">
        <f t="shared" si="244"/>
        <v/>
      </c>
      <c r="BA238" s="528" t="str">
        <f t="shared" si="244"/>
        <v/>
      </c>
      <c r="BB238" s="528" t="str">
        <f t="shared" si="244"/>
        <v/>
      </c>
      <c r="BC238" s="528" t="str">
        <f t="shared" si="244"/>
        <v/>
      </c>
      <c r="BD238" s="528" t="str">
        <f t="shared" si="244"/>
        <v/>
      </c>
      <c r="BE238" s="528" t="str">
        <f t="shared" si="244"/>
        <v/>
      </c>
      <c r="BF238" s="528" t="str">
        <f t="shared" si="244"/>
        <v/>
      </c>
      <c r="BG238" s="528" t="str">
        <f t="shared" si="244"/>
        <v/>
      </c>
      <c r="BH238" s="528" t="str">
        <f t="shared" si="244"/>
        <v/>
      </c>
      <c r="BI238" s="528" t="str">
        <f t="shared" si="244"/>
        <v/>
      </c>
      <c r="BJ238" s="528" t="str">
        <f t="shared" si="244"/>
        <v/>
      </c>
      <c r="BK238" s="528" t="str">
        <f t="shared" si="244"/>
        <v/>
      </c>
      <c r="BL238" s="528" t="str">
        <f t="shared" si="244"/>
        <v/>
      </c>
      <c r="BM238" s="528" t="str">
        <f t="shared" si="244"/>
        <v/>
      </c>
    </row>
    <row r="239" spans="6:65" ht="15.75" customHeight="1" x14ac:dyDescent="0.25">
      <c r="F239" s="197"/>
      <c r="G239" s="197">
        <f t="shared" si="3"/>
        <v>0</v>
      </c>
      <c r="H239" s="197">
        <f t="shared" si="4"/>
        <v>76</v>
      </c>
      <c r="I239" s="523">
        <v>1</v>
      </c>
      <c r="J239" s="533">
        <f>'Monthly DCF'!$I$3</f>
        <v>46418</v>
      </c>
      <c r="K239" s="533">
        <f t="shared" si="5"/>
        <v>46599</v>
      </c>
      <c r="L239" s="536">
        <f t="shared" si="243"/>
        <v>7</v>
      </c>
      <c r="M239" s="20" t="s">
        <v>366</v>
      </c>
      <c r="N239" s="20">
        <f t="shared" si="6"/>
        <v>1.1666666666666667</v>
      </c>
      <c r="O239" s="537">
        <v>6</v>
      </c>
      <c r="P239" s="528">
        <f t="shared" ref="P239:BM239" si="245">IFERROR(+IF(AND($M239="Flat",P$5&gt;=$J239,P$5&lt;=$K239),$I239/$L239,0)+IF(AND($M239="S-Curve",P$5&gt;=$J239,P$5&lt;=$K239),(_xlfn.NORM.DIST((YEAR(P$5)-YEAR($J239))*12+MONTH(P$5)-MONTH($J239)+1,$L239/2,$N239,TRUE)-_xlfn.NORM.DIST((YEAR(P$5)-YEAR($J239))*12+MONTH(P$5)-MONTH($J239),$L239/2,$N239,TRUE))/(1-2*_xlfn.NORM.DIST(0,$L239/2,$N239,TRUE))*$I239," "),"")</f>
        <v>1.4752215545652749E-2</v>
      </c>
      <c r="Q239" s="528">
        <f t="shared" si="245"/>
        <v>8.3434367015110672E-2</v>
      </c>
      <c r="R239" s="528">
        <f t="shared" si="245"/>
        <v>0.23548192723441</v>
      </c>
      <c r="S239" s="528">
        <f t="shared" si="245"/>
        <v>0.33266298040965314</v>
      </c>
      <c r="T239" s="528">
        <f t="shared" si="245"/>
        <v>0.23548192723441003</v>
      </c>
      <c r="U239" s="528">
        <f t="shared" si="245"/>
        <v>8.34343670151107E-2</v>
      </c>
      <c r="V239" s="528">
        <f t="shared" si="245"/>
        <v>1.4752215545652691E-2</v>
      </c>
      <c r="W239" s="528" t="str">
        <f t="shared" si="245"/>
        <v/>
      </c>
      <c r="X239" s="528" t="str">
        <f t="shared" si="245"/>
        <v/>
      </c>
      <c r="Y239" s="528" t="str">
        <f t="shared" si="245"/>
        <v/>
      </c>
      <c r="Z239" s="528" t="str">
        <f t="shared" si="245"/>
        <v/>
      </c>
      <c r="AA239" s="528" t="str">
        <f t="shared" si="245"/>
        <v/>
      </c>
      <c r="AB239" s="528" t="str">
        <f t="shared" si="245"/>
        <v/>
      </c>
      <c r="AC239" s="528" t="str">
        <f t="shared" si="245"/>
        <v/>
      </c>
      <c r="AD239" s="528" t="str">
        <f t="shared" si="245"/>
        <v/>
      </c>
      <c r="AE239" s="528" t="str">
        <f t="shared" si="245"/>
        <v/>
      </c>
      <c r="AF239" s="528" t="str">
        <f t="shared" si="245"/>
        <v/>
      </c>
      <c r="AG239" s="528" t="str">
        <f t="shared" si="245"/>
        <v/>
      </c>
      <c r="AH239" s="528" t="str">
        <f t="shared" si="245"/>
        <v/>
      </c>
      <c r="AI239" s="528" t="str">
        <f t="shared" si="245"/>
        <v/>
      </c>
      <c r="AJ239" s="528" t="str">
        <f t="shared" si="245"/>
        <v/>
      </c>
      <c r="AK239" s="528" t="str">
        <f t="shared" si="245"/>
        <v/>
      </c>
      <c r="AL239" s="528" t="str">
        <f t="shared" si="245"/>
        <v/>
      </c>
      <c r="AM239" s="528" t="str">
        <f t="shared" si="245"/>
        <v/>
      </c>
      <c r="AN239" s="528" t="str">
        <f t="shared" si="245"/>
        <v/>
      </c>
      <c r="AO239" s="528" t="str">
        <f t="shared" si="245"/>
        <v/>
      </c>
      <c r="AP239" s="528" t="str">
        <f t="shared" si="245"/>
        <v/>
      </c>
      <c r="AQ239" s="528" t="str">
        <f t="shared" si="245"/>
        <v/>
      </c>
      <c r="AR239" s="528" t="str">
        <f t="shared" si="245"/>
        <v/>
      </c>
      <c r="AS239" s="528" t="str">
        <f t="shared" si="245"/>
        <v/>
      </c>
      <c r="AT239" s="528" t="str">
        <f t="shared" si="245"/>
        <v/>
      </c>
      <c r="AU239" s="528" t="str">
        <f t="shared" si="245"/>
        <v/>
      </c>
      <c r="AV239" s="528" t="str">
        <f t="shared" si="245"/>
        <v/>
      </c>
      <c r="AW239" s="528" t="str">
        <f t="shared" si="245"/>
        <v/>
      </c>
      <c r="AX239" s="528" t="str">
        <f t="shared" si="245"/>
        <v/>
      </c>
      <c r="AY239" s="528" t="str">
        <f t="shared" si="245"/>
        <v/>
      </c>
      <c r="AZ239" s="528" t="str">
        <f t="shared" si="245"/>
        <v/>
      </c>
      <c r="BA239" s="528" t="str">
        <f t="shared" si="245"/>
        <v/>
      </c>
      <c r="BB239" s="528" t="str">
        <f t="shared" si="245"/>
        <v/>
      </c>
      <c r="BC239" s="528" t="str">
        <f t="shared" si="245"/>
        <v/>
      </c>
      <c r="BD239" s="528" t="str">
        <f t="shared" si="245"/>
        <v/>
      </c>
      <c r="BE239" s="528" t="str">
        <f t="shared" si="245"/>
        <v/>
      </c>
      <c r="BF239" s="528" t="str">
        <f t="shared" si="245"/>
        <v/>
      </c>
      <c r="BG239" s="528" t="str">
        <f t="shared" si="245"/>
        <v/>
      </c>
      <c r="BH239" s="528" t="str">
        <f t="shared" si="245"/>
        <v/>
      </c>
      <c r="BI239" s="528" t="str">
        <f t="shared" si="245"/>
        <v/>
      </c>
      <c r="BJ239" s="528" t="str">
        <f t="shared" si="245"/>
        <v/>
      </c>
      <c r="BK239" s="528" t="str">
        <f t="shared" si="245"/>
        <v/>
      </c>
      <c r="BL239" s="528" t="str">
        <f t="shared" si="245"/>
        <v/>
      </c>
      <c r="BM239" s="528" t="str">
        <f t="shared" si="245"/>
        <v/>
      </c>
    </row>
    <row r="240" spans="6:65" ht="15.75" customHeight="1" x14ac:dyDescent="0.25">
      <c r="F240" s="197"/>
      <c r="G240" s="197">
        <f t="shared" si="3"/>
        <v>0</v>
      </c>
      <c r="H240" s="197">
        <f t="shared" si="4"/>
        <v>86</v>
      </c>
      <c r="I240" s="523">
        <v>1</v>
      </c>
      <c r="J240" s="533">
        <f>'Monthly DCF'!$I$3</f>
        <v>46418</v>
      </c>
      <c r="K240" s="533">
        <f t="shared" si="5"/>
        <v>46630</v>
      </c>
      <c r="L240" s="536">
        <f t="shared" si="243"/>
        <v>8</v>
      </c>
      <c r="M240" s="20" t="s">
        <v>366</v>
      </c>
      <c r="N240" s="20">
        <f t="shared" si="6"/>
        <v>1.3333333333333333</v>
      </c>
      <c r="O240" s="537">
        <v>6</v>
      </c>
      <c r="P240" s="528">
        <f t="shared" ref="P240:BM240" si="246">IFERROR(+IF(AND($M240="Flat",P$5&gt;=$J240,P$5&lt;=$K240),$I240/$L240,0)+IF(AND($M240="S-Curve",P$5&gt;=$J240,P$5&lt;=$K240),(_xlfn.NORM.DIST((YEAR(P$5)-YEAR($J240))*12+MONTH(P$5)-MONTH($J240)+1,$L240/2,$N240,TRUE)-_xlfn.NORM.DIST((YEAR(P$5)-YEAR($J240))*12+MONTH(P$5)-MONTH($J240),$L240/2,$N240,TRUE))/(1-2*_xlfn.NORM.DIST(0,$L240/2,$N240,TRUE))*$I240," "),"")</f>
        <v>1.0904013235421331E-2</v>
      </c>
      <c r="Q240" s="528">
        <f t="shared" si="246"/>
        <v>5.4730489774647256E-2</v>
      </c>
      <c r="R240" s="528">
        <f t="shared" si="246"/>
        <v>0.16025280098924735</v>
      </c>
      <c r="S240" s="528">
        <f t="shared" si="246"/>
        <v>0.27411269600068411</v>
      </c>
      <c r="T240" s="528">
        <f t="shared" si="246"/>
        <v>0.27411269600068405</v>
      </c>
      <c r="U240" s="528">
        <f t="shared" si="246"/>
        <v>0.16025280098924738</v>
      </c>
      <c r="V240" s="528">
        <f t="shared" si="246"/>
        <v>5.4730489774647312E-2</v>
      </c>
      <c r="W240" s="528">
        <f t="shared" si="246"/>
        <v>1.0904013235421296E-2</v>
      </c>
      <c r="X240" s="528" t="str">
        <f t="shared" si="246"/>
        <v/>
      </c>
      <c r="Y240" s="528" t="str">
        <f t="shared" si="246"/>
        <v/>
      </c>
      <c r="Z240" s="528" t="str">
        <f t="shared" si="246"/>
        <v/>
      </c>
      <c r="AA240" s="528" t="str">
        <f t="shared" si="246"/>
        <v/>
      </c>
      <c r="AB240" s="528" t="str">
        <f t="shared" si="246"/>
        <v/>
      </c>
      <c r="AC240" s="528" t="str">
        <f t="shared" si="246"/>
        <v/>
      </c>
      <c r="AD240" s="528" t="str">
        <f t="shared" si="246"/>
        <v/>
      </c>
      <c r="AE240" s="528" t="str">
        <f t="shared" si="246"/>
        <v/>
      </c>
      <c r="AF240" s="528" t="str">
        <f t="shared" si="246"/>
        <v/>
      </c>
      <c r="AG240" s="528" t="str">
        <f t="shared" si="246"/>
        <v/>
      </c>
      <c r="AH240" s="528" t="str">
        <f t="shared" si="246"/>
        <v/>
      </c>
      <c r="AI240" s="528" t="str">
        <f t="shared" si="246"/>
        <v/>
      </c>
      <c r="AJ240" s="528" t="str">
        <f t="shared" si="246"/>
        <v/>
      </c>
      <c r="AK240" s="528" t="str">
        <f t="shared" si="246"/>
        <v/>
      </c>
      <c r="AL240" s="528" t="str">
        <f t="shared" si="246"/>
        <v/>
      </c>
      <c r="AM240" s="528" t="str">
        <f t="shared" si="246"/>
        <v/>
      </c>
      <c r="AN240" s="528" t="str">
        <f t="shared" si="246"/>
        <v/>
      </c>
      <c r="AO240" s="528" t="str">
        <f t="shared" si="246"/>
        <v/>
      </c>
      <c r="AP240" s="528" t="str">
        <f t="shared" si="246"/>
        <v/>
      </c>
      <c r="AQ240" s="528" t="str">
        <f t="shared" si="246"/>
        <v/>
      </c>
      <c r="AR240" s="528" t="str">
        <f t="shared" si="246"/>
        <v/>
      </c>
      <c r="AS240" s="528" t="str">
        <f t="shared" si="246"/>
        <v/>
      </c>
      <c r="AT240" s="528" t="str">
        <f t="shared" si="246"/>
        <v/>
      </c>
      <c r="AU240" s="528" t="str">
        <f t="shared" si="246"/>
        <v/>
      </c>
      <c r="AV240" s="528" t="str">
        <f t="shared" si="246"/>
        <v/>
      </c>
      <c r="AW240" s="528" t="str">
        <f t="shared" si="246"/>
        <v/>
      </c>
      <c r="AX240" s="528" t="str">
        <f t="shared" si="246"/>
        <v/>
      </c>
      <c r="AY240" s="528" t="str">
        <f t="shared" si="246"/>
        <v/>
      </c>
      <c r="AZ240" s="528" t="str">
        <f t="shared" si="246"/>
        <v/>
      </c>
      <c r="BA240" s="528" t="str">
        <f t="shared" si="246"/>
        <v/>
      </c>
      <c r="BB240" s="528" t="str">
        <f t="shared" si="246"/>
        <v/>
      </c>
      <c r="BC240" s="528" t="str">
        <f t="shared" si="246"/>
        <v/>
      </c>
      <c r="BD240" s="528" t="str">
        <f t="shared" si="246"/>
        <v/>
      </c>
      <c r="BE240" s="528" t="str">
        <f t="shared" si="246"/>
        <v/>
      </c>
      <c r="BF240" s="528" t="str">
        <f t="shared" si="246"/>
        <v/>
      </c>
      <c r="BG240" s="528" t="str">
        <f t="shared" si="246"/>
        <v/>
      </c>
      <c r="BH240" s="528" t="str">
        <f t="shared" si="246"/>
        <v/>
      </c>
      <c r="BI240" s="528" t="str">
        <f t="shared" si="246"/>
        <v/>
      </c>
      <c r="BJ240" s="528" t="str">
        <f t="shared" si="246"/>
        <v/>
      </c>
      <c r="BK240" s="528" t="str">
        <f t="shared" si="246"/>
        <v/>
      </c>
      <c r="BL240" s="528" t="str">
        <f t="shared" si="246"/>
        <v/>
      </c>
      <c r="BM240" s="528" t="str">
        <f t="shared" si="246"/>
        <v/>
      </c>
    </row>
    <row r="241" spans="6:65" ht="15.75" customHeight="1" x14ac:dyDescent="0.25">
      <c r="F241" s="197"/>
      <c r="G241" s="197">
        <f t="shared" si="3"/>
        <v>0</v>
      </c>
      <c r="H241" s="197">
        <f t="shared" si="4"/>
        <v>96</v>
      </c>
      <c r="I241" s="523">
        <v>1</v>
      </c>
      <c r="J241" s="533">
        <f>'Monthly DCF'!$I$3</f>
        <v>46418</v>
      </c>
      <c r="K241" s="533">
        <f t="shared" si="5"/>
        <v>46660</v>
      </c>
      <c r="L241" s="536">
        <f t="shared" si="243"/>
        <v>9</v>
      </c>
      <c r="M241" s="20" t="s">
        <v>366</v>
      </c>
      <c r="N241" s="20">
        <f t="shared" si="6"/>
        <v>1.5</v>
      </c>
      <c r="O241" s="537">
        <v>6</v>
      </c>
      <c r="P241" s="528">
        <f t="shared" ref="P241:BM241" si="247">IFERROR(+IF(AND($M241="Flat",P$5&gt;=$J241,P$5&lt;=$K241),$I241/$L241,0)+IF(AND($M241="S-Curve",P$5&gt;=$J241,P$5&lt;=$K241),(_xlfn.NORM.DIST((YEAR(P$5)-YEAR($J241))*12+MONTH(P$5)-MONTH($J241)+1,$L241/2,$N241,TRUE)-_xlfn.NORM.DIST((YEAR(P$5)-YEAR($J241))*12+MONTH(P$5)-MONTH($J241),$L241/2,$N241,TRUE))/(1-2*_xlfn.NORM.DIST(0,$L241/2,$N241,TRUE))*$I241," "),"")</f>
        <v>8.4883474039199307E-3</v>
      </c>
      <c r="Q241" s="528">
        <f t="shared" si="247"/>
        <v>3.8077826008925772E-2</v>
      </c>
      <c r="R241" s="528">
        <f t="shared" si="247"/>
        <v>0.11116502455430624</v>
      </c>
      <c r="S241" s="528">
        <f t="shared" si="247"/>
        <v>0.21135670625379427</v>
      </c>
      <c r="T241" s="528">
        <f t="shared" si="247"/>
        <v>0.26182419155810771</v>
      </c>
      <c r="U241" s="528">
        <f t="shared" si="247"/>
        <v>0.21135670625379424</v>
      </c>
      <c r="V241" s="528">
        <f t="shared" si="247"/>
        <v>0.11116502455430621</v>
      </c>
      <c r="W241" s="528">
        <f t="shared" si="247"/>
        <v>3.8077826008925786E-2</v>
      </c>
      <c r="X241" s="528">
        <f t="shared" si="247"/>
        <v>8.4883474039198995E-3</v>
      </c>
      <c r="Y241" s="528" t="str">
        <f t="shared" si="247"/>
        <v/>
      </c>
      <c r="Z241" s="528" t="str">
        <f t="shared" si="247"/>
        <v/>
      </c>
      <c r="AA241" s="528" t="str">
        <f t="shared" si="247"/>
        <v/>
      </c>
      <c r="AB241" s="528" t="str">
        <f t="shared" si="247"/>
        <v/>
      </c>
      <c r="AC241" s="528" t="str">
        <f t="shared" si="247"/>
        <v/>
      </c>
      <c r="AD241" s="528" t="str">
        <f t="shared" si="247"/>
        <v/>
      </c>
      <c r="AE241" s="528" t="str">
        <f t="shared" si="247"/>
        <v/>
      </c>
      <c r="AF241" s="528" t="str">
        <f t="shared" si="247"/>
        <v/>
      </c>
      <c r="AG241" s="528" t="str">
        <f t="shared" si="247"/>
        <v/>
      </c>
      <c r="AH241" s="528" t="str">
        <f t="shared" si="247"/>
        <v/>
      </c>
      <c r="AI241" s="528" t="str">
        <f t="shared" si="247"/>
        <v/>
      </c>
      <c r="AJ241" s="528" t="str">
        <f t="shared" si="247"/>
        <v/>
      </c>
      <c r="AK241" s="528" t="str">
        <f t="shared" si="247"/>
        <v/>
      </c>
      <c r="AL241" s="528" t="str">
        <f t="shared" si="247"/>
        <v/>
      </c>
      <c r="AM241" s="528" t="str">
        <f t="shared" si="247"/>
        <v/>
      </c>
      <c r="AN241" s="528" t="str">
        <f t="shared" si="247"/>
        <v/>
      </c>
      <c r="AO241" s="528" t="str">
        <f t="shared" si="247"/>
        <v/>
      </c>
      <c r="AP241" s="528" t="str">
        <f t="shared" si="247"/>
        <v/>
      </c>
      <c r="AQ241" s="528" t="str">
        <f t="shared" si="247"/>
        <v/>
      </c>
      <c r="AR241" s="528" t="str">
        <f t="shared" si="247"/>
        <v/>
      </c>
      <c r="AS241" s="528" t="str">
        <f t="shared" si="247"/>
        <v/>
      </c>
      <c r="AT241" s="528" t="str">
        <f t="shared" si="247"/>
        <v/>
      </c>
      <c r="AU241" s="528" t="str">
        <f t="shared" si="247"/>
        <v/>
      </c>
      <c r="AV241" s="528" t="str">
        <f t="shared" si="247"/>
        <v/>
      </c>
      <c r="AW241" s="528" t="str">
        <f t="shared" si="247"/>
        <v/>
      </c>
      <c r="AX241" s="528" t="str">
        <f t="shared" si="247"/>
        <v/>
      </c>
      <c r="AY241" s="528" t="str">
        <f t="shared" si="247"/>
        <v/>
      </c>
      <c r="AZ241" s="528" t="str">
        <f t="shared" si="247"/>
        <v/>
      </c>
      <c r="BA241" s="528" t="str">
        <f t="shared" si="247"/>
        <v/>
      </c>
      <c r="BB241" s="528" t="str">
        <f t="shared" si="247"/>
        <v/>
      </c>
      <c r="BC241" s="528" t="str">
        <f t="shared" si="247"/>
        <v/>
      </c>
      <c r="BD241" s="528" t="str">
        <f t="shared" si="247"/>
        <v/>
      </c>
      <c r="BE241" s="528" t="str">
        <f t="shared" si="247"/>
        <v/>
      </c>
      <c r="BF241" s="528" t="str">
        <f t="shared" si="247"/>
        <v/>
      </c>
      <c r="BG241" s="528" t="str">
        <f t="shared" si="247"/>
        <v/>
      </c>
      <c r="BH241" s="528" t="str">
        <f t="shared" si="247"/>
        <v/>
      </c>
      <c r="BI241" s="528" t="str">
        <f t="shared" si="247"/>
        <v/>
      </c>
      <c r="BJ241" s="528" t="str">
        <f t="shared" si="247"/>
        <v/>
      </c>
      <c r="BK241" s="528" t="str">
        <f t="shared" si="247"/>
        <v/>
      </c>
      <c r="BL241" s="528" t="str">
        <f t="shared" si="247"/>
        <v/>
      </c>
      <c r="BM241" s="528" t="str">
        <f t="shared" si="247"/>
        <v/>
      </c>
    </row>
    <row r="242" spans="6:65" ht="15.75" customHeight="1" x14ac:dyDescent="0.25">
      <c r="F242" s="197"/>
      <c r="G242" s="197">
        <f t="shared" si="3"/>
        <v>0</v>
      </c>
      <c r="H242" s="197">
        <f t="shared" si="4"/>
        <v>106</v>
      </c>
      <c r="I242" s="523">
        <v>1</v>
      </c>
      <c r="J242" s="533">
        <f>'Monthly DCF'!$I$3</f>
        <v>46418</v>
      </c>
      <c r="K242" s="533">
        <f t="shared" si="5"/>
        <v>46691</v>
      </c>
      <c r="L242" s="536">
        <f t="shared" si="243"/>
        <v>10</v>
      </c>
      <c r="M242" s="20" t="s">
        <v>366</v>
      </c>
      <c r="N242" s="20">
        <f t="shared" si="6"/>
        <v>1.6666666666666667</v>
      </c>
      <c r="O242" s="537">
        <v>6</v>
      </c>
      <c r="P242" s="528">
        <f t="shared" ref="P242:BM242" si="248">IFERROR(+IF(AND($M242="Flat",P$5&gt;=$J242,P$5&lt;=$K242),$I242/$L242,0)+IF(AND($M242="S-Curve",P$5&gt;=$J242,P$5&lt;=$K242),(_xlfn.NORM.DIST((YEAR(P$5)-YEAR($J242))*12+MONTH(P$5)-MONTH($J242)+1,$L242/2,$N242,TRUE)-_xlfn.NORM.DIST((YEAR(P$5)-YEAR($J242))*12+MONTH(P$5)-MONTH($J242),$L242/2,$N242,TRUE))/(1-2*_xlfn.NORM.DIST(0,$L242/2,$N242,TRUE))*$I242," "),"")</f>
        <v>6.866175165647909E-3</v>
      </c>
      <c r="Q242" s="528">
        <f t="shared" si="248"/>
        <v>2.7807858735872482E-2</v>
      </c>
      <c r="R242" s="528">
        <f t="shared" si="248"/>
        <v>7.9353589617637735E-2</v>
      </c>
      <c r="S242" s="528">
        <f t="shared" si="248"/>
        <v>0.1596143737863534</v>
      </c>
      <c r="T242" s="528">
        <f t="shared" si="248"/>
        <v>0.22635800269448847</v>
      </c>
      <c r="U242" s="528">
        <f t="shared" si="248"/>
        <v>0.22635800269448847</v>
      </c>
      <c r="V242" s="528">
        <f t="shared" si="248"/>
        <v>0.15961437378635346</v>
      </c>
      <c r="W242" s="528">
        <f t="shared" si="248"/>
        <v>7.9353589617637721E-2</v>
      </c>
      <c r="X242" s="528">
        <f t="shared" si="248"/>
        <v>2.7807858735872416E-2</v>
      </c>
      <c r="Y242" s="528">
        <f t="shared" si="248"/>
        <v>6.8661751656479229E-3</v>
      </c>
      <c r="Z242" s="528" t="str">
        <f t="shared" si="248"/>
        <v/>
      </c>
      <c r="AA242" s="528" t="str">
        <f t="shared" si="248"/>
        <v/>
      </c>
      <c r="AB242" s="528" t="str">
        <f t="shared" si="248"/>
        <v/>
      </c>
      <c r="AC242" s="528" t="str">
        <f t="shared" si="248"/>
        <v/>
      </c>
      <c r="AD242" s="528" t="str">
        <f t="shared" si="248"/>
        <v/>
      </c>
      <c r="AE242" s="528" t="str">
        <f t="shared" si="248"/>
        <v/>
      </c>
      <c r="AF242" s="528" t="str">
        <f t="shared" si="248"/>
        <v/>
      </c>
      <c r="AG242" s="528" t="str">
        <f t="shared" si="248"/>
        <v/>
      </c>
      <c r="AH242" s="528" t="str">
        <f t="shared" si="248"/>
        <v/>
      </c>
      <c r="AI242" s="528" t="str">
        <f t="shared" si="248"/>
        <v/>
      </c>
      <c r="AJ242" s="528" t="str">
        <f t="shared" si="248"/>
        <v/>
      </c>
      <c r="AK242" s="528" t="str">
        <f t="shared" si="248"/>
        <v/>
      </c>
      <c r="AL242" s="528" t="str">
        <f t="shared" si="248"/>
        <v/>
      </c>
      <c r="AM242" s="528" t="str">
        <f t="shared" si="248"/>
        <v/>
      </c>
      <c r="AN242" s="528" t="str">
        <f t="shared" si="248"/>
        <v/>
      </c>
      <c r="AO242" s="528" t="str">
        <f t="shared" si="248"/>
        <v/>
      </c>
      <c r="AP242" s="528" t="str">
        <f t="shared" si="248"/>
        <v/>
      </c>
      <c r="AQ242" s="528" t="str">
        <f t="shared" si="248"/>
        <v/>
      </c>
      <c r="AR242" s="528" t="str">
        <f t="shared" si="248"/>
        <v/>
      </c>
      <c r="AS242" s="528" t="str">
        <f t="shared" si="248"/>
        <v/>
      </c>
      <c r="AT242" s="528" t="str">
        <f t="shared" si="248"/>
        <v/>
      </c>
      <c r="AU242" s="528" t="str">
        <f t="shared" si="248"/>
        <v/>
      </c>
      <c r="AV242" s="528" t="str">
        <f t="shared" si="248"/>
        <v/>
      </c>
      <c r="AW242" s="528" t="str">
        <f t="shared" si="248"/>
        <v/>
      </c>
      <c r="AX242" s="528" t="str">
        <f t="shared" si="248"/>
        <v/>
      </c>
      <c r="AY242" s="528" t="str">
        <f t="shared" si="248"/>
        <v/>
      </c>
      <c r="AZ242" s="528" t="str">
        <f t="shared" si="248"/>
        <v/>
      </c>
      <c r="BA242" s="528" t="str">
        <f t="shared" si="248"/>
        <v/>
      </c>
      <c r="BB242" s="528" t="str">
        <f t="shared" si="248"/>
        <v/>
      </c>
      <c r="BC242" s="528" t="str">
        <f t="shared" si="248"/>
        <v/>
      </c>
      <c r="BD242" s="528" t="str">
        <f t="shared" si="248"/>
        <v/>
      </c>
      <c r="BE242" s="528" t="str">
        <f t="shared" si="248"/>
        <v/>
      </c>
      <c r="BF242" s="528" t="str">
        <f t="shared" si="248"/>
        <v/>
      </c>
      <c r="BG242" s="528" t="str">
        <f t="shared" si="248"/>
        <v/>
      </c>
      <c r="BH242" s="528" t="str">
        <f t="shared" si="248"/>
        <v/>
      </c>
      <c r="BI242" s="528" t="str">
        <f t="shared" si="248"/>
        <v/>
      </c>
      <c r="BJ242" s="528" t="str">
        <f t="shared" si="248"/>
        <v/>
      </c>
      <c r="BK242" s="528" t="str">
        <f t="shared" si="248"/>
        <v/>
      </c>
      <c r="BL242" s="528" t="str">
        <f t="shared" si="248"/>
        <v/>
      </c>
      <c r="BM242" s="528" t="str">
        <f t="shared" si="248"/>
        <v/>
      </c>
    </row>
    <row r="243" spans="6:65" ht="15.75" customHeight="1" x14ac:dyDescent="0.25">
      <c r="F243" s="197"/>
      <c r="G243" s="197">
        <f t="shared" si="3"/>
        <v>0</v>
      </c>
      <c r="H243" s="197">
        <f t="shared" si="4"/>
        <v>116</v>
      </c>
      <c r="I243" s="523">
        <v>1</v>
      </c>
      <c r="J243" s="533">
        <f>'Monthly DCF'!$I$3</f>
        <v>46418</v>
      </c>
      <c r="K243" s="533">
        <f t="shared" si="5"/>
        <v>46721</v>
      </c>
      <c r="L243" s="536">
        <f t="shared" si="243"/>
        <v>11</v>
      </c>
      <c r="M243" s="20" t="s">
        <v>366</v>
      </c>
      <c r="N243" s="20">
        <f t="shared" si="6"/>
        <v>1.8333333333333333</v>
      </c>
      <c r="O243" s="537">
        <v>6</v>
      </c>
      <c r="P243" s="528">
        <f t="shared" ref="P243:BM243" si="249">IFERROR(+IF(AND($M243="Flat",P$5&gt;=$J243,P$5&lt;=$K243),$I243/$L243,0)+IF(AND($M243="S-Curve",P$5&gt;=$J243,P$5&lt;=$K243),(_xlfn.NORM.DIST((YEAR(P$5)-YEAR($J243))*12+MONTH(P$5)-MONTH($J243)+1,$L243/2,$N243,TRUE)-_xlfn.NORM.DIST((YEAR(P$5)-YEAR($J243))*12+MONTH(P$5)-MONTH($J243),$L243/2,$N243,TRUE))/(1-2*_xlfn.NORM.DIST(0,$L243/2,$N243,TRUE))*$I243," "),"")</f>
        <v>5.7186827191518718E-3</v>
      </c>
      <c r="Q243" s="528">
        <f t="shared" si="249"/>
        <v>2.1129085388846752E-2</v>
      </c>
      <c r="R243" s="528">
        <f t="shared" si="249"/>
        <v>5.83734344368824E-2</v>
      </c>
      <c r="S243" s="528">
        <f t="shared" si="249"/>
        <v>0.12061129293128671</v>
      </c>
      <c r="T243" s="528">
        <f t="shared" si="249"/>
        <v>0.18640801013889258</v>
      </c>
      <c r="U243" s="528">
        <f t="shared" si="249"/>
        <v>0.21551898876987938</v>
      </c>
      <c r="V243" s="528">
        <f t="shared" si="249"/>
        <v>0.18640801013889258</v>
      </c>
      <c r="W243" s="528">
        <f t="shared" si="249"/>
        <v>0.12061129293128675</v>
      </c>
      <c r="X243" s="528">
        <f t="shared" si="249"/>
        <v>5.8373434436882372E-2</v>
      </c>
      <c r="Y243" s="528">
        <f t="shared" si="249"/>
        <v>2.1129085388846763E-2</v>
      </c>
      <c r="Z243" s="528">
        <f t="shared" si="249"/>
        <v>5.7186827191518363E-3</v>
      </c>
      <c r="AA243" s="528" t="str">
        <f t="shared" si="249"/>
        <v/>
      </c>
      <c r="AB243" s="528" t="str">
        <f t="shared" si="249"/>
        <v/>
      </c>
      <c r="AC243" s="528" t="str">
        <f t="shared" si="249"/>
        <v/>
      </c>
      <c r="AD243" s="528" t="str">
        <f t="shared" si="249"/>
        <v/>
      </c>
      <c r="AE243" s="528" t="str">
        <f t="shared" si="249"/>
        <v/>
      </c>
      <c r="AF243" s="528" t="str">
        <f t="shared" si="249"/>
        <v/>
      </c>
      <c r="AG243" s="528" t="str">
        <f t="shared" si="249"/>
        <v/>
      </c>
      <c r="AH243" s="528" t="str">
        <f t="shared" si="249"/>
        <v/>
      </c>
      <c r="AI243" s="528" t="str">
        <f t="shared" si="249"/>
        <v/>
      </c>
      <c r="AJ243" s="528" t="str">
        <f t="shared" si="249"/>
        <v/>
      </c>
      <c r="AK243" s="528" t="str">
        <f t="shared" si="249"/>
        <v/>
      </c>
      <c r="AL243" s="528" t="str">
        <f t="shared" si="249"/>
        <v/>
      </c>
      <c r="AM243" s="528" t="str">
        <f t="shared" si="249"/>
        <v/>
      </c>
      <c r="AN243" s="528" t="str">
        <f t="shared" si="249"/>
        <v/>
      </c>
      <c r="AO243" s="528" t="str">
        <f t="shared" si="249"/>
        <v/>
      </c>
      <c r="AP243" s="528" t="str">
        <f t="shared" si="249"/>
        <v/>
      </c>
      <c r="AQ243" s="528" t="str">
        <f t="shared" si="249"/>
        <v/>
      </c>
      <c r="AR243" s="528" t="str">
        <f t="shared" si="249"/>
        <v/>
      </c>
      <c r="AS243" s="528" t="str">
        <f t="shared" si="249"/>
        <v/>
      </c>
      <c r="AT243" s="528" t="str">
        <f t="shared" si="249"/>
        <v/>
      </c>
      <c r="AU243" s="528" t="str">
        <f t="shared" si="249"/>
        <v/>
      </c>
      <c r="AV243" s="528" t="str">
        <f t="shared" si="249"/>
        <v/>
      </c>
      <c r="AW243" s="528" t="str">
        <f t="shared" si="249"/>
        <v/>
      </c>
      <c r="AX243" s="528" t="str">
        <f t="shared" si="249"/>
        <v/>
      </c>
      <c r="AY243" s="528" t="str">
        <f t="shared" si="249"/>
        <v/>
      </c>
      <c r="AZ243" s="528" t="str">
        <f t="shared" si="249"/>
        <v/>
      </c>
      <c r="BA243" s="528" t="str">
        <f t="shared" si="249"/>
        <v/>
      </c>
      <c r="BB243" s="528" t="str">
        <f t="shared" si="249"/>
        <v/>
      </c>
      <c r="BC243" s="528" t="str">
        <f t="shared" si="249"/>
        <v/>
      </c>
      <c r="BD243" s="528" t="str">
        <f t="shared" si="249"/>
        <v/>
      </c>
      <c r="BE243" s="528" t="str">
        <f t="shared" si="249"/>
        <v/>
      </c>
      <c r="BF243" s="528" t="str">
        <f t="shared" si="249"/>
        <v/>
      </c>
      <c r="BG243" s="528" t="str">
        <f t="shared" si="249"/>
        <v/>
      </c>
      <c r="BH243" s="528" t="str">
        <f t="shared" si="249"/>
        <v/>
      </c>
      <c r="BI243" s="528" t="str">
        <f t="shared" si="249"/>
        <v/>
      </c>
      <c r="BJ243" s="528" t="str">
        <f t="shared" si="249"/>
        <v/>
      </c>
      <c r="BK243" s="528" t="str">
        <f t="shared" si="249"/>
        <v/>
      </c>
      <c r="BL243" s="528" t="str">
        <f t="shared" si="249"/>
        <v/>
      </c>
      <c r="BM243" s="528" t="str">
        <f t="shared" si="249"/>
        <v/>
      </c>
    </row>
    <row r="244" spans="6:65" ht="15.75" customHeight="1" x14ac:dyDescent="0.25">
      <c r="F244" s="197"/>
      <c r="G244" s="197">
        <f t="shared" si="3"/>
        <v>0</v>
      </c>
      <c r="H244" s="197">
        <f t="shared" si="4"/>
        <v>126</v>
      </c>
      <c r="I244" s="523">
        <v>1</v>
      </c>
      <c r="J244" s="533">
        <f>'Monthly DCF'!$I$3</f>
        <v>46418</v>
      </c>
      <c r="K244" s="533">
        <f t="shared" si="5"/>
        <v>46752</v>
      </c>
      <c r="L244" s="536">
        <f t="shared" si="243"/>
        <v>12</v>
      </c>
      <c r="M244" s="20" t="s">
        <v>366</v>
      </c>
      <c r="N244" s="20">
        <f t="shared" si="6"/>
        <v>2</v>
      </c>
      <c r="O244" s="537">
        <v>6</v>
      </c>
      <c r="P244" s="528">
        <f t="shared" ref="P244:BM244" si="250">IFERROR(+IF(AND($M244="Flat",P$5&gt;=$J244,P$5&lt;=$K244),$I244/$L244,0)+IF(AND($M244="S-Curve",P$5&gt;=$J244,P$5&lt;=$K244),(_xlfn.NORM.DIST((YEAR(P$5)-YEAR($J244))*12+MONTH(P$5)-MONTH($J244)+1,$L244/2,$N244,TRUE)-_xlfn.NORM.DIST((YEAR(P$5)-YEAR($J244))*12+MONTH(P$5)-MONTH($J244),$L244/2,$N244,TRUE))/(1-2*_xlfn.NORM.DIST(0,$L244/2,$N244,TRUE))*$I244," "),"")</f>
        <v>4.8729231929990685E-3</v>
      </c>
      <c r="Q244" s="528">
        <f t="shared" si="250"/>
        <v>1.6585243397235123E-2</v>
      </c>
      <c r="R244" s="528">
        <f t="shared" si="250"/>
        <v>4.4176336419834393E-2</v>
      </c>
      <c r="S244" s="528">
        <f t="shared" si="250"/>
        <v>9.209669495708335E-2</v>
      </c>
      <c r="T244" s="528">
        <f t="shared" si="250"/>
        <v>0.15028803183122294</v>
      </c>
      <c r="U244" s="528">
        <f t="shared" si="250"/>
        <v>0.19198077020162513</v>
      </c>
      <c r="V244" s="528">
        <f t="shared" si="250"/>
        <v>0.19198077020162513</v>
      </c>
      <c r="W244" s="528">
        <f t="shared" si="250"/>
        <v>0.15028803183122297</v>
      </c>
      <c r="X244" s="528">
        <f t="shared" si="250"/>
        <v>9.2096694957083294E-2</v>
      </c>
      <c r="Y244" s="528">
        <f t="shared" si="250"/>
        <v>4.4176336419834407E-2</v>
      </c>
      <c r="Z244" s="528">
        <f t="shared" si="250"/>
        <v>1.6585243397235116E-2</v>
      </c>
      <c r="AA244" s="528">
        <f t="shared" si="250"/>
        <v>4.8729231929990841E-3</v>
      </c>
      <c r="AB244" s="528" t="str">
        <f t="shared" si="250"/>
        <v/>
      </c>
      <c r="AC244" s="528" t="str">
        <f t="shared" si="250"/>
        <v/>
      </c>
      <c r="AD244" s="528" t="str">
        <f t="shared" si="250"/>
        <v/>
      </c>
      <c r="AE244" s="528" t="str">
        <f t="shared" si="250"/>
        <v/>
      </c>
      <c r="AF244" s="528" t="str">
        <f t="shared" si="250"/>
        <v/>
      </c>
      <c r="AG244" s="528" t="str">
        <f t="shared" si="250"/>
        <v/>
      </c>
      <c r="AH244" s="528" t="str">
        <f t="shared" si="250"/>
        <v/>
      </c>
      <c r="AI244" s="528" t="str">
        <f t="shared" si="250"/>
        <v/>
      </c>
      <c r="AJ244" s="528" t="str">
        <f t="shared" si="250"/>
        <v/>
      </c>
      <c r="AK244" s="528" t="str">
        <f t="shared" si="250"/>
        <v/>
      </c>
      <c r="AL244" s="528" t="str">
        <f t="shared" si="250"/>
        <v/>
      </c>
      <c r="AM244" s="528" t="str">
        <f t="shared" si="250"/>
        <v/>
      </c>
      <c r="AN244" s="528" t="str">
        <f t="shared" si="250"/>
        <v/>
      </c>
      <c r="AO244" s="528" t="str">
        <f t="shared" si="250"/>
        <v/>
      </c>
      <c r="AP244" s="528" t="str">
        <f t="shared" si="250"/>
        <v/>
      </c>
      <c r="AQ244" s="528" t="str">
        <f t="shared" si="250"/>
        <v/>
      </c>
      <c r="AR244" s="528" t="str">
        <f t="shared" si="250"/>
        <v/>
      </c>
      <c r="AS244" s="528" t="str">
        <f t="shared" si="250"/>
        <v/>
      </c>
      <c r="AT244" s="528" t="str">
        <f t="shared" si="250"/>
        <v/>
      </c>
      <c r="AU244" s="528" t="str">
        <f t="shared" si="250"/>
        <v/>
      </c>
      <c r="AV244" s="528" t="str">
        <f t="shared" si="250"/>
        <v/>
      </c>
      <c r="AW244" s="528" t="str">
        <f t="shared" si="250"/>
        <v/>
      </c>
      <c r="AX244" s="528" t="str">
        <f t="shared" si="250"/>
        <v/>
      </c>
      <c r="AY244" s="528" t="str">
        <f t="shared" si="250"/>
        <v/>
      </c>
      <c r="AZ244" s="528" t="str">
        <f t="shared" si="250"/>
        <v/>
      </c>
      <c r="BA244" s="528" t="str">
        <f t="shared" si="250"/>
        <v/>
      </c>
      <c r="BB244" s="528" t="str">
        <f t="shared" si="250"/>
        <v/>
      </c>
      <c r="BC244" s="528" t="str">
        <f t="shared" si="250"/>
        <v/>
      </c>
      <c r="BD244" s="528" t="str">
        <f t="shared" si="250"/>
        <v/>
      </c>
      <c r="BE244" s="528" t="str">
        <f t="shared" si="250"/>
        <v/>
      </c>
      <c r="BF244" s="528" t="str">
        <f t="shared" si="250"/>
        <v/>
      </c>
      <c r="BG244" s="528" t="str">
        <f t="shared" si="250"/>
        <v/>
      </c>
      <c r="BH244" s="528" t="str">
        <f t="shared" si="250"/>
        <v/>
      </c>
      <c r="BI244" s="528" t="str">
        <f t="shared" si="250"/>
        <v/>
      </c>
      <c r="BJ244" s="528" t="str">
        <f t="shared" si="250"/>
        <v/>
      </c>
      <c r="BK244" s="528" t="str">
        <f t="shared" si="250"/>
        <v/>
      </c>
      <c r="BL244" s="528" t="str">
        <f t="shared" si="250"/>
        <v/>
      </c>
      <c r="BM244" s="528" t="str">
        <f t="shared" si="250"/>
        <v/>
      </c>
    </row>
    <row r="245" spans="6:65" ht="15.75" customHeight="1" x14ac:dyDescent="0.25">
      <c r="F245" s="197"/>
      <c r="G245" s="197">
        <f t="shared" si="3"/>
        <v>0</v>
      </c>
      <c r="H245" s="197">
        <f t="shared" si="4"/>
        <v>136</v>
      </c>
      <c r="I245" s="523">
        <v>1</v>
      </c>
      <c r="J245" s="533">
        <f>'Monthly DCF'!$I$3</f>
        <v>46418</v>
      </c>
      <c r="K245" s="533">
        <f t="shared" si="5"/>
        <v>46783</v>
      </c>
      <c r="L245" s="536">
        <f t="shared" si="243"/>
        <v>13</v>
      </c>
      <c r="M245" s="20" t="s">
        <v>366</v>
      </c>
      <c r="N245" s="20">
        <f t="shared" si="6"/>
        <v>2.1666666666666665</v>
      </c>
      <c r="O245" s="537">
        <v>6</v>
      </c>
      <c r="P245" s="528">
        <f t="shared" ref="P245:BM245" si="251">IFERROR(+IF(AND($M245="Flat",P$5&gt;=$J245,P$5&lt;=$K245),$I245/$L245,0)+IF(AND($M245="S-Curve",P$5&gt;=$J245,P$5&lt;=$K245),(_xlfn.NORM.DIST((YEAR(P$5)-YEAR($J245))*12+MONTH(P$5)-MONTH($J245)+1,$L245/2,$N245,TRUE)-_xlfn.NORM.DIST((YEAR(P$5)-YEAR($J245))*12+MONTH(P$5)-MONTH($J245),$L245/2,$N245,TRUE))/(1-2*_xlfn.NORM.DIST(0,$L245/2,$N245,TRUE))*$I245," "),"")</f>
        <v>4.2285702685992037E-3</v>
      </c>
      <c r="Q245" s="528">
        <f t="shared" si="251"/>
        <v>1.337338311942409E-2</v>
      </c>
      <c r="R245" s="528">
        <f t="shared" si="251"/>
        <v>3.430199354193781E-2</v>
      </c>
      <c r="S245" s="528">
        <f t="shared" si="251"/>
        <v>7.136056819968653E-2</v>
      </c>
      <c r="T245" s="528">
        <f t="shared" si="251"/>
        <v>0.12041553346787444</v>
      </c>
      <c r="U245" s="528">
        <f t="shared" si="251"/>
        <v>0.16481996327643719</v>
      </c>
      <c r="V245" s="528">
        <f t="shared" si="251"/>
        <v>0.18299997625208148</v>
      </c>
      <c r="W245" s="528">
        <f t="shared" si="251"/>
        <v>0.16481996327643719</v>
      </c>
      <c r="X245" s="528">
        <f t="shared" si="251"/>
        <v>0.12041553346787447</v>
      </c>
      <c r="Y245" s="528">
        <f t="shared" si="251"/>
        <v>7.1360568199686475E-2</v>
      </c>
      <c r="Z245" s="528">
        <f t="shared" si="251"/>
        <v>3.430199354193781E-2</v>
      </c>
      <c r="AA245" s="528">
        <f t="shared" si="251"/>
        <v>1.3373383119424138E-2</v>
      </c>
      <c r="AB245" s="528">
        <f t="shared" si="251"/>
        <v>4.2285702685991734E-3</v>
      </c>
      <c r="AC245" s="528" t="str">
        <f t="shared" si="251"/>
        <v/>
      </c>
      <c r="AD245" s="528" t="str">
        <f t="shared" si="251"/>
        <v/>
      </c>
      <c r="AE245" s="528" t="str">
        <f t="shared" si="251"/>
        <v/>
      </c>
      <c r="AF245" s="528" t="str">
        <f t="shared" si="251"/>
        <v/>
      </c>
      <c r="AG245" s="528" t="str">
        <f t="shared" si="251"/>
        <v/>
      </c>
      <c r="AH245" s="528" t="str">
        <f t="shared" si="251"/>
        <v/>
      </c>
      <c r="AI245" s="528" t="str">
        <f t="shared" si="251"/>
        <v/>
      </c>
      <c r="AJ245" s="528" t="str">
        <f t="shared" si="251"/>
        <v/>
      </c>
      <c r="AK245" s="528" t="str">
        <f t="shared" si="251"/>
        <v/>
      </c>
      <c r="AL245" s="528" t="str">
        <f t="shared" si="251"/>
        <v/>
      </c>
      <c r="AM245" s="528" t="str">
        <f t="shared" si="251"/>
        <v/>
      </c>
      <c r="AN245" s="528" t="str">
        <f t="shared" si="251"/>
        <v/>
      </c>
      <c r="AO245" s="528" t="str">
        <f t="shared" si="251"/>
        <v/>
      </c>
      <c r="AP245" s="528" t="str">
        <f t="shared" si="251"/>
        <v/>
      </c>
      <c r="AQ245" s="528" t="str">
        <f t="shared" si="251"/>
        <v/>
      </c>
      <c r="AR245" s="528" t="str">
        <f t="shared" si="251"/>
        <v/>
      </c>
      <c r="AS245" s="528" t="str">
        <f t="shared" si="251"/>
        <v/>
      </c>
      <c r="AT245" s="528" t="str">
        <f t="shared" si="251"/>
        <v/>
      </c>
      <c r="AU245" s="528" t="str">
        <f t="shared" si="251"/>
        <v/>
      </c>
      <c r="AV245" s="528" t="str">
        <f t="shared" si="251"/>
        <v/>
      </c>
      <c r="AW245" s="528" t="str">
        <f t="shared" si="251"/>
        <v/>
      </c>
      <c r="AX245" s="528" t="str">
        <f t="shared" si="251"/>
        <v/>
      </c>
      <c r="AY245" s="528" t="str">
        <f t="shared" si="251"/>
        <v/>
      </c>
      <c r="AZ245" s="528" t="str">
        <f t="shared" si="251"/>
        <v/>
      </c>
      <c r="BA245" s="528" t="str">
        <f t="shared" si="251"/>
        <v/>
      </c>
      <c r="BB245" s="528" t="str">
        <f t="shared" si="251"/>
        <v/>
      </c>
      <c r="BC245" s="528" t="str">
        <f t="shared" si="251"/>
        <v/>
      </c>
      <c r="BD245" s="528" t="str">
        <f t="shared" si="251"/>
        <v/>
      </c>
      <c r="BE245" s="528" t="str">
        <f t="shared" si="251"/>
        <v/>
      </c>
      <c r="BF245" s="528" t="str">
        <f t="shared" si="251"/>
        <v/>
      </c>
      <c r="BG245" s="528" t="str">
        <f t="shared" si="251"/>
        <v/>
      </c>
      <c r="BH245" s="528" t="str">
        <f t="shared" si="251"/>
        <v/>
      </c>
      <c r="BI245" s="528" t="str">
        <f t="shared" si="251"/>
        <v/>
      </c>
      <c r="BJ245" s="528" t="str">
        <f t="shared" si="251"/>
        <v/>
      </c>
      <c r="BK245" s="528" t="str">
        <f t="shared" si="251"/>
        <v/>
      </c>
      <c r="BL245" s="528" t="str">
        <f t="shared" si="251"/>
        <v/>
      </c>
      <c r="BM245" s="528" t="str">
        <f t="shared" si="251"/>
        <v/>
      </c>
    </row>
    <row r="246" spans="6:65" ht="15.75" customHeight="1" x14ac:dyDescent="0.25">
      <c r="F246" s="197"/>
      <c r="G246" s="197">
        <f t="shared" si="3"/>
        <v>0</v>
      </c>
      <c r="H246" s="197">
        <f t="shared" si="4"/>
        <v>146</v>
      </c>
      <c r="I246" s="523">
        <v>1</v>
      </c>
      <c r="J246" s="533">
        <f>'Monthly DCF'!$I$3</f>
        <v>46418</v>
      </c>
      <c r="K246" s="533">
        <f t="shared" si="5"/>
        <v>46812</v>
      </c>
      <c r="L246" s="536">
        <f t="shared" si="243"/>
        <v>14</v>
      </c>
      <c r="M246" s="20" t="s">
        <v>366</v>
      </c>
      <c r="N246" s="20">
        <f t="shared" si="6"/>
        <v>2.3333333333333335</v>
      </c>
      <c r="O246" s="537">
        <v>6</v>
      </c>
      <c r="P246" s="528">
        <f t="shared" ref="P246:BM246" si="252">IFERROR(+IF(AND($M246="Flat",P$5&gt;=$J246,P$5&lt;=$K246),$I246/$L246,0)+IF(AND($M246="S-Curve",P$5&gt;=$J246,P$5&lt;=$K246),(_xlfn.NORM.DIST((YEAR(P$5)-YEAR($J246))*12+MONTH(P$5)-MONTH($J246)+1,$L246/2,$N246,TRUE)-_xlfn.NORM.DIST((YEAR(P$5)-YEAR($J246))*12+MONTH(P$5)-MONTH($J246),$L246/2,$N246,TRUE))/(1-2*_xlfn.NORM.DIST(0,$L246/2,$N246,TRUE))*$I246," "),"")</f>
        <v>3.724151693145379E-3</v>
      </c>
      <c r="Q246" s="528">
        <f t="shared" si="252"/>
        <v>1.1028063852507371E-2</v>
      </c>
      <c r="R246" s="528">
        <f t="shared" si="252"/>
        <v>2.7249415006364807E-2</v>
      </c>
      <c r="S246" s="528">
        <f t="shared" si="252"/>
        <v>5.6184952008745875E-2</v>
      </c>
      <c r="T246" s="528">
        <f t="shared" si="252"/>
        <v>9.6672568530388539E-2</v>
      </c>
      <c r="U246" s="528">
        <f t="shared" si="252"/>
        <v>0.13880935870402145</v>
      </c>
      <c r="V246" s="528">
        <f t="shared" si="252"/>
        <v>0.16633149020482657</v>
      </c>
      <c r="W246" s="528">
        <f t="shared" si="252"/>
        <v>0.16633149020482657</v>
      </c>
      <c r="X246" s="528">
        <f t="shared" si="252"/>
        <v>0.13880935870402147</v>
      </c>
      <c r="Y246" s="528">
        <f t="shared" si="252"/>
        <v>9.6672568530388539E-2</v>
      </c>
      <c r="Z246" s="528">
        <f t="shared" si="252"/>
        <v>5.6184952008745903E-2</v>
      </c>
      <c r="AA246" s="528">
        <f t="shared" si="252"/>
        <v>2.72494150063648E-2</v>
      </c>
      <c r="AB246" s="528">
        <f t="shared" si="252"/>
        <v>1.102806385250729E-2</v>
      </c>
      <c r="AC246" s="528">
        <f t="shared" si="252"/>
        <v>3.7241516931453998E-3</v>
      </c>
      <c r="AD246" s="528" t="str">
        <f t="shared" si="252"/>
        <v/>
      </c>
      <c r="AE246" s="528" t="str">
        <f t="shared" si="252"/>
        <v/>
      </c>
      <c r="AF246" s="528" t="str">
        <f t="shared" si="252"/>
        <v/>
      </c>
      <c r="AG246" s="528" t="str">
        <f t="shared" si="252"/>
        <v/>
      </c>
      <c r="AH246" s="528" t="str">
        <f t="shared" si="252"/>
        <v/>
      </c>
      <c r="AI246" s="528" t="str">
        <f t="shared" si="252"/>
        <v/>
      </c>
      <c r="AJ246" s="528" t="str">
        <f t="shared" si="252"/>
        <v/>
      </c>
      <c r="AK246" s="528" t="str">
        <f t="shared" si="252"/>
        <v/>
      </c>
      <c r="AL246" s="528" t="str">
        <f t="shared" si="252"/>
        <v/>
      </c>
      <c r="AM246" s="528" t="str">
        <f t="shared" si="252"/>
        <v/>
      </c>
      <c r="AN246" s="528" t="str">
        <f t="shared" si="252"/>
        <v/>
      </c>
      <c r="AO246" s="528" t="str">
        <f t="shared" si="252"/>
        <v/>
      </c>
      <c r="AP246" s="528" t="str">
        <f t="shared" si="252"/>
        <v/>
      </c>
      <c r="AQ246" s="528" t="str">
        <f t="shared" si="252"/>
        <v/>
      </c>
      <c r="AR246" s="528" t="str">
        <f t="shared" si="252"/>
        <v/>
      </c>
      <c r="AS246" s="528" t="str">
        <f t="shared" si="252"/>
        <v/>
      </c>
      <c r="AT246" s="528" t="str">
        <f t="shared" si="252"/>
        <v/>
      </c>
      <c r="AU246" s="528" t="str">
        <f t="shared" si="252"/>
        <v/>
      </c>
      <c r="AV246" s="528" t="str">
        <f t="shared" si="252"/>
        <v/>
      </c>
      <c r="AW246" s="528" t="str">
        <f t="shared" si="252"/>
        <v/>
      </c>
      <c r="AX246" s="528" t="str">
        <f t="shared" si="252"/>
        <v/>
      </c>
      <c r="AY246" s="528" t="str">
        <f t="shared" si="252"/>
        <v/>
      </c>
      <c r="AZ246" s="528" t="str">
        <f t="shared" si="252"/>
        <v/>
      </c>
      <c r="BA246" s="528" t="str">
        <f t="shared" si="252"/>
        <v/>
      </c>
      <c r="BB246" s="528" t="str">
        <f t="shared" si="252"/>
        <v/>
      </c>
      <c r="BC246" s="528" t="str">
        <f t="shared" si="252"/>
        <v/>
      </c>
      <c r="BD246" s="528" t="str">
        <f t="shared" si="252"/>
        <v/>
      </c>
      <c r="BE246" s="528" t="str">
        <f t="shared" si="252"/>
        <v/>
      </c>
      <c r="BF246" s="528" t="str">
        <f t="shared" si="252"/>
        <v/>
      </c>
      <c r="BG246" s="528" t="str">
        <f t="shared" si="252"/>
        <v/>
      </c>
      <c r="BH246" s="528" t="str">
        <f t="shared" si="252"/>
        <v/>
      </c>
      <c r="BI246" s="528" t="str">
        <f t="shared" si="252"/>
        <v/>
      </c>
      <c r="BJ246" s="528" t="str">
        <f t="shared" si="252"/>
        <v/>
      </c>
      <c r="BK246" s="528" t="str">
        <f t="shared" si="252"/>
        <v/>
      </c>
      <c r="BL246" s="528" t="str">
        <f t="shared" si="252"/>
        <v/>
      </c>
      <c r="BM246" s="528" t="str">
        <f t="shared" si="252"/>
        <v/>
      </c>
    </row>
    <row r="247" spans="6:65" ht="15.75" customHeight="1" x14ac:dyDescent="0.25">
      <c r="F247" s="197"/>
      <c r="G247" s="197">
        <f t="shared" si="3"/>
        <v>0</v>
      </c>
      <c r="H247" s="197">
        <f t="shared" si="4"/>
        <v>156</v>
      </c>
      <c r="I247" s="523">
        <v>1</v>
      </c>
      <c r="J247" s="533">
        <f>'Monthly DCF'!$I$3</f>
        <v>46418</v>
      </c>
      <c r="K247" s="533">
        <f t="shared" si="5"/>
        <v>46843</v>
      </c>
      <c r="L247" s="536">
        <f t="shared" si="243"/>
        <v>15</v>
      </c>
      <c r="M247" s="20" t="s">
        <v>366</v>
      </c>
      <c r="N247" s="20">
        <f t="shared" si="6"/>
        <v>2.5</v>
      </c>
      <c r="O247" s="537">
        <v>6</v>
      </c>
      <c r="P247" s="528">
        <f t="shared" ref="P247:BM247" si="253">IFERROR(+IF(AND($M247="Flat",P$5&gt;=$J247,P$5&lt;=$K247),$I247/$L247,0)+IF(AND($M247="S-Curve",P$5&gt;=$J247,P$5&lt;=$K247),(_xlfn.NORM.DIST((YEAR(P$5)-YEAR($J247))*12+MONTH(P$5)-MONTH($J247)+1,$L247/2,$N247,TRUE)-_xlfn.NORM.DIST((YEAR(P$5)-YEAR($J247))*12+MONTH(P$5)-MONTH($J247),$L247/2,$N247,TRUE))/(1-2*_xlfn.NORM.DIST(0,$L247/2,$N247,TRUE))*$I247," "),"")</f>
        <v>3.3202540007689547E-3</v>
      </c>
      <c r="Q247" s="528">
        <f t="shared" si="253"/>
        <v>9.2672792538264631E-3</v>
      </c>
      <c r="R247" s="528">
        <f t="shared" si="253"/>
        <v>2.2086500646924953E-2</v>
      </c>
      <c r="S247" s="528">
        <f t="shared" si="253"/>
        <v>4.4947689716594769E-2</v>
      </c>
      <c r="T247" s="528">
        <f t="shared" si="253"/>
        <v>7.8109474349036798E-2</v>
      </c>
      <c r="U247" s="528">
        <f t="shared" si="253"/>
        <v>0.1159107993383596</v>
      </c>
      <c r="V247" s="528">
        <f t="shared" si="253"/>
        <v>0.1468837289239292</v>
      </c>
      <c r="W247" s="528">
        <f t="shared" si="253"/>
        <v>0.15894854754111848</v>
      </c>
      <c r="X247" s="528">
        <f t="shared" si="253"/>
        <v>0.14688372892392926</v>
      </c>
      <c r="Y247" s="528">
        <f t="shared" si="253"/>
        <v>0.11591079933835963</v>
      </c>
      <c r="Z247" s="528">
        <f t="shared" si="253"/>
        <v>7.8109474349036756E-2</v>
      </c>
      <c r="AA247" s="528">
        <f t="shared" si="253"/>
        <v>4.4947689716594803E-2</v>
      </c>
      <c r="AB247" s="528">
        <f t="shared" si="253"/>
        <v>2.2086500646924939E-2</v>
      </c>
      <c r="AC247" s="528">
        <f t="shared" si="253"/>
        <v>9.2672792538264718E-3</v>
      </c>
      <c r="AD247" s="528">
        <f t="shared" si="253"/>
        <v>3.3202540007689282E-3</v>
      </c>
      <c r="AE247" s="528" t="str">
        <f t="shared" si="253"/>
        <v/>
      </c>
      <c r="AF247" s="528" t="str">
        <f t="shared" si="253"/>
        <v/>
      </c>
      <c r="AG247" s="528" t="str">
        <f t="shared" si="253"/>
        <v/>
      </c>
      <c r="AH247" s="528" t="str">
        <f t="shared" si="253"/>
        <v/>
      </c>
      <c r="AI247" s="528" t="str">
        <f t="shared" si="253"/>
        <v/>
      </c>
      <c r="AJ247" s="528" t="str">
        <f t="shared" si="253"/>
        <v/>
      </c>
      <c r="AK247" s="528" t="str">
        <f t="shared" si="253"/>
        <v/>
      </c>
      <c r="AL247" s="528" t="str">
        <f t="shared" si="253"/>
        <v/>
      </c>
      <c r="AM247" s="528" t="str">
        <f t="shared" si="253"/>
        <v/>
      </c>
      <c r="AN247" s="528" t="str">
        <f t="shared" si="253"/>
        <v/>
      </c>
      <c r="AO247" s="528" t="str">
        <f t="shared" si="253"/>
        <v/>
      </c>
      <c r="AP247" s="528" t="str">
        <f t="shared" si="253"/>
        <v/>
      </c>
      <c r="AQ247" s="528" t="str">
        <f t="shared" si="253"/>
        <v/>
      </c>
      <c r="AR247" s="528" t="str">
        <f t="shared" si="253"/>
        <v/>
      </c>
      <c r="AS247" s="528" t="str">
        <f t="shared" si="253"/>
        <v/>
      </c>
      <c r="AT247" s="528" t="str">
        <f t="shared" si="253"/>
        <v/>
      </c>
      <c r="AU247" s="528" t="str">
        <f t="shared" si="253"/>
        <v/>
      </c>
      <c r="AV247" s="528" t="str">
        <f t="shared" si="253"/>
        <v/>
      </c>
      <c r="AW247" s="528" t="str">
        <f t="shared" si="253"/>
        <v/>
      </c>
      <c r="AX247" s="528" t="str">
        <f t="shared" si="253"/>
        <v/>
      </c>
      <c r="AY247" s="528" t="str">
        <f t="shared" si="253"/>
        <v/>
      </c>
      <c r="AZ247" s="528" t="str">
        <f t="shared" si="253"/>
        <v/>
      </c>
      <c r="BA247" s="528" t="str">
        <f t="shared" si="253"/>
        <v/>
      </c>
      <c r="BB247" s="528" t="str">
        <f t="shared" si="253"/>
        <v/>
      </c>
      <c r="BC247" s="528" t="str">
        <f t="shared" si="253"/>
        <v/>
      </c>
      <c r="BD247" s="528" t="str">
        <f t="shared" si="253"/>
        <v/>
      </c>
      <c r="BE247" s="528" t="str">
        <f t="shared" si="253"/>
        <v/>
      </c>
      <c r="BF247" s="528" t="str">
        <f t="shared" si="253"/>
        <v/>
      </c>
      <c r="BG247" s="528" t="str">
        <f t="shared" si="253"/>
        <v/>
      </c>
      <c r="BH247" s="528" t="str">
        <f t="shared" si="253"/>
        <v/>
      </c>
      <c r="BI247" s="528" t="str">
        <f t="shared" si="253"/>
        <v/>
      </c>
      <c r="BJ247" s="528" t="str">
        <f t="shared" si="253"/>
        <v/>
      </c>
      <c r="BK247" s="528" t="str">
        <f t="shared" si="253"/>
        <v/>
      </c>
      <c r="BL247" s="528" t="str">
        <f t="shared" si="253"/>
        <v/>
      </c>
      <c r="BM247" s="528" t="str">
        <f t="shared" si="253"/>
        <v/>
      </c>
    </row>
    <row r="248" spans="6:65" ht="15.75" customHeight="1" x14ac:dyDescent="0.25">
      <c r="F248" s="197"/>
      <c r="G248" s="197">
        <f t="shared" si="3"/>
        <v>0</v>
      </c>
      <c r="H248" s="197">
        <f t="shared" si="4"/>
        <v>166</v>
      </c>
      <c r="I248" s="523">
        <v>1</v>
      </c>
      <c r="J248" s="533">
        <f>'Monthly DCF'!$I$3</f>
        <v>46418</v>
      </c>
      <c r="K248" s="533">
        <f t="shared" si="5"/>
        <v>46873</v>
      </c>
      <c r="L248" s="536">
        <f t="shared" si="243"/>
        <v>16</v>
      </c>
      <c r="M248" s="20" t="s">
        <v>366</v>
      </c>
      <c r="N248" s="20">
        <f t="shared" si="6"/>
        <v>2.6666666666666665</v>
      </c>
      <c r="O248" s="537">
        <v>6</v>
      </c>
      <c r="P248" s="528">
        <f t="shared" ref="P248:BM248" si="254">IFERROR(+IF(AND($M248="Flat",P$5&gt;=$J248,P$5&lt;=$K248),$I248/$L248,0)+IF(AND($M248="S-Curve",P$5&gt;=$J248,P$5&lt;=$K248),(_xlfn.NORM.DIST((YEAR(P$5)-YEAR($J248))*12+MONTH(P$5)-MONTH($J248)+1,$L248/2,$N248,TRUE)-_xlfn.NORM.DIST((YEAR(P$5)-YEAR($J248))*12+MONTH(P$5)-MONTH($J248),$L248/2,$N248,TRUE))/(1-2*_xlfn.NORM.DIST(0,$L248/2,$N248,TRUE))*$I248," "),"")</f>
        <v>2.9906244073842087E-3</v>
      </c>
      <c r="Q248" s="528">
        <f t="shared" si="254"/>
        <v>7.9133888280371201E-3</v>
      </c>
      <c r="R248" s="528">
        <f t="shared" si="254"/>
        <v>1.8221082316523161E-2</v>
      </c>
      <c r="S248" s="528">
        <f t="shared" si="254"/>
        <v>3.6509407458124102E-2</v>
      </c>
      <c r="T248" s="528">
        <f t="shared" si="254"/>
        <v>6.3659182678737172E-2</v>
      </c>
      <c r="U248" s="528">
        <f t="shared" si="254"/>
        <v>9.6593618310510165E-2</v>
      </c>
      <c r="V248" s="528">
        <f t="shared" si="254"/>
        <v>0.12754723246650074</v>
      </c>
      <c r="W248" s="528">
        <f t="shared" si="254"/>
        <v>0.14656546353418334</v>
      </c>
      <c r="X248" s="528">
        <f t="shared" si="254"/>
        <v>0.14656546353418334</v>
      </c>
      <c r="Y248" s="528">
        <f t="shared" si="254"/>
        <v>0.12754723246650068</v>
      </c>
      <c r="Z248" s="528">
        <f t="shared" si="254"/>
        <v>9.6593618310510193E-2</v>
      </c>
      <c r="AA248" s="528">
        <f t="shared" si="254"/>
        <v>6.3659182678737172E-2</v>
      </c>
      <c r="AB248" s="528">
        <f t="shared" si="254"/>
        <v>3.6509407458124102E-2</v>
      </c>
      <c r="AC248" s="528">
        <f t="shared" si="254"/>
        <v>1.822108231652321E-2</v>
      </c>
      <c r="AD248" s="528">
        <f t="shared" si="254"/>
        <v>7.9133888280370438E-3</v>
      </c>
      <c r="AE248" s="528">
        <f t="shared" si="254"/>
        <v>2.9906244073842512E-3</v>
      </c>
      <c r="AF248" s="528" t="str">
        <f t="shared" si="254"/>
        <v/>
      </c>
      <c r="AG248" s="528" t="str">
        <f t="shared" si="254"/>
        <v/>
      </c>
      <c r="AH248" s="528" t="str">
        <f t="shared" si="254"/>
        <v/>
      </c>
      <c r="AI248" s="528" t="str">
        <f t="shared" si="254"/>
        <v/>
      </c>
      <c r="AJ248" s="528" t="str">
        <f t="shared" si="254"/>
        <v/>
      </c>
      <c r="AK248" s="528" t="str">
        <f t="shared" si="254"/>
        <v/>
      </c>
      <c r="AL248" s="528" t="str">
        <f t="shared" si="254"/>
        <v/>
      </c>
      <c r="AM248" s="528" t="str">
        <f t="shared" si="254"/>
        <v/>
      </c>
      <c r="AN248" s="528" t="str">
        <f t="shared" si="254"/>
        <v/>
      </c>
      <c r="AO248" s="528" t="str">
        <f t="shared" si="254"/>
        <v/>
      </c>
      <c r="AP248" s="528" t="str">
        <f t="shared" si="254"/>
        <v/>
      </c>
      <c r="AQ248" s="528" t="str">
        <f t="shared" si="254"/>
        <v/>
      </c>
      <c r="AR248" s="528" t="str">
        <f t="shared" si="254"/>
        <v/>
      </c>
      <c r="AS248" s="528" t="str">
        <f t="shared" si="254"/>
        <v/>
      </c>
      <c r="AT248" s="528" t="str">
        <f t="shared" si="254"/>
        <v/>
      </c>
      <c r="AU248" s="528" t="str">
        <f t="shared" si="254"/>
        <v/>
      </c>
      <c r="AV248" s="528" t="str">
        <f t="shared" si="254"/>
        <v/>
      </c>
      <c r="AW248" s="528" t="str">
        <f t="shared" si="254"/>
        <v/>
      </c>
      <c r="AX248" s="528" t="str">
        <f t="shared" si="254"/>
        <v/>
      </c>
      <c r="AY248" s="528" t="str">
        <f t="shared" si="254"/>
        <v/>
      </c>
      <c r="AZ248" s="528" t="str">
        <f t="shared" si="254"/>
        <v/>
      </c>
      <c r="BA248" s="528" t="str">
        <f t="shared" si="254"/>
        <v/>
      </c>
      <c r="BB248" s="528" t="str">
        <f t="shared" si="254"/>
        <v/>
      </c>
      <c r="BC248" s="528" t="str">
        <f t="shared" si="254"/>
        <v/>
      </c>
      <c r="BD248" s="528" t="str">
        <f t="shared" si="254"/>
        <v/>
      </c>
      <c r="BE248" s="528" t="str">
        <f t="shared" si="254"/>
        <v/>
      </c>
      <c r="BF248" s="528" t="str">
        <f t="shared" si="254"/>
        <v/>
      </c>
      <c r="BG248" s="528" t="str">
        <f t="shared" si="254"/>
        <v/>
      </c>
      <c r="BH248" s="528" t="str">
        <f t="shared" si="254"/>
        <v/>
      </c>
      <c r="BI248" s="528" t="str">
        <f t="shared" si="254"/>
        <v/>
      </c>
      <c r="BJ248" s="528" t="str">
        <f t="shared" si="254"/>
        <v/>
      </c>
      <c r="BK248" s="528" t="str">
        <f t="shared" si="254"/>
        <v/>
      </c>
      <c r="BL248" s="528" t="str">
        <f t="shared" si="254"/>
        <v/>
      </c>
      <c r="BM248" s="528" t="str">
        <f t="shared" si="254"/>
        <v/>
      </c>
    </row>
    <row r="249" spans="6:65" ht="15.75" customHeight="1" x14ac:dyDescent="0.25">
      <c r="F249" s="197"/>
      <c r="G249" s="197">
        <f t="shared" si="3"/>
        <v>0</v>
      </c>
      <c r="H249" s="197">
        <f t="shared" si="4"/>
        <v>176</v>
      </c>
      <c r="I249" s="523">
        <v>1</v>
      </c>
      <c r="J249" s="533">
        <f>'Monthly DCF'!$I$3</f>
        <v>46418</v>
      </c>
      <c r="K249" s="533">
        <f t="shared" si="5"/>
        <v>46904</v>
      </c>
      <c r="L249" s="536">
        <f t="shared" si="243"/>
        <v>17</v>
      </c>
      <c r="M249" s="20" t="s">
        <v>366</v>
      </c>
      <c r="N249" s="20">
        <f t="shared" si="6"/>
        <v>2.8333333333333335</v>
      </c>
      <c r="O249" s="537">
        <v>6</v>
      </c>
      <c r="P249" s="528">
        <f t="shared" ref="P249:BM249" si="255">IFERROR(+IF(AND($M249="Flat",P$5&gt;=$J249,P$5&lt;=$K249),$I249/$L249,0)+IF(AND($M249="S-Curve",P$5&gt;=$J249,P$5&lt;=$K249),(_xlfn.NORM.DIST((YEAR(P$5)-YEAR($J249))*12+MONTH(P$5)-MONTH($J249)+1,$L249/2,$N249,TRUE)-_xlfn.NORM.DIST((YEAR(P$5)-YEAR($J249))*12+MONTH(P$5)-MONTH($J249),$L249/2,$N249,TRUE))/(1-2*_xlfn.NORM.DIST(0,$L249/2,$N249,TRUE))*$I249," "),"")</f>
        <v>2.7171992475771797E-3</v>
      </c>
      <c r="Q249" s="528">
        <f t="shared" si="255"/>
        <v>6.8506048264191759E-3</v>
      </c>
      <c r="R249" s="528">
        <f t="shared" si="255"/>
        <v>1.5267786967034938E-2</v>
      </c>
      <c r="S249" s="528">
        <f t="shared" si="255"/>
        <v>3.0079341530256654E-2</v>
      </c>
      <c r="T249" s="528">
        <f t="shared" si="255"/>
        <v>5.2385389473651532E-2</v>
      </c>
      <c r="U249" s="528">
        <f t="shared" si="255"/>
        <v>8.065019572852726E-2</v>
      </c>
      <c r="V249" s="528">
        <f t="shared" si="255"/>
        <v>0.10976327007061178</v>
      </c>
      <c r="W249" s="528">
        <f t="shared" si="255"/>
        <v>0.13205873891925127</v>
      </c>
      <c r="X249" s="528">
        <f t="shared" si="255"/>
        <v>0.1404549464733405</v>
      </c>
      <c r="Y249" s="528">
        <f t="shared" si="255"/>
        <v>0.13205873891925127</v>
      </c>
      <c r="Z249" s="528">
        <f t="shared" si="255"/>
        <v>0.1097632700706118</v>
      </c>
      <c r="AA249" s="528">
        <f t="shared" si="255"/>
        <v>8.0650195728527177E-2</v>
      </c>
      <c r="AB249" s="528">
        <f t="shared" si="255"/>
        <v>5.2385389473651629E-2</v>
      </c>
      <c r="AC249" s="528">
        <f t="shared" si="255"/>
        <v>3.0079341530256605E-2</v>
      </c>
      <c r="AD249" s="528">
        <f t="shared" si="255"/>
        <v>1.5267786967034949E-2</v>
      </c>
      <c r="AE249" s="528">
        <f t="shared" si="255"/>
        <v>6.8506048264191819E-3</v>
      </c>
      <c r="AF249" s="528">
        <f t="shared" si="255"/>
        <v>2.7171992475771597E-3</v>
      </c>
      <c r="AG249" s="528" t="str">
        <f t="shared" si="255"/>
        <v/>
      </c>
      <c r="AH249" s="528" t="str">
        <f t="shared" si="255"/>
        <v/>
      </c>
      <c r="AI249" s="528" t="str">
        <f t="shared" si="255"/>
        <v/>
      </c>
      <c r="AJ249" s="528" t="str">
        <f t="shared" si="255"/>
        <v/>
      </c>
      <c r="AK249" s="528" t="str">
        <f t="shared" si="255"/>
        <v/>
      </c>
      <c r="AL249" s="528" t="str">
        <f t="shared" si="255"/>
        <v/>
      </c>
      <c r="AM249" s="528" t="str">
        <f t="shared" si="255"/>
        <v/>
      </c>
      <c r="AN249" s="528" t="str">
        <f t="shared" si="255"/>
        <v/>
      </c>
      <c r="AO249" s="528" t="str">
        <f t="shared" si="255"/>
        <v/>
      </c>
      <c r="AP249" s="528" t="str">
        <f t="shared" si="255"/>
        <v/>
      </c>
      <c r="AQ249" s="528" t="str">
        <f t="shared" si="255"/>
        <v/>
      </c>
      <c r="AR249" s="528" t="str">
        <f t="shared" si="255"/>
        <v/>
      </c>
      <c r="AS249" s="528" t="str">
        <f t="shared" si="255"/>
        <v/>
      </c>
      <c r="AT249" s="528" t="str">
        <f t="shared" si="255"/>
        <v/>
      </c>
      <c r="AU249" s="528" t="str">
        <f t="shared" si="255"/>
        <v/>
      </c>
      <c r="AV249" s="528" t="str">
        <f t="shared" si="255"/>
        <v/>
      </c>
      <c r="AW249" s="528" t="str">
        <f t="shared" si="255"/>
        <v/>
      </c>
      <c r="AX249" s="528" t="str">
        <f t="shared" si="255"/>
        <v/>
      </c>
      <c r="AY249" s="528" t="str">
        <f t="shared" si="255"/>
        <v/>
      </c>
      <c r="AZ249" s="528" t="str">
        <f t="shared" si="255"/>
        <v/>
      </c>
      <c r="BA249" s="528" t="str">
        <f t="shared" si="255"/>
        <v/>
      </c>
      <c r="BB249" s="528" t="str">
        <f t="shared" si="255"/>
        <v/>
      </c>
      <c r="BC249" s="528" t="str">
        <f t="shared" si="255"/>
        <v/>
      </c>
      <c r="BD249" s="528" t="str">
        <f t="shared" si="255"/>
        <v/>
      </c>
      <c r="BE249" s="528" t="str">
        <f t="shared" si="255"/>
        <v/>
      </c>
      <c r="BF249" s="528" t="str">
        <f t="shared" si="255"/>
        <v/>
      </c>
      <c r="BG249" s="528" t="str">
        <f t="shared" si="255"/>
        <v/>
      </c>
      <c r="BH249" s="528" t="str">
        <f t="shared" si="255"/>
        <v/>
      </c>
      <c r="BI249" s="528" t="str">
        <f t="shared" si="255"/>
        <v/>
      </c>
      <c r="BJ249" s="528" t="str">
        <f t="shared" si="255"/>
        <v/>
      </c>
      <c r="BK249" s="528" t="str">
        <f t="shared" si="255"/>
        <v/>
      </c>
      <c r="BL249" s="528" t="str">
        <f t="shared" si="255"/>
        <v/>
      </c>
      <c r="BM249" s="528" t="str">
        <f t="shared" si="255"/>
        <v/>
      </c>
    </row>
    <row r="250" spans="6:65" ht="15.75" customHeight="1" x14ac:dyDescent="0.25">
      <c r="F250" s="197"/>
      <c r="G250" s="197">
        <f t="shared" si="3"/>
        <v>0</v>
      </c>
      <c r="H250" s="197">
        <f t="shared" si="4"/>
        <v>186</v>
      </c>
      <c r="I250" s="523">
        <v>1</v>
      </c>
      <c r="J250" s="533">
        <f>'Monthly DCF'!$I$3</f>
        <v>46418</v>
      </c>
      <c r="K250" s="533">
        <f t="shared" si="5"/>
        <v>46934</v>
      </c>
      <c r="L250" s="536">
        <f t="shared" si="243"/>
        <v>18</v>
      </c>
      <c r="M250" s="20" t="s">
        <v>366</v>
      </c>
      <c r="N250" s="20">
        <f t="shared" si="6"/>
        <v>3</v>
      </c>
      <c r="O250" s="537">
        <v>6</v>
      </c>
      <c r="P250" s="528">
        <f t="shared" ref="P250:BM250" si="256">IFERROR(+IF(AND($M250="Flat",P$5&gt;=$J250,P$5&lt;=$K250),$I250/$L250,0)+IF(AND($M250="S-Curve",P$5&gt;=$J250,P$5&lt;=$K250),(_xlfn.NORM.DIST((YEAR(P$5)-YEAR($J250))*12+MONTH(P$5)-MONTH($J250)+1,$L250/2,$N250,TRUE)-_xlfn.NORM.DIST((YEAR(P$5)-YEAR($J250))*12+MONTH(P$5)-MONTH($J250),$L250/2,$N250,TRUE))/(1-2*_xlfn.NORM.DIST(0,$L250/2,$N250,TRUE))*$I250," "),"")</f>
        <v>2.4871974618757651E-3</v>
      </c>
      <c r="Q250" s="528">
        <f t="shared" si="256"/>
        <v>6.0011499420441648E-3</v>
      </c>
      <c r="R250" s="528">
        <f t="shared" si="256"/>
        <v>1.2969819186314263E-2</v>
      </c>
      <c r="S250" s="528">
        <f t="shared" si="256"/>
        <v>2.5108006822611509E-2</v>
      </c>
      <c r="T250" s="528">
        <f t="shared" si="256"/>
        <v>4.3538412287146611E-2</v>
      </c>
      <c r="U250" s="528">
        <f t="shared" si="256"/>
        <v>6.7626612267159616E-2</v>
      </c>
      <c r="V250" s="528">
        <f t="shared" si="256"/>
        <v>9.4091310966399999E-2</v>
      </c>
      <c r="W250" s="528">
        <f t="shared" si="256"/>
        <v>0.11726539528739426</v>
      </c>
      <c r="X250" s="528">
        <f t="shared" si="256"/>
        <v>0.13091209577905383</v>
      </c>
      <c r="Y250" s="528">
        <f t="shared" si="256"/>
        <v>0.13091209577905388</v>
      </c>
      <c r="Z250" s="528">
        <f t="shared" si="256"/>
        <v>0.1172653952873942</v>
      </c>
      <c r="AA250" s="528">
        <f t="shared" si="256"/>
        <v>9.4091310966400027E-2</v>
      </c>
      <c r="AB250" s="528">
        <f t="shared" si="256"/>
        <v>6.7626612267159589E-2</v>
      </c>
      <c r="AC250" s="528">
        <f t="shared" si="256"/>
        <v>4.3538412287146618E-2</v>
      </c>
      <c r="AD250" s="528">
        <f t="shared" si="256"/>
        <v>2.5108006822611485E-2</v>
      </c>
      <c r="AE250" s="528">
        <f t="shared" si="256"/>
        <v>1.2969819186314301E-2</v>
      </c>
      <c r="AF250" s="528">
        <f t="shared" si="256"/>
        <v>6.0011499420441041E-3</v>
      </c>
      <c r="AG250" s="528">
        <f t="shared" si="256"/>
        <v>2.4871974618757946E-3</v>
      </c>
      <c r="AH250" s="528" t="str">
        <f t="shared" si="256"/>
        <v/>
      </c>
      <c r="AI250" s="528" t="str">
        <f t="shared" si="256"/>
        <v/>
      </c>
      <c r="AJ250" s="528" t="str">
        <f t="shared" si="256"/>
        <v/>
      </c>
      <c r="AK250" s="528" t="str">
        <f t="shared" si="256"/>
        <v/>
      </c>
      <c r="AL250" s="528" t="str">
        <f t="shared" si="256"/>
        <v/>
      </c>
      <c r="AM250" s="528" t="str">
        <f t="shared" si="256"/>
        <v/>
      </c>
      <c r="AN250" s="528" t="str">
        <f t="shared" si="256"/>
        <v/>
      </c>
      <c r="AO250" s="528" t="str">
        <f t="shared" si="256"/>
        <v/>
      </c>
      <c r="AP250" s="528" t="str">
        <f t="shared" si="256"/>
        <v/>
      </c>
      <c r="AQ250" s="528" t="str">
        <f t="shared" si="256"/>
        <v/>
      </c>
      <c r="AR250" s="528" t="str">
        <f t="shared" si="256"/>
        <v/>
      </c>
      <c r="AS250" s="528" t="str">
        <f t="shared" si="256"/>
        <v/>
      </c>
      <c r="AT250" s="528" t="str">
        <f t="shared" si="256"/>
        <v/>
      </c>
      <c r="AU250" s="528" t="str">
        <f t="shared" si="256"/>
        <v/>
      </c>
      <c r="AV250" s="528" t="str">
        <f t="shared" si="256"/>
        <v/>
      </c>
      <c r="AW250" s="528" t="str">
        <f t="shared" si="256"/>
        <v/>
      </c>
      <c r="AX250" s="528" t="str">
        <f t="shared" si="256"/>
        <v/>
      </c>
      <c r="AY250" s="528" t="str">
        <f t="shared" si="256"/>
        <v/>
      </c>
      <c r="AZ250" s="528" t="str">
        <f t="shared" si="256"/>
        <v/>
      </c>
      <c r="BA250" s="528" t="str">
        <f t="shared" si="256"/>
        <v/>
      </c>
      <c r="BB250" s="528" t="str">
        <f t="shared" si="256"/>
        <v/>
      </c>
      <c r="BC250" s="528" t="str">
        <f t="shared" si="256"/>
        <v/>
      </c>
      <c r="BD250" s="528" t="str">
        <f t="shared" si="256"/>
        <v/>
      </c>
      <c r="BE250" s="528" t="str">
        <f t="shared" si="256"/>
        <v/>
      </c>
      <c r="BF250" s="528" t="str">
        <f t="shared" si="256"/>
        <v/>
      </c>
      <c r="BG250" s="528" t="str">
        <f t="shared" si="256"/>
        <v/>
      </c>
      <c r="BH250" s="528" t="str">
        <f t="shared" si="256"/>
        <v/>
      </c>
      <c r="BI250" s="528" t="str">
        <f t="shared" si="256"/>
        <v/>
      </c>
      <c r="BJ250" s="528" t="str">
        <f t="shared" si="256"/>
        <v/>
      </c>
      <c r="BK250" s="528" t="str">
        <f t="shared" si="256"/>
        <v/>
      </c>
      <c r="BL250" s="528" t="str">
        <f t="shared" si="256"/>
        <v/>
      </c>
      <c r="BM250" s="528" t="str">
        <f t="shared" si="256"/>
        <v/>
      </c>
    </row>
    <row r="251" spans="6:65" ht="15.75" customHeight="1" x14ac:dyDescent="0.25">
      <c r="F251" s="197"/>
      <c r="G251" s="197">
        <f t="shared" si="3"/>
        <v>0</v>
      </c>
      <c r="H251" s="197">
        <f t="shared" si="4"/>
        <v>196</v>
      </c>
      <c r="I251" s="523">
        <v>1</v>
      </c>
      <c r="J251" s="533">
        <f>'Monthly DCF'!$I$3</f>
        <v>46418</v>
      </c>
      <c r="K251" s="533">
        <f t="shared" si="5"/>
        <v>46965</v>
      </c>
      <c r="L251" s="536">
        <f t="shared" si="243"/>
        <v>19</v>
      </c>
      <c r="M251" s="20" t="s">
        <v>366</v>
      </c>
      <c r="N251" s="20">
        <f t="shared" si="6"/>
        <v>3.1666666666666665</v>
      </c>
      <c r="O251" s="537">
        <v>6</v>
      </c>
      <c r="P251" s="528">
        <f t="shared" ref="P251:BM251" si="257">IFERROR(+IF(AND($M251="Flat",P$5&gt;=$J251,P$5&lt;=$K251),$I251/$L251,0)+IF(AND($M251="S-Curve",P$5&gt;=$J251,P$5&lt;=$K251),(_xlfn.NORM.DIST((YEAR(P$5)-YEAR($J251))*12+MONTH(P$5)-MONTH($J251)+1,$L251/2,$N251,TRUE)-_xlfn.NORM.DIST((YEAR(P$5)-YEAR($J251))*12+MONTH(P$5)-MONTH($J251),$L251/2,$N251,TRUE))/(1-2*_xlfn.NORM.DIST(0,$L251/2,$N251,TRUE))*$I251," "),"")</f>
        <v>2.291353675667962E-3</v>
      </c>
      <c r="Q251" s="528">
        <f t="shared" si="257"/>
        <v>5.3113703531772012E-3</v>
      </c>
      <c r="R251" s="528">
        <f t="shared" si="257"/>
        <v>1.115217356289038E-2</v>
      </c>
      <c r="S251" s="528">
        <f t="shared" si="257"/>
        <v>2.1210625510974922E-2</v>
      </c>
      <c r="T251" s="528">
        <f t="shared" si="257"/>
        <v>3.6541862818541382E-2</v>
      </c>
      <c r="U251" s="528">
        <f t="shared" si="257"/>
        <v>5.7026017497071355E-2</v>
      </c>
      <c r="V251" s="528">
        <f t="shared" si="257"/>
        <v>8.061245099603051E-2</v>
      </c>
      <c r="W251" s="528">
        <f t="shared" si="257"/>
        <v>0.10322363771432311</v>
      </c>
      <c r="X251" s="528">
        <f t="shared" si="257"/>
        <v>0.1197305635657105</v>
      </c>
      <c r="Y251" s="528">
        <f t="shared" si="257"/>
        <v>0.12579988861122543</v>
      </c>
      <c r="Z251" s="528">
        <f t="shared" si="257"/>
        <v>0.11973056356571045</v>
      </c>
      <c r="AA251" s="528">
        <f t="shared" si="257"/>
        <v>0.10322363771432311</v>
      </c>
      <c r="AB251" s="528">
        <f t="shared" si="257"/>
        <v>8.0612450996030538E-2</v>
      </c>
      <c r="AC251" s="528">
        <f t="shared" si="257"/>
        <v>5.7026017497071285E-2</v>
      </c>
      <c r="AD251" s="528">
        <f t="shared" si="257"/>
        <v>3.6541862818541375E-2</v>
      </c>
      <c r="AE251" s="528">
        <f t="shared" si="257"/>
        <v>2.1210625510974968E-2</v>
      </c>
      <c r="AF251" s="528">
        <f t="shared" si="257"/>
        <v>1.1152173562890345E-2</v>
      </c>
      <c r="AG251" s="528">
        <f t="shared" si="257"/>
        <v>5.3113703531772185E-3</v>
      </c>
      <c r="AH251" s="528">
        <f t="shared" si="257"/>
        <v>2.2913536756679724E-3</v>
      </c>
      <c r="AI251" s="528" t="str">
        <f t="shared" si="257"/>
        <v/>
      </c>
      <c r="AJ251" s="528" t="str">
        <f t="shared" si="257"/>
        <v/>
      </c>
      <c r="AK251" s="528" t="str">
        <f t="shared" si="257"/>
        <v/>
      </c>
      <c r="AL251" s="528" t="str">
        <f t="shared" si="257"/>
        <v/>
      </c>
      <c r="AM251" s="528" t="str">
        <f t="shared" si="257"/>
        <v/>
      </c>
      <c r="AN251" s="528" t="str">
        <f t="shared" si="257"/>
        <v/>
      </c>
      <c r="AO251" s="528" t="str">
        <f t="shared" si="257"/>
        <v/>
      </c>
      <c r="AP251" s="528" t="str">
        <f t="shared" si="257"/>
        <v/>
      </c>
      <c r="AQ251" s="528" t="str">
        <f t="shared" si="257"/>
        <v/>
      </c>
      <c r="AR251" s="528" t="str">
        <f t="shared" si="257"/>
        <v/>
      </c>
      <c r="AS251" s="528" t="str">
        <f t="shared" si="257"/>
        <v/>
      </c>
      <c r="AT251" s="528" t="str">
        <f t="shared" si="257"/>
        <v/>
      </c>
      <c r="AU251" s="528" t="str">
        <f t="shared" si="257"/>
        <v/>
      </c>
      <c r="AV251" s="528" t="str">
        <f t="shared" si="257"/>
        <v/>
      </c>
      <c r="AW251" s="528" t="str">
        <f t="shared" si="257"/>
        <v/>
      </c>
      <c r="AX251" s="528" t="str">
        <f t="shared" si="257"/>
        <v/>
      </c>
      <c r="AY251" s="528" t="str">
        <f t="shared" si="257"/>
        <v/>
      </c>
      <c r="AZ251" s="528" t="str">
        <f t="shared" si="257"/>
        <v/>
      </c>
      <c r="BA251" s="528" t="str">
        <f t="shared" si="257"/>
        <v/>
      </c>
      <c r="BB251" s="528" t="str">
        <f t="shared" si="257"/>
        <v/>
      </c>
      <c r="BC251" s="528" t="str">
        <f t="shared" si="257"/>
        <v/>
      </c>
      <c r="BD251" s="528" t="str">
        <f t="shared" si="257"/>
        <v/>
      </c>
      <c r="BE251" s="528" t="str">
        <f t="shared" si="257"/>
        <v/>
      </c>
      <c r="BF251" s="528" t="str">
        <f t="shared" si="257"/>
        <v/>
      </c>
      <c r="BG251" s="528" t="str">
        <f t="shared" si="257"/>
        <v/>
      </c>
      <c r="BH251" s="528" t="str">
        <f t="shared" si="257"/>
        <v/>
      </c>
      <c r="BI251" s="528" t="str">
        <f t="shared" si="257"/>
        <v/>
      </c>
      <c r="BJ251" s="528" t="str">
        <f t="shared" si="257"/>
        <v/>
      </c>
      <c r="BK251" s="528" t="str">
        <f t="shared" si="257"/>
        <v/>
      </c>
      <c r="BL251" s="528" t="str">
        <f t="shared" si="257"/>
        <v/>
      </c>
      <c r="BM251" s="528" t="str">
        <f t="shared" si="257"/>
        <v/>
      </c>
    </row>
    <row r="252" spans="6:65" ht="15.75" customHeight="1" x14ac:dyDescent="0.25">
      <c r="F252" s="197"/>
      <c r="G252" s="197">
        <f t="shared" si="3"/>
        <v>0</v>
      </c>
      <c r="H252" s="197">
        <f t="shared" si="4"/>
        <v>206</v>
      </c>
      <c r="I252" s="523">
        <v>1</v>
      </c>
      <c r="J252" s="533">
        <f>'Monthly DCF'!$I$3</f>
        <v>46418</v>
      </c>
      <c r="K252" s="533">
        <f t="shared" si="5"/>
        <v>46996</v>
      </c>
      <c r="L252" s="536">
        <f t="shared" si="243"/>
        <v>20</v>
      </c>
      <c r="M252" s="20" t="s">
        <v>366</v>
      </c>
      <c r="N252" s="20">
        <f t="shared" si="6"/>
        <v>3.3333333333333335</v>
      </c>
      <c r="O252" s="537">
        <v>6</v>
      </c>
      <c r="P252" s="528">
        <f t="shared" ref="P252:BM252" si="258">IFERROR(+IF(AND($M252="Flat",P$5&gt;=$J252,P$5&lt;=$K252),$I252/$L252,0)+IF(AND($M252="S-Curve",P$5&gt;=$J252,P$5&lt;=$K252),(_xlfn.NORM.DIST((YEAR(P$5)-YEAR($J252))*12+MONTH(P$5)-MONTH($J252)+1,$L252/2,$N252,TRUE)-_xlfn.NORM.DIST((YEAR(P$5)-YEAR($J252))*12+MONTH(P$5)-MONTH($J252),$L252/2,$N252,TRUE))/(1-2*_xlfn.NORM.DIST(0,$L252/2,$N252,TRUE))*$I252," "),"")</f>
        <v>2.1228069171686081E-3</v>
      </c>
      <c r="Q252" s="528">
        <f t="shared" si="258"/>
        <v>4.7433682484793009E-3</v>
      </c>
      <c r="R252" s="528">
        <f t="shared" si="258"/>
        <v>9.6930539069995016E-3</v>
      </c>
      <c r="S252" s="528">
        <f t="shared" si="258"/>
        <v>1.8114804828872982E-2</v>
      </c>
      <c r="T252" s="528">
        <f t="shared" si="258"/>
        <v>3.0960469108548196E-2</v>
      </c>
      <c r="U252" s="528">
        <f t="shared" si="258"/>
        <v>4.8393120509089532E-2</v>
      </c>
      <c r="V252" s="528">
        <f t="shared" si="258"/>
        <v>6.9177219509951482E-2</v>
      </c>
      <c r="W252" s="528">
        <f t="shared" si="258"/>
        <v>9.0437154276401935E-2</v>
      </c>
      <c r="X252" s="528">
        <f t="shared" si="258"/>
        <v>0.10812738194106891</v>
      </c>
      <c r="Y252" s="528">
        <f t="shared" si="258"/>
        <v>0.11823062075341957</v>
      </c>
      <c r="Z252" s="528">
        <f t="shared" si="258"/>
        <v>0.11823062075341957</v>
      </c>
      <c r="AA252" s="528">
        <f t="shared" si="258"/>
        <v>0.10812738194106891</v>
      </c>
      <c r="AB252" s="528">
        <f t="shared" si="258"/>
        <v>9.0437154276401907E-2</v>
      </c>
      <c r="AC252" s="528">
        <f t="shared" si="258"/>
        <v>6.9177219509951565E-2</v>
      </c>
      <c r="AD252" s="528">
        <f t="shared" si="258"/>
        <v>4.8393120509089449E-2</v>
      </c>
      <c r="AE252" s="528">
        <f t="shared" si="258"/>
        <v>3.0960469108548265E-2</v>
      </c>
      <c r="AF252" s="528">
        <f t="shared" si="258"/>
        <v>1.8114804828872923E-2</v>
      </c>
      <c r="AG252" s="528">
        <f t="shared" si="258"/>
        <v>9.6930539069994947E-3</v>
      </c>
      <c r="AH252" s="528">
        <f t="shared" si="258"/>
        <v>4.7433682484793755E-3</v>
      </c>
      <c r="AI252" s="528">
        <f t="shared" si="258"/>
        <v>2.1228069171685482E-3</v>
      </c>
      <c r="AJ252" s="528" t="str">
        <f t="shared" si="258"/>
        <v/>
      </c>
      <c r="AK252" s="528" t="str">
        <f t="shared" si="258"/>
        <v/>
      </c>
      <c r="AL252" s="528" t="str">
        <f t="shared" si="258"/>
        <v/>
      </c>
      <c r="AM252" s="528" t="str">
        <f t="shared" si="258"/>
        <v/>
      </c>
      <c r="AN252" s="528" t="str">
        <f t="shared" si="258"/>
        <v/>
      </c>
      <c r="AO252" s="528" t="str">
        <f t="shared" si="258"/>
        <v/>
      </c>
      <c r="AP252" s="528" t="str">
        <f t="shared" si="258"/>
        <v/>
      </c>
      <c r="AQ252" s="528" t="str">
        <f t="shared" si="258"/>
        <v/>
      </c>
      <c r="AR252" s="528" t="str">
        <f t="shared" si="258"/>
        <v/>
      </c>
      <c r="AS252" s="528" t="str">
        <f t="shared" si="258"/>
        <v/>
      </c>
      <c r="AT252" s="528" t="str">
        <f t="shared" si="258"/>
        <v/>
      </c>
      <c r="AU252" s="528" t="str">
        <f t="shared" si="258"/>
        <v/>
      </c>
      <c r="AV252" s="528" t="str">
        <f t="shared" si="258"/>
        <v/>
      </c>
      <c r="AW252" s="528" t="str">
        <f t="shared" si="258"/>
        <v/>
      </c>
      <c r="AX252" s="528" t="str">
        <f t="shared" si="258"/>
        <v/>
      </c>
      <c r="AY252" s="528" t="str">
        <f t="shared" si="258"/>
        <v/>
      </c>
      <c r="AZ252" s="528" t="str">
        <f t="shared" si="258"/>
        <v/>
      </c>
      <c r="BA252" s="528" t="str">
        <f t="shared" si="258"/>
        <v/>
      </c>
      <c r="BB252" s="528" t="str">
        <f t="shared" si="258"/>
        <v/>
      </c>
      <c r="BC252" s="528" t="str">
        <f t="shared" si="258"/>
        <v/>
      </c>
      <c r="BD252" s="528" t="str">
        <f t="shared" si="258"/>
        <v/>
      </c>
      <c r="BE252" s="528" t="str">
        <f t="shared" si="258"/>
        <v/>
      </c>
      <c r="BF252" s="528" t="str">
        <f t="shared" si="258"/>
        <v/>
      </c>
      <c r="BG252" s="528" t="str">
        <f t="shared" si="258"/>
        <v/>
      </c>
      <c r="BH252" s="528" t="str">
        <f t="shared" si="258"/>
        <v/>
      </c>
      <c r="BI252" s="528" t="str">
        <f t="shared" si="258"/>
        <v/>
      </c>
      <c r="BJ252" s="528" t="str">
        <f t="shared" si="258"/>
        <v/>
      </c>
      <c r="BK252" s="528" t="str">
        <f t="shared" si="258"/>
        <v/>
      </c>
      <c r="BL252" s="528" t="str">
        <f t="shared" si="258"/>
        <v/>
      </c>
      <c r="BM252" s="528" t="str">
        <f t="shared" si="258"/>
        <v/>
      </c>
    </row>
    <row r="253" spans="6:65" ht="15.75" customHeight="1" x14ac:dyDescent="0.25">
      <c r="F253" s="197"/>
      <c r="G253" s="197">
        <f t="shared" si="3"/>
        <v>0</v>
      </c>
      <c r="H253" s="197">
        <f t="shared" si="4"/>
        <v>216</v>
      </c>
      <c r="I253" s="523">
        <v>1</v>
      </c>
      <c r="J253" s="533">
        <f>'Monthly DCF'!$I$3</f>
        <v>46418</v>
      </c>
      <c r="K253" s="533">
        <f t="shared" si="5"/>
        <v>47026</v>
      </c>
      <c r="L253" s="536">
        <f t="shared" si="243"/>
        <v>21</v>
      </c>
      <c r="M253" s="20" t="s">
        <v>366</v>
      </c>
      <c r="N253" s="20">
        <f t="shared" si="6"/>
        <v>3.5</v>
      </c>
      <c r="O253" s="537">
        <v>6</v>
      </c>
      <c r="P253" s="528">
        <f t="shared" ref="P253:BM253" si="259">IFERROR(+IF(AND($M253="Flat",P$5&gt;=$J253,P$5&lt;=$K253),$I253/$L253,0)+IF(AND($M253="S-Curve",P$5&gt;=$J253,P$5&lt;=$K253),(_xlfn.NORM.DIST((YEAR(P$5)-YEAR($J253))*12+MONTH(P$5)-MONTH($J253)+1,$L253/2,$N253,TRUE)-_xlfn.NORM.DIST((YEAR(P$5)-YEAR($J253))*12+MONTH(P$5)-MONTH($J253),$L253/2,$N253,TRUE))/(1-2*_xlfn.NORM.DIST(0,$L253/2,$N253,TRUE))*$I253," "),"")</f>
        <v>1.9763805309602088E-3</v>
      </c>
      <c r="Q253" s="528">
        <f t="shared" si="259"/>
        <v>4.2698043013500902E-3</v>
      </c>
      <c r="R253" s="528">
        <f t="shared" si="259"/>
        <v>8.5060307133424506E-3</v>
      </c>
      <c r="S253" s="528">
        <f t="shared" si="259"/>
        <v>1.5625315678600579E-2</v>
      </c>
      <c r="T253" s="528">
        <f t="shared" si="259"/>
        <v>2.6467607896257128E-2</v>
      </c>
      <c r="U253" s="528">
        <f t="shared" si="259"/>
        <v>4.134144344025293E-2</v>
      </c>
      <c r="V253" s="528">
        <f t="shared" si="259"/>
        <v>5.9544615406388543E-2</v>
      </c>
      <c r="W253" s="528">
        <f t="shared" si="259"/>
        <v>7.9083517464639305E-2</v>
      </c>
      <c r="X253" s="528">
        <f t="shared" si="259"/>
        <v>9.6853794363382192E-2</v>
      </c>
      <c r="Y253" s="528">
        <f t="shared" si="259"/>
        <v>0.10937923391102258</v>
      </c>
      <c r="Z253" s="528">
        <f t="shared" si="259"/>
        <v>0.113904512587608</v>
      </c>
      <c r="AA253" s="528">
        <f t="shared" si="259"/>
        <v>0.10937923391102258</v>
      </c>
      <c r="AB253" s="528">
        <f t="shared" si="259"/>
        <v>9.6853794363382137E-2</v>
      </c>
      <c r="AC253" s="528">
        <f t="shared" si="259"/>
        <v>7.9083517464639388E-2</v>
      </c>
      <c r="AD253" s="528">
        <f t="shared" si="259"/>
        <v>5.9544615406388501E-2</v>
      </c>
      <c r="AE253" s="528">
        <f t="shared" si="259"/>
        <v>4.1341443440252972E-2</v>
      </c>
      <c r="AF253" s="528">
        <f t="shared" si="259"/>
        <v>2.6467607896257121E-2</v>
      </c>
      <c r="AG253" s="528">
        <f t="shared" si="259"/>
        <v>1.5625315678600607E-2</v>
      </c>
      <c r="AH253" s="528">
        <f t="shared" si="259"/>
        <v>8.5060307133423742E-3</v>
      </c>
      <c r="AI253" s="528">
        <f t="shared" si="259"/>
        <v>4.2698043013501682E-3</v>
      </c>
      <c r="AJ253" s="528">
        <f t="shared" si="259"/>
        <v>1.9763805309601485E-3</v>
      </c>
      <c r="AK253" s="528" t="str">
        <f t="shared" si="259"/>
        <v/>
      </c>
      <c r="AL253" s="528" t="str">
        <f t="shared" si="259"/>
        <v/>
      </c>
      <c r="AM253" s="528" t="str">
        <f t="shared" si="259"/>
        <v/>
      </c>
      <c r="AN253" s="528" t="str">
        <f t="shared" si="259"/>
        <v/>
      </c>
      <c r="AO253" s="528" t="str">
        <f t="shared" si="259"/>
        <v/>
      </c>
      <c r="AP253" s="528" t="str">
        <f t="shared" si="259"/>
        <v/>
      </c>
      <c r="AQ253" s="528" t="str">
        <f t="shared" si="259"/>
        <v/>
      </c>
      <c r="AR253" s="528" t="str">
        <f t="shared" si="259"/>
        <v/>
      </c>
      <c r="AS253" s="528" t="str">
        <f t="shared" si="259"/>
        <v/>
      </c>
      <c r="AT253" s="528" t="str">
        <f t="shared" si="259"/>
        <v/>
      </c>
      <c r="AU253" s="528" t="str">
        <f t="shared" si="259"/>
        <v/>
      </c>
      <c r="AV253" s="528" t="str">
        <f t="shared" si="259"/>
        <v/>
      </c>
      <c r="AW253" s="528" t="str">
        <f t="shared" si="259"/>
        <v/>
      </c>
      <c r="AX253" s="528" t="str">
        <f t="shared" si="259"/>
        <v/>
      </c>
      <c r="AY253" s="528" t="str">
        <f t="shared" si="259"/>
        <v/>
      </c>
      <c r="AZ253" s="528" t="str">
        <f t="shared" si="259"/>
        <v/>
      </c>
      <c r="BA253" s="528" t="str">
        <f t="shared" si="259"/>
        <v/>
      </c>
      <c r="BB253" s="528" t="str">
        <f t="shared" si="259"/>
        <v/>
      </c>
      <c r="BC253" s="528" t="str">
        <f t="shared" si="259"/>
        <v/>
      </c>
      <c r="BD253" s="528" t="str">
        <f t="shared" si="259"/>
        <v/>
      </c>
      <c r="BE253" s="528" t="str">
        <f t="shared" si="259"/>
        <v/>
      </c>
      <c r="BF253" s="528" t="str">
        <f t="shared" si="259"/>
        <v/>
      </c>
      <c r="BG253" s="528" t="str">
        <f t="shared" si="259"/>
        <v/>
      </c>
      <c r="BH253" s="528" t="str">
        <f t="shared" si="259"/>
        <v/>
      </c>
      <c r="BI253" s="528" t="str">
        <f t="shared" si="259"/>
        <v/>
      </c>
      <c r="BJ253" s="528" t="str">
        <f t="shared" si="259"/>
        <v/>
      </c>
      <c r="BK253" s="528" t="str">
        <f t="shared" si="259"/>
        <v/>
      </c>
      <c r="BL253" s="528" t="str">
        <f t="shared" si="259"/>
        <v/>
      </c>
      <c r="BM253" s="528" t="str">
        <f t="shared" si="259"/>
        <v/>
      </c>
    </row>
    <row r="254" spans="6:65" ht="15.75" customHeight="1" x14ac:dyDescent="0.25">
      <c r="F254" s="197"/>
      <c r="G254" s="197">
        <f t="shared" si="3"/>
        <v>0</v>
      </c>
      <c r="H254" s="197">
        <f t="shared" si="4"/>
        <v>226</v>
      </c>
      <c r="I254" s="523">
        <v>1</v>
      </c>
      <c r="J254" s="533">
        <f>'Monthly DCF'!$I$3</f>
        <v>46418</v>
      </c>
      <c r="K254" s="533">
        <f t="shared" si="5"/>
        <v>47057</v>
      </c>
      <c r="L254" s="536">
        <f t="shared" si="243"/>
        <v>22</v>
      </c>
      <c r="M254" s="20" t="s">
        <v>366</v>
      </c>
      <c r="N254" s="20">
        <f t="shared" si="6"/>
        <v>3.6666666666666665</v>
      </c>
      <c r="O254" s="537">
        <v>6</v>
      </c>
      <c r="P254" s="528">
        <f t="shared" ref="P254:BM254" si="260">IFERROR(+IF(AND($M254="Flat",P$5&gt;=$J254,P$5&lt;=$K254),$I254/$L254,0)+IF(AND($M254="S-Curve",P$5&gt;=$J254,P$5&lt;=$K254),(_xlfn.NORM.DIST((YEAR(P$5)-YEAR($J254))*12+MONTH(P$5)-MONTH($J254)+1,$L254/2,$N254,TRUE)-_xlfn.NORM.DIST((YEAR(P$5)-YEAR($J254))*12+MONTH(P$5)-MONTH($J254),$L254/2,$N254,TRUE))/(1-2*_xlfn.NORM.DIST(0,$L254/2,$N254,TRUE))*$I254," "),"")</f>
        <v>1.8481031112276198E-3</v>
      </c>
      <c r="Q254" s="528">
        <f t="shared" si="260"/>
        <v>3.8705796079242516E-3</v>
      </c>
      <c r="R254" s="528">
        <f t="shared" si="260"/>
        <v>7.5286614530553171E-3</v>
      </c>
      <c r="S254" s="528">
        <f t="shared" si="260"/>
        <v>1.3600423935791434E-2</v>
      </c>
      <c r="T254" s="528">
        <f t="shared" si="260"/>
        <v>2.2818174251660817E-2</v>
      </c>
      <c r="U254" s="528">
        <f t="shared" si="260"/>
        <v>3.5555260185221586E-2</v>
      </c>
      <c r="V254" s="528">
        <f t="shared" si="260"/>
        <v>5.1454338772863713E-2</v>
      </c>
      <c r="W254" s="528">
        <f t="shared" si="260"/>
        <v>6.9156954158423004E-2</v>
      </c>
      <c r="X254" s="528">
        <f t="shared" si="260"/>
        <v>8.6326844412341355E-2</v>
      </c>
      <c r="Y254" s="528">
        <f t="shared" si="260"/>
        <v>0.10008116572655122</v>
      </c>
      <c r="Z254" s="528">
        <f t="shared" si="260"/>
        <v>0.10775949438493969</v>
      </c>
      <c r="AA254" s="528">
        <f t="shared" si="260"/>
        <v>0.10775949438493969</v>
      </c>
      <c r="AB254" s="528">
        <f t="shared" si="260"/>
        <v>0.10008116572655128</v>
      </c>
      <c r="AC254" s="528">
        <f t="shared" si="260"/>
        <v>8.63268444123413E-2</v>
      </c>
      <c r="AD254" s="528">
        <f t="shared" si="260"/>
        <v>6.9156954158422976E-2</v>
      </c>
      <c r="AE254" s="528">
        <f t="shared" si="260"/>
        <v>5.1454338772863782E-2</v>
      </c>
      <c r="AF254" s="528">
        <f t="shared" si="260"/>
        <v>3.5555260185221489E-2</v>
      </c>
      <c r="AG254" s="528">
        <f t="shared" si="260"/>
        <v>2.2818174251660887E-2</v>
      </c>
      <c r="AH254" s="528">
        <f t="shared" si="260"/>
        <v>1.3600423935791438E-2</v>
      </c>
      <c r="AI254" s="528">
        <f t="shared" si="260"/>
        <v>7.5286614530553249E-3</v>
      </c>
      <c r="AJ254" s="528">
        <f t="shared" si="260"/>
        <v>3.8705796079241987E-3</v>
      </c>
      <c r="AK254" s="528">
        <f t="shared" si="260"/>
        <v>1.8481031112276372E-3</v>
      </c>
      <c r="AL254" s="528" t="str">
        <f t="shared" si="260"/>
        <v/>
      </c>
      <c r="AM254" s="528" t="str">
        <f t="shared" si="260"/>
        <v/>
      </c>
      <c r="AN254" s="528" t="str">
        <f t="shared" si="260"/>
        <v/>
      </c>
      <c r="AO254" s="528" t="str">
        <f t="shared" si="260"/>
        <v/>
      </c>
      <c r="AP254" s="528" t="str">
        <f t="shared" si="260"/>
        <v/>
      </c>
      <c r="AQ254" s="528" t="str">
        <f t="shared" si="260"/>
        <v/>
      </c>
      <c r="AR254" s="528" t="str">
        <f t="shared" si="260"/>
        <v/>
      </c>
      <c r="AS254" s="528" t="str">
        <f t="shared" si="260"/>
        <v/>
      </c>
      <c r="AT254" s="528" t="str">
        <f t="shared" si="260"/>
        <v/>
      </c>
      <c r="AU254" s="528" t="str">
        <f t="shared" si="260"/>
        <v/>
      </c>
      <c r="AV254" s="528" t="str">
        <f t="shared" si="260"/>
        <v/>
      </c>
      <c r="AW254" s="528" t="str">
        <f t="shared" si="260"/>
        <v/>
      </c>
      <c r="AX254" s="528" t="str">
        <f t="shared" si="260"/>
        <v/>
      </c>
      <c r="AY254" s="528" t="str">
        <f t="shared" si="260"/>
        <v/>
      </c>
      <c r="AZ254" s="528" t="str">
        <f t="shared" si="260"/>
        <v/>
      </c>
      <c r="BA254" s="528" t="str">
        <f t="shared" si="260"/>
        <v/>
      </c>
      <c r="BB254" s="528" t="str">
        <f t="shared" si="260"/>
        <v/>
      </c>
      <c r="BC254" s="528" t="str">
        <f t="shared" si="260"/>
        <v/>
      </c>
      <c r="BD254" s="528" t="str">
        <f t="shared" si="260"/>
        <v/>
      </c>
      <c r="BE254" s="528" t="str">
        <f t="shared" si="260"/>
        <v/>
      </c>
      <c r="BF254" s="528" t="str">
        <f t="shared" si="260"/>
        <v/>
      </c>
      <c r="BG254" s="528" t="str">
        <f t="shared" si="260"/>
        <v/>
      </c>
      <c r="BH254" s="528" t="str">
        <f t="shared" si="260"/>
        <v/>
      </c>
      <c r="BI254" s="528" t="str">
        <f t="shared" si="260"/>
        <v/>
      </c>
      <c r="BJ254" s="528" t="str">
        <f t="shared" si="260"/>
        <v/>
      </c>
      <c r="BK254" s="528" t="str">
        <f t="shared" si="260"/>
        <v/>
      </c>
      <c r="BL254" s="528" t="str">
        <f t="shared" si="260"/>
        <v/>
      </c>
      <c r="BM254" s="528" t="str">
        <f t="shared" si="260"/>
        <v/>
      </c>
    </row>
    <row r="255" spans="6:65" ht="15.75" customHeight="1" x14ac:dyDescent="0.25">
      <c r="F255" s="197"/>
      <c r="G255" s="197">
        <f t="shared" si="3"/>
        <v>0</v>
      </c>
      <c r="H255" s="197">
        <f t="shared" si="4"/>
        <v>236</v>
      </c>
      <c r="I255" s="523">
        <v>1</v>
      </c>
      <c r="J255" s="533">
        <f>'Monthly DCF'!$I$3</f>
        <v>46418</v>
      </c>
      <c r="K255" s="533">
        <f t="shared" si="5"/>
        <v>47087</v>
      </c>
      <c r="L255" s="536">
        <f t="shared" si="243"/>
        <v>23</v>
      </c>
      <c r="M255" s="20" t="s">
        <v>366</v>
      </c>
      <c r="N255" s="20">
        <f t="shared" si="6"/>
        <v>3.8333333333333335</v>
      </c>
      <c r="O255" s="537">
        <v>6</v>
      </c>
      <c r="P255" s="528">
        <f t="shared" ref="P255:BM255" si="261">IFERROR(+IF(AND($M255="Flat",P$5&gt;=$J255,P$5&lt;=$K255),$I255/$L255,0)+IF(AND($M255="S-Curve",P$5&gt;=$J255,P$5&lt;=$K255),(_xlfn.NORM.DIST((YEAR(P$5)-YEAR($J255))*12+MONTH(P$5)-MONTH($J255)+1,$L255/2,$N255,TRUE)-_xlfn.NORM.DIST((YEAR(P$5)-YEAR($J255))*12+MONTH(P$5)-MONTH($J255),$L255/2,$N255,TRUE))/(1-2*_xlfn.NORM.DIST(0,$L255/2,$N255,TRUE))*$I255," "),"")</f>
        <v>1.7348822158290917E-3</v>
      </c>
      <c r="Q255" s="528">
        <f t="shared" si="261"/>
        <v>3.5306645100275304E-3</v>
      </c>
      <c r="R255" s="528">
        <f t="shared" si="261"/>
        <v>6.7150822050172825E-3</v>
      </c>
      <c r="S255" s="528">
        <f t="shared" si="261"/>
        <v>1.1935904859916701E-2</v>
      </c>
      <c r="T255" s="528">
        <f t="shared" si="261"/>
        <v>1.9827553703590711E-2</v>
      </c>
      <c r="U255" s="528">
        <f t="shared" si="261"/>
        <v>3.0781746651821949E-2</v>
      </c>
      <c r="V255" s="528">
        <f t="shared" si="261"/>
        <v>4.4660976603167771E-2</v>
      </c>
      <c r="W255" s="528">
        <f t="shared" si="261"/>
        <v>6.0558404249885692E-2</v>
      </c>
      <c r="X255" s="528">
        <f t="shared" si="261"/>
        <v>7.6741843076830088E-2</v>
      </c>
      <c r="Y255" s="528">
        <f t="shared" si="261"/>
        <v>9.0887025815480915E-2</v>
      </c>
      <c r="Z255" s="528">
        <f t="shared" si="261"/>
        <v>0.10059667231107629</v>
      </c>
      <c r="AA255" s="528">
        <f t="shared" si="261"/>
        <v>0.10405848759471194</v>
      </c>
      <c r="AB255" s="528">
        <f t="shared" si="261"/>
        <v>0.10059667231107634</v>
      </c>
      <c r="AC255" s="528">
        <f t="shared" si="261"/>
        <v>9.0887025815480915E-2</v>
      </c>
      <c r="AD255" s="528">
        <f t="shared" si="261"/>
        <v>7.6741843076830088E-2</v>
      </c>
      <c r="AE255" s="528">
        <f t="shared" si="261"/>
        <v>6.0558404249885692E-2</v>
      </c>
      <c r="AF255" s="528">
        <f t="shared" si="261"/>
        <v>4.4660976603167785E-2</v>
      </c>
      <c r="AG255" s="528">
        <f t="shared" si="261"/>
        <v>3.0781746651821887E-2</v>
      </c>
      <c r="AH255" s="528">
        <f t="shared" si="261"/>
        <v>1.9827553703590756E-2</v>
      </c>
      <c r="AI255" s="528">
        <f t="shared" si="261"/>
        <v>1.1935904859916703E-2</v>
      </c>
      <c r="AJ255" s="528">
        <f t="shared" si="261"/>
        <v>6.7150822050172773E-3</v>
      </c>
      <c r="AK255" s="528">
        <f t="shared" si="261"/>
        <v>3.530664510027566E-3</v>
      </c>
      <c r="AL255" s="528">
        <f t="shared" si="261"/>
        <v>1.7348822158290526E-3</v>
      </c>
      <c r="AM255" s="528" t="str">
        <f t="shared" si="261"/>
        <v/>
      </c>
      <c r="AN255" s="528" t="str">
        <f t="shared" si="261"/>
        <v/>
      </c>
      <c r="AO255" s="528" t="str">
        <f t="shared" si="261"/>
        <v/>
      </c>
      <c r="AP255" s="528" t="str">
        <f t="shared" si="261"/>
        <v/>
      </c>
      <c r="AQ255" s="528" t="str">
        <f t="shared" si="261"/>
        <v/>
      </c>
      <c r="AR255" s="528" t="str">
        <f t="shared" si="261"/>
        <v/>
      </c>
      <c r="AS255" s="528" t="str">
        <f t="shared" si="261"/>
        <v/>
      </c>
      <c r="AT255" s="528" t="str">
        <f t="shared" si="261"/>
        <v/>
      </c>
      <c r="AU255" s="528" t="str">
        <f t="shared" si="261"/>
        <v/>
      </c>
      <c r="AV255" s="528" t="str">
        <f t="shared" si="261"/>
        <v/>
      </c>
      <c r="AW255" s="528" t="str">
        <f t="shared" si="261"/>
        <v/>
      </c>
      <c r="AX255" s="528" t="str">
        <f t="shared" si="261"/>
        <v/>
      </c>
      <c r="AY255" s="528" t="str">
        <f t="shared" si="261"/>
        <v/>
      </c>
      <c r="AZ255" s="528" t="str">
        <f t="shared" si="261"/>
        <v/>
      </c>
      <c r="BA255" s="528" t="str">
        <f t="shared" si="261"/>
        <v/>
      </c>
      <c r="BB255" s="528" t="str">
        <f t="shared" si="261"/>
        <v/>
      </c>
      <c r="BC255" s="528" t="str">
        <f t="shared" si="261"/>
        <v/>
      </c>
      <c r="BD255" s="528" t="str">
        <f t="shared" si="261"/>
        <v/>
      </c>
      <c r="BE255" s="528" t="str">
        <f t="shared" si="261"/>
        <v/>
      </c>
      <c r="BF255" s="528" t="str">
        <f t="shared" si="261"/>
        <v/>
      </c>
      <c r="BG255" s="528" t="str">
        <f t="shared" si="261"/>
        <v/>
      </c>
      <c r="BH255" s="528" t="str">
        <f t="shared" si="261"/>
        <v/>
      </c>
      <c r="BI255" s="528" t="str">
        <f t="shared" si="261"/>
        <v/>
      </c>
      <c r="BJ255" s="528" t="str">
        <f t="shared" si="261"/>
        <v/>
      </c>
      <c r="BK255" s="528" t="str">
        <f t="shared" si="261"/>
        <v/>
      </c>
      <c r="BL255" s="528" t="str">
        <f t="shared" si="261"/>
        <v/>
      </c>
      <c r="BM255" s="528" t="str">
        <f t="shared" si="261"/>
        <v/>
      </c>
    </row>
    <row r="256" spans="6:65" ht="15.75" customHeight="1" x14ac:dyDescent="0.25">
      <c r="F256" s="197"/>
      <c r="G256" s="197">
        <f t="shared" si="3"/>
        <v>0</v>
      </c>
      <c r="H256" s="197">
        <f t="shared" si="4"/>
        <v>246</v>
      </c>
      <c r="I256" s="523">
        <v>1</v>
      </c>
      <c r="J256" s="533">
        <f>'Monthly DCF'!$I$3</f>
        <v>46418</v>
      </c>
      <c r="K256" s="533">
        <f t="shared" si="5"/>
        <v>47118</v>
      </c>
      <c r="L256" s="536">
        <f t="shared" si="243"/>
        <v>24</v>
      </c>
      <c r="M256" s="20" t="s">
        <v>366</v>
      </c>
      <c r="N256" s="20">
        <f t="shared" si="6"/>
        <v>4</v>
      </c>
      <c r="O256" s="537">
        <v>6</v>
      </c>
      <c r="P256" s="528">
        <f t="shared" ref="P256:BM256" si="262">IFERROR(+IF(AND($M256="Flat",P$5&gt;=$J256,P$5&lt;=$K256),$I256/$L256,0)+IF(AND($M256="S-Curve",P$5&gt;=$J256,P$5&lt;=$K256),(_xlfn.NORM.DIST((YEAR(P$5)-YEAR($J256))*12+MONTH(P$5)-MONTH($J256)+1,$L256/2,$N256,TRUE)-_xlfn.NORM.DIST((YEAR(P$5)-YEAR($J256))*12+MONTH(P$5)-MONTH($J256),$L256/2,$N256,TRUE))/(1-2*_xlfn.NORM.DIST(0,$L256/2,$N256,TRUE))*$I256," "),"")</f>
        <v>1.634277419167004E-3</v>
      </c>
      <c r="Q256" s="528">
        <f t="shared" si="262"/>
        <v>3.238645773832064E-3</v>
      </c>
      <c r="R256" s="528">
        <f t="shared" si="262"/>
        <v>6.0310900424222621E-3</v>
      </c>
      <c r="S256" s="528">
        <f t="shared" si="262"/>
        <v>1.0554153354812863E-2</v>
      </c>
      <c r="T256" s="528">
        <f t="shared" si="262"/>
        <v>1.7355882258233094E-2</v>
      </c>
      <c r="U256" s="528">
        <f t="shared" si="262"/>
        <v>2.6820454161601299E-2</v>
      </c>
      <c r="V256" s="528">
        <f t="shared" si="262"/>
        <v>3.8947723308057236E-2</v>
      </c>
      <c r="W256" s="528">
        <f t="shared" si="262"/>
        <v>5.3148971649026107E-2</v>
      </c>
      <c r="X256" s="528">
        <f t="shared" si="262"/>
        <v>6.8156106032164002E-2</v>
      </c>
      <c r="Y256" s="528">
        <f t="shared" si="262"/>
        <v>8.2131925799058952E-2</v>
      </c>
      <c r="Z256" s="528">
        <f t="shared" si="262"/>
        <v>9.3007236161131948E-2</v>
      </c>
      <c r="AA256" s="528">
        <f t="shared" si="262"/>
        <v>9.897353404049318E-2</v>
      </c>
      <c r="AB256" s="528">
        <f t="shared" si="262"/>
        <v>9.897353404049318E-2</v>
      </c>
      <c r="AC256" s="528">
        <f t="shared" si="262"/>
        <v>9.3007236161131948E-2</v>
      </c>
      <c r="AD256" s="528">
        <f t="shared" si="262"/>
        <v>8.2131925799058897E-2</v>
      </c>
      <c r="AE256" s="528">
        <f t="shared" si="262"/>
        <v>6.8156106032164085E-2</v>
      </c>
      <c r="AF256" s="528">
        <f t="shared" si="262"/>
        <v>5.3148971649026093E-2</v>
      </c>
      <c r="AG256" s="528">
        <f t="shared" si="262"/>
        <v>3.8947723308057194E-2</v>
      </c>
      <c r="AH256" s="528">
        <f t="shared" si="262"/>
        <v>2.6820454161601313E-2</v>
      </c>
      <c r="AI256" s="528">
        <f t="shared" si="262"/>
        <v>1.7355882258233091E-2</v>
      </c>
      <c r="AJ256" s="528">
        <f t="shared" si="262"/>
        <v>1.0554153354812905E-2</v>
      </c>
      <c r="AK256" s="528">
        <f t="shared" si="262"/>
        <v>6.0310900424222118E-3</v>
      </c>
      <c r="AL256" s="528">
        <f t="shared" si="262"/>
        <v>3.2386457738320896E-3</v>
      </c>
      <c r="AM256" s="528">
        <f t="shared" si="262"/>
        <v>1.6342774191669943E-3</v>
      </c>
      <c r="AN256" s="528" t="str">
        <f t="shared" si="262"/>
        <v/>
      </c>
      <c r="AO256" s="528" t="str">
        <f t="shared" si="262"/>
        <v/>
      </c>
      <c r="AP256" s="528" t="str">
        <f t="shared" si="262"/>
        <v/>
      </c>
      <c r="AQ256" s="528" t="str">
        <f t="shared" si="262"/>
        <v/>
      </c>
      <c r="AR256" s="528" t="str">
        <f t="shared" si="262"/>
        <v/>
      </c>
      <c r="AS256" s="528" t="str">
        <f t="shared" si="262"/>
        <v/>
      </c>
      <c r="AT256" s="528" t="str">
        <f t="shared" si="262"/>
        <v/>
      </c>
      <c r="AU256" s="528" t="str">
        <f t="shared" si="262"/>
        <v/>
      </c>
      <c r="AV256" s="528" t="str">
        <f t="shared" si="262"/>
        <v/>
      </c>
      <c r="AW256" s="528" t="str">
        <f t="shared" si="262"/>
        <v/>
      </c>
      <c r="AX256" s="528" t="str">
        <f t="shared" si="262"/>
        <v/>
      </c>
      <c r="AY256" s="528" t="str">
        <f t="shared" si="262"/>
        <v/>
      </c>
      <c r="AZ256" s="528" t="str">
        <f t="shared" si="262"/>
        <v/>
      </c>
      <c r="BA256" s="528" t="str">
        <f t="shared" si="262"/>
        <v/>
      </c>
      <c r="BB256" s="528" t="str">
        <f t="shared" si="262"/>
        <v/>
      </c>
      <c r="BC256" s="528" t="str">
        <f t="shared" si="262"/>
        <v/>
      </c>
      <c r="BD256" s="528" t="str">
        <f t="shared" si="262"/>
        <v/>
      </c>
      <c r="BE256" s="528" t="str">
        <f t="shared" si="262"/>
        <v/>
      </c>
      <c r="BF256" s="528" t="str">
        <f t="shared" si="262"/>
        <v/>
      </c>
      <c r="BG256" s="528" t="str">
        <f t="shared" si="262"/>
        <v/>
      </c>
      <c r="BH256" s="528" t="str">
        <f t="shared" si="262"/>
        <v/>
      </c>
      <c r="BI256" s="528" t="str">
        <f t="shared" si="262"/>
        <v/>
      </c>
      <c r="BJ256" s="528" t="str">
        <f t="shared" si="262"/>
        <v/>
      </c>
      <c r="BK256" s="528" t="str">
        <f t="shared" si="262"/>
        <v/>
      </c>
      <c r="BL256" s="528" t="str">
        <f t="shared" si="262"/>
        <v/>
      </c>
      <c r="BM256" s="528" t="str">
        <f t="shared" si="262"/>
        <v/>
      </c>
    </row>
    <row r="257" spans="6:65" ht="15.75" customHeight="1" x14ac:dyDescent="0.25">
      <c r="F257" s="197"/>
      <c r="G257" s="197">
        <f t="shared" si="3"/>
        <v>0</v>
      </c>
      <c r="H257" s="197">
        <f t="shared" si="4"/>
        <v>256</v>
      </c>
      <c r="I257" s="523">
        <v>1</v>
      </c>
      <c r="J257" s="533">
        <f>'Monthly DCF'!$I$3</f>
        <v>46418</v>
      </c>
      <c r="K257" s="533">
        <f t="shared" si="5"/>
        <v>47149</v>
      </c>
      <c r="L257" s="536">
        <f t="shared" si="243"/>
        <v>25</v>
      </c>
      <c r="M257" s="20" t="s">
        <v>366</v>
      </c>
      <c r="N257" s="20">
        <f t="shared" si="6"/>
        <v>4.166666666666667</v>
      </c>
      <c r="O257" s="537">
        <v>6</v>
      </c>
      <c r="P257" s="528">
        <f t="shared" ref="P257:BM257" si="263">IFERROR(+IF(AND($M257="Flat",P$5&gt;=$J257,P$5&lt;=$K257),$I257/$L257,0)+IF(AND($M257="S-Curve",P$5&gt;=$J257,P$5&lt;=$K257),(_xlfn.NORM.DIST((YEAR(P$5)-YEAR($J257))*12+MONTH(P$5)-MONTH($J257)+1,$L257/2,$N257,TRUE)-_xlfn.NORM.DIST((YEAR(P$5)-YEAR($J257))*12+MONTH(P$5)-MONTH($J257),$L257/2,$N257,TRUE))/(1-2*_xlfn.NORM.DIST(0,$L257/2,$N257,TRUE))*$I257," "),"")</f>
        <v>1.5443394461531143E-3</v>
      </c>
      <c r="Q257" s="528">
        <f t="shared" si="263"/>
        <v>2.9857345133916103E-3</v>
      </c>
      <c r="R257" s="528">
        <f t="shared" si="263"/>
        <v>5.4508186218771189E-3</v>
      </c>
      <c r="S257" s="528">
        <f t="shared" si="263"/>
        <v>9.3966877681614155E-3</v>
      </c>
      <c r="T257" s="528">
        <f t="shared" si="263"/>
        <v>1.5296453551937133E-2</v>
      </c>
      <c r="U257" s="528">
        <f t="shared" si="263"/>
        <v>2.3513102062249949E-2</v>
      </c>
      <c r="V257" s="528">
        <f t="shared" si="263"/>
        <v>3.4129711659858258E-2</v>
      </c>
      <c r="W257" s="528">
        <f t="shared" si="263"/>
        <v>4.6779877223665445E-2</v>
      </c>
      <c r="X257" s="528">
        <f t="shared" si="263"/>
        <v>6.0546566553706223E-2</v>
      </c>
      <c r="Y257" s="528">
        <f t="shared" si="263"/>
        <v>7.3998705904511256E-2</v>
      </c>
      <c r="Z257" s="528">
        <f t="shared" si="263"/>
        <v>8.5401014354287347E-2</v>
      </c>
      <c r="AA257" s="528">
        <f t="shared" si="263"/>
        <v>9.3069275260365764E-2</v>
      </c>
      <c r="AB257" s="528">
        <f t="shared" si="263"/>
        <v>9.5775426159670718E-2</v>
      </c>
      <c r="AC257" s="528">
        <f t="shared" si="263"/>
        <v>9.3069275260365819E-2</v>
      </c>
      <c r="AD257" s="528">
        <f t="shared" si="263"/>
        <v>8.5401014354287291E-2</v>
      </c>
      <c r="AE257" s="528">
        <f t="shared" si="263"/>
        <v>7.3998705904511228E-2</v>
      </c>
      <c r="AF257" s="528">
        <f t="shared" si="263"/>
        <v>6.0546566553706223E-2</v>
      </c>
      <c r="AG257" s="528">
        <f t="shared" si="263"/>
        <v>4.6779877223665514E-2</v>
      </c>
      <c r="AH257" s="528">
        <f t="shared" si="263"/>
        <v>3.4129711659858265E-2</v>
      </c>
      <c r="AI257" s="528">
        <f t="shared" si="263"/>
        <v>2.3513102062249942E-2</v>
      </c>
      <c r="AJ257" s="528">
        <f t="shared" si="263"/>
        <v>1.5296453551937057E-2</v>
      </c>
      <c r="AK257" s="528">
        <f t="shared" si="263"/>
        <v>9.396687768161445E-3</v>
      </c>
      <c r="AL257" s="528">
        <f t="shared" si="263"/>
        <v>5.4508186218771328E-3</v>
      </c>
      <c r="AM257" s="528">
        <f t="shared" si="263"/>
        <v>2.9857345133915878E-3</v>
      </c>
      <c r="AN257" s="528">
        <f t="shared" si="263"/>
        <v>1.5443394461531182E-3</v>
      </c>
      <c r="AO257" s="528" t="str">
        <f t="shared" si="263"/>
        <v/>
      </c>
      <c r="AP257" s="528" t="str">
        <f t="shared" si="263"/>
        <v/>
      </c>
      <c r="AQ257" s="528" t="str">
        <f t="shared" si="263"/>
        <v/>
      </c>
      <c r="AR257" s="528" t="str">
        <f t="shared" si="263"/>
        <v/>
      </c>
      <c r="AS257" s="528" t="str">
        <f t="shared" si="263"/>
        <v/>
      </c>
      <c r="AT257" s="528" t="str">
        <f t="shared" si="263"/>
        <v/>
      </c>
      <c r="AU257" s="528" t="str">
        <f t="shared" si="263"/>
        <v/>
      </c>
      <c r="AV257" s="528" t="str">
        <f t="shared" si="263"/>
        <v/>
      </c>
      <c r="AW257" s="528" t="str">
        <f t="shared" si="263"/>
        <v/>
      </c>
      <c r="AX257" s="528" t="str">
        <f t="shared" si="263"/>
        <v/>
      </c>
      <c r="AY257" s="528" t="str">
        <f t="shared" si="263"/>
        <v/>
      </c>
      <c r="AZ257" s="528" t="str">
        <f t="shared" si="263"/>
        <v/>
      </c>
      <c r="BA257" s="528" t="str">
        <f t="shared" si="263"/>
        <v/>
      </c>
      <c r="BB257" s="528" t="str">
        <f t="shared" si="263"/>
        <v/>
      </c>
      <c r="BC257" s="528" t="str">
        <f t="shared" si="263"/>
        <v/>
      </c>
      <c r="BD257" s="528" t="str">
        <f t="shared" si="263"/>
        <v/>
      </c>
      <c r="BE257" s="528" t="str">
        <f t="shared" si="263"/>
        <v/>
      </c>
      <c r="BF257" s="528" t="str">
        <f t="shared" si="263"/>
        <v/>
      </c>
      <c r="BG257" s="528" t="str">
        <f t="shared" si="263"/>
        <v/>
      </c>
      <c r="BH257" s="528" t="str">
        <f t="shared" si="263"/>
        <v/>
      </c>
      <c r="BI257" s="528" t="str">
        <f t="shared" si="263"/>
        <v/>
      </c>
      <c r="BJ257" s="528" t="str">
        <f t="shared" si="263"/>
        <v/>
      </c>
      <c r="BK257" s="528" t="str">
        <f t="shared" si="263"/>
        <v/>
      </c>
      <c r="BL257" s="528" t="str">
        <f t="shared" si="263"/>
        <v/>
      </c>
      <c r="BM257" s="528" t="str">
        <f t="shared" si="263"/>
        <v/>
      </c>
    </row>
    <row r="258" spans="6:65" ht="15.75" customHeight="1" x14ac:dyDescent="0.25">
      <c r="F258" s="197"/>
      <c r="G258" s="197">
        <f t="shared" si="3"/>
        <v>0</v>
      </c>
      <c r="H258" s="197">
        <f t="shared" si="4"/>
        <v>266</v>
      </c>
      <c r="I258" s="523">
        <v>1</v>
      </c>
      <c r="J258" s="533">
        <f>'Monthly DCF'!$I$3</f>
        <v>46418</v>
      </c>
      <c r="K258" s="533">
        <f t="shared" si="5"/>
        <v>47177</v>
      </c>
      <c r="L258" s="536">
        <f t="shared" si="243"/>
        <v>26</v>
      </c>
      <c r="M258" s="20" t="s">
        <v>366</v>
      </c>
      <c r="N258" s="20">
        <f t="shared" si="6"/>
        <v>4.333333333333333</v>
      </c>
      <c r="O258" s="537">
        <v>6</v>
      </c>
      <c r="P258" s="528">
        <f t="shared" ref="P258:BM258" si="264">IFERROR(+IF(AND($M258="Flat",P$5&gt;=$J258,P$5&lt;=$K258),$I258/$L258,0)+IF(AND($M258="S-Curve",P$5&gt;=$J258,P$5&lt;=$K258),(_xlfn.NORM.DIST((YEAR(P$5)-YEAR($J258))*12+MONTH(P$5)-MONTH($J258)+1,$L258/2,$N258,TRUE)-_xlfn.NORM.DIST((YEAR(P$5)-YEAR($J258))*12+MONTH(P$5)-MONTH($J258),$L258/2,$N258,TRUE))/(1-2*_xlfn.NORM.DIST(0,$L258/2,$N258,TRUE))*$I258," "),"")</f>
        <v>1.4634941786114629E-3</v>
      </c>
      <c r="Q258" s="528">
        <f t="shared" si="264"/>
        <v>2.7650760899877403E-3</v>
      </c>
      <c r="R258" s="528">
        <f t="shared" si="264"/>
        <v>4.9544521011727679E-3</v>
      </c>
      <c r="S258" s="528">
        <f t="shared" si="264"/>
        <v>8.4189310182513216E-3</v>
      </c>
      <c r="T258" s="528">
        <f t="shared" si="264"/>
        <v>1.3567234170190847E-2</v>
      </c>
      <c r="U258" s="528">
        <f t="shared" si="264"/>
        <v>2.0734759371746965E-2</v>
      </c>
      <c r="V258" s="528">
        <f t="shared" si="264"/>
        <v>3.0052472999731881E-2</v>
      </c>
      <c r="W258" s="528">
        <f t="shared" si="264"/>
        <v>4.1308095199954653E-2</v>
      </c>
      <c r="X258" s="528">
        <f t="shared" si="264"/>
        <v>5.3847312520634801E-2</v>
      </c>
      <c r="Y258" s="528">
        <f t="shared" si="264"/>
        <v>6.6568220947239631E-2</v>
      </c>
      <c r="Z258" s="528">
        <f t="shared" si="264"/>
        <v>7.8044811767219155E-2</v>
      </c>
      <c r="AA258" s="528">
        <f t="shared" si="264"/>
        <v>8.6775151509218038E-2</v>
      </c>
      <c r="AB258" s="528">
        <f t="shared" si="264"/>
        <v>9.1499988126040738E-2</v>
      </c>
      <c r="AC258" s="528">
        <f t="shared" si="264"/>
        <v>9.1499988126040738E-2</v>
      </c>
      <c r="AD258" s="528">
        <f t="shared" si="264"/>
        <v>8.6775151509218038E-2</v>
      </c>
      <c r="AE258" s="528">
        <f t="shared" si="264"/>
        <v>7.8044811767219155E-2</v>
      </c>
      <c r="AF258" s="528">
        <f t="shared" si="264"/>
        <v>6.6568220947239576E-2</v>
      </c>
      <c r="AG258" s="528">
        <f t="shared" si="264"/>
        <v>5.3847312520634884E-2</v>
      </c>
      <c r="AH258" s="528">
        <f t="shared" si="264"/>
        <v>4.1308095199954584E-2</v>
      </c>
      <c r="AI258" s="528">
        <f t="shared" si="264"/>
        <v>3.0052472999731895E-2</v>
      </c>
      <c r="AJ258" s="528">
        <f t="shared" si="264"/>
        <v>2.0734759371747014E-2</v>
      </c>
      <c r="AK258" s="528">
        <f t="shared" si="264"/>
        <v>1.3567234170190798E-2</v>
      </c>
      <c r="AL258" s="528">
        <f t="shared" si="264"/>
        <v>8.418931018251332E-3</v>
      </c>
      <c r="AM258" s="528">
        <f t="shared" si="264"/>
        <v>4.9544521011728052E-3</v>
      </c>
      <c r="AN258" s="528">
        <f t="shared" si="264"/>
        <v>2.7650760899877633E-3</v>
      </c>
      <c r="AO258" s="528">
        <f t="shared" si="264"/>
        <v>1.46349417861141E-3</v>
      </c>
      <c r="AP258" s="528" t="str">
        <f t="shared" si="264"/>
        <v/>
      </c>
      <c r="AQ258" s="528" t="str">
        <f t="shared" si="264"/>
        <v/>
      </c>
      <c r="AR258" s="528" t="str">
        <f t="shared" si="264"/>
        <v/>
      </c>
      <c r="AS258" s="528" t="str">
        <f t="shared" si="264"/>
        <v/>
      </c>
      <c r="AT258" s="528" t="str">
        <f t="shared" si="264"/>
        <v/>
      </c>
      <c r="AU258" s="528" t="str">
        <f t="shared" si="264"/>
        <v/>
      </c>
      <c r="AV258" s="528" t="str">
        <f t="shared" si="264"/>
        <v/>
      </c>
      <c r="AW258" s="528" t="str">
        <f t="shared" si="264"/>
        <v/>
      </c>
      <c r="AX258" s="528" t="str">
        <f t="shared" si="264"/>
        <v/>
      </c>
      <c r="AY258" s="528" t="str">
        <f t="shared" si="264"/>
        <v/>
      </c>
      <c r="AZ258" s="528" t="str">
        <f t="shared" si="264"/>
        <v/>
      </c>
      <c r="BA258" s="528" t="str">
        <f t="shared" si="264"/>
        <v/>
      </c>
      <c r="BB258" s="528" t="str">
        <f t="shared" si="264"/>
        <v/>
      </c>
      <c r="BC258" s="528" t="str">
        <f t="shared" si="264"/>
        <v/>
      </c>
      <c r="BD258" s="528" t="str">
        <f t="shared" si="264"/>
        <v/>
      </c>
      <c r="BE258" s="528" t="str">
        <f t="shared" si="264"/>
        <v/>
      </c>
      <c r="BF258" s="528" t="str">
        <f t="shared" si="264"/>
        <v/>
      </c>
      <c r="BG258" s="528" t="str">
        <f t="shared" si="264"/>
        <v/>
      </c>
      <c r="BH258" s="528" t="str">
        <f t="shared" si="264"/>
        <v/>
      </c>
      <c r="BI258" s="528" t="str">
        <f t="shared" si="264"/>
        <v/>
      </c>
      <c r="BJ258" s="528" t="str">
        <f t="shared" si="264"/>
        <v/>
      </c>
      <c r="BK258" s="528" t="str">
        <f t="shared" si="264"/>
        <v/>
      </c>
      <c r="BL258" s="528" t="str">
        <f t="shared" si="264"/>
        <v/>
      </c>
      <c r="BM258" s="528" t="str">
        <f t="shared" si="264"/>
        <v/>
      </c>
    </row>
    <row r="259" spans="6:65" ht="15.75" customHeight="1" x14ac:dyDescent="0.25">
      <c r="F259" s="197"/>
      <c r="G259" s="197">
        <f t="shared" si="3"/>
        <v>0</v>
      </c>
      <c r="H259" s="197">
        <f t="shared" si="4"/>
        <v>276</v>
      </c>
      <c r="I259" s="523">
        <v>1</v>
      </c>
      <c r="J259" s="533">
        <f>'Monthly DCF'!$I$3</f>
        <v>46418</v>
      </c>
      <c r="K259" s="533">
        <f t="shared" si="5"/>
        <v>47208</v>
      </c>
      <c r="L259" s="536">
        <f t="shared" si="243"/>
        <v>27</v>
      </c>
      <c r="M259" s="20" t="s">
        <v>366</v>
      </c>
      <c r="N259" s="20">
        <f t="shared" si="6"/>
        <v>4.5</v>
      </c>
      <c r="O259" s="537">
        <v>6</v>
      </c>
      <c r="P259" s="528">
        <f t="shared" ref="P259:BM259" si="265">IFERROR(+IF(AND($M259="Flat",P$5&gt;=$J259,P$5&lt;=$K259),$I259/$L259,0)+IF(AND($M259="S-Curve",P$5&gt;=$J259,P$5&lt;=$K259),(_xlfn.NORM.DIST((YEAR(P$5)-YEAR($J259))*12+MONTH(P$5)-MONTH($J259)+1,$L259/2,$N259,TRUE)-_xlfn.NORM.DIST((YEAR(P$5)-YEAR($J259))*12+MONTH(P$5)-MONTH($J259),$L259/2,$N259,TRUE))/(1-2*_xlfn.NORM.DIST(0,$L259/2,$N259,TRUE))*$I259," "),"")</f>
        <v>1.3904577068571526E-3</v>
      </c>
      <c r="Q259" s="528">
        <f t="shared" si="265"/>
        <v>2.5712618807022755E-3</v>
      </c>
      <c r="R259" s="528">
        <f t="shared" si="265"/>
        <v>4.5266278163605018E-3</v>
      </c>
      <c r="S259" s="528">
        <f t="shared" si="265"/>
        <v>7.5865347791995502E-3</v>
      </c>
      <c r="T259" s="528">
        <f t="shared" si="265"/>
        <v>1.2104658105015782E-2</v>
      </c>
      <c r="U259" s="528">
        <f t="shared" si="265"/>
        <v>1.8386633124710443E-2</v>
      </c>
      <c r="V259" s="528">
        <f t="shared" si="265"/>
        <v>2.6588429291520697E-2</v>
      </c>
      <c r="W259" s="528">
        <f t="shared" si="265"/>
        <v>3.6603625325646101E-2</v>
      </c>
      <c r="X259" s="528">
        <f t="shared" si="265"/>
        <v>4.7972969937139433E-2</v>
      </c>
      <c r="Y259" s="528">
        <f t="shared" si="265"/>
        <v>5.9856361398787361E-2</v>
      </c>
      <c r="Z259" s="528">
        <f t="shared" si="265"/>
        <v>7.1099299000134258E-2</v>
      </c>
      <c r="AA259" s="528">
        <f t="shared" si="265"/>
        <v>8.0401045854872635E-2</v>
      </c>
      <c r="AB259" s="528">
        <f t="shared" si="265"/>
        <v>8.6556463572527831E-2</v>
      </c>
      <c r="AC259" s="528">
        <f t="shared" si="265"/>
        <v>8.8711264413051993E-2</v>
      </c>
      <c r="AD259" s="528">
        <f t="shared" si="265"/>
        <v>8.6556463572527886E-2</v>
      </c>
      <c r="AE259" s="528">
        <f t="shared" si="265"/>
        <v>8.0401045854872635E-2</v>
      </c>
      <c r="AF259" s="528">
        <f t="shared" si="265"/>
        <v>7.1099299000134147E-2</v>
      </c>
      <c r="AG259" s="528">
        <f t="shared" si="265"/>
        <v>5.9856361398787444E-2</v>
      </c>
      <c r="AH259" s="528">
        <f t="shared" si="265"/>
        <v>4.7972969937139349E-2</v>
      </c>
      <c r="AI259" s="528">
        <f t="shared" si="265"/>
        <v>3.6603625325646143E-2</v>
      </c>
      <c r="AJ259" s="528">
        <f t="shared" si="265"/>
        <v>2.6588429291520718E-2</v>
      </c>
      <c r="AK259" s="528">
        <f t="shared" si="265"/>
        <v>1.8386633124710405E-2</v>
      </c>
      <c r="AL259" s="528">
        <f t="shared" si="265"/>
        <v>1.2104658105015809E-2</v>
      </c>
      <c r="AM259" s="528">
        <f t="shared" si="265"/>
        <v>7.5865347791995745E-3</v>
      </c>
      <c r="AN259" s="528">
        <f t="shared" si="265"/>
        <v>4.5266278163605287E-3</v>
      </c>
      <c r="AO259" s="528">
        <f t="shared" si="265"/>
        <v>2.5712618807022403E-3</v>
      </c>
      <c r="AP259" s="528">
        <f t="shared" si="265"/>
        <v>1.3904577068571298E-3</v>
      </c>
      <c r="AQ259" s="528" t="str">
        <f t="shared" si="265"/>
        <v/>
      </c>
      <c r="AR259" s="528" t="str">
        <f t="shared" si="265"/>
        <v/>
      </c>
      <c r="AS259" s="528" t="str">
        <f t="shared" si="265"/>
        <v/>
      </c>
      <c r="AT259" s="528" t="str">
        <f t="shared" si="265"/>
        <v/>
      </c>
      <c r="AU259" s="528" t="str">
        <f t="shared" si="265"/>
        <v/>
      </c>
      <c r="AV259" s="528" t="str">
        <f t="shared" si="265"/>
        <v/>
      </c>
      <c r="AW259" s="528" t="str">
        <f t="shared" si="265"/>
        <v/>
      </c>
      <c r="AX259" s="528" t="str">
        <f t="shared" si="265"/>
        <v/>
      </c>
      <c r="AY259" s="528" t="str">
        <f t="shared" si="265"/>
        <v/>
      </c>
      <c r="AZ259" s="528" t="str">
        <f t="shared" si="265"/>
        <v/>
      </c>
      <c r="BA259" s="528" t="str">
        <f t="shared" si="265"/>
        <v/>
      </c>
      <c r="BB259" s="528" t="str">
        <f t="shared" si="265"/>
        <v/>
      </c>
      <c r="BC259" s="528" t="str">
        <f t="shared" si="265"/>
        <v/>
      </c>
      <c r="BD259" s="528" t="str">
        <f t="shared" si="265"/>
        <v/>
      </c>
      <c r="BE259" s="528" t="str">
        <f t="shared" si="265"/>
        <v/>
      </c>
      <c r="BF259" s="528" t="str">
        <f t="shared" si="265"/>
        <v/>
      </c>
      <c r="BG259" s="528" t="str">
        <f t="shared" si="265"/>
        <v/>
      </c>
      <c r="BH259" s="528" t="str">
        <f t="shared" si="265"/>
        <v/>
      </c>
      <c r="BI259" s="528" t="str">
        <f t="shared" si="265"/>
        <v/>
      </c>
      <c r="BJ259" s="528" t="str">
        <f t="shared" si="265"/>
        <v/>
      </c>
      <c r="BK259" s="528" t="str">
        <f t="shared" si="265"/>
        <v/>
      </c>
      <c r="BL259" s="528" t="str">
        <f t="shared" si="265"/>
        <v/>
      </c>
      <c r="BM259" s="528" t="str">
        <f t="shared" si="265"/>
        <v/>
      </c>
    </row>
    <row r="260" spans="6:65" ht="15.75" customHeight="1" x14ac:dyDescent="0.25">
      <c r="F260" s="197"/>
      <c r="G260" s="197">
        <f t="shared" si="3"/>
        <v>0</v>
      </c>
      <c r="H260" s="197">
        <f t="shared" si="4"/>
        <v>286</v>
      </c>
      <c r="I260" s="523">
        <v>1</v>
      </c>
      <c r="J260" s="533">
        <f>'Monthly DCF'!$I$3</f>
        <v>46418</v>
      </c>
      <c r="K260" s="533">
        <f t="shared" si="5"/>
        <v>47238</v>
      </c>
      <c r="L260" s="536">
        <f t="shared" si="243"/>
        <v>28</v>
      </c>
      <c r="M260" s="20" t="s">
        <v>366</v>
      </c>
      <c r="N260" s="20">
        <f t="shared" si="6"/>
        <v>4.666666666666667</v>
      </c>
      <c r="O260" s="537">
        <v>6</v>
      </c>
      <c r="P260" s="528">
        <f t="shared" ref="P260:BM260" si="266">IFERROR(+IF(AND($M260="Flat",P$5&gt;=$J260,P$5&lt;=$K260),$I260/$L260,0)+IF(AND($M260="S-Curve",P$5&gt;=$J260,P$5&lt;=$K260),(_xlfn.NORM.DIST((YEAR(P$5)-YEAR($J260))*12+MONTH(P$5)-MONTH($J260)+1,$L260/2,$N260,TRUE)-_xlfn.NORM.DIST((YEAR(P$5)-YEAR($J260))*12+MONTH(P$5)-MONTH($J260),$L260/2,$N260,TRUE))/(1-2*_xlfn.NORM.DIST(0,$L260/2,$N260,TRUE))*$I260," "),"")</f>
        <v>1.3241732285730846E-3</v>
      </c>
      <c r="Q260" s="528">
        <f t="shared" si="266"/>
        <v>2.3999784645722939E-3</v>
      </c>
      <c r="R260" s="528">
        <f t="shared" si="266"/>
        <v>4.1553034854483126E-3</v>
      </c>
      <c r="S260" s="528">
        <f t="shared" si="266"/>
        <v>6.872760367059058E-3</v>
      </c>
      <c r="T260" s="528">
        <f t="shared" si="266"/>
        <v>1.0859076118325718E-2</v>
      </c>
      <c r="U260" s="528">
        <f t="shared" si="266"/>
        <v>1.6390338888039088E-2</v>
      </c>
      <c r="V260" s="528">
        <f t="shared" si="266"/>
        <v>2.363287245805103E-2</v>
      </c>
      <c r="W260" s="528">
        <f t="shared" si="266"/>
        <v>3.2552079550694842E-2</v>
      </c>
      <c r="X260" s="528">
        <f t="shared" si="266"/>
        <v>4.283262839364111E-2</v>
      </c>
      <c r="Y260" s="528">
        <f t="shared" si="266"/>
        <v>5.3839940136747436E-2</v>
      </c>
      <c r="Z260" s="528">
        <f t="shared" si="266"/>
        <v>6.4649972842076339E-2</v>
      </c>
      <c r="AA260" s="528">
        <f t="shared" si="266"/>
        <v>7.4159385861945121E-2</v>
      </c>
      <c r="AB260" s="528">
        <f t="shared" si="266"/>
        <v>8.1263954033457472E-2</v>
      </c>
      <c r="AC260" s="528">
        <f t="shared" si="266"/>
        <v>8.5067536171369099E-2</v>
      </c>
      <c r="AD260" s="528">
        <f t="shared" si="266"/>
        <v>8.5067536171369099E-2</v>
      </c>
      <c r="AE260" s="528">
        <f t="shared" si="266"/>
        <v>8.1263954033457472E-2</v>
      </c>
      <c r="AF260" s="528">
        <f t="shared" si="266"/>
        <v>7.4159385861945065E-2</v>
      </c>
      <c r="AG260" s="528">
        <f t="shared" si="266"/>
        <v>6.4649972842076422E-2</v>
      </c>
      <c r="AH260" s="528">
        <f t="shared" si="266"/>
        <v>5.3839940136747463E-2</v>
      </c>
      <c r="AI260" s="528">
        <f t="shared" si="266"/>
        <v>4.2832628393641083E-2</v>
      </c>
      <c r="AJ260" s="528">
        <f t="shared" si="266"/>
        <v>3.2552079550694786E-2</v>
      </c>
      <c r="AK260" s="528">
        <f t="shared" si="266"/>
        <v>2.3632872458051114E-2</v>
      </c>
      <c r="AL260" s="528">
        <f t="shared" si="266"/>
        <v>1.6390338888038983E-2</v>
      </c>
      <c r="AM260" s="528">
        <f t="shared" si="266"/>
        <v>1.0859076118325815E-2</v>
      </c>
      <c r="AN260" s="528">
        <f t="shared" si="266"/>
        <v>6.8727603670589816E-3</v>
      </c>
      <c r="AO260" s="528">
        <f t="shared" si="266"/>
        <v>4.1553034854483091E-3</v>
      </c>
      <c r="AP260" s="528">
        <f t="shared" si="266"/>
        <v>2.3999784645723546E-3</v>
      </c>
      <c r="AQ260" s="528">
        <f t="shared" si="266"/>
        <v>1.3241732285730451E-3</v>
      </c>
      <c r="AR260" s="528" t="str">
        <f t="shared" si="266"/>
        <v/>
      </c>
      <c r="AS260" s="528" t="str">
        <f t="shared" si="266"/>
        <v/>
      </c>
      <c r="AT260" s="528" t="str">
        <f t="shared" si="266"/>
        <v/>
      </c>
      <c r="AU260" s="528" t="str">
        <f t="shared" si="266"/>
        <v/>
      </c>
      <c r="AV260" s="528" t="str">
        <f t="shared" si="266"/>
        <v/>
      </c>
      <c r="AW260" s="528" t="str">
        <f t="shared" si="266"/>
        <v/>
      </c>
      <c r="AX260" s="528" t="str">
        <f t="shared" si="266"/>
        <v/>
      </c>
      <c r="AY260" s="528" t="str">
        <f t="shared" si="266"/>
        <v/>
      </c>
      <c r="AZ260" s="528" t="str">
        <f t="shared" si="266"/>
        <v/>
      </c>
      <c r="BA260" s="528" t="str">
        <f t="shared" si="266"/>
        <v/>
      </c>
      <c r="BB260" s="528" t="str">
        <f t="shared" si="266"/>
        <v/>
      </c>
      <c r="BC260" s="528" t="str">
        <f t="shared" si="266"/>
        <v/>
      </c>
      <c r="BD260" s="528" t="str">
        <f t="shared" si="266"/>
        <v/>
      </c>
      <c r="BE260" s="528" t="str">
        <f t="shared" si="266"/>
        <v/>
      </c>
      <c r="BF260" s="528" t="str">
        <f t="shared" si="266"/>
        <v/>
      </c>
      <c r="BG260" s="528" t="str">
        <f t="shared" si="266"/>
        <v/>
      </c>
      <c r="BH260" s="528" t="str">
        <f t="shared" si="266"/>
        <v/>
      </c>
      <c r="BI260" s="528" t="str">
        <f t="shared" si="266"/>
        <v/>
      </c>
      <c r="BJ260" s="528" t="str">
        <f t="shared" si="266"/>
        <v/>
      </c>
      <c r="BK260" s="528" t="str">
        <f t="shared" si="266"/>
        <v/>
      </c>
      <c r="BL260" s="528" t="str">
        <f t="shared" si="266"/>
        <v/>
      </c>
      <c r="BM260" s="528" t="str">
        <f t="shared" si="266"/>
        <v/>
      </c>
    </row>
    <row r="261" spans="6:65" ht="15.75" customHeight="1" x14ac:dyDescent="0.25">
      <c r="F261" s="197"/>
      <c r="G261" s="197">
        <f t="shared" si="3"/>
        <v>0</v>
      </c>
      <c r="H261" s="197">
        <f t="shared" si="4"/>
        <v>296</v>
      </c>
      <c r="I261" s="523">
        <v>1</v>
      </c>
      <c r="J261" s="533">
        <f>'Monthly DCF'!$I$3</f>
        <v>46418</v>
      </c>
      <c r="K261" s="533">
        <f t="shared" si="5"/>
        <v>47269</v>
      </c>
      <c r="L261" s="536">
        <f t="shared" si="243"/>
        <v>29</v>
      </c>
      <c r="M261" s="20" t="s">
        <v>366</v>
      </c>
      <c r="N261" s="20">
        <f t="shared" si="6"/>
        <v>4.833333333333333</v>
      </c>
      <c r="O261" s="537">
        <v>6</v>
      </c>
      <c r="P261" s="528">
        <f t="shared" ref="P261:BM261" si="267">IFERROR(+IF(AND($M261="Flat",P$5&gt;=$J261,P$5&lt;=$K261),$I261/$L261,0)+IF(AND($M261="S-Curve",P$5&gt;=$J261,P$5&lt;=$K261),(_xlfn.NORM.DIST((YEAR(P$5)-YEAR($J261))*12+MONTH(P$5)-MONTH($J261)+1,$L261/2,$N261,TRUE)-_xlfn.NORM.DIST((YEAR(P$5)-YEAR($J261))*12+MONTH(P$5)-MONTH($J261),$L261/2,$N261,TRUE))/(1-2*_xlfn.NORM.DIST(0,$L261/2,$N261,TRUE))*$I261," "),"")</f>
        <v>1.2637635632871344E-3</v>
      </c>
      <c r="Q261" s="528">
        <f t="shared" si="267"/>
        <v>2.2477519253902576E-3</v>
      </c>
      <c r="R261" s="528">
        <f t="shared" si="267"/>
        <v>3.8309426260008279E-3</v>
      </c>
      <c r="S261" s="528">
        <f t="shared" si="267"/>
        <v>6.2565912938163885E-3</v>
      </c>
      <c r="T261" s="528">
        <f t="shared" si="267"/>
        <v>9.7914030795200561E-3</v>
      </c>
      <c r="U261" s="528">
        <f t="shared" si="267"/>
        <v>1.4683419379505956E-2</v>
      </c>
      <c r="V261" s="528">
        <f t="shared" si="267"/>
        <v>2.1100110049688526E-2</v>
      </c>
      <c r="W261" s="528">
        <f t="shared" si="267"/>
        <v>2.9054779460363032E-2</v>
      </c>
      <c r="X261" s="528">
        <f t="shared" si="267"/>
        <v>3.8337684734041109E-2</v>
      </c>
      <c r="Y261" s="528">
        <f t="shared" si="267"/>
        <v>4.8474093229956765E-2</v>
      </c>
      <c r="Z261" s="528">
        <f t="shared" si="267"/>
        <v>5.8731228587130369E-2</v>
      </c>
      <c r="AA261" s="528">
        <f t="shared" si="267"/>
        <v>6.8187397042776474E-2</v>
      </c>
      <c r="AB261" s="528">
        <f t="shared" si="267"/>
        <v>7.5860345275226948E-2</v>
      </c>
      <c r="AC261" s="528">
        <f t="shared" si="267"/>
        <v>8.087256630444925E-2</v>
      </c>
      <c r="AD261" s="528">
        <f t="shared" si="267"/>
        <v>8.2615846897693843E-2</v>
      </c>
      <c r="AE261" s="528">
        <f t="shared" si="267"/>
        <v>8.0872566304449306E-2</v>
      </c>
      <c r="AF261" s="528">
        <f t="shared" si="267"/>
        <v>7.5860345275226893E-2</v>
      </c>
      <c r="AG261" s="528">
        <f t="shared" si="267"/>
        <v>6.8187397042776446E-2</v>
      </c>
      <c r="AH261" s="528">
        <f t="shared" si="267"/>
        <v>5.8731228587130396E-2</v>
      </c>
      <c r="AI261" s="528">
        <f t="shared" si="267"/>
        <v>4.8474093229956737E-2</v>
      </c>
      <c r="AJ261" s="528">
        <f t="shared" si="267"/>
        <v>3.8337684734041123E-2</v>
      </c>
      <c r="AK261" s="528">
        <f t="shared" si="267"/>
        <v>2.9054779460363004E-2</v>
      </c>
      <c r="AL261" s="528">
        <f t="shared" si="267"/>
        <v>2.1100110049688623E-2</v>
      </c>
      <c r="AM261" s="528">
        <f t="shared" si="267"/>
        <v>1.4683419379505855E-2</v>
      </c>
      <c r="AN261" s="528">
        <f t="shared" si="267"/>
        <v>9.7914030795200769E-3</v>
      </c>
      <c r="AO261" s="528">
        <f t="shared" si="267"/>
        <v>6.2565912938164631E-3</v>
      </c>
      <c r="AP261" s="528">
        <f t="shared" si="267"/>
        <v>3.830942626000782E-3</v>
      </c>
      <c r="AQ261" s="528">
        <f t="shared" si="267"/>
        <v>2.2477519253902354E-3</v>
      </c>
      <c r="AR261" s="528">
        <f t="shared" si="267"/>
        <v>1.2637635632871422E-3</v>
      </c>
      <c r="AS261" s="528" t="str">
        <f t="shared" si="267"/>
        <v/>
      </c>
      <c r="AT261" s="528" t="str">
        <f t="shared" si="267"/>
        <v/>
      </c>
      <c r="AU261" s="528" t="str">
        <f t="shared" si="267"/>
        <v/>
      </c>
      <c r="AV261" s="528" t="str">
        <f t="shared" si="267"/>
        <v/>
      </c>
      <c r="AW261" s="528" t="str">
        <f t="shared" si="267"/>
        <v/>
      </c>
      <c r="AX261" s="528" t="str">
        <f t="shared" si="267"/>
        <v/>
      </c>
      <c r="AY261" s="528" t="str">
        <f t="shared" si="267"/>
        <v/>
      </c>
      <c r="AZ261" s="528" t="str">
        <f t="shared" si="267"/>
        <v/>
      </c>
      <c r="BA261" s="528" t="str">
        <f t="shared" si="267"/>
        <v/>
      </c>
      <c r="BB261" s="528" t="str">
        <f t="shared" si="267"/>
        <v/>
      </c>
      <c r="BC261" s="528" t="str">
        <f t="shared" si="267"/>
        <v/>
      </c>
      <c r="BD261" s="528" t="str">
        <f t="shared" si="267"/>
        <v/>
      </c>
      <c r="BE261" s="528" t="str">
        <f t="shared" si="267"/>
        <v/>
      </c>
      <c r="BF261" s="528" t="str">
        <f t="shared" si="267"/>
        <v/>
      </c>
      <c r="BG261" s="528" t="str">
        <f t="shared" si="267"/>
        <v/>
      </c>
      <c r="BH261" s="528" t="str">
        <f t="shared" si="267"/>
        <v/>
      </c>
      <c r="BI261" s="528" t="str">
        <f t="shared" si="267"/>
        <v/>
      </c>
      <c r="BJ261" s="528" t="str">
        <f t="shared" si="267"/>
        <v/>
      </c>
      <c r="BK261" s="528" t="str">
        <f t="shared" si="267"/>
        <v/>
      </c>
      <c r="BL261" s="528" t="str">
        <f t="shared" si="267"/>
        <v/>
      </c>
      <c r="BM261" s="528" t="str">
        <f t="shared" si="267"/>
        <v/>
      </c>
    </row>
    <row r="262" spans="6:65" ht="15.75" customHeight="1" x14ac:dyDescent="0.25">
      <c r="F262" s="197"/>
      <c r="G262" s="197">
        <f t="shared" ref="G262:G466" si="268">COUNTIFS($H$7:$H$466,H262)-1</f>
        <v>0</v>
      </c>
      <c r="H262" s="197">
        <f t="shared" ref="H262:H466" si="269">INT(CONCATENATE(L262,O262))</f>
        <v>306</v>
      </c>
      <c r="I262" s="523">
        <v>1</v>
      </c>
      <c r="J262" s="533">
        <f>'Monthly DCF'!$I$3</f>
        <v>46418</v>
      </c>
      <c r="K262" s="533">
        <f t="shared" ref="K262:K466" si="270">EOMONTH(J262,L262-1)</f>
        <v>47299</v>
      </c>
      <c r="L262" s="536">
        <f t="shared" si="243"/>
        <v>30</v>
      </c>
      <c r="M262" s="20" t="s">
        <v>366</v>
      </c>
      <c r="N262" s="20">
        <f t="shared" ref="N262:N466" si="271">L262/O262</f>
        <v>5</v>
      </c>
      <c r="O262" s="537">
        <v>6</v>
      </c>
      <c r="P262" s="528">
        <f t="shared" ref="P262:BM262" si="272">IFERROR(+IF(AND($M262="Flat",P$5&gt;=$J262,P$5&lt;=$K262),$I262/$L262,0)+IF(AND($M262="S-Curve",P$5&gt;=$J262,P$5&lt;=$K262),(_xlfn.NORM.DIST((YEAR(P$5)-YEAR($J262))*12+MONTH(P$5)-MONTH($J262)+1,$L262/2,$N262,TRUE)-_xlfn.NORM.DIST((YEAR(P$5)-YEAR($J262))*12+MONTH(P$5)-MONTH($J262),$L262/2,$N262,TRUE))/(1-2*_xlfn.NORM.DIST(0,$L262/2,$N262,TRUE))*$I262," "),"")</f>
        <v>1.2084949888110999E-3</v>
      </c>
      <c r="Q262" s="528">
        <f t="shared" si="272"/>
        <v>2.1117590119578544E-3</v>
      </c>
      <c r="R262" s="528">
        <f t="shared" si="272"/>
        <v>3.5459211648789547E-3</v>
      </c>
      <c r="S262" s="528">
        <f t="shared" si="272"/>
        <v>5.7213580889475084E-3</v>
      </c>
      <c r="T262" s="528">
        <f t="shared" si="272"/>
        <v>8.8706333356387765E-3</v>
      </c>
      <c r="U262" s="528">
        <f t="shared" si="272"/>
        <v>1.3215867311286177E-2</v>
      </c>
      <c r="V262" s="528">
        <f t="shared" si="272"/>
        <v>1.892005287088968E-2</v>
      </c>
      <c r="W262" s="528">
        <f t="shared" si="272"/>
        <v>2.6027636845705086E-2</v>
      </c>
      <c r="X262" s="528">
        <f t="shared" si="272"/>
        <v>3.4405899901042987E-2</v>
      </c>
      <c r="Y262" s="528">
        <f t="shared" si="272"/>
        <v>4.3703574447993811E-2</v>
      </c>
      <c r="Z262" s="528">
        <f t="shared" si="272"/>
        <v>5.3344163013240679E-2</v>
      </c>
      <c r="AA262" s="528">
        <f t="shared" si="272"/>
        <v>6.2566636325118927E-2</v>
      </c>
      <c r="AB262" s="528">
        <f t="shared" si="272"/>
        <v>7.0515518157923729E-2</v>
      </c>
      <c r="AC262" s="528">
        <f t="shared" si="272"/>
        <v>7.6368210766005487E-2</v>
      </c>
      <c r="AD262" s="528">
        <f t="shared" si="272"/>
        <v>7.9474273770559267E-2</v>
      </c>
      <c r="AE262" s="528">
        <f t="shared" si="272"/>
        <v>7.9474273770559212E-2</v>
      </c>
      <c r="AF262" s="528">
        <f t="shared" si="272"/>
        <v>7.6368210766005598E-2</v>
      </c>
      <c r="AG262" s="528">
        <f t="shared" si="272"/>
        <v>7.0515518157923673E-2</v>
      </c>
      <c r="AH262" s="528">
        <f t="shared" si="272"/>
        <v>6.2566636325118899E-2</v>
      </c>
      <c r="AI262" s="528">
        <f t="shared" si="272"/>
        <v>5.3344163013240735E-2</v>
      </c>
      <c r="AJ262" s="528">
        <f t="shared" si="272"/>
        <v>4.3703574447993838E-2</v>
      </c>
      <c r="AK262" s="528">
        <f t="shared" si="272"/>
        <v>3.4405899901042911E-2</v>
      </c>
      <c r="AL262" s="528">
        <f t="shared" si="272"/>
        <v>2.6027636845705072E-2</v>
      </c>
      <c r="AM262" s="528">
        <f t="shared" si="272"/>
        <v>1.8920052870889728E-2</v>
      </c>
      <c r="AN262" s="528">
        <f t="shared" si="272"/>
        <v>1.3215867311286138E-2</v>
      </c>
      <c r="AO262" s="528">
        <f t="shared" si="272"/>
        <v>8.8706333356388008E-3</v>
      </c>
      <c r="AP262" s="528">
        <f t="shared" si="272"/>
        <v>5.7213580889474772E-3</v>
      </c>
      <c r="AQ262" s="528">
        <f t="shared" si="272"/>
        <v>3.5459211648789946E-3</v>
      </c>
      <c r="AR262" s="528">
        <f t="shared" si="272"/>
        <v>2.1117590119577906E-3</v>
      </c>
      <c r="AS262" s="528">
        <f t="shared" si="272"/>
        <v>1.2084949888111378E-3</v>
      </c>
      <c r="AT262" s="528" t="str">
        <f t="shared" si="272"/>
        <v/>
      </c>
      <c r="AU262" s="528" t="str">
        <f t="shared" si="272"/>
        <v/>
      </c>
      <c r="AV262" s="528" t="str">
        <f t="shared" si="272"/>
        <v/>
      </c>
      <c r="AW262" s="528" t="str">
        <f t="shared" si="272"/>
        <v/>
      </c>
      <c r="AX262" s="528" t="str">
        <f t="shared" si="272"/>
        <v/>
      </c>
      <c r="AY262" s="528" t="str">
        <f t="shared" si="272"/>
        <v/>
      </c>
      <c r="AZ262" s="528" t="str">
        <f t="shared" si="272"/>
        <v/>
      </c>
      <c r="BA262" s="528" t="str">
        <f t="shared" si="272"/>
        <v/>
      </c>
      <c r="BB262" s="528" t="str">
        <f t="shared" si="272"/>
        <v/>
      </c>
      <c r="BC262" s="528" t="str">
        <f t="shared" si="272"/>
        <v/>
      </c>
      <c r="BD262" s="528" t="str">
        <f t="shared" si="272"/>
        <v/>
      </c>
      <c r="BE262" s="528" t="str">
        <f t="shared" si="272"/>
        <v/>
      </c>
      <c r="BF262" s="528" t="str">
        <f t="shared" si="272"/>
        <v/>
      </c>
      <c r="BG262" s="528" t="str">
        <f t="shared" si="272"/>
        <v/>
      </c>
      <c r="BH262" s="528" t="str">
        <f t="shared" si="272"/>
        <v/>
      </c>
      <c r="BI262" s="528" t="str">
        <f t="shared" si="272"/>
        <v/>
      </c>
      <c r="BJ262" s="528" t="str">
        <f t="shared" si="272"/>
        <v/>
      </c>
      <c r="BK262" s="528" t="str">
        <f t="shared" si="272"/>
        <v/>
      </c>
      <c r="BL262" s="528" t="str">
        <f t="shared" si="272"/>
        <v/>
      </c>
      <c r="BM262" s="528" t="str">
        <f t="shared" si="272"/>
        <v/>
      </c>
    </row>
    <row r="263" spans="6:65" ht="15.75" customHeight="1" x14ac:dyDescent="0.25">
      <c r="F263" s="197"/>
      <c r="G263" s="197">
        <f t="shared" si="268"/>
        <v>0</v>
      </c>
      <c r="H263" s="197">
        <f t="shared" si="269"/>
        <v>316</v>
      </c>
      <c r="I263" s="523">
        <v>1</v>
      </c>
      <c r="J263" s="533">
        <f>'Monthly DCF'!$I$3</f>
        <v>46418</v>
      </c>
      <c r="K263" s="533">
        <f t="shared" si="270"/>
        <v>47330</v>
      </c>
      <c r="L263" s="536">
        <f t="shared" si="243"/>
        <v>31</v>
      </c>
      <c r="M263" s="20" t="s">
        <v>366</v>
      </c>
      <c r="N263" s="20">
        <f t="shared" si="271"/>
        <v>5.166666666666667</v>
      </c>
      <c r="O263" s="537">
        <v>6</v>
      </c>
      <c r="P263" s="528">
        <f t="shared" ref="P263:BM263" si="273">IFERROR(+IF(AND($M263="Flat",P$5&gt;=$J263,P$5&lt;=$K263),$I263/$L263,0)+IF(AND($M263="S-Curve",P$5&gt;=$J263,P$5&lt;=$K263),(_xlfn.NORM.DIST((YEAR(P$5)-YEAR($J263))*12+MONTH(P$5)-MONTH($J263)+1,$L263/2,$N263,TRUE)-_xlfn.NORM.DIST((YEAR(P$5)-YEAR($J263))*12+MONTH(P$5)-MONTH($J263),$L263/2,$N263,TRUE))/(1-2*_xlfn.NORM.DIST(0,$L263/2,$N263,TRUE))*$I263," "),"")</f>
        <v>1.1577493952442508E-3</v>
      </c>
      <c r="Q263" s="528">
        <f t="shared" si="273"/>
        <v>1.9896859655123421E-3</v>
      </c>
      <c r="R263" s="528">
        <f t="shared" si="273"/>
        <v>3.294089918639634E-3</v>
      </c>
      <c r="S263" s="528">
        <f t="shared" si="273"/>
        <v>5.2537257290644927E-3</v>
      </c>
      <c r="T263" s="528">
        <f t="shared" si="273"/>
        <v>8.0719871925550041E-3</v>
      </c>
      <c r="U263" s="528">
        <f t="shared" si="273"/>
        <v>1.1947436551103814E-2</v>
      </c>
      <c r="V263" s="528">
        <f t="shared" si="273"/>
        <v>1.7035319227356092E-2</v>
      </c>
      <c r="W263" s="528">
        <f t="shared" si="273"/>
        <v>2.3399531459223959E-2</v>
      </c>
      <c r="X263" s="528">
        <f t="shared" si="273"/>
        <v>3.0963172194667685E-2</v>
      </c>
      <c r="Y263" s="528">
        <f t="shared" si="273"/>
        <v>3.9469823928455119E-2</v>
      </c>
      <c r="Z263" s="528">
        <f t="shared" si="273"/>
        <v>4.8469264602570734E-2</v>
      </c>
      <c r="AA263" s="528">
        <f t="shared" si="273"/>
        <v>5.7338880732896495E-2</v>
      </c>
      <c r="AB263" s="528">
        <f t="shared" si="273"/>
        <v>6.5345180670390177E-2</v>
      </c>
      <c r="AC263" s="528">
        <f t="shared" si="273"/>
        <v>7.1739692523958842E-2</v>
      </c>
      <c r="AD263" s="528">
        <f t="shared" si="273"/>
        <v>7.5872967905914884E-2</v>
      </c>
      <c r="AE263" s="528">
        <f t="shared" si="273"/>
        <v>7.7302984004892938E-2</v>
      </c>
      <c r="AF263" s="528">
        <f t="shared" si="273"/>
        <v>7.5872967905914884E-2</v>
      </c>
      <c r="AG263" s="528">
        <f t="shared" si="273"/>
        <v>7.1739692523958787E-2</v>
      </c>
      <c r="AH263" s="528">
        <f t="shared" si="273"/>
        <v>6.5345180670390177E-2</v>
      </c>
      <c r="AI263" s="528">
        <f t="shared" si="273"/>
        <v>5.7338880732896551E-2</v>
      </c>
      <c r="AJ263" s="528">
        <f t="shared" si="273"/>
        <v>4.8469264602570734E-2</v>
      </c>
      <c r="AK263" s="528">
        <f t="shared" si="273"/>
        <v>3.9469823928455133E-2</v>
      </c>
      <c r="AL263" s="528">
        <f t="shared" si="273"/>
        <v>3.0963172194667644E-2</v>
      </c>
      <c r="AM263" s="528">
        <f t="shared" si="273"/>
        <v>2.3399531459223993E-2</v>
      </c>
      <c r="AN263" s="528">
        <f t="shared" si="273"/>
        <v>1.7035319227356099E-2</v>
      </c>
      <c r="AO263" s="528">
        <f t="shared" si="273"/>
        <v>1.1947436551103783E-2</v>
      </c>
      <c r="AP263" s="528">
        <f t="shared" si="273"/>
        <v>8.0719871925550492E-3</v>
      </c>
      <c r="AQ263" s="528">
        <f t="shared" si="273"/>
        <v>5.2537257290644779E-3</v>
      </c>
      <c r="AR263" s="528">
        <f t="shared" si="273"/>
        <v>3.294089918639621E-3</v>
      </c>
      <c r="AS263" s="528">
        <f t="shared" si="273"/>
        <v>1.9896859655123681E-3</v>
      </c>
      <c r="AT263" s="528">
        <f t="shared" si="273"/>
        <v>1.1577493952442143E-3</v>
      </c>
      <c r="AU263" s="528" t="str">
        <f t="shared" si="273"/>
        <v/>
      </c>
      <c r="AV263" s="528" t="str">
        <f t="shared" si="273"/>
        <v/>
      </c>
      <c r="AW263" s="528" t="str">
        <f t="shared" si="273"/>
        <v/>
      </c>
      <c r="AX263" s="528" t="str">
        <f t="shared" si="273"/>
        <v/>
      </c>
      <c r="AY263" s="528" t="str">
        <f t="shared" si="273"/>
        <v/>
      </c>
      <c r="AZ263" s="528" t="str">
        <f t="shared" si="273"/>
        <v/>
      </c>
      <c r="BA263" s="528" t="str">
        <f t="shared" si="273"/>
        <v/>
      </c>
      <c r="BB263" s="528" t="str">
        <f t="shared" si="273"/>
        <v/>
      </c>
      <c r="BC263" s="528" t="str">
        <f t="shared" si="273"/>
        <v/>
      </c>
      <c r="BD263" s="528" t="str">
        <f t="shared" si="273"/>
        <v/>
      </c>
      <c r="BE263" s="528" t="str">
        <f t="shared" si="273"/>
        <v/>
      </c>
      <c r="BF263" s="528" t="str">
        <f t="shared" si="273"/>
        <v/>
      </c>
      <c r="BG263" s="528" t="str">
        <f t="shared" si="273"/>
        <v/>
      </c>
      <c r="BH263" s="528" t="str">
        <f t="shared" si="273"/>
        <v/>
      </c>
      <c r="BI263" s="528" t="str">
        <f t="shared" si="273"/>
        <v/>
      </c>
      <c r="BJ263" s="528" t="str">
        <f t="shared" si="273"/>
        <v/>
      </c>
      <c r="BK263" s="528" t="str">
        <f t="shared" si="273"/>
        <v/>
      </c>
      <c r="BL263" s="528" t="str">
        <f t="shared" si="273"/>
        <v/>
      </c>
      <c r="BM263" s="528" t="str">
        <f t="shared" si="273"/>
        <v/>
      </c>
    </row>
    <row r="264" spans="6:65" ht="15.75" customHeight="1" x14ac:dyDescent="0.25">
      <c r="F264" s="197"/>
      <c r="G264" s="197">
        <f t="shared" si="268"/>
        <v>0</v>
      </c>
      <c r="H264" s="197">
        <f t="shared" si="269"/>
        <v>326</v>
      </c>
      <c r="I264" s="523">
        <v>1</v>
      </c>
      <c r="J264" s="533">
        <f>'Monthly DCF'!$I$3</f>
        <v>46418</v>
      </c>
      <c r="K264" s="533">
        <f t="shared" si="270"/>
        <v>47361</v>
      </c>
      <c r="L264" s="536">
        <f t="shared" si="243"/>
        <v>32</v>
      </c>
      <c r="M264" s="20" t="s">
        <v>366</v>
      </c>
      <c r="N264" s="20">
        <f t="shared" si="271"/>
        <v>5.333333333333333</v>
      </c>
      <c r="O264" s="537">
        <v>6</v>
      </c>
      <c r="P264" s="528">
        <f t="shared" ref="P264:BM264" si="274">IFERROR(+IF(AND($M264="Flat",P$5&gt;=$J264,P$5&lt;=$K264),$I264/$L264,0)+IF(AND($M264="S-Curve",P$5&gt;=$J264,P$5&lt;=$K264),(_xlfn.NORM.DIST((YEAR(P$5)-YEAR($J264))*12+MONTH(P$5)-MONTH($J264)+1,$L264/2,$N264,TRUE)-_xlfn.NORM.DIST((YEAR(P$5)-YEAR($J264))*12+MONTH(P$5)-MONTH($J264),$L264/2,$N264,TRUE))/(1-2*_xlfn.NORM.DIST(0,$L264/2,$N264,TRUE))*$I264," "),"")</f>
        <v>1.1110026240773493E-3</v>
      </c>
      <c r="Q264" s="528">
        <f t="shared" si="274"/>
        <v>1.879621783306859E-3</v>
      </c>
      <c r="R264" s="528">
        <f t="shared" si="274"/>
        <v>3.0704483321878223E-3</v>
      </c>
      <c r="S264" s="528">
        <f t="shared" si="274"/>
        <v>4.8429404958492996E-3</v>
      </c>
      <c r="T264" s="528">
        <f t="shared" si="274"/>
        <v>7.3755185191953874E-3</v>
      </c>
      <c r="U264" s="528">
        <f t="shared" si="274"/>
        <v>1.0845563797327774E-2</v>
      </c>
      <c r="V264" s="528">
        <f t="shared" si="274"/>
        <v>1.5398836915763693E-2</v>
      </c>
      <c r="W264" s="528">
        <f t="shared" si="274"/>
        <v>2.1110570542360402E-2</v>
      </c>
      <c r="X264" s="528">
        <f t="shared" si="274"/>
        <v>2.794398481297437E-2</v>
      </c>
      <c r="Y264" s="528">
        <f t="shared" si="274"/>
        <v>3.5715197865762806E-2</v>
      </c>
      <c r="Z264" s="528">
        <f t="shared" si="274"/>
        <v>4.4075188764848366E-2</v>
      </c>
      <c r="AA264" s="528">
        <f t="shared" si="274"/>
        <v>5.2518429545661799E-2</v>
      </c>
      <c r="AB264" s="528">
        <f t="shared" si="274"/>
        <v>6.0423480514317965E-2</v>
      </c>
      <c r="AC264" s="528">
        <f t="shared" si="274"/>
        <v>6.7123751952182759E-2</v>
      </c>
      <c r="AD264" s="528">
        <f t="shared" si="274"/>
        <v>7.1998459674817508E-2</v>
      </c>
      <c r="AE264" s="528">
        <f t="shared" si="274"/>
        <v>7.4567003859365849E-2</v>
      </c>
      <c r="AF264" s="528">
        <f t="shared" si="274"/>
        <v>7.4567003859365794E-2</v>
      </c>
      <c r="AG264" s="528">
        <f t="shared" si="274"/>
        <v>7.1998459674817564E-2</v>
      </c>
      <c r="AH264" s="528">
        <f t="shared" si="274"/>
        <v>6.7123751952182759E-2</v>
      </c>
      <c r="AI264" s="528">
        <f t="shared" si="274"/>
        <v>6.0423480514317909E-2</v>
      </c>
      <c r="AJ264" s="528">
        <f t="shared" si="274"/>
        <v>5.2518429545661827E-2</v>
      </c>
      <c r="AK264" s="528">
        <f t="shared" si="274"/>
        <v>4.4075188764848366E-2</v>
      </c>
      <c r="AL264" s="528">
        <f t="shared" si="274"/>
        <v>3.5715197865762889E-2</v>
      </c>
      <c r="AM264" s="528">
        <f t="shared" si="274"/>
        <v>2.7943984812974287E-2</v>
      </c>
      <c r="AN264" s="528">
        <f t="shared" si="274"/>
        <v>2.1110570542360457E-2</v>
      </c>
      <c r="AO264" s="528">
        <f t="shared" si="274"/>
        <v>1.5398836915763641E-2</v>
      </c>
      <c r="AP264" s="528">
        <f t="shared" si="274"/>
        <v>1.0845563797327836E-2</v>
      </c>
      <c r="AQ264" s="528">
        <f t="shared" si="274"/>
        <v>7.3755185191953735E-3</v>
      </c>
      <c r="AR264" s="528">
        <f t="shared" si="274"/>
        <v>4.8429404958492779E-3</v>
      </c>
      <c r="AS264" s="528">
        <f t="shared" si="274"/>
        <v>3.0704483321877668E-3</v>
      </c>
      <c r="AT264" s="528">
        <f t="shared" si="274"/>
        <v>1.8796217833068681E-3</v>
      </c>
      <c r="AU264" s="528">
        <f t="shared" si="274"/>
        <v>1.1110026240773829E-3</v>
      </c>
      <c r="AV264" s="528" t="str">
        <f t="shared" si="274"/>
        <v/>
      </c>
      <c r="AW264" s="528" t="str">
        <f t="shared" si="274"/>
        <v/>
      </c>
      <c r="AX264" s="528" t="str">
        <f t="shared" si="274"/>
        <v/>
      </c>
      <c r="AY264" s="528" t="str">
        <f t="shared" si="274"/>
        <v/>
      </c>
      <c r="AZ264" s="528" t="str">
        <f t="shared" si="274"/>
        <v/>
      </c>
      <c r="BA264" s="528" t="str">
        <f t="shared" si="274"/>
        <v/>
      </c>
      <c r="BB264" s="528" t="str">
        <f t="shared" si="274"/>
        <v/>
      </c>
      <c r="BC264" s="528" t="str">
        <f t="shared" si="274"/>
        <v/>
      </c>
      <c r="BD264" s="528" t="str">
        <f t="shared" si="274"/>
        <v/>
      </c>
      <c r="BE264" s="528" t="str">
        <f t="shared" si="274"/>
        <v/>
      </c>
      <c r="BF264" s="528" t="str">
        <f t="shared" si="274"/>
        <v/>
      </c>
      <c r="BG264" s="528" t="str">
        <f t="shared" si="274"/>
        <v/>
      </c>
      <c r="BH264" s="528" t="str">
        <f t="shared" si="274"/>
        <v/>
      </c>
      <c r="BI264" s="528" t="str">
        <f t="shared" si="274"/>
        <v/>
      </c>
      <c r="BJ264" s="528" t="str">
        <f t="shared" si="274"/>
        <v/>
      </c>
      <c r="BK264" s="528" t="str">
        <f t="shared" si="274"/>
        <v/>
      </c>
      <c r="BL264" s="528" t="str">
        <f t="shared" si="274"/>
        <v/>
      </c>
      <c r="BM264" s="528" t="str">
        <f t="shared" si="274"/>
        <v/>
      </c>
    </row>
    <row r="265" spans="6:65" ht="15.75" customHeight="1" x14ac:dyDescent="0.25">
      <c r="F265" s="197"/>
      <c r="G265" s="197">
        <f t="shared" si="268"/>
        <v>0</v>
      </c>
      <c r="H265" s="197">
        <f t="shared" si="269"/>
        <v>336</v>
      </c>
      <c r="I265" s="523">
        <v>1</v>
      </c>
      <c r="J265" s="533">
        <f>'Monthly DCF'!$I$3</f>
        <v>46418</v>
      </c>
      <c r="K265" s="533">
        <f t="shared" si="270"/>
        <v>47391</v>
      </c>
      <c r="L265" s="536">
        <f t="shared" si="243"/>
        <v>33</v>
      </c>
      <c r="M265" s="20" t="s">
        <v>366</v>
      </c>
      <c r="N265" s="20">
        <f t="shared" si="271"/>
        <v>5.5</v>
      </c>
      <c r="O265" s="537">
        <v>6</v>
      </c>
      <c r="P265" s="528">
        <f t="shared" ref="P265:BM265" si="275">IFERROR(+IF(AND($M265="Flat",P$5&gt;=$J265,P$5&lt;=$K265),$I265/$L265,0)+IF(AND($M265="S-Curve",P$5&gt;=$J265,P$5&lt;=$K265),(_xlfn.NORM.DIST((YEAR(P$5)-YEAR($J265))*12+MONTH(P$5)-MONTH($J265)+1,$L265/2,$N265,TRUE)-_xlfn.NORM.DIST((YEAR(P$5)-YEAR($J265))*12+MONTH(P$5)-MONTH($J265),$L265/2,$N265,TRUE))/(1-2*_xlfn.NORM.DIST(0,$L265/2,$N265,TRUE))*$I265," "),"")</f>
        <v>1.067807458713227E-3</v>
      </c>
      <c r="Q265" s="528">
        <f t="shared" si="275"/>
        <v>1.7799766665338667E-3</v>
      </c>
      <c r="R265" s="528">
        <f t="shared" si="275"/>
        <v>2.8708985939047776E-3</v>
      </c>
      <c r="S265" s="528">
        <f t="shared" si="275"/>
        <v>4.4802643703004573E-3</v>
      </c>
      <c r="T265" s="528">
        <f t="shared" si="275"/>
        <v>6.7650612533993711E-3</v>
      </c>
      <c r="U265" s="528">
        <f t="shared" si="275"/>
        <v>9.8837597651469222E-3</v>
      </c>
      <c r="V265" s="528">
        <f t="shared" si="275"/>
        <v>1.3971886000794602E-2</v>
      </c>
      <c r="W265" s="528">
        <f t="shared" si="275"/>
        <v>1.9110424574081474E-2</v>
      </c>
      <c r="X265" s="528">
        <f t="shared" si="275"/>
        <v>2.5291123862006409E-2</v>
      </c>
      <c r="Y265" s="528">
        <f t="shared" si="275"/>
        <v>3.2385339035600577E-2</v>
      </c>
      <c r="Z265" s="528">
        <f t="shared" si="275"/>
        <v>4.0124656386670246E-2</v>
      </c>
      <c r="AA265" s="528">
        <f t="shared" si="275"/>
        <v>4.8101297509015803E-2</v>
      </c>
      <c r="AB265" s="528">
        <f t="shared" si="275"/>
        <v>5.5793661979804128E-2</v>
      </c>
      <c r="AC265" s="528">
        <f t="shared" si="275"/>
        <v>6.2617478066496104E-2</v>
      </c>
      <c r="AD265" s="528">
        <f t="shared" si="275"/>
        <v>6.7996870092592351E-2</v>
      </c>
      <c r="AE265" s="528">
        <f t="shared" si="275"/>
        <v>7.1443862889098014E-2</v>
      </c>
      <c r="AF265" s="528">
        <f t="shared" si="275"/>
        <v>7.2631262991683307E-2</v>
      </c>
      <c r="AG265" s="528">
        <f t="shared" si="275"/>
        <v>7.144386288909807E-2</v>
      </c>
      <c r="AH265" s="528">
        <f t="shared" si="275"/>
        <v>6.7996870092592351E-2</v>
      </c>
      <c r="AI265" s="528">
        <f t="shared" si="275"/>
        <v>6.2617478066496104E-2</v>
      </c>
      <c r="AJ265" s="528">
        <f t="shared" si="275"/>
        <v>5.5793661979804128E-2</v>
      </c>
      <c r="AK265" s="528">
        <f t="shared" si="275"/>
        <v>4.8101297509015831E-2</v>
      </c>
      <c r="AL265" s="528">
        <f t="shared" si="275"/>
        <v>4.0124656386670204E-2</v>
      </c>
      <c r="AM265" s="528">
        <f t="shared" si="275"/>
        <v>3.2385339035600605E-2</v>
      </c>
      <c r="AN265" s="528">
        <f t="shared" si="275"/>
        <v>2.5291123862006437E-2</v>
      </c>
      <c r="AO265" s="528">
        <f t="shared" si="275"/>
        <v>1.9110424574081405E-2</v>
      </c>
      <c r="AP265" s="528">
        <f t="shared" si="275"/>
        <v>1.3971886000794643E-2</v>
      </c>
      <c r="AQ265" s="528">
        <f t="shared" si="275"/>
        <v>9.8837597651468666E-3</v>
      </c>
      <c r="AR265" s="528">
        <f t="shared" si="275"/>
        <v>6.7650612533994266E-3</v>
      </c>
      <c r="AS265" s="528">
        <f t="shared" si="275"/>
        <v>4.4802643703004685E-3</v>
      </c>
      <c r="AT265" s="528">
        <f t="shared" si="275"/>
        <v>2.870898593904703E-3</v>
      </c>
      <c r="AU265" s="528">
        <f t="shared" si="275"/>
        <v>1.7799766665338901E-3</v>
      </c>
      <c r="AV265" s="528">
        <f t="shared" si="275"/>
        <v>1.067807458713243E-3</v>
      </c>
      <c r="AW265" s="528" t="str">
        <f t="shared" si="275"/>
        <v/>
      </c>
      <c r="AX265" s="528" t="str">
        <f t="shared" si="275"/>
        <v/>
      </c>
      <c r="AY265" s="528" t="str">
        <f t="shared" si="275"/>
        <v/>
      </c>
      <c r="AZ265" s="528" t="str">
        <f t="shared" si="275"/>
        <v/>
      </c>
      <c r="BA265" s="528" t="str">
        <f t="shared" si="275"/>
        <v/>
      </c>
      <c r="BB265" s="528" t="str">
        <f t="shared" si="275"/>
        <v/>
      </c>
      <c r="BC265" s="528" t="str">
        <f t="shared" si="275"/>
        <v/>
      </c>
      <c r="BD265" s="528" t="str">
        <f t="shared" si="275"/>
        <v/>
      </c>
      <c r="BE265" s="528" t="str">
        <f t="shared" si="275"/>
        <v/>
      </c>
      <c r="BF265" s="528" t="str">
        <f t="shared" si="275"/>
        <v/>
      </c>
      <c r="BG265" s="528" t="str">
        <f t="shared" si="275"/>
        <v/>
      </c>
      <c r="BH265" s="528" t="str">
        <f t="shared" si="275"/>
        <v/>
      </c>
      <c r="BI265" s="528" t="str">
        <f t="shared" si="275"/>
        <v/>
      </c>
      <c r="BJ265" s="528" t="str">
        <f t="shared" si="275"/>
        <v/>
      </c>
      <c r="BK265" s="528" t="str">
        <f t="shared" si="275"/>
        <v/>
      </c>
      <c r="BL265" s="528" t="str">
        <f t="shared" si="275"/>
        <v/>
      </c>
      <c r="BM265" s="528" t="str">
        <f t="shared" si="275"/>
        <v/>
      </c>
    </row>
    <row r="266" spans="6:65" ht="15.75" customHeight="1" x14ac:dyDescent="0.25">
      <c r="F266" s="197"/>
      <c r="G266" s="197">
        <f t="shared" si="268"/>
        <v>0</v>
      </c>
      <c r="H266" s="197">
        <f t="shared" si="269"/>
        <v>346</v>
      </c>
      <c r="I266" s="523">
        <v>1</v>
      </c>
      <c r="J266" s="533">
        <f>'Monthly DCF'!$I$3</f>
        <v>46418</v>
      </c>
      <c r="K266" s="533">
        <f t="shared" si="270"/>
        <v>47422</v>
      </c>
      <c r="L266" s="536">
        <f t="shared" si="243"/>
        <v>34</v>
      </c>
      <c r="M266" s="20" t="s">
        <v>366</v>
      </c>
      <c r="N266" s="20">
        <f t="shared" si="271"/>
        <v>5.666666666666667</v>
      </c>
      <c r="O266" s="537">
        <v>6</v>
      </c>
      <c r="P266" s="528">
        <f t="shared" ref="P266:BM266" si="276">IFERROR(+IF(AND($M266="Flat",P$5&gt;=$J266,P$5&lt;=$K266),$I266/$L266,0)+IF(AND($M266="S-Curve",P$5&gt;=$J266,P$5&lt;=$K266),(_xlfn.NORM.DIST((YEAR(P$5)-YEAR($J266))*12+MONTH(P$5)-MONTH($J266)+1,$L266/2,$N266,TRUE)-_xlfn.NORM.DIST((YEAR(P$5)-YEAR($J266))*12+MONTH(P$5)-MONTH($J266),$L266/2,$N266,TRUE))/(1-2*_xlfn.NORM.DIST(0,$L266/2,$N266,TRUE))*$I266," "),"")</f>
        <v>1.0277801497815798E-3</v>
      </c>
      <c r="Q266" s="528">
        <f t="shared" si="276"/>
        <v>1.6894190977955997E-3</v>
      </c>
      <c r="R266" s="528">
        <f t="shared" si="276"/>
        <v>2.6920584775179529E-3</v>
      </c>
      <c r="S266" s="528">
        <f t="shared" si="276"/>
        <v>4.158546348901223E-3</v>
      </c>
      <c r="T266" s="528">
        <f t="shared" si="276"/>
        <v>6.2274265852630259E-3</v>
      </c>
      <c r="U266" s="528">
        <f t="shared" si="276"/>
        <v>9.0403603817719135E-3</v>
      </c>
      <c r="V266" s="528">
        <f t="shared" si="276"/>
        <v>1.2722514882706225E-2</v>
      </c>
      <c r="W266" s="528">
        <f t="shared" si="276"/>
        <v>1.7356826647550429E-2</v>
      </c>
      <c r="X266" s="528">
        <f t="shared" si="276"/>
        <v>2.2955029337388688E-2</v>
      </c>
      <c r="Y266" s="528">
        <f t="shared" si="276"/>
        <v>2.943036013626284E-2</v>
      </c>
      <c r="Z266" s="528">
        <f t="shared" si="276"/>
        <v>3.6578300730128903E-2</v>
      </c>
      <c r="AA266" s="528">
        <f t="shared" si="276"/>
        <v>4.407189499839835E-2</v>
      </c>
      <c r="AB266" s="528">
        <f t="shared" si="276"/>
        <v>5.1476640069797415E-2</v>
      </c>
      <c r="AC266" s="528">
        <f t="shared" si="276"/>
        <v>5.8286630000814355E-2</v>
      </c>
      <c r="AD266" s="528">
        <f t="shared" si="276"/>
        <v>6.397908130298352E-2</v>
      </c>
      <c r="AE266" s="528">
        <f t="shared" si="276"/>
        <v>6.8079657616267747E-2</v>
      </c>
      <c r="AF266" s="528">
        <f t="shared" si="276"/>
        <v>7.0227473236670251E-2</v>
      </c>
      <c r="AG266" s="528">
        <f t="shared" si="276"/>
        <v>7.0227473236670251E-2</v>
      </c>
      <c r="AH266" s="528">
        <f t="shared" si="276"/>
        <v>6.8079657616267747E-2</v>
      </c>
      <c r="AI266" s="528">
        <f t="shared" si="276"/>
        <v>6.397908130298352E-2</v>
      </c>
      <c r="AJ266" s="528">
        <f t="shared" si="276"/>
        <v>5.8286630000814355E-2</v>
      </c>
      <c r="AK266" s="528">
        <f t="shared" si="276"/>
        <v>5.1476640069797443E-2</v>
      </c>
      <c r="AL266" s="528">
        <f t="shared" si="276"/>
        <v>4.4071894998398267E-2</v>
      </c>
      <c r="AM266" s="528">
        <f t="shared" si="276"/>
        <v>3.6578300730128903E-2</v>
      </c>
      <c r="AN266" s="528">
        <f t="shared" si="276"/>
        <v>2.9430360136262854E-2</v>
      </c>
      <c r="AO266" s="528">
        <f t="shared" si="276"/>
        <v>2.2955029337388771E-2</v>
      </c>
      <c r="AP266" s="528">
        <f t="shared" si="276"/>
        <v>1.7356826647550359E-2</v>
      </c>
      <c r="AQ266" s="528">
        <f t="shared" si="276"/>
        <v>1.2722514882706246E-2</v>
      </c>
      <c r="AR266" s="528">
        <f t="shared" si="276"/>
        <v>9.0403603817719481E-3</v>
      </c>
      <c r="AS266" s="528">
        <f t="shared" si="276"/>
        <v>6.2274265852630016E-3</v>
      </c>
      <c r="AT266" s="528">
        <f t="shared" si="276"/>
        <v>4.1585463489011692E-3</v>
      </c>
      <c r="AU266" s="528">
        <f t="shared" si="276"/>
        <v>2.6920584775180123E-3</v>
      </c>
      <c r="AV266" s="528">
        <f t="shared" si="276"/>
        <v>1.6894190977955466E-3</v>
      </c>
      <c r="AW266" s="528">
        <f t="shared" si="276"/>
        <v>1.0277801497816132E-3</v>
      </c>
      <c r="AX266" s="528" t="str">
        <f t="shared" si="276"/>
        <v/>
      </c>
      <c r="AY266" s="528" t="str">
        <f t="shared" si="276"/>
        <v/>
      </c>
      <c r="AZ266" s="528" t="str">
        <f t="shared" si="276"/>
        <v/>
      </c>
      <c r="BA266" s="528" t="str">
        <f t="shared" si="276"/>
        <v/>
      </c>
      <c r="BB266" s="528" t="str">
        <f t="shared" si="276"/>
        <v/>
      </c>
      <c r="BC266" s="528" t="str">
        <f t="shared" si="276"/>
        <v/>
      </c>
      <c r="BD266" s="528" t="str">
        <f t="shared" si="276"/>
        <v/>
      </c>
      <c r="BE266" s="528" t="str">
        <f t="shared" si="276"/>
        <v/>
      </c>
      <c r="BF266" s="528" t="str">
        <f t="shared" si="276"/>
        <v/>
      </c>
      <c r="BG266" s="528" t="str">
        <f t="shared" si="276"/>
        <v/>
      </c>
      <c r="BH266" s="528" t="str">
        <f t="shared" si="276"/>
        <v/>
      </c>
      <c r="BI266" s="528" t="str">
        <f t="shared" si="276"/>
        <v/>
      </c>
      <c r="BJ266" s="528" t="str">
        <f t="shared" si="276"/>
        <v/>
      </c>
      <c r="BK266" s="528" t="str">
        <f t="shared" si="276"/>
        <v/>
      </c>
      <c r="BL266" s="528" t="str">
        <f t="shared" si="276"/>
        <v/>
      </c>
      <c r="BM266" s="528" t="str">
        <f t="shared" si="276"/>
        <v/>
      </c>
    </row>
    <row r="267" spans="6:65" ht="15.75" customHeight="1" x14ac:dyDescent="0.25">
      <c r="F267" s="197"/>
      <c r="G267" s="197">
        <f t="shared" si="268"/>
        <v>0</v>
      </c>
      <c r="H267" s="197">
        <f t="shared" si="269"/>
        <v>356</v>
      </c>
      <c r="I267" s="523">
        <v>1</v>
      </c>
      <c r="J267" s="533">
        <f>'Monthly DCF'!$I$3</f>
        <v>46418</v>
      </c>
      <c r="K267" s="533">
        <f t="shared" si="270"/>
        <v>47452</v>
      </c>
      <c r="L267" s="536">
        <f t="shared" si="243"/>
        <v>35</v>
      </c>
      <c r="M267" s="20" t="s">
        <v>366</v>
      </c>
      <c r="N267" s="20">
        <f t="shared" si="271"/>
        <v>5.833333333333333</v>
      </c>
      <c r="O267" s="537">
        <v>6</v>
      </c>
      <c r="P267" s="528">
        <f t="shared" ref="P267:BM267" si="277">IFERROR(+IF(AND($M267="Flat",P$5&gt;=$J267,P$5&lt;=$K267),$I267/$L267,0)+IF(AND($M267="S-Curve",P$5&gt;=$J267,P$5&lt;=$K267),(_xlfn.NORM.DIST((YEAR(P$5)-YEAR($J267))*12+MONTH(P$5)-MONTH($J267)+1,$L267/2,$N267,TRUE)-_xlfn.NORM.DIST((YEAR(P$5)-YEAR($J267))*12+MONTH(P$5)-MONTH($J267),$L267/2,$N267,TRUE))/(1-2*_xlfn.NORM.DIST(0,$L267/2,$N267,TRUE))*$I267," "),"")</f>
        <v>9.9058965296304285E-4</v>
      </c>
      <c r="Q267" s="528">
        <f t="shared" si="277"/>
        <v>1.6068268469222556E-3</v>
      </c>
      <c r="R267" s="528">
        <f t="shared" si="277"/>
        <v>2.5311175508884623E-3</v>
      </c>
      <c r="S267" s="528">
        <f t="shared" si="277"/>
        <v>3.8718946858757866E-3</v>
      </c>
      <c r="T267" s="528">
        <f t="shared" si="277"/>
        <v>5.7517868090032022E-3</v>
      </c>
      <c r="U267" s="528">
        <f t="shared" si="277"/>
        <v>8.2975539363582471E-3</v>
      </c>
      <c r="V267" s="528">
        <f t="shared" si="277"/>
        <v>1.1624264419509376E-2</v>
      </c>
      <c r="W267" s="528">
        <f t="shared" si="277"/>
        <v>1.5814264560786398E-2</v>
      </c>
      <c r="X267" s="528">
        <f t="shared" si="277"/>
        <v>2.0892993581255178E-2</v>
      </c>
      <c r="Y267" s="528">
        <f t="shared" si="277"/>
        <v>2.680529051720144E-2</v>
      </c>
      <c r="Z267" s="528">
        <f t="shared" si="277"/>
        <v>3.3397085289034706E-2</v>
      </c>
      <c r="AA267" s="528">
        <f t="shared" si="277"/>
        <v>4.0407765251211494E-2</v>
      </c>
      <c r="AB267" s="528">
        <f t="shared" si="277"/>
        <v>4.7477663316989244E-2</v>
      </c>
      <c r="AC267" s="528">
        <f t="shared" si="277"/>
        <v>5.4172900887512698E-2</v>
      </c>
      <c r="AD267" s="528">
        <f t="shared" si="277"/>
        <v>6.0026512489661898E-2</v>
      </c>
      <c r="AE267" s="528">
        <f t="shared" si="277"/>
        <v>6.4591058968661824E-2</v>
      </c>
      <c r="AF267" s="528">
        <f t="shared" si="277"/>
        <v>6.7494747657842163E-2</v>
      </c>
      <c r="AG267" s="528">
        <f t="shared" si="277"/>
        <v>6.849136715664518E-2</v>
      </c>
      <c r="AH267" s="528">
        <f t="shared" si="277"/>
        <v>6.7494747657842219E-2</v>
      </c>
      <c r="AI267" s="528">
        <f t="shared" si="277"/>
        <v>6.4591058968661769E-2</v>
      </c>
      <c r="AJ267" s="528">
        <f t="shared" si="277"/>
        <v>6.0026512489661898E-2</v>
      </c>
      <c r="AK267" s="528">
        <f t="shared" si="277"/>
        <v>5.4172900887512671E-2</v>
      </c>
      <c r="AL267" s="528">
        <f t="shared" si="277"/>
        <v>4.7477663316989327E-2</v>
      </c>
      <c r="AM267" s="528">
        <f t="shared" si="277"/>
        <v>4.0407765251211467E-2</v>
      </c>
      <c r="AN267" s="528">
        <f t="shared" si="277"/>
        <v>3.3397085289034664E-2</v>
      </c>
      <c r="AO267" s="528">
        <f t="shared" si="277"/>
        <v>2.6805290517201454E-2</v>
      </c>
      <c r="AP267" s="528">
        <f t="shared" si="277"/>
        <v>2.0892993581255178E-2</v>
      </c>
      <c r="AQ267" s="528">
        <f t="shared" si="277"/>
        <v>1.5814264560786419E-2</v>
      </c>
      <c r="AR267" s="528">
        <f t="shared" si="277"/>
        <v>1.1624264419509379E-2</v>
      </c>
      <c r="AS267" s="528">
        <f t="shared" si="277"/>
        <v>8.2975539363582713E-3</v>
      </c>
      <c r="AT267" s="528">
        <f t="shared" si="277"/>
        <v>5.7517868090031258E-3</v>
      </c>
      <c r="AU267" s="528">
        <f t="shared" si="277"/>
        <v>3.871894685875849E-3</v>
      </c>
      <c r="AV267" s="528">
        <f t="shared" si="277"/>
        <v>2.531117550888389E-3</v>
      </c>
      <c r="AW267" s="528">
        <f t="shared" si="277"/>
        <v>1.6068268469223127E-3</v>
      </c>
      <c r="AX267" s="528">
        <f t="shared" si="277"/>
        <v>9.9058965296301379E-4</v>
      </c>
      <c r="AY267" s="528" t="str">
        <f t="shared" si="277"/>
        <v/>
      </c>
      <c r="AZ267" s="528" t="str">
        <f t="shared" si="277"/>
        <v/>
      </c>
      <c r="BA267" s="528" t="str">
        <f t="shared" si="277"/>
        <v/>
      </c>
      <c r="BB267" s="528" t="str">
        <f t="shared" si="277"/>
        <v/>
      </c>
      <c r="BC267" s="528" t="str">
        <f t="shared" si="277"/>
        <v/>
      </c>
      <c r="BD267" s="528" t="str">
        <f t="shared" si="277"/>
        <v/>
      </c>
      <c r="BE267" s="528" t="str">
        <f t="shared" si="277"/>
        <v/>
      </c>
      <c r="BF267" s="528" t="str">
        <f t="shared" si="277"/>
        <v/>
      </c>
      <c r="BG267" s="528" t="str">
        <f t="shared" si="277"/>
        <v/>
      </c>
      <c r="BH267" s="528" t="str">
        <f t="shared" si="277"/>
        <v/>
      </c>
      <c r="BI267" s="528" t="str">
        <f t="shared" si="277"/>
        <v/>
      </c>
      <c r="BJ267" s="528" t="str">
        <f t="shared" si="277"/>
        <v/>
      </c>
      <c r="BK267" s="528" t="str">
        <f t="shared" si="277"/>
        <v/>
      </c>
      <c r="BL267" s="528" t="str">
        <f t="shared" si="277"/>
        <v/>
      </c>
      <c r="BM267" s="528" t="str">
        <f t="shared" si="277"/>
        <v/>
      </c>
    </row>
    <row r="268" spans="6:65" ht="15.75" customHeight="1" x14ac:dyDescent="0.25">
      <c r="F268" s="197"/>
      <c r="G268" s="197">
        <f t="shared" si="268"/>
        <v>0</v>
      </c>
      <c r="H268" s="197">
        <f t="shared" si="269"/>
        <v>366</v>
      </c>
      <c r="I268" s="523">
        <v>1</v>
      </c>
      <c r="J268" s="533">
        <f>'Monthly DCF'!$I$3</f>
        <v>46418</v>
      </c>
      <c r="K268" s="533">
        <f t="shared" si="270"/>
        <v>47483</v>
      </c>
      <c r="L268" s="536">
        <f t="shared" si="243"/>
        <v>36</v>
      </c>
      <c r="M268" s="20" t="s">
        <v>366</v>
      </c>
      <c r="N268" s="20">
        <f t="shared" si="271"/>
        <v>6</v>
      </c>
      <c r="O268" s="537">
        <v>6</v>
      </c>
      <c r="P268" s="528">
        <f t="shared" ref="P268:BM268" si="278">IFERROR(+IF(AND($M268="Flat",P$5&gt;=$J268,P$5&lt;=$K268),$I268/$L268,0)+IF(AND($M268="S-Curve",P$5&gt;=$J268,P$5&lt;=$K268),(_xlfn.NORM.DIST((YEAR(P$5)-YEAR($J268))*12+MONTH(P$5)-MONTH($J268)+1,$L268/2,$N268,TRUE)-_xlfn.NORM.DIST((YEAR(P$5)-YEAR($J268))*12+MONTH(P$5)-MONTH($J268),$L268/2,$N268,TRUE))/(1-2*_xlfn.NORM.DIST(0,$L268/2,$N268,TRUE))*$I268," "),"")</f>
        <v>9.5594896732444903E-4</v>
      </c>
      <c r="Q268" s="528">
        <f t="shared" si="278"/>
        <v>1.5312484945513164E-3</v>
      </c>
      <c r="R268" s="528">
        <f t="shared" si="278"/>
        <v>2.385725731123303E-3</v>
      </c>
      <c r="S268" s="528">
        <f t="shared" si="278"/>
        <v>3.6154242109208618E-3</v>
      </c>
      <c r="T268" s="528">
        <f t="shared" si="278"/>
        <v>5.3291991324285392E-3</v>
      </c>
      <c r="U268" s="528">
        <f t="shared" si="278"/>
        <v>7.6406200538857248E-3</v>
      </c>
      <c r="V268" s="528">
        <f t="shared" si="278"/>
        <v>1.0655142348002673E-2</v>
      </c>
      <c r="W268" s="528">
        <f t="shared" si="278"/>
        <v>1.4452864474608834E-2</v>
      </c>
      <c r="X268" s="528">
        <f t="shared" si="278"/>
        <v>1.9068329597222884E-2</v>
      </c>
      <c r="Y268" s="528">
        <f t="shared" si="278"/>
        <v>2.4470082689923726E-2</v>
      </c>
      <c r="Z268" s="528">
        <f t="shared" si="278"/>
        <v>3.0543746735707655E-2</v>
      </c>
      <c r="AA268" s="528">
        <f t="shared" si="278"/>
        <v>3.7082865531451958E-2</v>
      </c>
      <c r="AB268" s="528">
        <f t="shared" si="278"/>
        <v>4.3791354759370217E-2</v>
      </c>
      <c r="AC268" s="528">
        <f t="shared" si="278"/>
        <v>5.0299956207029782E-2</v>
      </c>
      <c r="AD268" s="528">
        <f t="shared" si="278"/>
        <v>5.6196720864822948E-2</v>
      </c>
      <c r="AE268" s="528">
        <f t="shared" si="278"/>
        <v>6.1068674422571308E-2</v>
      </c>
      <c r="AF268" s="528">
        <f t="shared" si="278"/>
        <v>6.4549096604231831E-2</v>
      </c>
      <c r="AG268" s="528">
        <f t="shared" si="278"/>
        <v>6.6362999174821982E-2</v>
      </c>
      <c r="AH268" s="528">
        <f t="shared" si="278"/>
        <v>6.6362999174821982E-2</v>
      </c>
      <c r="AI268" s="528">
        <f t="shared" si="278"/>
        <v>6.4549096604231887E-2</v>
      </c>
      <c r="AJ268" s="528">
        <f t="shared" si="278"/>
        <v>6.1068674422571252E-2</v>
      </c>
      <c r="AK268" s="528">
        <f t="shared" si="278"/>
        <v>5.6196720864822948E-2</v>
      </c>
      <c r="AL268" s="528">
        <f t="shared" si="278"/>
        <v>5.0299956207029782E-2</v>
      </c>
      <c r="AM268" s="528">
        <f t="shared" si="278"/>
        <v>4.3791354759370245E-2</v>
      </c>
      <c r="AN268" s="528">
        <f t="shared" si="278"/>
        <v>3.7082865531451903E-2</v>
      </c>
      <c r="AO268" s="528">
        <f t="shared" si="278"/>
        <v>3.0543746735707682E-2</v>
      </c>
      <c r="AP268" s="528">
        <f t="shared" si="278"/>
        <v>2.4470082689923699E-2</v>
      </c>
      <c r="AQ268" s="528">
        <f t="shared" si="278"/>
        <v>1.9068329597222919E-2</v>
      </c>
      <c r="AR268" s="528">
        <f t="shared" si="278"/>
        <v>1.4452864474608827E-2</v>
      </c>
      <c r="AS268" s="528">
        <f t="shared" si="278"/>
        <v>1.0655142348002656E-2</v>
      </c>
      <c r="AT268" s="528">
        <f t="shared" si="278"/>
        <v>7.64062005388573E-3</v>
      </c>
      <c r="AU268" s="528">
        <f t="shared" si="278"/>
        <v>5.3291991324285722E-3</v>
      </c>
      <c r="AV268" s="528">
        <f t="shared" si="278"/>
        <v>3.615424210920815E-3</v>
      </c>
      <c r="AW268" s="528">
        <f t="shared" si="278"/>
        <v>2.3857257311232895E-3</v>
      </c>
      <c r="AX268" s="528">
        <f t="shared" si="278"/>
        <v>1.5312484945513912E-3</v>
      </c>
      <c r="AY268" s="528">
        <f t="shared" si="278"/>
        <v>9.559489673244035E-4</v>
      </c>
      <c r="AZ268" s="528" t="str">
        <f t="shared" si="278"/>
        <v/>
      </c>
      <c r="BA268" s="528" t="str">
        <f t="shared" si="278"/>
        <v/>
      </c>
      <c r="BB268" s="528" t="str">
        <f t="shared" si="278"/>
        <v/>
      </c>
      <c r="BC268" s="528" t="str">
        <f t="shared" si="278"/>
        <v/>
      </c>
      <c r="BD268" s="528" t="str">
        <f t="shared" si="278"/>
        <v/>
      </c>
      <c r="BE268" s="528" t="str">
        <f t="shared" si="278"/>
        <v/>
      </c>
      <c r="BF268" s="528" t="str">
        <f t="shared" si="278"/>
        <v/>
      </c>
      <c r="BG268" s="528" t="str">
        <f t="shared" si="278"/>
        <v/>
      </c>
      <c r="BH268" s="528" t="str">
        <f t="shared" si="278"/>
        <v/>
      </c>
      <c r="BI268" s="528" t="str">
        <f t="shared" si="278"/>
        <v/>
      </c>
      <c r="BJ268" s="528" t="str">
        <f t="shared" si="278"/>
        <v/>
      </c>
      <c r="BK268" s="528" t="str">
        <f t="shared" si="278"/>
        <v/>
      </c>
      <c r="BL268" s="528" t="str">
        <f t="shared" si="278"/>
        <v/>
      </c>
      <c r="BM268" s="528" t="str">
        <f t="shared" si="278"/>
        <v/>
      </c>
    </row>
    <row r="269" spans="6:65" ht="15.75" customHeight="1" x14ac:dyDescent="0.25">
      <c r="F269" s="197"/>
      <c r="G269" s="197">
        <f t="shared" si="268"/>
        <v>0</v>
      </c>
      <c r="H269" s="197">
        <f t="shared" si="269"/>
        <v>376</v>
      </c>
      <c r="I269" s="523">
        <v>1</v>
      </c>
      <c r="J269" s="533">
        <f>'Monthly DCF'!$I$3</f>
        <v>46418</v>
      </c>
      <c r="K269" s="533">
        <f t="shared" si="270"/>
        <v>47514</v>
      </c>
      <c r="L269" s="536">
        <f t="shared" si="243"/>
        <v>37</v>
      </c>
      <c r="M269" s="20" t="s">
        <v>366</v>
      </c>
      <c r="N269" s="20">
        <f t="shared" si="271"/>
        <v>6.166666666666667</v>
      </c>
      <c r="O269" s="537">
        <v>6</v>
      </c>
      <c r="P269" s="528">
        <f t="shared" ref="P269:BM269" si="279">IFERROR(+IF(AND($M269="Flat",P$5&gt;=$J269,P$5&lt;=$K269),$I269/$L269,0)+IF(AND($M269="S-Curve",P$5&gt;=$J269,P$5&lt;=$K269),(_xlfn.NORM.DIST((YEAR(P$5)-YEAR($J269))*12+MONTH(P$5)-MONTH($J269)+1,$L269/2,$N269,TRUE)-_xlfn.NORM.DIST((YEAR(P$5)-YEAR($J269))*12+MONTH(P$5)-MONTH($J269),$L269/2,$N269,TRUE))/(1-2*_xlfn.NORM.DIST(0,$L269/2,$N269,TRUE))*$I269," "),"")</f>
        <v>9.2360811413293121E-4</v>
      </c>
      <c r="Q269" s="528">
        <f t="shared" si="279"/>
        <v>1.461872972513402E-3</v>
      </c>
      <c r="R269" s="528">
        <f t="shared" si="279"/>
        <v>2.2539061944477534E-3</v>
      </c>
      <c r="S269" s="528">
        <f t="shared" si="279"/>
        <v>3.3850599822079497E-3</v>
      </c>
      <c r="T269" s="528">
        <f t="shared" si="279"/>
        <v>4.9522351431496451E-3</v>
      </c>
      <c r="U269" s="528">
        <f t="shared" si="279"/>
        <v>7.0573316862048074E-3</v>
      </c>
      <c r="V269" s="528">
        <f t="shared" si="279"/>
        <v>9.7967991887504494E-3</v>
      </c>
      <c r="W269" s="528">
        <f t="shared" si="279"/>
        <v>1.3247450634725298E-2</v>
      </c>
      <c r="X269" s="528">
        <f t="shared" si="279"/>
        <v>1.7449575252025597E-2</v>
      </c>
      <c r="Y269" s="528">
        <f t="shared" si="279"/>
        <v>2.2389370073112501E-2</v>
      </c>
      <c r="Z269" s="528">
        <f t="shared" si="279"/>
        <v>2.7983586219484342E-2</v>
      </c>
      <c r="AA269" s="528">
        <f t="shared" si="279"/>
        <v>3.4069782540147843E-2</v>
      </c>
      <c r="AB269" s="528">
        <f t="shared" si="279"/>
        <v>4.0405441918872423E-2</v>
      </c>
      <c r="AC269" s="528">
        <f t="shared" si="279"/>
        <v>4.6678283795943694E-2</v>
      </c>
      <c r="AD269" s="528">
        <f t="shared" si="279"/>
        <v>5.2528430928046092E-2</v>
      </c>
      <c r="AE269" s="528">
        <f t="shared" si="279"/>
        <v>5.7580908545516361E-2</v>
      </c>
      <c r="AF269" s="528">
        <f t="shared" si="279"/>
        <v>6.1484711691788152E-2</v>
      </c>
      <c r="AG269" s="528">
        <f t="shared" si="279"/>
        <v>6.3952910770457366E-2</v>
      </c>
      <c r="AH269" s="528">
        <f t="shared" si="279"/>
        <v>6.4797468696946817E-2</v>
      </c>
      <c r="AI269" s="528">
        <f t="shared" si="279"/>
        <v>6.3952910770457422E-2</v>
      </c>
      <c r="AJ269" s="528">
        <f t="shared" si="279"/>
        <v>6.1484711691788041E-2</v>
      </c>
      <c r="AK269" s="528">
        <f t="shared" si="279"/>
        <v>5.7580908545516472E-2</v>
      </c>
      <c r="AL269" s="528">
        <f t="shared" si="279"/>
        <v>5.2528430928046009E-2</v>
      </c>
      <c r="AM269" s="528">
        <f t="shared" si="279"/>
        <v>4.6678283795943694E-2</v>
      </c>
      <c r="AN269" s="528">
        <f t="shared" si="279"/>
        <v>4.0405441918872506E-2</v>
      </c>
      <c r="AO269" s="528">
        <f t="shared" si="279"/>
        <v>3.406978254014776E-2</v>
      </c>
      <c r="AP269" s="528">
        <f t="shared" si="279"/>
        <v>2.7983586219484342E-2</v>
      </c>
      <c r="AQ269" s="528">
        <f t="shared" si="279"/>
        <v>2.238937007311257E-2</v>
      </c>
      <c r="AR269" s="528">
        <f t="shared" si="279"/>
        <v>1.7449575252025548E-2</v>
      </c>
      <c r="AS269" s="528">
        <f t="shared" si="279"/>
        <v>1.3247450634725301E-2</v>
      </c>
      <c r="AT269" s="528">
        <f t="shared" si="279"/>
        <v>9.7967991887504911E-3</v>
      </c>
      <c r="AU269" s="528">
        <f t="shared" si="279"/>
        <v>7.0573316862047632E-3</v>
      </c>
      <c r="AV269" s="528">
        <f t="shared" si="279"/>
        <v>4.9522351431496624E-3</v>
      </c>
      <c r="AW269" s="528">
        <f t="shared" si="279"/>
        <v>3.3850599822078942E-3</v>
      </c>
      <c r="AX269" s="528">
        <f t="shared" si="279"/>
        <v>2.2539061944478185E-3</v>
      </c>
      <c r="AY269" s="528">
        <f t="shared" si="279"/>
        <v>1.4618729725133558E-3</v>
      </c>
      <c r="AZ269" s="528">
        <f t="shared" si="279"/>
        <v>9.2360811413294574E-4</v>
      </c>
      <c r="BA269" s="528" t="str">
        <f t="shared" si="279"/>
        <v/>
      </c>
      <c r="BB269" s="528" t="str">
        <f t="shared" si="279"/>
        <v/>
      </c>
      <c r="BC269" s="528" t="str">
        <f t="shared" si="279"/>
        <v/>
      </c>
      <c r="BD269" s="528" t="str">
        <f t="shared" si="279"/>
        <v/>
      </c>
      <c r="BE269" s="528" t="str">
        <f t="shared" si="279"/>
        <v/>
      </c>
      <c r="BF269" s="528" t="str">
        <f t="shared" si="279"/>
        <v/>
      </c>
      <c r="BG269" s="528" t="str">
        <f t="shared" si="279"/>
        <v/>
      </c>
      <c r="BH269" s="528" t="str">
        <f t="shared" si="279"/>
        <v/>
      </c>
      <c r="BI269" s="528" t="str">
        <f t="shared" si="279"/>
        <v/>
      </c>
      <c r="BJ269" s="528" t="str">
        <f t="shared" si="279"/>
        <v/>
      </c>
      <c r="BK269" s="528" t="str">
        <f t="shared" si="279"/>
        <v/>
      </c>
      <c r="BL269" s="528" t="str">
        <f t="shared" si="279"/>
        <v/>
      </c>
      <c r="BM269" s="528" t="str">
        <f t="shared" si="279"/>
        <v/>
      </c>
    </row>
    <row r="270" spans="6:65" ht="15.75" customHeight="1" x14ac:dyDescent="0.25">
      <c r="F270" s="197"/>
      <c r="G270" s="197">
        <f t="shared" si="268"/>
        <v>0</v>
      </c>
      <c r="H270" s="197">
        <f t="shared" si="269"/>
        <v>386</v>
      </c>
      <c r="I270" s="523">
        <v>1</v>
      </c>
      <c r="J270" s="533">
        <f>'Monthly DCF'!$I$3</f>
        <v>46418</v>
      </c>
      <c r="K270" s="533">
        <f t="shared" si="270"/>
        <v>47542</v>
      </c>
      <c r="L270" s="536">
        <f t="shared" si="243"/>
        <v>38</v>
      </c>
      <c r="M270" s="20" t="s">
        <v>366</v>
      </c>
      <c r="N270" s="20">
        <f t="shared" si="271"/>
        <v>6.333333333333333</v>
      </c>
      <c r="O270" s="537">
        <v>6</v>
      </c>
      <c r="P270" s="528">
        <f t="shared" ref="P270:BM270" si="280">IFERROR(+IF(AND($M270="Flat",P$5&gt;=$J270,P$5&lt;=$K270),$I270/$L270,0)+IF(AND($M270="S-Curve",P$5&gt;=$J270,P$5&lt;=$K270),(_xlfn.NORM.DIST((YEAR(P$5)-YEAR($J270))*12+MONTH(P$5)-MONTH($J270)+1,$L270/2,$N270,TRUE)-_xlfn.NORM.DIST((YEAR(P$5)-YEAR($J270))*12+MONTH(P$5)-MONTH($J270),$L270/2,$N270,TRUE))/(1-2*_xlfn.NORM.DIST(0,$L270/2,$N270,TRUE))*$I270," "),"")</f>
        <v>8.9334840711837566E-4</v>
      </c>
      <c r="Q270" s="528">
        <f t="shared" si="280"/>
        <v>1.3980052685495866E-3</v>
      </c>
      <c r="R270" s="528">
        <f t="shared" si="280"/>
        <v>2.1339867874206786E-3</v>
      </c>
      <c r="S270" s="528">
        <f t="shared" si="280"/>
        <v>3.1773835657565217E-3</v>
      </c>
      <c r="T270" s="528">
        <f t="shared" si="280"/>
        <v>4.6146905802093921E-3</v>
      </c>
      <c r="U270" s="528">
        <f t="shared" si="280"/>
        <v>6.5374829826809868E-3</v>
      </c>
      <c r="V270" s="528">
        <f t="shared" si="280"/>
        <v>9.033865475080706E-3</v>
      </c>
      <c r="W270" s="528">
        <f t="shared" si="280"/>
        <v>1.2176760035894216E-2</v>
      </c>
      <c r="X270" s="528">
        <f t="shared" si="280"/>
        <v>1.6009765600841438E-2</v>
      </c>
      <c r="Y270" s="528">
        <f t="shared" si="280"/>
        <v>2.0532097217699941E-2</v>
      </c>
      <c r="Z270" s="528">
        <f t="shared" si="280"/>
        <v>2.5684834809582682E-2</v>
      </c>
      <c r="AA270" s="528">
        <f t="shared" si="280"/>
        <v>3.1341182687488672E-2</v>
      </c>
      <c r="AB270" s="528">
        <f t="shared" si="280"/>
        <v>3.7303461663057973E-2</v>
      </c>
      <c r="AC270" s="528">
        <f t="shared" si="280"/>
        <v>4.3308989332972538E-2</v>
      </c>
      <c r="AD270" s="528">
        <f t="shared" si="280"/>
        <v>4.9045834835928795E-2</v>
      </c>
      <c r="AE270" s="528">
        <f t="shared" si="280"/>
        <v>5.4177802878394306E-2</v>
      </c>
      <c r="AF270" s="528">
        <f t="shared" si="280"/>
        <v>5.8376200771198088E-2</v>
      </c>
      <c r="AG270" s="528">
        <f t="shared" si="280"/>
        <v>6.1354362794512417E-2</v>
      </c>
      <c r="AH270" s="528">
        <f t="shared" si="280"/>
        <v>6.2899944305612687E-2</v>
      </c>
      <c r="AI270" s="528">
        <f t="shared" si="280"/>
        <v>6.2899944305612757E-2</v>
      </c>
      <c r="AJ270" s="528">
        <f t="shared" si="280"/>
        <v>6.1354362794512306E-2</v>
      </c>
      <c r="AK270" s="528">
        <f t="shared" si="280"/>
        <v>5.8376200771198143E-2</v>
      </c>
      <c r="AL270" s="528">
        <f t="shared" si="280"/>
        <v>5.4177802878394306E-2</v>
      </c>
      <c r="AM270" s="528">
        <f t="shared" si="280"/>
        <v>4.9045834835928795E-2</v>
      </c>
      <c r="AN270" s="528">
        <f t="shared" si="280"/>
        <v>4.3308989332972538E-2</v>
      </c>
      <c r="AO270" s="528">
        <f t="shared" si="280"/>
        <v>3.7303461663058E-2</v>
      </c>
      <c r="AP270" s="528">
        <f t="shared" si="280"/>
        <v>3.1341182687488672E-2</v>
      </c>
      <c r="AQ270" s="528">
        <f t="shared" si="280"/>
        <v>2.5684834809582613E-2</v>
      </c>
      <c r="AR270" s="528">
        <f t="shared" si="280"/>
        <v>2.0532097217699948E-2</v>
      </c>
      <c r="AS270" s="528">
        <f t="shared" si="280"/>
        <v>1.6009765600841424E-2</v>
      </c>
      <c r="AT270" s="528">
        <f t="shared" si="280"/>
        <v>1.2176760035894268E-2</v>
      </c>
      <c r="AU270" s="528">
        <f t="shared" si="280"/>
        <v>9.033865475080699E-3</v>
      </c>
      <c r="AV270" s="528">
        <f t="shared" si="280"/>
        <v>6.5374829826809347E-3</v>
      </c>
      <c r="AW270" s="528">
        <f t="shared" si="280"/>
        <v>4.6146905802094094E-3</v>
      </c>
      <c r="AX270" s="528">
        <f t="shared" si="280"/>
        <v>3.1773835657565477E-3</v>
      </c>
      <c r="AY270" s="528">
        <f t="shared" si="280"/>
        <v>2.1339867874206704E-3</v>
      </c>
      <c r="AZ270" s="528">
        <f t="shared" si="280"/>
        <v>1.3980052685495892E-3</v>
      </c>
      <c r="BA270" s="528">
        <f t="shared" si="280"/>
        <v>8.9334840711838325E-4</v>
      </c>
      <c r="BB270" s="528" t="str">
        <f t="shared" si="280"/>
        <v/>
      </c>
      <c r="BC270" s="528" t="str">
        <f t="shared" si="280"/>
        <v/>
      </c>
      <c r="BD270" s="528" t="str">
        <f t="shared" si="280"/>
        <v/>
      </c>
      <c r="BE270" s="528" t="str">
        <f t="shared" si="280"/>
        <v/>
      </c>
      <c r="BF270" s="528" t="str">
        <f t="shared" si="280"/>
        <v/>
      </c>
      <c r="BG270" s="528" t="str">
        <f t="shared" si="280"/>
        <v/>
      </c>
      <c r="BH270" s="528" t="str">
        <f t="shared" si="280"/>
        <v/>
      </c>
      <c r="BI270" s="528" t="str">
        <f t="shared" si="280"/>
        <v/>
      </c>
      <c r="BJ270" s="528" t="str">
        <f t="shared" si="280"/>
        <v/>
      </c>
      <c r="BK270" s="528" t="str">
        <f t="shared" si="280"/>
        <v/>
      </c>
      <c r="BL270" s="528" t="str">
        <f t="shared" si="280"/>
        <v/>
      </c>
      <c r="BM270" s="528" t="str">
        <f t="shared" si="280"/>
        <v/>
      </c>
    </row>
    <row r="271" spans="6:65" ht="15.75" customHeight="1" x14ac:dyDescent="0.25">
      <c r="F271" s="197"/>
      <c r="G271" s="197">
        <f t="shared" si="268"/>
        <v>0</v>
      </c>
      <c r="H271" s="197">
        <f t="shared" si="269"/>
        <v>396</v>
      </c>
      <c r="I271" s="523">
        <v>1</v>
      </c>
      <c r="J271" s="533">
        <f>'Monthly DCF'!$I$3</f>
        <v>46418</v>
      </c>
      <c r="K271" s="533">
        <f t="shared" si="270"/>
        <v>47573</v>
      </c>
      <c r="L271" s="536">
        <f t="shared" si="243"/>
        <v>39</v>
      </c>
      <c r="M271" s="20" t="s">
        <v>366</v>
      </c>
      <c r="N271" s="20">
        <f t="shared" si="271"/>
        <v>6.5</v>
      </c>
      <c r="O271" s="537">
        <v>6</v>
      </c>
      <c r="P271" s="528">
        <f t="shared" ref="P271:BM271" si="281">IFERROR(+IF(AND($M271="Flat",P$5&gt;=$J271,P$5&lt;=$K271),$I271/$L271,0)+IF(AND($M271="S-Curve",P$5&gt;=$J271,P$5&lt;=$K271),(_xlfn.NORM.DIST((YEAR(P$5)-YEAR($J271))*12+MONTH(P$5)-MONTH($J271)+1,$L271/2,$N271,TRUE)-_xlfn.NORM.DIST((YEAR(P$5)-YEAR($J271))*12+MONTH(P$5)-MONTH($J271),$L271/2,$N271,TRUE))/(1-2*_xlfn.NORM.DIST(0,$L271/2,$N271,TRUE))*$I271," "),"")</f>
        <v>8.6497774705137016E-4</v>
      </c>
      <c r="Q271" s="528">
        <f t="shared" si="281"/>
        <v>1.3390469101769093E-3</v>
      </c>
      <c r="R271" s="528">
        <f t="shared" si="281"/>
        <v>2.02454561137093E-3</v>
      </c>
      <c r="S271" s="528">
        <f t="shared" si="281"/>
        <v>2.9895118254974385E-3</v>
      </c>
      <c r="T271" s="528">
        <f t="shared" si="281"/>
        <v>4.3113565509652453E-3</v>
      </c>
      <c r="U271" s="528">
        <f t="shared" si="281"/>
        <v>6.0725147429613992E-3</v>
      </c>
      <c r="V271" s="528">
        <f t="shared" si="281"/>
        <v>8.3534178030474186E-3</v>
      </c>
      <c r="W271" s="528">
        <f t="shared" si="281"/>
        <v>1.1222789906228452E-2</v>
      </c>
      <c r="X271" s="528">
        <f t="shared" si="281"/>
        <v>1.4725785832661943E-2</v>
      </c>
      <c r="Y271" s="528">
        <f t="shared" si="281"/>
        <v>1.8871097465452173E-2</v>
      </c>
      <c r="Z271" s="528">
        <f t="shared" si="281"/>
        <v>2.361874829679193E-2</v>
      </c>
      <c r="AA271" s="528">
        <f t="shared" si="281"/>
        <v>2.8870722437442462E-2</v>
      </c>
      <c r="AB271" s="528">
        <f t="shared" si="281"/>
        <v>3.4466682837504266E-2</v>
      </c>
      <c r="AC271" s="528">
        <f t="shared" si="281"/>
        <v>4.0186704686948613E-2</v>
      </c>
      <c r="AD271" s="528">
        <f t="shared" si="281"/>
        <v>4.5762145943421532E-2</v>
      </c>
      <c r="AE271" s="528">
        <f t="shared" si="281"/>
        <v>5.0894570425007203E-2</v>
      </c>
      <c r="AF271" s="528">
        <f t="shared" si="281"/>
        <v>5.5281219413082013E-2</v>
      </c>
      <c r="AG271" s="528">
        <f t="shared" si="281"/>
        <v>5.8644173438347984E-2</v>
      </c>
      <c r="AH271" s="528">
        <f t="shared" si="281"/>
        <v>6.0759364314279064E-2</v>
      </c>
      <c r="AI271" s="528">
        <f t="shared" si="281"/>
        <v>6.148124762352334E-2</v>
      </c>
      <c r="AJ271" s="528">
        <f t="shared" si="281"/>
        <v>6.0759364314279064E-2</v>
      </c>
      <c r="AK271" s="528">
        <f t="shared" si="281"/>
        <v>5.8644173438348039E-2</v>
      </c>
      <c r="AL271" s="528">
        <f t="shared" si="281"/>
        <v>5.5281219413081957E-2</v>
      </c>
      <c r="AM271" s="528">
        <f t="shared" si="281"/>
        <v>5.0894570425007203E-2</v>
      </c>
      <c r="AN271" s="528">
        <f t="shared" si="281"/>
        <v>4.5762145943421477E-2</v>
      </c>
      <c r="AO271" s="528">
        <f t="shared" si="281"/>
        <v>4.0186704686948696E-2</v>
      </c>
      <c r="AP271" s="528">
        <f t="shared" si="281"/>
        <v>3.4466682837504183E-2</v>
      </c>
      <c r="AQ271" s="528">
        <f t="shared" si="281"/>
        <v>2.8870722437442545E-2</v>
      </c>
      <c r="AR271" s="528">
        <f t="shared" si="281"/>
        <v>2.3618748296791857E-2</v>
      </c>
      <c r="AS271" s="528">
        <f t="shared" si="281"/>
        <v>1.8871097465452187E-2</v>
      </c>
      <c r="AT271" s="528">
        <f t="shared" si="281"/>
        <v>1.4725785832661929E-2</v>
      </c>
      <c r="AU271" s="528">
        <f t="shared" si="281"/>
        <v>1.1222789906228466E-2</v>
      </c>
      <c r="AV271" s="528">
        <f t="shared" si="281"/>
        <v>8.3534178030474186E-3</v>
      </c>
      <c r="AW271" s="528">
        <f t="shared" si="281"/>
        <v>6.0725147429614547E-3</v>
      </c>
      <c r="AX271" s="528">
        <f t="shared" si="281"/>
        <v>4.3113565509652176E-3</v>
      </c>
      <c r="AY271" s="528">
        <f t="shared" si="281"/>
        <v>2.9895118254974645E-3</v>
      </c>
      <c r="AZ271" s="528">
        <f t="shared" si="281"/>
        <v>2.0245456113708537E-3</v>
      </c>
      <c r="BA271" s="528">
        <f t="shared" si="281"/>
        <v>1.3390469101769525E-3</v>
      </c>
      <c r="BB271" s="528">
        <f t="shared" si="281"/>
        <v>8.649777470513669E-4</v>
      </c>
      <c r="BC271" s="528" t="str">
        <f t="shared" si="281"/>
        <v/>
      </c>
      <c r="BD271" s="528" t="str">
        <f t="shared" si="281"/>
        <v/>
      </c>
      <c r="BE271" s="528" t="str">
        <f t="shared" si="281"/>
        <v/>
      </c>
      <c r="BF271" s="528" t="str">
        <f t="shared" si="281"/>
        <v/>
      </c>
      <c r="BG271" s="528" t="str">
        <f t="shared" si="281"/>
        <v/>
      </c>
      <c r="BH271" s="528" t="str">
        <f t="shared" si="281"/>
        <v/>
      </c>
      <c r="BI271" s="528" t="str">
        <f t="shared" si="281"/>
        <v/>
      </c>
      <c r="BJ271" s="528" t="str">
        <f t="shared" si="281"/>
        <v/>
      </c>
      <c r="BK271" s="528" t="str">
        <f t="shared" si="281"/>
        <v/>
      </c>
      <c r="BL271" s="528" t="str">
        <f t="shared" si="281"/>
        <v/>
      </c>
      <c r="BM271" s="528" t="str">
        <f t="shared" si="281"/>
        <v/>
      </c>
    </row>
    <row r="272" spans="6:65" ht="15.75" customHeight="1" x14ac:dyDescent="0.25">
      <c r="F272" s="197"/>
      <c r="G272" s="197">
        <f t="shared" si="268"/>
        <v>0</v>
      </c>
      <c r="H272" s="197">
        <f t="shared" si="269"/>
        <v>406</v>
      </c>
      <c r="I272" s="523">
        <v>1</v>
      </c>
      <c r="J272" s="533">
        <f>'Monthly DCF'!$I$3</f>
        <v>46418</v>
      </c>
      <c r="K272" s="533">
        <f t="shared" si="270"/>
        <v>47603</v>
      </c>
      <c r="L272" s="536">
        <f t="shared" si="243"/>
        <v>40</v>
      </c>
      <c r="M272" s="20" t="s">
        <v>366</v>
      </c>
      <c r="N272" s="20">
        <f t="shared" si="271"/>
        <v>6.666666666666667</v>
      </c>
      <c r="O272" s="537">
        <v>6</v>
      </c>
      <c r="P272" s="528">
        <f t="shared" ref="P272:BM272" si="282">IFERROR(+IF(AND($M272="Flat",P$5&gt;=$J272,P$5&lt;=$K272),$I272/$L272,0)+IF(AND($M272="S-Curve",P$5&gt;=$J272,P$5&lt;=$K272),(_xlfn.NORM.DIST((YEAR(P$5)-YEAR($J272))*12+MONTH(P$5)-MONTH($J272)+1,$L272/2,$N272,TRUE)-_xlfn.NORM.DIST((YEAR(P$5)-YEAR($J272))*12+MONTH(P$5)-MONTH($J272),$L272/2,$N272,TRUE))/(1-2*_xlfn.NORM.DIST(0,$L272/2,$N272,TRUE))*$I272," "),"")</f>
        <v>8.383267345006771E-4</v>
      </c>
      <c r="Q272" s="528">
        <f t="shared" si="282"/>
        <v>1.2844801826679309E-3</v>
      </c>
      <c r="R272" s="528">
        <f t="shared" si="282"/>
        <v>1.9243675509643785E-3</v>
      </c>
      <c r="S272" s="528">
        <f t="shared" si="282"/>
        <v>2.8190006975149229E-3</v>
      </c>
      <c r="T272" s="528">
        <f t="shared" si="282"/>
        <v>4.0378380697734207E-3</v>
      </c>
      <c r="U272" s="528">
        <f t="shared" si="282"/>
        <v>5.65521583722608E-3</v>
      </c>
      <c r="V272" s="528">
        <f t="shared" si="282"/>
        <v>7.7445476581011335E-3</v>
      </c>
      <c r="W272" s="528">
        <f t="shared" si="282"/>
        <v>1.0370257170771849E-2</v>
      </c>
      <c r="X272" s="528">
        <f t="shared" si="282"/>
        <v>1.3577806228525769E-2</v>
      </c>
      <c r="Y272" s="528">
        <f t="shared" si="282"/>
        <v>1.7382662880022427E-2</v>
      </c>
      <c r="Z272" s="528">
        <f t="shared" si="282"/>
        <v>2.1759536479469606E-2</v>
      </c>
      <c r="AA272" s="528">
        <f t="shared" si="282"/>
        <v>2.6633584029619926E-2</v>
      </c>
      <c r="AB272" s="528">
        <f t="shared" si="282"/>
        <v>3.1875443350660455E-2</v>
      </c>
      <c r="AC272" s="528">
        <f t="shared" si="282"/>
        <v>3.7301776159291027E-2</v>
      </c>
      <c r="AD272" s="528">
        <f t="shared" si="282"/>
        <v>4.2682460970206323E-2</v>
      </c>
      <c r="AE272" s="528">
        <f t="shared" si="282"/>
        <v>4.7754693306195604E-2</v>
      </c>
      <c r="AF272" s="528">
        <f t="shared" si="282"/>
        <v>5.2243148384186415E-2</v>
      </c>
      <c r="AG272" s="528">
        <f t="shared" si="282"/>
        <v>5.588423355688249E-2</v>
      </c>
      <c r="AH272" s="528">
        <f t="shared" si="282"/>
        <v>5.8451537048324745E-2</v>
      </c>
      <c r="AI272" s="528">
        <f t="shared" si="282"/>
        <v>5.977908370509482E-2</v>
      </c>
      <c r="AJ272" s="528">
        <f t="shared" si="282"/>
        <v>5.977908370509482E-2</v>
      </c>
      <c r="AK272" s="528">
        <f t="shared" si="282"/>
        <v>5.8451537048324745E-2</v>
      </c>
      <c r="AL272" s="528">
        <f t="shared" si="282"/>
        <v>5.5884233556882434E-2</v>
      </c>
      <c r="AM272" s="528">
        <f t="shared" si="282"/>
        <v>5.2243148384186477E-2</v>
      </c>
      <c r="AN272" s="528">
        <f t="shared" si="282"/>
        <v>4.7754693306195549E-2</v>
      </c>
      <c r="AO272" s="528">
        <f t="shared" si="282"/>
        <v>4.2682460970206351E-2</v>
      </c>
      <c r="AP272" s="528">
        <f t="shared" si="282"/>
        <v>3.7301776159291082E-2</v>
      </c>
      <c r="AQ272" s="528">
        <f t="shared" si="282"/>
        <v>3.1875443350660483E-2</v>
      </c>
      <c r="AR272" s="528">
        <f t="shared" si="282"/>
        <v>2.6633584029619829E-2</v>
      </c>
      <c r="AS272" s="528">
        <f t="shared" si="282"/>
        <v>2.175953647946962E-2</v>
      </c>
      <c r="AT272" s="528">
        <f t="shared" si="282"/>
        <v>1.7382662880022447E-2</v>
      </c>
      <c r="AU272" s="528">
        <f t="shared" si="282"/>
        <v>1.3577806228525818E-2</v>
      </c>
      <c r="AV272" s="528">
        <f t="shared" si="282"/>
        <v>1.0370257170771852E-2</v>
      </c>
      <c r="AW272" s="528">
        <f t="shared" si="282"/>
        <v>7.7445476581010711E-3</v>
      </c>
      <c r="AX272" s="528">
        <f t="shared" si="282"/>
        <v>5.6552158372261217E-3</v>
      </c>
      <c r="AY272" s="528">
        <f t="shared" si="282"/>
        <v>4.0378380697733722E-3</v>
      </c>
      <c r="AZ272" s="528">
        <f t="shared" si="282"/>
        <v>2.8190006975149107E-3</v>
      </c>
      <c r="BA272" s="528">
        <f t="shared" si="282"/>
        <v>1.9243675509644646E-3</v>
      </c>
      <c r="BB272" s="528">
        <f t="shared" si="282"/>
        <v>1.2844801826678886E-3</v>
      </c>
      <c r="BC272" s="528">
        <f t="shared" si="282"/>
        <v>8.3832673450065943E-4</v>
      </c>
      <c r="BD272" s="528" t="str">
        <f t="shared" si="282"/>
        <v/>
      </c>
      <c r="BE272" s="528" t="str">
        <f t="shared" si="282"/>
        <v/>
      </c>
      <c r="BF272" s="528" t="str">
        <f t="shared" si="282"/>
        <v/>
      </c>
      <c r="BG272" s="528" t="str">
        <f t="shared" si="282"/>
        <v/>
      </c>
      <c r="BH272" s="528" t="str">
        <f t="shared" si="282"/>
        <v/>
      </c>
      <c r="BI272" s="528" t="str">
        <f t="shared" si="282"/>
        <v/>
      </c>
      <c r="BJ272" s="528" t="str">
        <f t="shared" si="282"/>
        <v/>
      </c>
      <c r="BK272" s="528" t="str">
        <f t="shared" si="282"/>
        <v/>
      </c>
      <c r="BL272" s="528" t="str">
        <f t="shared" si="282"/>
        <v/>
      </c>
      <c r="BM272" s="528" t="str">
        <f t="shared" si="282"/>
        <v/>
      </c>
    </row>
    <row r="273" spans="6:65" ht="15.75" customHeight="1" x14ac:dyDescent="0.25">
      <c r="F273" s="197"/>
      <c r="G273" s="197">
        <f t="shared" si="268"/>
        <v>0</v>
      </c>
      <c r="H273" s="197">
        <f t="shared" si="269"/>
        <v>416</v>
      </c>
      <c r="I273" s="523">
        <v>1</v>
      </c>
      <c r="J273" s="533">
        <f>'Monthly DCF'!$I$3</f>
        <v>46418</v>
      </c>
      <c r="K273" s="533">
        <f t="shared" si="270"/>
        <v>47634</v>
      </c>
      <c r="L273" s="536">
        <f t="shared" si="243"/>
        <v>41</v>
      </c>
      <c r="M273" s="20" t="s">
        <v>366</v>
      </c>
      <c r="N273" s="20">
        <f t="shared" si="271"/>
        <v>6.833333333333333</v>
      </c>
      <c r="O273" s="537">
        <v>6</v>
      </c>
      <c r="P273" s="528">
        <f t="shared" ref="P273:BM273" si="283">IFERROR(+IF(AND($M273="Flat",P$5&gt;=$J273,P$5&lt;=$K273),$I273/$L273,0)+IF(AND($M273="S-Curve",P$5&gt;=$J273,P$5&lt;=$K273),(_xlfn.NORM.DIST((YEAR(P$5)-YEAR($J273))*12+MONTH(P$5)-MONTH($J273)+1,$L273/2,$N273,TRUE)-_xlfn.NORM.DIST((YEAR(P$5)-YEAR($J273))*12+MONTH(P$5)-MONTH($J273),$L273/2,$N273,TRUE))/(1-2*_xlfn.NORM.DIST(0,$L273/2,$N273,TRUE))*$I273," "),"")</f>
        <v>8.1324544046969185E-4</v>
      </c>
      <c r="Q273" s="528">
        <f t="shared" si="283"/>
        <v>1.2338552860787499E-3</v>
      </c>
      <c r="R273" s="528">
        <f t="shared" si="283"/>
        <v>1.8324093172383403E-3</v>
      </c>
      <c r="S273" s="528">
        <f t="shared" si="283"/>
        <v>2.6637683037193899E-3</v>
      </c>
      <c r="T273" s="528">
        <f t="shared" si="283"/>
        <v>3.7904092731514327E-3</v>
      </c>
      <c r="U273" s="528">
        <f t="shared" si="283"/>
        <v>5.2794840311607433E-3</v>
      </c>
      <c r="V273" s="528">
        <f t="shared" si="283"/>
        <v>7.1980122729331684E-3</v>
      </c>
      <c r="W273" s="528">
        <f t="shared" si="283"/>
        <v>9.6061513170660404E-3</v>
      </c>
      <c r="X273" s="528">
        <f t="shared" si="283"/>
        <v>1.254879465232126E-2</v>
      </c>
      <c r="Y273" s="528">
        <f t="shared" si="283"/>
        <v>1.6046131973877012E-2</v>
      </c>
      <c r="Z273" s="528">
        <f t="shared" si="283"/>
        <v>2.0084197053034748E-2</v>
      </c>
      <c r="AA273" s="528">
        <f t="shared" si="283"/>
        <v>2.4606755972622046E-2</v>
      </c>
      <c r="AB273" s="528">
        <f t="shared" si="283"/>
        <v>2.9510055942890363E-2</v>
      </c>
      <c r="AC273" s="528">
        <f t="shared" si="283"/>
        <v>3.4641883079556311E-2</v>
      </c>
      <c r="AD273" s="528">
        <f t="shared" si="283"/>
        <v>3.9806018849390883E-2</v>
      </c>
      <c r="AE273" s="528">
        <f t="shared" si="283"/>
        <v>4.4772546480656934E-2</v>
      </c>
      <c r="AF273" s="528">
        <f t="shared" si="283"/>
        <v>4.9293612955065333E-2</v>
      </c>
      <c r="AG273" s="528">
        <f t="shared" si="283"/>
        <v>5.3123332612747924E-2</v>
      </c>
      <c r="AH273" s="528">
        <f t="shared" si="283"/>
        <v>5.6039697519484039E-2</v>
      </c>
      <c r="AI273" s="528">
        <f t="shared" si="283"/>
        <v>5.7865813631734771E-2</v>
      </c>
      <c r="AJ273" s="528">
        <f t="shared" si="283"/>
        <v>5.8487648069601661E-2</v>
      </c>
      <c r="AK273" s="528">
        <f t="shared" si="283"/>
        <v>5.7865813631734826E-2</v>
      </c>
      <c r="AL273" s="528">
        <f t="shared" si="283"/>
        <v>5.6039697519483928E-2</v>
      </c>
      <c r="AM273" s="528">
        <f t="shared" si="283"/>
        <v>5.312333261274798E-2</v>
      </c>
      <c r="AN273" s="528">
        <f t="shared" si="283"/>
        <v>4.9293612955065333E-2</v>
      </c>
      <c r="AO273" s="528">
        <f t="shared" si="283"/>
        <v>4.4772546480656879E-2</v>
      </c>
      <c r="AP273" s="528">
        <f t="shared" si="283"/>
        <v>3.980601884939091E-2</v>
      </c>
      <c r="AQ273" s="528">
        <f t="shared" si="283"/>
        <v>3.4641883079556367E-2</v>
      </c>
      <c r="AR273" s="528">
        <f t="shared" si="283"/>
        <v>2.9510055942890336E-2</v>
      </c>
      <c r="AS273" s="528">
        <f t="shared" si="283"/>
        <v>2.4606755972622005E-2</v>
      </c>
      <c r="AT273" s="528">
        <f t="shared" si="283"/>
        <v>2.0084197053034832E-2</v>
      </c>
      <c r="AU273" s="528">
        <f t="shared" si="283"/>
        <v>1.6046131973876984E-2</v>
      </c>
      <c r="AV273" s="528">
        <f t="shared" si="283"/>
        <v>1.2548794652321204E-2</v>
      </c>
      <c r="AW273" s="528">
        <f t="shared" si="283"/>
        <v>9.6061513170660473E-3</v>
      </c>
      <c r="AX273" s="528">
        <f t="shared" si="283"/>
        <v>7.1980122729332135E-3</v>
      </c>
      <c r="AY273" s="528">
        <f t="shared" si="283"/>
        <v>5.2794840311607694E-3</v>
      </c>
      <c r="AZ273" s="528">
        <f t="shared" si="283"/>
        <v>3.7904092731513685E-3</v>
      </c>
      <c r="BA273" s="528">
        <f t="shared" si="283"/>
        <v>2.6637683037194202E-3</v>
      </c>
      <c r="BB273" s="528">
        <f t="shared" si="283"/>
        <v>1.8324093172383011E-3</v>
      </c>
      <c r="BC273" s="528">
        <f t="shared" si="283"/>
        <v>1.2338552860788174E-3</v>
      </c>
      <c r="BD273" s="528">
        <f t="shared" si="283"/>
        <v>8.1324544046965075E-4</v>
      </c>
      <c r="BE273" s="528" t="str">
        <f t="shared" si="283"/>
        <v/>
      </c>
      <c r="BF273" s="528" t="str">
        <f t="shared" si="283"/>
        <v/>
      </c>
      <c r="BG273" s="528" t="str">
        <f t="shared" si="283"/>
        <v/>
      </c>
      <c r="BH273" s="528" t="str">
        <f t="shared" si="283"/>
        <v/>
      </c>
      <c r="BI273" s="528" t="str">
        <f t="shared" si="283"/>
        <v/>
      </c>
      <c r="BJ273" s="528" t="str">
        <f t="shared" si="283"/>
        <v/>
      </c>
      <c r="BK273" s="528" t="str">
        <f t="shared" si="283"/>
        <v/>
      </c>
      <c r="BL273" s="528" t="str">
        <f t="shared" si="283"/>
        <v/>
      </c>
      <c r="BM273" s="528" t="str">
        <f t="shared" si="283"/>
        <v/>
      </c>
    </row>
    <row r="274" spans="6:65" ht="15.75" customHeight="1" x14ac:dyDescent="0.25">
      <c r="F274" s="197"/>
      <c r="G274" s="197">
        <f t="shared" si="268"/>
        <v>0</v>
      </c>
      <c r="H274" s="197">
        <f t="shared" si="269"/>
        <v>426</v>
      </c>
      <c r="I274" s="523">
        <v>1</v>
      </c>
      <c r="J274" s="533">
        <f>'Monthly DCF'!$I$3</f>
        <v>46418</v>
      </c>
      <c r="K274" s="533">
        <f t="shared" si="270"/>
        <v>47664</v>
      </c>
      <c r="L274" s="536">
        <f t="shared" si="243"/>
        <v>42</v>
      </c>
      <c r="M274" s="20" t="s">
        <v>366</v>
      </c>
      <c r="N274" s="20">
        <f t="shared" si="271"/>
        <v>7</v>
      </c>
      <c r="O274" s="537">
        <v>6</v>
      </c>
      <c r="P274" s="528">
        <f t="shared" ref="P274:BM274" si="284">IFERROR(+IF(AND($M274="Flat",P$5&gt;=$J274,P$5&lt;=$K274),$I274/$L274,0)+IF(AND($M274="S-Curve",P$5&gt;=$J274,P$5&lt;=$K274),(_xlfn.NORM.DIST((YEAR(P$5)-YEAR($J274))*12+MONTH(P$5)-MONTH($J274)+1,$L274/2,$N274,TRUE)-_xlfn.NORM.DIST((YEAR(P$5)-YEAR($J274))*12+MONTH(P$5)-MONTH($J274),$L274/2,$N274,TRUE))/(1-2*_xlfn.NORM.DIST(0,$L274/2,$N274,TRUE))*$I274," "),"")</f>
        <v>7.8960070934281648E-4</v>
      </c>
      <c r="Q274" s="528">
        <f t="shared" si="284"/>
        <v>1.1867798216173924E-3</v>
      </c>
      <c r="R274" s="528">
        <f t="shared" si="284"/>
        <v>1.7477711621851611E-3</v>
      </c>
      <c r="S274" s="528">
        <f t="shared" si="284"/>
        <v>2.5220331391649282E-3</v>
      </c>
      <c r="T274" s="528">
        <f t="shared" si="284"/>
        <v>3.5658972362169966E-3</v>
      </c>
      <c r="U274" s="528">
        <f t="shared" si="284"/>
        <v>4.9401334771254548E-3</v>
      </c>
      <c r="V274" s="528">
        <f t="shared" si="284"/>
        <v>6.7059510445814444E-3</v>
      </c>
      <c r="W274" s="528">
        <f t="shared" si="284"/>
        <v>8.9193646340191349E-3</v>
      </c>
      <c r="X274" s="528">
        <f t="shared" si="284"/>
        <v>1.1624099327764228E-2</v>
      </c>
      <c r="Y274" s="528">
        <f t="shared" si="284"/>
        <v>1.4843508568492899E-2</v>
      </c>
      <c r="Z274" s="528">
        <f t="shared" si="284"/>
        <v>1.8572300063103279E-2</v>
      </c>
      <c r="AA274" s="528">
        <f t="shared" si="284"/>
        <v>2.276914337714965E-2</v>
      </c>
      <c r="AB274" s="528">
        <f t="shared" si="284"/>
        <v>2.7351400834524538E-2</v>
      </c>
      <c r="AC274" s="528">
        <f t="shared" si="284"/>
        <v>3.2193214571864005E-2</v>
      </c>
      <c r="AD274" s="528">
        <f t="shared" si="284"/>
        <v>3.7127953124000045E-2</v>
      </c>
      <c r="AE274" s="528">
        <f t="shared" si="284"/>
        <v>4.1955564340639261E-2</v>
      </c>
      <c r="AF274" s="528">
        <f t="shared" si="284"/>
        <v>4.6454739394236132E-2</v>
      </c>
      <c r="AG274" s="528">
        <f t="shared" si="284"/>
        <v>5.0399054969146068E-2</v>
      </c>
      <c r="AH274" s="528">
        <f t="shared" si="284"/>
        <v>5.3575553268168111E-2</v>
      </c>
      <c r="AI274" s="528">
        <f t="shared" si="284"/>
        <v>5.5803680642854472E-2</v>
      </c>
      <c r="AJ274" s="528">
        <f t="shared" si="284"/>
        <v>5.6952256293804002E-2</v>
      </c>
      <c r="AK274" s="528">
        <f t="shared" si="284"/>
        <v>5.6952256293804002E-2</v>
      </c>
      <c r="AL274" s="528">
        <f t="shared" si="284"/>
        <v>5.5803680642854472E-2</v>
      </c>
      <c r="AM274" s="528">
        <f t="shared" si="284"/>
        <v>5.3575553268168111E-2</v>
      </c>
      <c r="AN274" s="528">
        <f t="shared" si="284"/>
        <v>5.0399054969146068E-2</v>
      </c>
      <c r="AO274" s="528">
        <f t="shared" si="284"/>
        <v>4.6454739394236076E-2</v>
      </c>
      <c r="AP274" s="528">
        <f t="shared" si="284"/>
        <v>4.1955564340639344E-2</v>
      </c>
      <c r="AQ274" s="528">
        <f t="shared" si="284"/>
        <v>3.7127953124000045E-2</v>
      </c>
      <c r="AR274" s="528">
        <f t="shared" si="284"/>
        <v>3.2193214571863922E-2</v>
      </c>
      <c r="AS274" s="528">
        <f t="shared" si="284"/>
        <v>2.7351400834524579E-2</v>
      </c>
      <c r="AT274" s="528">
        <f t="shared" si="284"/>
        <v>2.2769143377149706E-2</v>
      </c>
      <c r="AU274" s="528">
        <f t="shared" si="284"/>
        <v>1.8572300063103266E-2</v>
      </c>
      <c r="AV274" s="528">
        <f t="shared" si="284"/>
        <v>1.4843508568492926E-2</v>
      </c>
      <c r="AW274" s="528">
        <f t="shared" si="284"/>
        <v>1.1624099327764193E-2</v>
      </c>
      <c r="AX274" s="528">
        <f t="shared" si="284"/>
        <v>8.9193646340190967E-3</v>
      </c>
      <c r="AY274" s="528">
        <f t="shared" si="284"/>
        <v>6.7059510445815112E-3</v>
      </c>
      <c r="AZ274" s="528">
        <f t="shared" si="284"/>
        <v>4.9401334771253975E-3</v>
      </c>
      <c r="BA274" s="528">
        <f t="shared" si="284"/>
        <v>3.5658972362169767E-3</v>
      </c>
      <c r="BB274" s="528">
        <f t="shared" si="284"/>
        <v>2.5220331391649169E-3</v>
      </c>
      <c r="BC274" s="528">
        <f t="shared" si="284"/>
        <v>1.7477711621852511E-3</v>
      </c>
      <c r="BD274" s="528">
        <f t="shared" si="284"/>
        <v>1.1867798216173571E-3</v>
      </c>
      <c r="BE274" s="528">
        <f t="shared" si="284"/>
        <v>7.8960070934279143E-4</v>
      </c>
      <c r="BF274" s="528" t="str">
        <f t="shared" si="284"/>
        <v/>
      </c>
      <c r="BG274" s="528" t="str">
        <f t="shared" si="284"/>
        <v/>
      </c>
      <c r="BH274" s="528" t="str">
        <f t="shared" si="284"/>
        <v/>
      </c>
      <c r="BI274" s="528" t="str">
        <f t="shared" si="284"/>
        <v/>
      </c>
      <c r="BJ274" s="528" t="str">
        <f t="shared" si="284"/>
        <v/>
      </c>
      <c r="BK274" s="528" t="str">
        <f t="shared" si="284"/>
        <v/>
      </c>
      <c r="BL274" s="528" t="str">
        <f t="shared" si="284"/>
        <v/>
      </c>
      <c r="BM274" s="528" t="str">
        <f t="shared" si="284"/>
        <v/>
      </c>
    </row>
    <row r="275" spans="6:65" ht="15.75" customHeight="1" x14ac:dyDescent="0.25">
      <c r="F275" s="197"/>
      <c r="G275" s="197">
        <f t="shared" si="268"/>
        <v>0</v>
      </c>
      <c r="H275" s="197">
        <f t="shared" si="269"/>
        <v>436</v>
      </c>
      <c r="I275" s="523">
        <v>1</v>
      </c>
      <c r="J275" s="533">
        <f>'Monthly DCF'!$I$3</f>
        <v>46418</v>
      </c>
      <c r="K275" s="533">
        <f t="shared" si="270"/>
        <v>47695</v>
      </c>
      <c r="L275" s="536">
        <f t="shared" si="243"/>
        <v>43</v>
      </c>
      <c r="M275" s="20" t="s">
        <v>366</v>
      </c>
      <c r="N275" s="20">
        <f t="shared" si="271"/>
        <v>7.166666666666667</v>
      </c>
      <c r="O275" s="537">
        <v>6</v>
      </c>
      <c r="P275" s="528">
        <f t="shared" ref="P275:BM275" si="285">IFERROR(+IF(AND($M275="Flat",P$5&gt;=$J275,P$5&lt;=$K275),$I275/$L275,0)+IF(AND($M275="S-Curve",P$5&gt;=$J275,P$5&lt;=$K275),(_xlfn.NORM.DIST((YEAR(P$5)-YEAR($J275))*12+MONTH(P$5)-MONTH($J275)+1,$L275/2,$N275,TRUE)-_xlfn.NORM.DIST((YEAR(P$5)-YEAR($J275))*12+MONTH(P$5)-MONTH($J275),$L275/2,$N275,TRUE))/(1-2*_xlfn.NORM.DIST(0,$L275/2,$N275,TRUE))*$I275," "),"")</f>
        <v>7.6727389509927471E-4</v>
      </c>
      <c r="Q275" s="528">
        <f t="shared" si="285"/>
        <v>1.1429101362643961E-3</v>
      </c>
      <c r="R275" s="528">
        <f t="shared" si="285"/>
        <v>1.6696738563024495E-3</v>
      </c>
      <c r="S275" s="528">
        <f t="shared" si="285"/>
        <v>2.3922640857695241E-3</v>
      </c>
      <c r="T275" s="528">
        <f t="shared" si="285"/>
        <v>3.3615882263699896E-3</v>
      </c>
      <c r="U275" s="528">
        <f t="shared" si="285"/>
        <v>4.6327390347632325E-3</v>
      </c>
      <c r="V275" s="528">
        <f t="shared" si="285"/>
        <v>6.2616544495192961E-3</v>
      </c>
      <c r="W275" s="528">
        <f t="shared" si="285"/>
        <v>8.3003862742050821E-3</v>
      </c>
      <c r="X275" s="528">
        <f t="shared" si="285"/>
        <v>1.0791093685520326E-2</v>
      </c>
      <c r="Y275" s="528">
        <f t="shared" si="285"/>
        <v>1.3759117598775013E-2</v>
      </c>
      <c r="Z275" s="528">
        <f t="shared" si="285"/>
        <v>1.7205752395725499E-2</v>
      </c>
      <c r="AA275" s="528">
        <f t="shared" si="285"/>
        <v>2.1101567990163914E-2</v>
      </c>
      <c r="AB275" s="528">
        <f t="shared" si="285"/>
        <v>2.5381294267672563E-2</v>
      </c>
      <c r="AC275" s="528">
        <f t="shared" si="285"/>
        <v>2.9941309046688801E-2</v>
      </c>
      <c r="AD275" s="528">
        <f t="shared" si="285"/>
        <v>3.4640630728228226E-2</v>
      </c>
      <c r="AE275" s="528">
        <f t="shared" si="285"/>
        <v>3.9305994508025258E-2</v>
      </c>
      <c r="AF275" s="528">
        <f t="shared" si="285"/>
        <v>4.3741108201440365E-2</v>
      </c>
      <c r="AG275" s="528">
        <f t="shared" si="285"/>
        <v>4.7739599588403681E-2</v>
      </c>
      <c r="AH275" s="528">
        <f t="shared" si="285"/>
        <v>5.1100572063370174E-2</v>
      </c>
      <c r="AI275" s="528">
        <f t="shared" si="285"/>
        <v>5.3645185767473243E-2</v>
      </c>
      <c r="AJ275" s="528">
        <f t="shared" si="285"/>
        <v>5.5232378762874165E-2</v>
      </c>
      <c r="AK275" s="528">
        <f t="shared" si="285"/>
        <v>5.5771810874691088E-2</v>
      </c>
      <c r="AL275" s="528">
        <f t="shared" si="285"/>
        <v>5.5232378762874165E-2</v>
      </c>
      <c r="AM275" s="528">
        <f t="shared" si="285"/>
        <v>5.3645185767473243E-2</v>
      </c>
      <c r="AN275" s="528">
        <f t="shared" si="285"/>
        <v>5.1100572063370174E-2</v>
      </c>
      <c r="AO275" s="528">
        <f t="shared" si="285"/>
        <v>4.7739599588403681E-2</v>
      </c>
      <c r="AP275" s="528">
        <f t="shared" si="285"/>
        <v>4.374110820144031E-2</v>
      </c>
      <c r="AQ275" s="528">
        <f t="shared" si="285"/>
        <v>3.9305994508025258E-2</v>
      </c>
      <c r="AR275" s="528">
        <f t="shared" si="285"/>
        <v>3.4640630728228282E-2</v>
      </c>
      <c r="AS275" s="528">
        <f t="shared" si="285"/>
        <v>2.9941309046688829E-2</v>
      </c>
      <c r="AT275" s="528">
        <f t="shared" si="285"/>
        <v>2.5381294267672494E-2</v>
      </c>
      <c r="AU275" s="528">
        <f t="shared" si="285"/>
        <v>2.1101567990163956E-2</v>
      </c>
      <c r="AV275" s="528">
        <f t="shared" si="285"/>
        <v>1.7205752395725471E-2</v>
      </c>
      <c r="AW275" s="528">
        <f t="shared" si="285"/>
        <v>1.3759117598775013E-2</v>
      </c>
      <c r="AX275" s="528">
        <f t="shared" si="285"/>
        <v>1.0791093685520333E-2</v>
      </c>
      <c r="AY275" s="528">
        <f t="shared" si="285"/>
        <v>8.3003862742050752E-3</v>
      </c>
      <c r="AZ275" s="528">
        <f t="shared" si="285"/>
        <v>6.2616544495193447E-3</v>
      </c>
      <c r="BA275" s="528">
        <f t="shared" si="285"/>
        <v>4.6327390347631978E-3</v>
      </c>
      <c r="BB275" s="528">
        <f t="shared" si="285"/>
        <v>3.3615882263700243E-3</v>
      </c>
      <c r="BC275" s="528">
        <f t="shared" si="285"/>
        <v>2.3922640857695536E-3</v>
      </c>
      <c r="BD275" s="528">
        <f t="shared" si="285"/>
        <v>1.6696738563023682E-3</v>
      </c>
      <c r="BE275" s="528">
        <f t="shared" si="285"/>
        <v>1.1429101362644631E-3</v>
      </c>
      <c r="BF275" s="528">
        <f t="shared" si="285"/>
        <v>7.6727389509922842E-4</v>
      </c>
      <c r="BG275" s="528" t="str">
        <f t="shared" si="285"/>
        <v/>
      </c>
      <c r="BH275" s="528" t="str">
        <f t="shared" si="285"/>
        <v/>
      </c>
      <c r="BI275" s="528" t="str">
        <f t="shared" si="285"/>
        <v/>
      </c>
      <c r="BJ275" s="528" t="str">
        <f t="shared" si="285"/>
        <v/>
      </c>
      <c r="BK275" s="528" t="str">
        <f t="shared" si="285"/>
        <v/>
      </c>
      <c r="BL275" s="528" t="str">
        <f t="shared" si="285"/>
        <v/>
      </c>
      <c r="BM275" s="528" t="str">
        <f t="shared" si="285"/>
        <v/>
      </c>
    </row>
    <row r="276" spans="6:65" ht="15.75" customHeight="1" x14ac:dyDescent="0.25">
      <c r="F276" s="197"/>
      <c r="G276" s="197">
        <f t="shared" si="268"/>
        <v>0</v>
      </c>
      <c r="H276" s="197">
        <f t="shared" si="269"/>
        <v>446</v>
      </c>
      <c r="I276" s="523">
        <v>1</v>
      </c>
      <c r="J276" s="533">
        <f>'Monthly DCF'!$I$3</f>
        <v>46418</v>
      </c>
      <c r="K276" s="533">
        <f t="shared" si="270"/>
        <v>47726</v>
      </c>
      <c r="L276" s="536">
        <f t="shared" si="243"/>
        <v>44</v>
      </c>
      <c r="M276" s="20" t="s">
        <v>366</v>
      </c>
      <c r="N276" s="20">
        <f t="shared" si="271"/>
        <v>7.333333333333333</v>
      </c>
      <c r="O276" s="537">
        <v>6</v>
      </c>
      <c r="P276" s="528">
        <f t="shared" ref="P276:BM276" si="286">IFERROR(+IF(AND($M276="Flat",P$5&gt;=$J276,P$5&lt;=$K276),$I276/$L276,0)+IF(AND($M276="S-Curve",P$5&gt;=$J276,P$5&lt;=$K276),(_xlfn.NORM.DIST((YEAR(P$5)-YEAR($J276))*12+MONTH(P$5)-MONTH($J276)+1,$L276/2,$N276,TRUE)-_xlfn.NORM.DIST((YEAR(P$5)-YEAR($J276))*12+MONTH(P$5)-MONTH($J276),$L276/2,$N276,TRUE))/(1-2*_xlfn.NORM.DIST(0,$L276/2,$N276,TRUE))*$I276," "),"")</f>
        <v>7.4615895216380095E-4</v>
      </c>
      <c r="Q276" s="528">
        <f t="shared" si="286"/>
        <v>1.1019441590638189E-3</v>
      </c>
      <c r="R276" s="528">
        <f t="shared" si="286"/>
        <v>1.5974398446593643E-3</v>
      </c>
      <c r="S276" s="528">
        <f t="shared" si="286"/>
        <v>2.273139763264887E-3</v>
      </c>
      <c r="T276" s="528">
        <f t="shared" si="286"/>
        <v>3.1751516602443949E-3</v>
      </c>
      <c r="U276" s="528">
        <f t="shared" si="286"/>
        <v>4.3535097928109221E-3</v>
      </c>
      <c r="V276" s="528">
        <f t="shared" si="286"/>
        <v>5.8593750999416383E-3</v>
      </c>
      <c r="W276" s="528">
        <f t="shared" si="286"/>
        <v>7.7410488358497951E-3</v>
      </c>
      <c r="X276" s="528">
        <f t="shared" si="286"/>
        <v>1.0038875091490823E-2</v>
      </c>
      <c r="Y276" s="528">
        <f t="shared" si="286"/>
        <v>1.2779299160169996E-2</v>
      </c>
      <c r="Z276" s="528">
        <f t="shared" si="286"/>
        <v>1.5968560650409146E-2</v>
      </c>
      <c r="AA276" s="528">
        <f t="shared" si="286"/>
        <v>1.9586699534812436E-2</v>
      </c>
      <c r="AB276" s="528">
        <f t="shared" si="286"/>
        <v>2.3582699053813286E-2</v>
      </c>
      <c r="AC276" s="528">
        <f t="shared" si="286"/>
        <v>2.7871639719050427E-2</v>
      </c>
      <c r="AD276" s="528">
        <f t="shared" si="286"/>
        <v>3.2334659868781299E-2</v>
      </c>
      <c r="AE276" s="528">
        <f t="shared" si="286"/>
        <v>3.6822294289641698E-2</v>
      </c>
      <c r="AF276" s="528">
        <f t="shared" si="286"/>
        <v>4.1161402641206324E-2</v>
      </c>
      <c r="AG276" s="528">
        <f t="shared" si="286"/>
        <v>4.5165441771135038E-2</v>
      </c>
      <c r="AH276" s="528">
        <f t="shared" si="286"/>
        <v>4.8647344374106595E-2</v>
      </c>
      <c r="AI276" s="528">
        <f t="shared" si="286"/>
        <v>5.1433821352444627E-2</v>
      </c>
      <c r="AJ276" s="528">
        <f t="shared" si="286"/>
        <v>5.337958927277462E-2</v>
      </c>
      <c r="AK276" s="528">
        <f t="shared" si="286"/>
        <v>5.4379905112165068E-2</v>
      </c>
      <c r="AL276" s="528">
        <f t="shared" si="286"/>
        <v>5.4379905112165013E-2</v>
      </c>
      <c r="AM276" s="528">
        <f t="shared" si="286"/>
        <v>5.3379589272774676E-2</v>
      </c>
      <c r="AN276" s="528">
        <f t="shared" si="286"/>
        <v>5.1433821352444571E-2</v>
      </c>
      <c r="AO276" s="528">
        <f t="shared" si="286"/>
        <v>4.8647344374106706E-2</v>
      </c>
      <c r="AP276" s="528">
        <f t="shared" si="286"/>
        <v>4.5165441771134983E-2</v>
      </c>
      <c r="AQ276" s="528">
        <f t="shared" si="286"/>
        <v>4.1161402641206324E-2</v>
      </c>
      <c r="AR276" s="528">
        <f t="shared" si="286"/>
        <v>3.6822294289641726E-2</v>
      </c>
      <c r="AS276" s="528">
        <f t="shared" si="286"/>
        <v>3.2334659868781243E-2</v>
      </c>
      <c r="AT276" s="528">
        <f t="shared" si="286"/>
        <v>2.7871639719050469E-2</v>
      </c>
      <c r="AU276" s="528">
        <f t="shared" si="286"/>
        <v>2.3582699053813317E-2</v>
      </c>
      <c r="AV276" s="528">
        <f t="shared" si="286"/>
        <v>1.9586699534812367E-2</v>
      </c>
      <c r="AW276" s="528">
        <f t="shared" si="286"/>
        <v>1.5968560650409119E-2</v>
      </c>
      <c r="AX276" s="528">
        <f t="shared" si="286"/>
        <v>1.2779299160169996E-2</v>
      </c>
      <c r="AY276" s="528">
        <f t="shared" si="286"/>
        <v>1.0038875091490892E-2</v>
      </c>
      <c r="AZ276" s="528">
        <f t="shared" si="286"/>
        <v>7.7410488358498368E-3</v>
      </c>
      <c r="BA276" s="528">
        <f t="shared" si="286"/>
        <v>5.8593750999416001E-3</v>
      </c>
      <c r="BB276" s="528">
        <f t="shared" si="286"/>
        <v>4.3535097928109516E-3</v>
      </c>
      <c r="BC276" s="528">
        <f t="shared" si="286"/>
        <v>3.1751516602443728E-3</v>
      </c>
      <c r="BD276" s="528">
        <f t="shared" si="286"/>
        <v>2.2731397632648758E-3</v>
      </c>
      <c r="BE276" s="528">
        <f t="shared" si="286"/>
        <v>1.5974398446593229E-3</v>
      </c>
      <c r="BF276" s="528">
        <f t="shared" si="286"/>
        <v>1.101944159063885E-3</v>
      </c>
      <c r="BG276" s="528">
        <f t="shared" si="286"/>
        <v>7.4615895216375205E-4</v>
      </c>
      <c r="BH276" s="528" t="str">
        <f t="shared" si="286"/>
        <v/>
      </c>
      <c r="BI276" s="528" t="str">
        <f t="shared" si="286"/>
        <v/>
      </c>
      <c r="BJ276" s="528" t="str">
        <f t="shared" si="286"/>
        <v/>
      </c>
      <c r="BK276" s="528" t="str">
        <f t="shared" si="286"/>
        <v/>
      </c>
      <c r="BL276" s="528" t="str">
        <f t="shared" si="286"/>
        <v/>
      </c>
      <c r="BM276" s="528" t="str">
        <f t="shared" si="286"/>
        <v/>
      </c>
    </row>
    <row r="277" spans="6:65" ht="15.75" customHeight="1" x14ac:dyDescent="0.25">
      <c r="F277" s="197"/>
      <c r="G277" s="197">
        <f t="shared" si="268"/>
        <v>0</v>
      </c>
      <c r="H277" s="197">
        <f t="shared" si="269"/>
        <v>456</v>
      </c>
      <c r="I277" s="523">
        <v>1</v>
      </c>
      <c r="J277" s="533">
        <f>'Monthly DCF'!$I$3</f>
        <v>46418</v>
      </c>
      <c r="K277" s="533">
        <f t="shared" si="270"/>
        <v>47756</v>
      </c>
      <c r="L277" s="536">
        <f t="shared" si="243"/>
        <v>45</v>
      </c>
      <c r="M277" s="20" t="s">
        <v>366</v>
      </c>
      <c r="N277" s="20">
        <f t="shared" si="271"/>
        <v>7.5</v>
      </c>
      <c r="O277" s="537">
        <v>6</v>
      </c>
      <c r="P277" s="528">
        <f t="shared" ref="P277:BM277" si="287">IFERROR(+IF(AND($M277="Flat",P$5&gt;=$J277,P$5&lt;=$K277),$I277/$L277,0)+IF(AND($M277="S-Curve",P$5&gt;=$J277,P$5&lt;=$K277),(_xlfn.NORM.DIST((YEAR(P$5)-YEAR($J277))*12+MONTH(P$5)-MONTH($J277)+1,$L277/2,$N277,TRUE)-_xlfn.NORM.DIST((YEAR(P$5)-YEAR($J277))*12+MONTH(P$5)-MONTH($J277),$L277/2,$N277,TRUE))/(1-2*_xlfn.NORM.DIST(0,$L277/2,$N277,TRUE))*$I277," "),"")</f>
        <v>7.2616081808194778E-4</v>
      </c>
      <c r="Q277" s="528">
        <f t="shared" si="287"/>
        <v>1.0636154418942473E-3</v>
      </c>
      <c r="R277" s="528">
        <f t="shared" si="287"/>
        <v>1.5304777407927591E-3</v>
      </c>
      <c r="S277" s="528">
        <f t="shared" si="287"/>
        <v>2.1635152965377444E-3</v>
      </c>
      <c r="T277" s="528">
        <f t="shared" si="287"/>
        <v>3.0045781066132316E-3</v>
      </c>
      <c r="U277" s="528">
        <f t="shared" si="287"/>
        <v>4.0991858506754875E-3</v>
      </c>
      <c r="V277" s="528">
        <f t="shared" si="287"/>
        <v>5.4941727212035728E-3</v>
      </c>
      <c r="W277" s="528">
        <f t="shared" si="287"/>
        <v>7.2343181157603458E-3</v>
      </c>
      <c r="X277" s="528">
        <f t="shared" si="287"/>
        <v>9.3580098099610345E-3</v>
      </c>
      <c r="Y277" s="528">
        <f t="shared" si="287"/>
        <v>1.1892139511325331E-2</v>
      </c>
      <c r="Z277" s="528">
        <f t="shared" si="287"/>
        <v>1.4846603319286288E-2</v>
      </c>
      <c r="AA277" s="528">
        <f t="shared" si="287"/>
        <v>1.8208946885983148E-2</v>
      </c>
      <c r="AB277" s="528">
        <f t="shared" si="287"/>
        <v>2.1939825653292083E-2</v>
      </c>
      <c r="AC277" s="528">
        <f t="shared" si="287"/>
        <v>2.5970011244399637E-2</v>
      </c>
      <c r="AD277" s="528">
        <f t="shared" si="287"/>
        <v>3.019963745134507E-2</v>
      </c>
      <c r="AE277" s="528">
        <f t="shared" si="287"/>
        <v>3.4500226786910795E-2</v>
      </c>
      <c r="AF277" s="528">
        <f t="shared" si="287"/>
        <v>3.8719772983562634E-2</v>
      </c>
      <c r="AG277" s="528">
        <f t="shared" si="287"/>
        <v>4.2690799567886177E-2</v>
      </c>
      <c r="AH277" s="528">
        <f t="shared" si="287"/>
        <v>4.6240914189286601E-2</v>
      </c>
      <c r="AI277" s="528">
        <f t="shared" si="287"/>
        <v>4.9204992726148047E-2</v>
      </c>
      <c r="AJ277" s="528">
        <f t="shared" si="287"/>
        <v>5.143782200849456E-2</v>
      </c>
      <c r="AK277" s="528">
        <f t="shared" si="287"/>
        <v>5.2825864198940573E-2</v>
      </c>
      <c r="AL277" s="528">
        <f t="shared" si="287"/>
        <v>5.3296819143237383E-2</v>
      </c>
      <c r="AM277" s="528">
        <f t="shared" si="287"/>
        <v>5.2825864198940517E-2</v>
      </c>
      <c r="AN277" s="528">
        <f t="shared" si="287"/>
        <v>5.1437822008494671E-2</v>
      </c>
      <c r="AO277" s="528">
        <f t="shared" si="287"/>
        <v>4.9204992726147992E-2</v>
      </c>
      <c r="AP277" s="528">
        <f t="shared" si="287"/>
        <v>4.6240914189286601E-2</v>
      </c>
      <c r="AQ277" s="528">
        <f t="shared" si="287"/>
        <v>4.2690799567886149E-2</v>
      </c>
      <c r="AR277" s="528">
        <f t="shared" si="287"/>
        <v>3.8719772983562661E-2</v>
      </c>
      <c r="AS277" s="528">
        <f t="shared" si="287"/>
        <v>3.4500226786910823E-2</v>
      </c>
      <c r="AT277" s="528">
        <f t="shared" si="287"/>
        <v>3.0199637451344987E-2</v>
      </c>
      <c r="AU277" s="528">
        <f t="shared" si="287"/>
        <v>2.5970011244399665E-2</v>
      </c>
      <c r="AV277" s="528">
        <f t="shared" si="287"/>
        <v>2.1939825653292097E-2</v>
      </c>
      <c r="AW277" s="528">
        <f t="shared" si="287"/>
        <v>1.8208946885983204E-2</v>
      </c>
      <c r="AX277" s="528">
        <f t="shared" si="287"/>
        <v>1.4846603319286254E-2</v>
      </c>
      <c r="AY277" s="528">
        <f t="shared" si="287"/>
        <v>1.1892139511325344E-2</v>
      </c>
      <c r="AZ277" s="528">
        <f t="shared" si="287"/>
        <v>9.3580098099610553E-3</v>
      </c>
      <c r="BA277" s="528">
        <f t="shared" si="287"/>
        <v>7.2343181157603215E-3</v>
      </c>
      <c r="BB277" s="528">
        <f t="shared" si="287"/>
        <v>5.4941727212035624E-3</v>
      </c>
      <c r="BC277" s="528">
        <f t="shared" si="287"/>
        <v>4.0991858506755014E-3</v>
      </c>
      <c r="BD277" s="528">
        <f t="shared" si="287"/>
        <v>3.0045781066131661E-3</v>
      </c>
      <c r="BE277" s="528">
        <f t="shared" si="287"/>
        <v>2.1635152965378043E-3</v>
      </c>
      <c r="BF277" s="528">
        <f t="shared" si="287"/>
        <v>1.5304777407927478E-3</v>
      </c>
      <c r="BG277" s="528">
        <f t="shared" si="287"/>
        <v>1.0636154418942646E-3</v>
      </c>
      <c r="BH277" s="528">
        <f t="shared" si="287"/>
        <v>7.261608180819159E-4</v>
      </c>
      <c r="BI277" s="528" t="str">
        <f t="shared" si="287"/>
        <v/>
      </c>
      <c r="BJ277" s="528" t="str">
        <f t="shared" si="287"/>
        <v/>
      </c>
      <c r="BK277" s="528" t="str">
        <f t="shared" si="287"/>
        <v/>
      </c>
      <c r="BL277" s="528" t="str">
        <f t="shared" si="287"/>
        <v/>
      </c>
      <c r="BM277" s="528" t="str">
        <f t="shared" si="287"/>
        <v/>
      </c>
    </row>
    <row r="278" spans="6:65" ht="15.75" customHeight="1" x14ac:dyDescent="0.25">
      <c r="F278" s="197"/>
      <c r="G278" s="197">
        <f t="shared" si="268"/>
        <v>0</v>
      </c>
      <c r="H278" s="197">
        <f t="shared" si="269"/>
        <v>466</v>
      </c>
      <c r="I278" s="523">
        <v>1</v>
      </c>
      <c r="J278" s="533">
        <f>'Monthly DCF'!$I$3</f>
        <v>46418</v>
      </c>
      <c r="K278" s="533">
        <f t="shared" si="270"/>
        <v>47787</v>
      </c>
      <c r="L278" s="536">
        <f t="shared" si="243"/>
        <v>46</v>
      </c>
      <c r="M278" s="20" t="s">
        <v>366</v>
      </c>
      <c r="N278" s="20">
        <f t="shared" si="271"/>
        <v>7.666666666666667</v>
      </c>
      <c r="O278" s="537">
        <v>6</v>
      </c>
      <c r="P278" s="528">
        <f t="shared" ref="P278:BM278" si="288">IFERROR(+IF(AND($M278="Flat",P$5&gt;=$J278,P$5&lt;=$K278),$I278/$L278,0)+IF(AND($M278="S-Curve",P$5&gt;=$J278,P$5&lt;=$K278),(_xlfn.NORM.DIST((YEAR(P$5)-YEAR($J278))*12+MONTH(P$5)-MONTH($J278)+1,$L278/2,$N278,TRUE)-_xlfn.NORM.DIST((YEAR(P$5)-YEAR($J278))*12+MONTH(P$5)-MONTH($J278),$L278/2,$N278,TRUE))/(1-2*_xlfn.NORM.DIST(0,$L278/2,$N278,TRUE))*$I278," "),"")</f>
        <v>7.0719403754858736E-4</v>
      </c>
      <c r="Q278" s="528">
        <f t="shared" si="288"/>
        <v>1.0276881782805044E-3</v>
      </c>
      <c r="R278" s="528">
        <f t="shared" si="288"/>
        <v>1.4682695024215706E-3</v>
      </c>
      <c r="S278" s="528">
        <f t="shared" si="288"/>
        <v>2.06239500760596E-3</v>
      </c>
      <c r="T278" s="528">
        <f t="shared" si="288"/>
        <v>2.8481284934095364E-3</v>
      </c>
      <c r="U278" s="528">
        <f t="shared" si="288"/>
        <v>3.866953711607746E-3</v>
      </c>
      <c r="V278" s="528">
        <f t="shared" si="288"/>
        <v>5.161786515625837E-3</v>
      </c>
      <c r="W278" s="528">
        <f t="shared" si="288"/>
        <v>6.7741183442908649E-3</v>
      </c>
      <c r="X278" s="528">
        <f t="shared" si="288"/>
        <v>8.7403173299843619E-3</v>
      </c>
      <c r="Y278" s="528">
        <f t="shared" si="288"/>
        <v>1.1087236373606348E-2</v>
      </c>
      <c r="Z278" s="528">
        <f t="shared" si="288"/>
        <v>1.3827418313401767E-2</v>
      </c>
      <c r="AA278" s="528">
        <f t="shared" si="288"/>
        <v>1.6954328338420182E-2</v>
      </c>
      <c r="AB278" s="528">
        <f t="shared" si="288"/>
        <v>2.0438159026859103E-2</v>
      </c>
      <c r="AC278" s="528">
        <f t="shared" si="288"/>
        <v>2.4222817576308672E-2</v>
      </c>
      <c r="AD278" s="528">
        <f t="shared" si="288"/>
        <v>2.8224694240590514E-2</v>
      </c>
      <c r="AE278" s="528">
        <f t="shared" si="288"/>
        <v>3.233371000929517E-2</v>
      </c>
      <c r="AF278" s="528">
        <f t="shared" si="288"/>
        <v>3.6416947502983271E-2</v>
      </c>
      <c r="AG278" s="528">
        <f t="shared" si="288"/>
        <v>4.0324895573846817E-2</v>
      </c>
      <c r="AH278" s="528">
        <f t="shared" si="288"/>
        <v>4.3900015616567131E-2</v>
      </c>
      <c r="AI278" s="528">
        <f t="shared" si="288"/>
        <v>4.6987010198913784E-2</v>
      </c>
      <c r="AJ278" s="528">
        <f t="shared" si="288"/>
        <v>4.9443893597287659E-2</v>
      </c>
      <c r="AK278" s="528">
        <f t="shared" si="288"/>
        <v>5.1152778713788621E-2</v>
      </c>
      <c r="AL278" s="528">
        <f t="shared" si="288"/>
        <v>5.2029243797355997E-2</v>
      </c>
      <c r="AM278" s="528">
        <f t="shared" si="288"/>
        <v>5.2029243797355941E-2</v>
      </c>
      <c r="AN278" s="528">
        <f t="shared" si="288"/>
        <v>5.1152778713788677E-2</v>
      </c>
      <c r="AO278" s="528">
        <f t="shared" si="288"/>
        <v>4.9443893597287659E-2</v>
      </c>
      <c r="AP278" s="528">
        <f t="shared" si="288"/>
        <v>4.6987010198913784E-2</v>
      </c>
      <c r="AQ278" s="528">
        <f t="shared" si="288"/>
        <v>4.3900015616567131E-2</v>
      </c>
      <c r="AR278" s="528">
        <f t="shared" si="288"/>
        <v>4.0324895573846817E-2</v>
      </c>
      <c r="AS278" s="528">
        <f t="shared" si="288"/>
        <v>3.6416947502983271E-2</v>
      </c>
      <c r="AT278" s="528">
        <f t="shared" si="288"/>
        <v>3.233371000929517E-2</v>
      </c>
      <c r="AU278" s="528">
        <f t="shared" si="288"/>
        <v>2.8224694240590514E-2</v>
      </c>
      <c r="AV278" s="528">
        <f t="shared" si="288"/>
        <v>2.422281757630863E-2</v>
      </c>
      <c r="AW278" s="528">
        <f t="shared" si="288"/>
        <v>2.0438159026859158E-2</v>
      </c>
      <c r="AX278" s="528">
        <f t="shared" si="288"/>
        <v>1.6954328338420119E-2</v>
      </c>
      <c r="AY278" s="528">
        <f t="shared" si="288"/>
        <v>1.3827418313401767E-2</v>
      </c>
      <c r="AZ278" s="528">
        <f t="shared" si="288"/>
        <v>1.1087236373606453E-2</v>
      </c>
      <c r="BA278" s="528">
        <f t="shared" si="288"/>
        <v>8.740317329984303E-3</v>
      </c>
      <c r="BB278" s="528">
        <f t="shared" si="288"/>
        <v>6.7741183442908475E-3</v>
      </c>
      <c r="BC278" s="528">
        <f t="shared" si="288"/>
        <v>5.1617865156258561E-3</v>
      </c>
      <c r="BD278" s="528">
        <f t="shared" si="288"/>
        <v>3.8669537116077582E-3</v>
      </c>
      <c r="BE278" s="528">
        <f t="shared" si="288"/>
        <v>2.8481284934095191E-3</v>
      </c>
      <c r="BF278" s="528">
        <f t="shared" si="288"/>
        <v>2.0623950076059444E-3</v>
      </c>
      <c r="BG278" s="528">
        <f t="shared" si="288"/>
        <v>1.468269502421622E-3</v>
      </c>
      <c r="BH278" s="528">
        <f t="shared" si="288"/>
        <v>1.0276881782805009E-3</v>
      </c>
      <c r="BI278" s="528">
        <f t="shared" si="288"/>
        <v>7.0719403754855191E-4</v>
      </c>
      <c r="BJ278" s="528" t="str">
        <f t="shared" si="288"/>
        <v/>
      </c>
      <c r="BK278" s="528" t="str">
        <f t="shared" si="288"/>
        <v/>
      </c>
      <c r="BL278" s="528" t="str">
        <f t="shared" si="288"/>
        <v/>
      </c>
      <c r="BM278" s="528" t="str">
        <f t="shared" si="288"/>
        <v/>
      </c>
    </row>
    <row r="279" spans="6:65" ht="15.75" customHeight="1" x14ac:dyDescent="0.25">
      <c r="F279" s="197"/>
      <c r="G279" s="197">
        <f t="shared" si="268"/>
        <v>0</v>
      </c>
      <c r="H279" s="197">
        <f t="shared" si="269"/>
        <v>476</v>
      </c>
      <c r="I279" s="523">
        <v>1</v>
      </c>
      <c r="J279" s="533">
        <f>'Monthly DCF'!$I$3</f>
        <v>46418</v>
      </c>
      <c r="K279" s="533">
        <f t="shared" si="270"/>
        <v>47817</v>
      </c>
      <c r="L279" s="536">
        <f t="shared" si="243"/>
        <v>47</v>
      </c>
      <c r="M279" s="20" t="s">
        <v>366</v>
      </c>
      <c r="N279" s="20">
        <f t="shared" si="271"/>
        <v>7.833333333333333</v>
      </c>
      <c r="O279" s="537">
        <v>6</v>
      </c>
      <c r="P279" s="528">
        <f t="shared" ref="P279:BM279" si="289">IFERROR(+IF(AND($M279="Flat",P$5&gt;=$J279,P$5&lt;=$K279),$I279/$L279,0)+IF(AND($M279="S-Curve",P$5&gt;=$J279,P$5&lt;=$K279),(_xlfn.NORM.DIST((YEAR(P$5)-YEAR($J279))*12+MONTH(P$5)-MONTH($J279)+1,$L279/2,$N279,TRUE)-_xlfn.NORM.DIST((YEAR(P$5)-YEAR($J279))*12+MONTH(P$5)-MONTH($J279),$L279/2,$N279,TRUE))/(1-2*_xlfn.NORM.DIST(0,$L279/2,$N279,TRUE))*$I279," "),"")</f>
        <v>6.8918158700817576E-4</v>
      </c>
      <c r="Q279" s="528">
        <f t="shared" si="289"/>
        <v>9.9395302061576897E-4</v>
      </c>
      <c r="R279" s="528">
        <f t="shared" si="289"/>
        <v>1.410359773859669E-3</v>
      </c>
      <c r="S279" s="528">
        <f t="shared" si="289"/>
        <v>1.9689098666017825E-3</v>
      </c>
      <c r="T279" s="528">
        <f t="shared" si="289"/>
        <v>2.7042922983256975E-3</v>
      </c>
      <c r="U279" s="528">
        <f t="shared" si="289"/>
        <v>3.6543766348709336E-3</v>
      </c>
      <c r="V279" s="528">
        <f t="shared" si="289"/>
        <v>4.8585297065616576E-3</v>
      </c>
      <c r="W279" s="528">
        <f t="shared" si="289"/>
        <v>6.3551866002346455E-3</v>
      </c>
      <c r="X279" s="528">
        <f t="shared" si="289"/>
        <v>8.1786880276234902E-3</v>
      </c>
      <c r="Y279" s="528">
        <f t="shared" si="289"/>
        <v>1.0355495247581442E-2</v>
      </c>
      <c r="Z279" s="528">
        <f t="shared" si="289"/>
        <v>1.2900008721555676E-2</v>
      </c>
      <c r="AA279" s="528">
        <f t="shared" si="289"/>
        <v>1.5810333707588331E-2</v>
      </c>
      <c r="AB279" s="528">
        <f t="shared" si="289"/>
        <v>1.9064436587196785E-2</v>
      </c>
      <c r="AC279" s="528">
        <f t="shared" si="289"/>
        <v>2.2617199147457141E-2</v>
      </c>
      <c r="AD279" s="528">
        <f t="shared" si="289"/>
        <v>2.6398884770798943E-2</v>
      </c>
      <c r="AE279" s="528">
        <f t="shared" si="289"/>
        <v>3.031546626912934E-2</v>
      </c>
      <c r="AF279" s="528">
        <f t="shared" si="289"/>
        <v>3.4251124952449634E-2</v>
      </c>
      <c r="AG279" s="528">
        <f t="shared" si="289"/>
        <v>3.8073021643888573E-2</v>
      </c>
      <c r="AH279" s="528">
        <f t="shared" si="289"/>
        <v>4.1638183108560781E-2</v>
      </c>
      <c r="AI279" s="528">
        <f t="shared" si="289"/>
        <v>4.4802073740802757E-2</v>
      </c>
      <c r="AJ279" s="528">
        <f t="shared" si="289"/>
        <v>4.7428171794948154E-2</v>
      </c>
      <c r="AK279" s="528">
        <f t="shared" si="289"/>
        <v>4.9397682560102088E-2</v>
      </c>
      <c r="AL279" s="528">
        <f t="shared" si="289"/>
        <v>5.0618432129223574E-2</v>
      </c>
      <c r="AM279" s="528">
        <f t="shared" si="289"/>
        <v>5.1032016206029936E-2</v>
      </c>
      <c r="AN279" s="528">
        <f t="shared" si="289"/>
        <v>5.061843212922363E-2</v>
      </c>
      <c r="AO279" s="528">
        <f t="shared" si="289"/>
        <v>4.9397682560102033E-2</v>
      </c>
      <c r="AP279" s="528">
        <f t="shared" si="289"/>
        <v>4.7428171794948154E-2</v>
      </c>
      <c r="AQ279" s="528">
        <f t="shared" si="289"/>
        <v>4.4802073740802757E-2</v>
      </c>
      <c r="AR279" s="528">
        <f t="shared" si="289"/>
        <v>4.1638183108560781E-2</v>
      </c>
      <c r="AS279" s="528">
        <f t="shared" si="289"/>
        <v>3.8073021643888601E-2</v>
      </c>
      <c r="AT279" s="528">
        <f t="shared" si="289"/>
        <v>3.4251124952449578E-2</v>
      </c>
      <c r="AU279" s="528">
        <f t="shared" si="289"/>
        <v>3.0315466269129423E-2</v>
      </c>
      <c r="AV279" s="528">
        <f t="shared" si="289"/>
        <v>2.6398884770798929E-2</v>
      </c>
      <c r="AW279" s="528">
        <f t="shared" si="289"/>
        <v>2.26171991474571E-2</v>
      </c>
      <c r="AX279" s="528">
        <f t="shared" si="289"/>
        <v>1.9064436587196813E-2</v>
      </c>
      <c r="AY279" s="528">
        <f t="shared" si="289"/>
        <v>1.5810333707588255E-2</v>
      </c>
      <c r="AZ279" s="528">
        <f t="shared" si="289"/>
        <v>1.2900008721555696E-2</v>
      </c>
      <c r="BA279" s="528">
        <f t="shared" si="289"/>
        <v>1.0355495247581526E-2</v>
      </c>
      <c r="BB279" s="528">
        <f t="shared" si="289"/>
        <v>8.1786880276234174E-3</v>
      </c>
      <c r="BC279" s="528">
        <f t="shared" si="289"/>
        <v>6.3551866002346351E-3</v>
      </c>
      <c r="BD279" s="528">
        <f t="shared" si="289"/>
        <v>4.8585297065616402E-3</v>
      </c>
      <c r="BE279" s="528">
        <f t="shared" si="289"/>
        <v>3.6543766348709561E-3</v>
      </c>
      <c r="BF279" s="528">
        <f t="shared" si="289"/>
        <v>2.7042922983257617E-3</v>
      </c>
      <c r="BG279" s="528">
        <f t="shared" si="289"/>
        <v>1.968909866601711E-3</v>
      </c>
      <c r="BH279" s="528">
        <f t="shared" si="289"/>
        <v>1.4103597738596842E-3</v>
      </c>
      <c r="BI279" s="528">
        <f t="shared" si="289"/>
        <v>9.9395302061583337E-4</v>
      </c>
      <c r="BJ279" s="528">
        <f t="shared" si="289"/>
        <v>6.8918158700811559E-4</v>
      </c>
      <c r="BK279" s="528" t="str">
        <f t="shared" si="289"/>
        <v/>
      </c>
      <c r="BL279" s="528" t="str">
        <f t="shared" si="289"/>
        <v/>
      </c>
      <c r="BM279" s="528" t="str">
        <f t="shared" si="289"/>
        <v/>
      </c>
    </row>
    <row r="280" spans="6:65" ht="15.75" customHeight="1" x14ac:dyDescent="0.25">
      <c r="F280" s="197"/>
      <c r="G280" s="197">
        <f t="shared" si="268"/>
        <v>0</v>
      </c>
      <c r="H280" s="197">
        <f t="shared" si="269"/>
        <v>486</v>
      </c>
      <c r="I280" s="523">
        <v>1</v>
      </c>
      <c r="J280" s="533">
        <f>'Monthly DCF'!$I$3</f>
        <v>46418</v>
      </c>
      <c r="K280" s="533">
        <f t="shared" si="270"/>
        <v>47848</v>
      </c>
      <c r="L280" s="536">
        <f t="shared" si="243"/>
        <v>48</v>
      </c>
      <c r="M280" s="20" t="s">
        <v>366</v>
      </c>
      <c r="N280" s="20">
        <f t="shared" si="271"/>
        <v>8</v>
      </c>
      <c r="O280" s="537">
        <v>6</v>
      </c>
      <c r="P280" s="528">
        <f t="shared" ref="P280:BM280" si="290">IFERROR(+IF(AND($M280="Flat",P$5&gt;=$J280,P$5&lt;=$K280),$I280/$L280,0)+IF(AND($M280="S-Curve",P$5&gt;=$J280,P$5&lt;=$K280),(_xlfn.NORM.DIST((YEAR(P$5)-YEAR($J280))*12+MONTH(P$5)-MONTH($J280)+1,$L280/2,$N280,TRUE)-_xlfn.NORM.DIST((YEAR(P$5)-YEAR($J280))*12+MONTH(P$5)-MONTH($J280),$L280/2,$N280,TRUE))/(1-2*_xlfn.NORM.DIST(0,$L280/2,$N280,TRUE))*$I280," "),"")</f>
        <v>6.7205386669952219E-4</v>
      </c>
      <c r="Q280" s="528">
        <f t="shared" si="290"/>
        <v>9.6222355246748182E-4</v>
      </c>
      <c r="R280" s="528">
        <f t="shared" si="290"/>
        <v>1.3563469882172043E-3</v>
      </c>
      <c r="S280" s="528">
        <f t="shared" si="290"/>
        <v>1.8822987856148598E-3</v>
      </c>
      <c r="T280" s="528">
        <f t="shared" si="290"/>
        <v>2.5717529785293384E-3</v>
      </c>
      <c r="U280" s="528">
        <f t="shared" si="290"/>
        <v>3.4593370638929238E-3</v>
      </c>
      <c r="V280" s="528">
        <f t="shared" si="290"/>
        <v>4.5812021048116745E-3</v>
      </c>
      <c r="W280" s="528">
        <f t="shared" si="290"/>
        <v>5.9729512500011897E-3</v>
      </c>
      <c r="X280" s="528">
        <f t="shared" si="290"/>
        <v>7.6669289617102981E-3</v>
      </c>
      <c r="Y280" s="528">
        <f t="shared" si="290"/>
        <v>9.688953296522796E-3</v>
      </c>
      <c r="Z280" s="528">
        <f t="shared" si="290"/>
        <v>1.2054667695791435E-2</v>
      </c>
      <c r="AA280" s="528">
        <f t="shared" si="290"/>
        <v>1.4765786465809866E-2</v>
      </c>
      <c r="AB280" s="528">
        <f t="shared" si="290"/>
        <v>1.7806595258255942E-2</v>
      </c>
      <c r="AC280" s="528">
        <f t="shared" si="290"/>
        <v>2.1141128049801294E-2</v>
      </c>
      <c r="AD280" s="528">
        <f t="shared" si="290"/>
        <v>2.4711459370679936E-2</v>
      </c>
      <c r="AE280" s="528">
        <f t="shared" si="290"/>
        <v>2.8437512278346171E-2</v>
      </c>
      <c r="AF280" s="528">
        <f t="shared" si="290"/>
        <v>3.2218682794024373E-2</v>
      </c>
      <c r="AG280" s="528">
        <f t="shared" si="290"/>
        <v>3.5937423238139622E-2</v>
      </c>
      <c r="AH280" s="528">
        <f t="shared" si="290"/>
        <v>3.946472337664219E-2</v>
      </c>
      <c r="AI280" s="528">
        <f t="shared" si="290"/>
        <v>4.2667202422416763E-2</v>
      </c>
      <c r="AJ280" s="528">
        <f t="shared" si="290"/>
        <v>4.5415306667441778E-2</v>
      </c>
      <c r="AK280" s="528">
        <f t="shared" si="290"/>
        <v>4.7591929493690177E-2</v>
      </c>
      <c r="AL280" s="528">
        <f t="shared" si="290"/>
        <v>4.9100662628478613E-2</v>
      </c>
      <c r="AM280" s="528">
        <f t="shared" si="290"/>
        <v>4.9872871412014561E-2</v>
      </c>
      <c r="AN280" s="528">
        <f t="shared" si="290"/>
        <v>4.9872871412014561E-2</v>
      </c>
      <c r="AO280" s="528">
        <f t="shared" si="290"/>
        <v>4.9100662628478613E-2</v>
      </c>
      <c r="AP280" s="528">
        <f t="shared" si="290"/>
        <v>4.7591929493690177E-2</v>
      </c>
      <c r="AQ280" s="528">
        <f t="shared" si="290"/>
        <v>4.5415306667441778E-2</v>
      </c>
      <c r="AR280" s="528">
        <f t="shared" si="290"/>
        <v>4.2667202422416707E-2</v>
      </c>
      <c r="AS280" s="528">
        <f t="shared" si="290"/>
        <v>3.946472337664219E-2</v>
      </c>
      <c r="AT280" s="528">
        <f t="shared" si="290"/>
        <v>3.593742323813974E-2</v>
      </c>
      <c r="AU280" s="528">
        <f t="shared" si="290"/>
        <v>3.2218682794024345E-2</v>
      </c>
      <c r="AV280" s="528">
        <f t="shared" si="290"/>
        <v>2.8437512278346115E-2</v>
      </c>
      <c r="AW280" s="528">
        <f t="shared" si="290"/>
        <v>2.4711459370679978E-2</v>
      </c>
      <c r="AX280" s="528">
        <f t="shared" si="290"/>
        <v>2.1141128049801335E-2</v>
      </c>
      <c r="AY280" s="528">
        <f t="shared" si="290"/>
        <v>1.7806595258255859E-2</v>
      </c>
      <c r="AZ280" s="528">
        <f t="shared" si="290"/>
        <v>1.4765786465809859E-2</v>
      </c>
      <c r="BA280" s="528">
        <f t="shared" si="290"/>
        <v>1.2054667695791456E-2</v>
      </c>
      <c r="BB280" s="528">
        <f t="shared" si="290"/>
        <v>9.6889532965227856E-3</v>
      </c>
      <c r="BC280" s="528">
        <f t="shared" si="290"/>
        <v>7.6669289617103051E-3</v>
      </c>
      <c r="BD280" s="528">
        <f t="shared" si="290"/>
        <v>5.9729512500012209E-3</v>
      </c>
      <c r="BE280" s="528">
        <f t="shared" si="290"/>
        <v>4.5812021048116849E-3</v>
      </c>
      <c r="BF280" s="528">
        <f t="shared" si="290"/>
        <v>3.4593370638928943E-3</v>
      </c>
      <c r="BG280" s="528">
        <f t="shared" si="290"/>
        <v>2.5717529785293175E-3</v>
      </c>
      <c r="BH280" s="528">
        <f t="shared" si="290"/>
        <v>1.8822987856148329E-3</v>
      </c>
      <c r="BI280" s="528">
        <f t="shared" si="290"/>
        <v>1.356346988217257E-3</v>
      </c>
      <c r="BJ280" s="528">
        <f t="shared" si="290"/>
        <v>9.6222355246747791E-4</v>
      </c>
      <c r="BK280" s="528">
        <f t="shared" si="290"/>
        <v>6.7205386669951634E-4</v>
      </c>
      <c r="BL280" s="528" t="str">
        <f t="shared" si="290"/>
        <v/>
      </c>
      <c r="BM280" s="528" t="str">
        <f t="shared" si="290"/>
        <v/>
      </c>
    </row>
    <row r="281" spans="6:65" ht="15.75" customHeight="1" x14ac:dyDescent="0.25">
      <c r="F281" s="197"/>
      <c r="G281" s="197">
        <f t="shared" si="268"/>
        <v>0</v>
      </c>
      <c r="H281" s="197">
        <f t="shared" si="269"/>
        <v>496</v>
      </c>
      <c r="I281" s="523">
        <v>1</v>
      </c>
      <c r="J281" s="533">
        <f>'Monthly DCF'!$I$3</f>
        <v>46418</v>
      </c>
      <c r="K281" s="533">
        <f t="shared" si="270"/>
        <v>47879</v>
      </c>
      <c r="L281" s="536">
        <f t="shared" si="243"/>
        <v>49</v>
      </c>
      <c r="M281" s="20" t="s">
        <v>366</v>
      </c>
      <c r="N281" s="20">
        <f t="shared" si="271"/>
        <v>8.1666666666666661</v>
      </c>
      <c r="O281" s="537">
        <v>6</v>
      </c>
      <c r="P281" s="528">
        <f t="shared" ref="P281:BM281" si="291">IFERROR(+IF(AND($M281="Flat",P$5&gt;=$J281,P$5&lt;=$K281),$I281/$L281,0)+IF(AND($M281="S-Curve",P$5&gt;=$J281,P$5&lt;=$K281),(_xlfn.NORM.DIST((YEAR(P$5)-YEAR($J281))*12+MONTH(P$5)-MONTH($J281)+1,$L281/2,$N281,TRUE)-_xlfn.NORM.DIST((YEAR(P$5)-YEAR($J281))*12+MONTH(P$5)-MONTH($J281),$L281/2,$N281,TRUE))/(1-2*_xlfn.NORM.DIST(0,$L281/2,$N281,TRUE))*$I281," "),"")</f>
        <v>6.5574783309921346E-4</v>
      </c>
      <c r="Q281" s="528">
        <f t="shared" si="291"/>
        <v>9.3233330097319497E-4</v>
      </c>
      <c r="R281" s="528">
        <f t="shared" si="291"/>
        <v>1.3058759061207368E-3</v>
      </c>
      <c r="S281" s="528">
        <f t="shared" si="291"/>
        <v>1.8018930312775545E-3</v>
      </c>
      <c r="T281" s="528">
        <f t="shared" si="291"/>
        <v>2.4493592618654502E-3</v>
      </c>
      <c r="U281" s="528">
        <f t="shared" si="291"/>
        <v>3.2799888448327764E-3</v>
      </c>
      <c r="V281" s="528">
        <f t="shared" si="291"/>
        <v>4.3270173674838227E-3</v>
      </c>
      <c r="W281" s="528">
        <f t="shared" si="291"/>
        <v>5.6234301966381801E-3</v>
      </c>
      <c r="X281" s="528">
        <f t="shared" si="291"/>
        <v>7.1996333618769464E-3</v>
      </c>
      <c r="Y281" s="528">
        <f t="shared" si="291"/>
        <v>9.0806274369767681E-3</v>
      </c>
      <c r="Z281" s="528">
        <f t="shared" si="291"/>
        <v>1.1282822143801118E-2</v>
      </c>
      <c r="AA281" s="528">
        <f t="shared" si="291"/>
        <v>1.3810710988413976E-2</v>
      </c>
      <c r="AB281" s="528">
        <f t="shared" si="291"/>
        <v>1.6653700291203156E-2</v>
      </c>
      <c r="AC281" s="528">
        <f t="shared" si="291"/>
        <v>1.9783442596200494E-2</v>
      </c>
      <c r="AD281" s="528">
        <f t="shared" si="291"/>
        <v>2.3152047608154883E-2</v>
      </c>
      <c r="AE281" s="528">
        <f t="shared" si="291"/>
        <v>2.6691523643346503E-2</v>
      </c>
      <c r="AF281" s="528">
        <f t="shared" si="291"/>
        <v>3.0314732821346373E-2</v>
      </c>
      <c r="AG281" s="528">
        <f t="shared" si="291"/>
        <v>3.3918024274876141E-2</v>
      </c>
      <c r="AH281" s="528">
        <f t="shared" si="291"/>
        <v>3.7385549817428206E-2</v>
      </c>
      <c r="AI281" s="528">
        <f t="shared" si="291"/>
        <v>4.0595081936007089E-2</v>
      </c>
      <c r="AJ281" s="528">
        <f t="shared" si="291"/>
        <v>4.3424967133250857E-2</v>
      </c>
      <c r="AK281" s="528">
        <f t="shared" si="291"/>
        <v>4.5761684355432583E-2</v>
      </c>
      <c r="AL281" s="528">
        <f t="shared" si="291"/>
        <v>4.7507363731403622E-2</v>
      </c>
      <c r="AM281" s="528">
        <f t="shared" si="291"/>
        <v>4.8586575408303113E-2</v>
      </c>
      <c r="AN281" s="528">
        <f t="shared" si="291"/>
        <v>4.8951733419374477E-2</v>
      </c>
      <c r="AO281" s="528">
        <f t="shared" si="291"/>
        <v>4.8586575408303169E-2</v>
      </c>
      <c r="AP281" s="528">
        <f t="shared" si="291"/>
        <v>4.7507363731403622E-2</v>
      </c>
      <c r="AQ281" s="528">
        <f t="shared" si="291"/>
        <v>4.5761684355432583E-2</v>
      </c>
      <c r="AR281" s="528">
        <f t="shared" si="291"/>
        <v>4.3424967133250857E-2</v>
      </c>
      <c r="AS281" s="528">
        <f t="shared" si="291"/>
        <v>4.0595081936007034E-2</v>
      </c>
      <c r="AT281" s="528">
        <f t="shared" si="291"/>
        <v>3.7385549817428289E-2</v>
      </c>
      <c r="AU281" s="528">
        <f t="shared" si="291"/>
        <v>3.3918024274876085E-2</v>
      </c>
      <c r="AV281" s="528">
        <f t="shared" si="291"/>
        <v>3.0314732821346401E-2</v>
      </c>
      <c r="AW281" s="528">
        <f t="shared" si="291"/>
        <v>2.6691523643346503E-2</v>
      </c>
      <c r="AX281" s="528">
        <f t="shared" si="291"/>
        <v>2.3152047608154869E-2</v>
      </c>
      <c r="AY281" s="528">
        <f t="shared" si="291"/>
        <v>1.9783442596200521E-2</v>
      </c>
      <c r="AZ281" s="528">
        <f t="shared" si="291"/>
        <v>1.66537002912031E-2</v>
      </c>
      <c r="BA281" s="528">
        <f t="shared" si="291"/>
        <v>1.3810710988414025E-2</v>
      </c>
      <c r="BB281" s="528">
        <f t="shared" si="291"/>
        <v>1.1282822143801111E-2</v>
      </c>
      <c r="BC281" s="528">
        <f t="shared" si="291"/>
        <v>9.0806274369767716E-3</v>
      </c>
      <c r="BD281" s="528">
        <f t="shared" si="291"/>
        <v>7.1996333618769915E-3</v>
      </c>
      <c r="BE281" s="528">
        <f t="shared" si="291"/>
        <v>5.6234301966381801E-3</v>
      </c>
      <c r="BF281" s="528">
        <f t="shared" si="291"/>
        <v>4.3270173674838019E-3</v>
      </c>
      <c r="BG281" s="528">
        <f t="shared" si="291"/>
        <v>3.2799888448326983E-3</v>
      </c>
      <c r="BH281" s="528">
        <f t="shared" si="291"/>
        <v>2.4493592618654659E-3</v>
      </c>
      <c r="BI281" s="528">
        <f t="shared" si="291"/>
        <v>1.8018930312775981E-3</v>
      </c>
      <c r="BJ281" s="528">
        <f t="shared" si="291"/>
        <v>1.3058759061207142E-3</v>
      </c>
      <c r="BK281" s="528">
        <f t="shared" si="291"/>
        <v>9.323333009731993E-4</v>
      </c>
      <c r="BL281" s="528">
        <f t="shared" si="291"/>
        <v>6.5574783309921281E-4</v>
      </c>
      <c r="BM281" s="528" t="str">
        <f t="shared" si="291"/>
        <v/>
      </c>
    </row>
    <row r="282" spans="6:65" ht="15.75" customHeight="1" x14ac:dyDescent="0.25">
      <c r="F282" s="197"/>
      <c r="G282" s="197">
        <f t="shared" si="268"/>
        <v>0</v>
      </c>
      <c r="H282" s="197">
        <f t="shared" si="269"/>
        <v>506</v>
      </c>
      <c r="I282" s="523">
        <v>1</v>
      </c>
      <c r="J282" s="533">
        <f>'Monthly DCF'!$I$3</f>
        <v>46418</v>
      </c>
      <c r="K282" s="533">
        <f t="shared" si="270"/>
        <v>47907</v>
      </c>
      <c r="L282" s="536">
        <f t="shared" si="243"/>
        <v>50</v>
      </c>
      <c r="M282" s="20" t="s">
        <v>366</v>
      </c>
      <c r="N282" s="20">
        <f t="shared" si="271"/>
        <v>8.3333333333333339</v>
      </c>
      <c r="O282" s="537">
        <v>6</v>
      </c>
      <c r="P282" s="528">
        <f t="shared" ref="P282:BM282" si="292">IFERROR(+IF(AND($M282="Flat",P$5&gt;=$J282,P$5&lt;=$K282),$I282/$L282,0)+IF(AND($M282="S-Curve",P$5&gt;=$J282,P$5&lt;=$K282),(_xlfn.NORM.DIST((YEAR(P$5)-YEAR($J282))*12+MONTH(P$5)-MONTH($J282)+1,$L282/2,$N282,TRUE)-_xlfn.NORM.DIST((YEAR(P$5)-YEAR($J282))*12+MONTH(P$5)-MONTH($J282),$L282/2,$N282,TRUE))/(1-2*_xlfn.NORM.DIST(0,$L282/2,$N282,TRUE))*$I282," "),"")</f>
        <v>6.4020624957651315E-4</v>
      </c>
      <c r="Q282" s="528">
        <f t="shared" si="292"/>
        <v>9.0413319657660124E-4</v>
      </c>
      <c r="R282" s="528">
        <f t="shared" si="292"/>
        <v>1.2586313327270901E-3</v>
      </c>
      <c r="S282" s="528">
        <f t="shared" si="292"/>
        <v>1.7271031806645203E-3</v>
      </c>
      <c r="T282" s="528">
        <f t="shared" si="292"/>
        <v>2.3361012061031846E-3</v>
      </c>
      <c r="U282" s="528">
        <f t="shared" si="292"/>
        <v>3.1147174157739343E-3</v>
      </c>
      <c r="V282" s="528">
        <f t="shared" si="292"/>
        <v>4.0935422746906638E-3</v>
      </c>
      <c r="W282" s="528">
        <f t="shared" si="292"/>
        <v>5.3031454934707517E-3</v>
      </c>
      <c r="X282" s="528">
        <f t="shared" si="292"/>
        <v>6.7720700458165882E-3</v>
      </c>
      <c r="Y282" s="528">
        <f t="shared" si="292"/>
        <v>8.5243835061205447E-3</v>
      </c>
      <c r="Z282" s="528">
        <f t="shared" si="292"/>
        <v>1.0576894208138897E-2</v>
      </c>
      <c r="AA282" s="528">
        <f t="shared" si="292"/>
        <v>1.2936207854111053E-2</v>
      </c>
      <c r="AB282" s="528">
        <f t="shared" si="292"/>
        <v>1.559586459336631E-2</v>
      </c>
      <c r="AC282" s="528">
        <f t="shared" si="292"/>
        <v>1.853384706649195E-2</v>
      </c>
      <c r="AD282" s="528">
        <f t="shared" si="292"/>
        <v>2.171077589552952E-2</v>
      </c>
      <c r="AE282" s="528">
        <f t="shared" si="292"/>
        <v>2.5069101328135925E-2</v>
      </c>
      <c r="AF282" s="528">
        <f t="shared" si="292"/>
        <v>2.8533552149833708E-2</v>
      </c>
      <c r="AG282" s="528">
        <f t="shared" si="292"/>
        <v>3.2013014403872518E-2</v>
      </c>
      <c r="AH282" s="528">
        <f t="shared" si="292"/>
        <v>3.5403887795696469E-2</v>
      </c>
      <c r="AI282" s="528">
        <f t="shared" si="292"/>
        <v>3.8594818108814793E-2</v>
      </c>
      <c r="AJ282" s="528">
        <f t="shared" si="292"/>
        <v>4.1472546183067435E-2</v>
      </c>
      <c r="AK282" s="528">
        <f t="shared" si="292"/>
        <v>4.3928468171219912E-2</v>
      </c>
      <c r="AL282" s="528">
        <f t="shared" si="292"/>
        <v>4.5865388716090971E-2</v>
      </c>
      <c r="AM282" s="528">
        <f t="shared" si="292"/>
        <v>4.7203886544274792E-2</v>
      </c>
      <c r="AN282" s="528">
        <f t="shared" si="292"/>
        <v>4.7887713079835359E-2</v>
      </c>
      <c r="AO282" s="528">
        <f t="shared" si="292"/>
        <v>4.7887713079835359E-2</v>
      </c>
      <c r="AP282" s="528">
        <f t="shared" si="292"/>
        <v>4.7203886544274737E-2</v>
      </c>
      <c r="AQ282" s="528">
        <f t="shared" si="292"/>
        <v>4.5865388716091089E-2</v>
      </c>
      <c r="AR282" s="528">
        <f t="shared" si="292"/>
        <v>4.3928468171219801E-2</v>
      </c>
      <c r="AS282" s="528">
        <f t="shared" si="292"/>
        <v>4.1472546183067491E-2</v>
      </c>
      <c r="AT282" s="528">
        <f t="shared" si="292"/>
        <v>3.8594818108814793E-2</v>
      </c>
      <c r="AU282" s="528">
        <f t="shared" si="292"/>
        <v>3.5403887795696441E-2</v>
      </c>
      <c r="AV282" s="528">
        <f t="shared" si="292"/>
        <v>3.2013014403872518E-2</v>
      </c>
      <c r="AW282" s="528">
        <f t="shared" si="292"/>
        <v>2.8533552149833708E-2</v>
      </c>
      <c r="AX282" s="528">
        <f t="shared" si="292"/>
        <v>2.5069101328136008E-2</v>
      </c>
      <c r="AY282" s="528">
        <f t="shared" si="292"/>
        <v>2.1710775895529506E-2</v>
      </c>
      <c r="AZ282" s="528">
        <f t="shared" si="292"/>
        <v>1.8533847066491922E-2</v>
      </c>
      <c r="BA282" s="528">
        <f t="shared" si="292"/>
        <v>1.5595864593366345E-2</v>
      </c>
      <c r="BB282" s="528">
        <f t="shared" si="292"/>
        <v>1.2936207854110983E-2</v>
      </c>
      <c r="BC282" s="528">
        <f t="shared" si="292"/>
        <v>1.0576894208138959E-2</v>
      </c>
      <c r="BD282" s="528">
        <f t="shared" si="292"/>
        <v>8.52438350612051E-3</v>
      </c>
      <c r="BE282" s="528">
        <f t="shared" si="292"/>
        <v>6.7720700458165466E-3</v>
      </c>
      <c r="BF282" s="528">
        <f t="shared" si="292"/>
        <v>5.3031454934707603E-3</v>
      </c>
      <c r="BG282" s="528">
        <f t="shared" si="292"/>
        <v>4.0935422746906846E-3</v>
      </c>
      <c r="BH282" s="528">
        <f t="shared" si="292"/>
        <v>3.1147174157739148E-3</v>
      </c>
      <c r="BI282" s="528">
        <f t="shared" si="292"/>
        <v>2.3361012061032175E-3</v>
      </c>
      <c r="BJ282" s="528">
        <f t="shared" si="292"/>
        <v>1.7271031806644749E-3</v>
      </c>
      <c r="BK282" s="528">
        <f t="shared" si="292"/>
        <v>1.2586313327271126E-3</v>
      </c>
      <c r="BL282" s="528">
        <f t="shared" si="292"/>
        <v>9.0413319657663171E-4</v>
      </c>
      <c r="BM282" s="528">
        <f t="shared" si="292"/>
        <v>6.4020624957648637E-4</v>
      </c>
    </row>
    <row r="283" spans="6:65" ht="15.75" customHeight="1" x14ac:dyDescent="0.25">
      <c r="F283" s="197"/>
      <c r="G283" s="197">
        <f t="shared" si="268"/>
        <v>0</v>
      </c>
      <c r="H283" s="197">
        <f t="shared" si="269"/>
        <v>57</v>
      </c>
      <c r="I283" s="523">
        <v>1</v>
      </c>
      <c r="J283" s="533">
        <f>'Monthly DCF'!$I$3</f>
        <v>46418</v>
      </c>
      <c r="K283" s="533">
        <f t="shared" si="270"/>
        <v>46538</v>
      </c>
      <c r="L283" s="536">
        <v>5</v>
      </c>
      <c r="M283" s="20" t="s">
        <v>366</v>
      </c>
      <c r="N283" s="20">
        <f t="shared" si="271"/>
        <v>0.7142857142857143</v>
      </c>
      <c r="O283" s="537">
        <v>7</v>
      </c>
      <c r="P283" s="528">
        <f t="shared" ref="P283:BM283" si="293">IFERROR(+IF(AND($M283="Flat",P$5&gt;=$J283,P$5&lt;=$K283),$I283/$L283,0)+IF(AND($M283="S-Curve",P$5&gt;=$J283,P$5&lt;=$K283),(_xlfn.NORM.DIST((YEAR(P$5)-YEAR($J283))*12+MONTH(P$5)-MONTH($J283)+1,$L283/2,$N283,TRUE)-_xlfn.NORM.DIST((YEAR(P$5)-YEAR($J283))*12+MONTH(P$5)-MONTH($J283),$L283/2,$N283,TRUE))/(1-2*_xlfn.NORM.DIST(0,$L283/2,$N283,TRUE))*$I283," "),"")</f>
        <v>1.7639998637055274E-2</v>
      </c>
      <c r="Q283" s="528">
        <f t="shared" si="293"/>
        <v>0.22420354418825847</v>
      </c>
      <c r="R283" s="528">
        <f t="shared" si="293"/>
        <v>0.51631291434937243</v>
      </c>
      <c r="S283" s="528">
        <f t="shared" si="293"/>
        <v>0.2242035441882585</v>
      </c>
      <c r="T283" s="528">
        <f t="shared" si="293"/>
        <v>1.7639998637055277E-2</v>
      </c>
      <c r="U283" s="528" t="str">
        <f t="shared" si="293"/>
        <v/>
      </c>
      <c r="V283" s="528" t="str">
        <f t="shared" si="293"/>
        <v/>
      </c>
      <c r="W283" s="528" t="str">
        <f t="shared" si="293"/>
        <v/>
      </c>
      <c r="X283" s="528" t="str">
        <f t="shared" si="293"/>
        <v/>
      </c>
      <c r="Y283" s="528" t="str">
        <f t="shared" si="293"/>
        <v/>
      </c>
      <c r="Z283" s="528" t="str">
        <f t="shared" si="293"/>
        <v/>
      </c>
      <c r="AA283" s="528" t="str">
        <f t="shared" si="293"/>
        <v/>
      </c>
      <c r="AB283" s="528" t="str">
        <f t="shared" si="293"/>
        <v/>
      </c>
      <c r="AC283" s="528" t="str">
        <f t="shared" si="293"/>
        <v/>
      </c>
      <c r="AD283" s="528" t="str">
        <f t="shared" si="293"/>
        <v/>
      </c>
      <c r="AE283" s="528" t="str">
        <f t="shared" si="293"/>
        <v/>
      </c>
      <c r="AF283" s="528" t="str">
        <f t="shared" si="293"/>
        <v/>
      </c>
      <c r="AG283" s="528" t="str">
        <f t="shared" si="293"/>
        <v/>
      </c>
      <c r="AH283" s="528" t="str">
        <f t="shared" si="293"/>
        <v/>
      </c>
      <c r="AI283" s="528" t="str">
        <f t="shared" si="293"/>
        <v/>
      </c>
      <c r="AJ283" s="528" t="str">
        <f t="shared" si="293"/>
        <v/>
      </c>
      <c r="AK283" s="528" t="str">
        <f t="shared" si="293"/>
        <v/>
      </c>
      <c r="AL283" s="528" t="str">
        <f t="shared" si="293"/>
        <v/>
      </c>
      <c r="AM283" s="528" t="str">
        <f t="shared" si="293"/>
        <v/>
      </c>
      <c r="AN283" s="528" t="str">
        <f t="shared" si="293"/>
        <v/>
      </c>
      <c r="AO283" s="528" t="str">
        <f t="shared" si="293"/>
        <v/>
      </c>
      <c r="AP283" s="528" t="str">
        <f t="shared" si="293"/>
        <v/>
      </c>
      <c r="AQ283" s="528" t="str">
        <f t="shared" si="293"/>
        <v/>
      </c>
      <c r="AR283" s="528" t="str">
        <f t="shared" si="293"/>
        <v/>
      </c>
      <c r="AS283" s="528" t="str">
        <f t="shared" si="293"/>
        <v/>
      </c>
      <c r="AT283" s="528" t="str">
        <f t="shared" si="293"/>
        <v/>
      </c>
      <c r="AU283" s="528" t="str">
        <f t="shared" si="293"/>
        <v/>
      </c>
      <c r="AV283" s="528" t="str">
        <f t="shared" si="293"/>
        <v/>
      </c>
      <c r="AW283" s="528" t="str">
        <f t="shared" si="293"/>
        <v/>
      </c>
      <c r="AX283" s="528" t="str">
        <f t="shared" si="293"/>
        <v/>
      </c>
      <c r="AY283" s="528" t="str">
        <f t="shared" si="293"/>
        <v/>
      </c>
      <c r="AZ283" s="528" t="str">
        <f t="shared" si="293"/>
        <v/>
      </c>
      <c r="BA283" s="528" t="str">
        <f t="shared" si="293"/>
        <v/>
      </c>
      <c r="BB283" s="528" t="str">
        <f t="shared" si="293"/>
        <v/>
      </c>
      <c r="BC283" s="528" t="str">
        <f t="shared" si="293"/>
        <v/>
      </c>
      <c r="BD283" s="528" t="str">
        <f t="shared" si="293"/>
        <v/>
      </c>
      <c r="BE283" s="528" t="str">
        <f t="shared" si="293"/>
        <v/>
      </c>
      <c r="BF283" s="528" t="str">
        <f t="shared" si="293"/>
        <v/>
      </c>
      <c r="BG283" s="528" t="str">
        <f t="shared" si="293"/>
        <v/>
      </c>
      <c r="BH283" s="528" t="str">
        <f t="shared" si="293"/>
        <v/>
      </c>
      <c r="BI283" s="528" t="str">
        <f t="shared" si="293"/>
        <v/>
      </c>
      <c r="BJ283" s="528" t="str">
        <f t="shared" si="293"/>
        <v/>
      </c>
      <c r="BK283" s="528" t="str">
        <f t="shared" si="293"/>
        <v/>
      </c>
      <c r="BL283" s="528" t="str">
        <f t="shared" si="293"/>
        <v/>
      </c>
      <c r="BM283" s="528" t="str">
        <f t="shared" si="293"/>
        <v/>
      </c>
    </row>
    <row r="284" spans="6:65" ht="15.75" customHeight="1" x14ac:dyDescent="0.25">
      <c r="F284" s="197"/>
      <c r="G284" s="197">
        <f t="shared" si="268"/>
        <v>0</v>
      </c>
      <c r="H284" s="197">
        <f t="shared" si="269"/>
        <v>67</v>
      </c>
      <c r="I284" s="523">
        <v>1</v>
      </c>
      <c r="J284" s="533">
        <f>'Monthly DCF'!$I$3</f>
        <v>46418</v>
      </c>
      <c r="K284" s="533">
        <f t="shared" si="270"/>
        <v>46568</v>
      </c>
      <c r="L284" s="536">
        <f t="shared" ref="L284:L328" si="294">L283+1</f>
        <v>6</v>
      </c>
      <c r="M284" s="20" t="s">
        <v>366</v>
      </c>
      <c r="N284" s="20">
        <f t="shared" si="271"/>
        <v>0.8571428571428571</v>
      </c>
      <c r="O284" s="537">
        <v>7</v>
      </c>
      <c r="P284" s="528">
        <f t="shared" ref="P284:BM284" si="295">IFERROR(+IF(AND($M284="Flat",P$5&gt;=$J284,P$5&lt;=$K284),$I284/$L284,0)+IF(AND($M284="S-Curve",P$5&gt;=$J284,P$5&lt;=$K284),(_xlfn.NORM.DIST((YEAR(P$5)-YEAR($J284))*12+MONTH(P$5)-MONTH($J284)+1,$L284/2,$N284,TRUE)-_xlfn.NORM.DIST((YEAR(P$5)-YEAR($J284))*12+MONTH(P$5)-MONTH($J284),$L284/2,$N284,TRUE))/(1-2*_xlfn.NORM.DIST(0,$L284/2,$N284,TRUE))*$I284," "),"")</f>
        <v>9.5871600540376849E-3</v>
      </c>
      <c r="Q284" s="528">
        <f t="shared" si="295"/>
        <v>0.11190924263383485</v>
      </c>
      <c r="R284" s="528">
        <f t="shared" si="295"/>
        <v>0.37850359731212746</v>
      </c>
      <c r="S284" s="528">
        <f t="shared" si="295"/>
        <v>0.37850359731212746</v>
      </c>
      <c r="T284" s="528">
        <f t="shared" si="295"/>
        <v>0.11190924263383491</v>
      </c>
      <c r="U284" s="528">
        <f t="shared" si="295"/>
        <v>9.5871600540376484E-3</v>
      </c>
      <c r="V284" s="528" t="str">
        <f t="shared" si="295"/>
        <v/>
      </c>
      <c r="W284" s="528" t="str">
        <f t="shared" si="295"/>
        <v/>
      </c>
      <c r="X284" s="528" t="str">
        <f t="shared" si="295"/>
        <v/>
      </c>
      <c r="Y284" s="528" t="str">
        <f t="shared" si="295"/>
        <v/>
      </c>
      <c r="Z284" s="528" t="str">
        <f t="shared" si="295"/>
        <v/>
      </c>
      <c r="AA284" s="528" t="str">
        <f t="shared" si="295"/>
        <v/>
      </c>
      <c r="AB284" s="528" t="str">
        <f t="shared" si="295"/>
        <v/>
      </c>
      <c r="AC284" s="528" t="str">
        <f t="shared" si="295"/>
        <v/>
      </c>
      <c r="AD284" s="528" t="str">
        <f t="shared" si="295"/>
        <v/>
      </c>
      <c r="AE284" s="528" t="str">
        <f t="shared" si="295"/>
        <v/>
      </c>
      <c r="AF284" s="528" t="str">
        <f t="shared" si="295"/>
        <v/>
      </c>
      <c r="AG284" s="528" t="str">
        <f t="shared" si="295"/>
        <v/>
      </c>
      <c r="AH284" s="528" t="str">
        <f t="shared" si="295"/>
        <v/>
      </c>
      <c r="AI284" s="528" t="str">
        <f t="shared" si="295"/>
        <v/>
      </c>
      <c r="AJ284" s="528" t="str">
        <f t="shared" si="295"/>
        <v/>
      </c>
      <c r="AK284" s="528" t="str">
        <f t="shared" si="295"/>
        <v/>
      </c>
      <c r="AL284" s="528" t="str">
        <f t="shared" si="295"/>
        <v/>
      </c>
      <c r="AM284" s="528" t="str">
        <f t="shared" si="295"/>
        <v/>
      </c>
      <c r="AN284" s="528" t="str">
        <f t="shared" si="295"/>
        <v/>
      </c>
      <c r="AO284" s="528" t="str">
        <f t="shared" si="295"/>
        <v/>
      </c>
      <c r="AP284" s="528" t="str">
        <f t="shared" si="295"/>
        <v/>
      </c>
      <c r="AQ284" s="528" t="str">
        <f t="shared" si="295"/>
        <v/>
      </c>
      <c r="AR284" s="528" t="str">
        <f t="shared" si="295"/>
        <v/>
      </c>
      <c r="AS284" s="528" t="str">
        <f t="shared" si="295"/>
        <v/>
      </c>
      <c r="AT284" s="528" t="str">
        <f t="shared" si="295"/>
        <v/>
      </c>
      <c r="AU284" s="528" t="str">
        <f t="shared" si="295"/>
        <v/>
      </c>
      <c r="AV284" s="528" t="str">
        <f t="shared" si="295"/>
        <v/>
      </c>
      <c r="AW284" s="528" t="str">
        <f t="shared" si="295"/>
        <v/>
      </c>
      <c r="AX284" s="528" t="str">
        <f t="shared" si="295"/>
        <v/>
      </c>
      <c r="AY284" s="528" t="str">
        <f t="shared" si="295"/>
        <v/>
      </c>
      <c r="AZ284" s="528" t="str">
        <f t="shared" si="295"/>
        <v/>
      </c>
      <c r="BA284" s="528" t="str">
        <f t="shared" si="295"/>
        <v/>
      </c>
      <c r="BB284" s="528" t="str">
        <f t="shared" si="295"/>
        <v/>
      </c>
      <c r="BC284" s="528" t="str">
        <f t="shared" si="295"/>
        <v/>
      </c>
      <c r="BD284" s="528" t="str">
        <f t="shared" si="295"/>
        <v/>
      </c>
      <c r="BE284" s="528" t="str">
        <f t="shared" si="295"/>
        <v/>
      </c>
      <c r="BF284" s="528" t="str">
        <f t="shared" si="295"/>
        <v/>
      </c>
      <c r="BG284" s="528" t="str">
        <f t="shared" si="295"/>
        <v/>
      </c>
      <c r="BH284" s="528" t="str">
        <f t="shared" si="295"/>
        <v/>
      </c>
      <c r="BI284" s="528" t="str">
        <f t="shared" si="295"/>
        <v/>
      </c>
      <c r="BJ284" s="528" t="str">
        <f t="shared" si="295"/>
        <v/>
      </c>
      <c r="BK284" s="528" t="str">
        <f t="shared" si="295"/>
        <v/>
      </c>
      <c r="BL284" s="528" t="str">
        <f t="shared" si="295"/>
        <v/>
      </c>
      <c r="BM284" s="528" t="str">
        <f t="shared" si="295"/>
        <v/>
      </c>
    </row>
    <row r="285" spans="6:65" ht="15.75" customHeight="1" x14ac:dyDescent="0.25">
      <c r="F285" s="197"/>
      <c r="G285" s="197">
        <f t="shared" si="268"/>
        <v>0</v>
      </c>
      <c r="H285" s="197">
        <f t="shared" si="269"/>
        <v>77</v>
      </c>
      <c r="I285" s="523">
        <v>1</v>
      </c>
      <c r="J285" s="533">
        <f>'Monthly DCF'!$I$3</f>
        <v>46418</v>
      </c>
      <c r="K285" s="533">
        <f t="shared" si="270"/>
        <v>46599</v>
      </c>
      <c r="L285" s="536">
        <f t="shared" si="294"/>
        <v>7</v>
      </c>
      <c r="M285" s="20" t="s">
        <v>366</v>
      </c>
      <c r="N285" s="20">
        <f t="shared" si="271"/>
        <v>1</v>
      </c>
      <c r="O285" s="537">
        <v>7</v>
      </c>
      <c r="P285" s="528">
        <f t="shared" ref="P285:BM285" si="296">IFERROR(+IF(AND($M285="Flat",P$5&gt;=$J285,P$5&lt;=$K285),$I285/$L285,0)+IF(AND($M285="S-Curve",P$5&gt;=$J285,P$5&lt;=$K285),(_xlfn.NORM.DIST((YEAR(P$5)-YEAR($J285))*12+MONTH(P$5)-MONTH($J285)+1,$L285/2,$N285,TRUE)-_xlfn.NORM.DIST((YEAR(P$5)-YEAR($J285))*12+MONTH(P$5)-MONTH($J285),$L285/2,$N285,TRUE))/(1-2*_xlfn.NORM.DIST(0,$L285/2,$N285,TRUE))*$I285," "),"")</f>
        <v>5.9798184060378002E-3</v>
      </c>
      <c r="Q285" s="528">
        <f t="shared" si="296"/>
        <v>6.0625742564399128E-2</v>
      </c>
      <c r="R285" s="528">
        <f t="shared" si="296"/>
        <v>0.2418428568192352</v>
      </c>
      <c r="S285" s="528">
        <f t="shared" si="296"/>
        <v>0.38310316442065578</v>
      </c>
      <c r="T285" s="528">
        <f t="shared" si="296"/>
        <v>0.24184285681923517</v>
      </c>
      <c r="U285" s="528">
        <f t="shared" si="296"/>
        <v>6.0625742564399128E-2</v>
      </c>
      <c r="V285" s="528">
        <f t="shared" si="296"/>
        <v>5.9798184060378115E-3</v>
      </c>
      <c r="W285" s="528" t="str">
        <f t="shared" si="296"/>
        <v/>
      </c>
      <c r="X285" s="528" t="str">
        <f t="shared" si="296"/>
        <v/>
      </c>
      <c r="Y285" s="528" t="str">
        <f t="shared" si="296"/>
        <v/>
      </c>
      <c r="Z285" s="528" t="str">
        <f t="shared" si="296"/>
        <v/>
      </c>
      <c r="AA285" s="528" t="str">
        <f t="shared" si="296"/>
        <v/>
      </c>
      <c r="AB285" s="528" t="str">
        <f t="shared" si="296"/>
        <v/>
      </c>
      <c r="AC285" s="528" t="str">
        <f t="shared" si="296"/>
        <v/>
      </c>
      <c r="AD285" s="528" t="str">
        <f t="shared" si="296"/>
        <v/>
      </c>
      <c r="AE285" s="528" t="str">
        <f t="shared" si="296"/>
        <v/>
      </c>
      <c r="AF285" s="528" t="str">
        <f t="shared" si="296"/>
        <v/>
      </c>
      <c r="AG285" s="528" t="str">
        <f t="shared" si="296"/>
        <v/>
      </c>
      <c r="AH285" s="528" t="str">
        <f t="shared" si="296"/>
        <v/>
      </c>
      <c r="AI285" s="528" t="str">
        <f t="shared" si="296"/>
        <v/>
      </c>
      <c r="AJ285" s="528" t="str">
        <f t="shared" si="296"/>
        <v/>
      </c>
      <c r="AK285" s="528" t="str">
        <f t="shared" si="296"/>
        <v/>
      </c>
      <c r="AL285" s="528" t="str">
        <f t="shared" si="296"/>
        <v/>
      </c>
      <c r="AM285" s="528" t="str">
        <f t="shared" si="296"/>
        <v/>
      </c>
      <c r="AN285" s="528" t="str">
        <f t="shared" si="296"/>
        <v/>
      </c>
      <c r="AO285" s="528" t="str">
        <f t="shared" si="296"/>
        <v/>
      </c>
      <c r="AP285" s="528" t="str">
        <f t="shared" si="296"/>
        <v/>
      </c>
      <c r="AQ285" s="528" t="str">
        <f t="shared" si="296"/>
        <v/>
      </c>
      <c r="AR285" s="528" t="str">
        <f t="shared" si="296"/>
        <v/>
      </c>
      <c r="AS285" s="528" t="str">
        <f t="shared" si="296"/>
        <v/>
      </c>
      <c r="AT285" s="528" t="str">
        <f t="shared" si="296"/>
        <v/>
      </c>
      <c r="AU285" s="528" t="str">
        <f t="shared" si="296"/>
        <v/>
      </c>
      <c r="AV285" s="528" t="str">
        <f t="shared" si="296"/>
        <v/>
      </c>
      <c r="AW285" s="528" t="str">
        <f t="shared" si="296"/>
        <v/>
      </c>
      <c r="AX285" s="528" t="str">
        <f t="shared" si="296"/>
        <v/>
      </c>
      <c r="AY285" s="528" t="str">
        <f t="shared" si="296"/>
        <v/>
      </c>
      <c r="AZ285" s="528" t="str">
        <f t="shared" si="296"/>
        <v/>
      </c>
      <c r="BA285" s="528" t="str">
        <f t="shared" si="296"/>
        <v/>
      </c>
      <c r="BB285" s="528" t="str">
        <f t="shared" si="296"/>
        <v/>
      </c>
      <c r="BC285" s="528" t="str">
        <f t="shared" si="296"/>
        <v/>
      </c>
      <c r="BD285" s="528" t="str">
        <f t="shared" si="296"/>
        <v/>
      </c>
      <c r="BE285" s="528" t="str">
        <f t="shared" si="296"/>
        <v/>
      </c>
      <c r="BF285" s="528" t="str">
        <f t="shared" si="296"/>
        <v/>
      </c>
      <c r="BG285" s="528" t="str">
        <f t="shared" si="296"/>
        <v/>
      </c>
      <c r="BH285" s="528" t="str">
        <f t="shared" si="296"/>
        <v/>
      </c>
      <c r="BI285" s="528" t="str">
        <f t="shared" si="296"/>
        <v/>
      </c>
      <c r="BJ285" s="528" t="str">
        <f t="shared" si="296"/>
        <v/>
      </c>
      <c r="BK285" s="528" t="str">
        <f t="shared" si="296"/>
        <v/>
      </c>
      <c r="BL285" s="528" t="str">
        <f t="shared" si="296"/>
        <v/>
      </c>
      <c r="BM285" s="528" t="str">
        <f t="shared" si="296"/>
        <v/>
      </c>
    </row>
    <row r="286" spans="6:65" ht="15.75" customHeight="1" x14ac:dyDescent="0.25">
      <c r="F286" s="197"/>
      <c r="G286" s="197">
        <f t="shared" si="268"/>
        <v>0</v>
      </c>
      <c r="H286" s="197">
        <f t="shared" si="269"/>
        <v>87</v>
      </c>
      <c r="I286" s="523">
        <v>1</v>
      </c>
      <c r="J286" s="533">
        <f>'Monthly DCF'!$I$3</f>
        <v>46418</v>
      </c>
      <c r="K286" s="533">
        <f t="shared" si="270"/>
        <v>46630</v>
      </c>
      <c r="L286" s="536">
        <f t="shared" si="294"/>
        <v>8</v>
      </c>
      <c r="M286" s="20" t="s">
        <v>366</v>
      </c>
      <c r="N286" s="20">
        <f t="shared" si="271"/>
        <v>1.1428571428571428</v>
      </c>
      <c r="O286" s="537">
        <v>7</v>
      </c>
      <c r="P286" s="528">
        <f t="shared" ref="P286:BM286" si="297">IFERROR(+IF(AND($M286="Flat",P$5&gt;=$J286,P$5&lt;=$K286),$I286/$L286,0)+IF(AND($M286="S-Curve",P$5&gt;=$J286,P$5&lt;=$K286),(_xlfn.NORM.DIST((YEAR(P$5)-YEAR($J286))*12+MONTH(P$5)-MONTH($J286)+1,$L286/2,$N286,TRUE)-_xlfn.NORM.DIST((YEAR(P$5)-YEAR($J286))*12+MONTH(P$5)-MONTH($J286),$L286/2,$N286,TRUE))/(1-2*_xlfn.NORM.DIST(0,$L286/2,$N286,TRUE))*$I286," "),"")</f>
        <v>4.1017276462266229E-3</v>
      </c>
      <c r="Q286" s="528">
        <f t="shared" si="297"/>
        <v>3.5743338380582808E-2</v>
      </c>
      <c r="R286" s="528">
        <f t="shared" si="297"/>
        <v>0.15079795596792803</v>
      </c>
      <c r="S286" s="528">
        <f t="shared" si="297"/>
        <v>0.30935697800526252</v>
      </c>
      <c r="T286" s="528">
        <f t="shared" si="297"/>
        <v>0.30935697800526257</v>
      </c>
      <c r="U286" s="528">
        <f t="shared" si="297"/>
        <v>0.15079795596792797</v>
      </c>
      <c r="V286" s="528">
        <f t="shared" si="297"/>
        <v>3.5743338380582766E-2</v>
      </c>
      <c r="W286" s="528">
        <f t="shared" si="297"/>
        <v>4.101727646226661E-3</v>
      </c>
      <c r="X286" s="528" t="str">
        <f t="shared" si="297"/>
        <v/>
      </c>
      <c r="Y286" s="528" t="str">
        <f t="shared" si="297"/>
        <v/>
      </c>
      <c r="Z286" s="528" t="str">
        <f t="shared" si="297"/>
        <v/>
      </c>
      <c r="AA286" s="528" t="str">
        <f t="shared" si="297"/>
        <v/>
      </c>
      <c r="AB286" s="528" t="str">
        <f t="shared" si="297"/>
        <v/>
      </c>
      <c r="AC286" s="528" t="str">
        <f t="shared" si="297"/>
        <v/>
      </c>
      <c r="AD286" s="528" t="str">
        <f t="shared" si="297"/>
        <v/>
      </c>
      <c r="AE286" s="528" t="str">
        <f t="shared" si="297"/>
        <v/>
      </c>
      <c r="AF286" s="528" t="str">
        <f t="shared" si="297"/>
        <v/>
      </c>
      <c r="AG286" s="528" t="str">
        <f t="shared" si="297"/>
        <v/>
      </c>
      <c r="AH286" s="528" t="str">
        <f t="shared" si="297"/>
        <v/>
      </c>
      <c r="AI286" s="528" t="str">
        <f t="shared" si="297"/>
        <v/>
      </c>
      <c r="AJ286" s="528" t="str">
        <f t="shared" si="297"/>
        <v/>
      </c>
      <c r="AK286" s="528" t="str">
        <f t="shared" si="297"/>
        <v/>
      </c>
      <c r="AL286" s="528" t="str">
        <f t="shared" si="297"/>
        <v/>
      </c>
      <c r="AM286" s="528" t="str">
        <f t="shared" si="297"/>
        <v/>
      </c>
      <c r="AN286" s="528" t="str">
        <f t="shared" si="297"/>
        <v/>
      </c>
      <c r="AO286" s="528" t="str">
        <f t="shared" si="297"/>
        <v/>
      </c>
      <c r="AP286" s="528" t="str">
        <f t="shared" si="297"/>
        <v/>
      </c>
      <c r="AQ286" s="528" t="str">
        <f t="shared" si="297"/>
        <v/>
      </c>
      <c r="AR286" s="528" t="str">
        <f t="shared" si="297"/>
        <v/>
      </c>
      <c r="AS286" s="528" t="str">
        <f t="shared" si="297"/>
        <v/>
      </c>
      <c r="AT286" s="528" t="str">
        <f t="shared" si="297"/>
        <v/>
      </c>
      <c r="AU286" s="528" t="str">
        <f t="shared" si="297"/>
        <v/>
      </c>
      <c r="AV286" s="528" t="str">
        <f t="shared" si="297"/>
        <v/>
      </c>
      <c r="AW286" s="528" t="str">
        <f t="shared" si="297"/>
        <v/>
      </c>
      <c r="AX286" s="528" t="str">
        <f t="shared" si="297"/>
        <v/>
      </c>
      <c r="AY286" s="528" t="str">
        <f t="shared" si="297"/>
        <v/>
      </c>
      <c r="AZ286" s="528" t="str">
        <f t="shared" si="297"/>
        <v/>
      </c>
      <c r="BA286" s="528" t="str">
        <f t="shared" si="297"/>
        <v/>
      </c>
      <c r="BB286" s="528" t="str">
        <f t="shared" si="297"/>
        <v/>
      </c>
      <c r="BC286" s="528" t="str">
        <f t="shared" si="297"/>
        <v/>
      </c>
      <c r="BD286" s="528" t="str">
        <f t="shared" si="297"/>
        <v/>
      </c>
      <c r="BE286" s="528" t="str">
        <f t="shared" si="297"/>
        <v/>
      </c>
      <c r="BF286" s="528" t="str">
        <f t="shared" si="297"/>
        <v/>
      </c>
      <c r="BG286" s="528" t="str">
        <f t="shared" si="297"/>
        <v/>
      </c>
      <c r="BH286" s="528" t="str">
        <f t="shared" si="297"/>
        <v/>
      </c>
      <c r="BI286" s="528" t="str">
        <f t="shared" si="297"/>
        <v/>
      </c>
      <c r="BJ286" s="528" t="str">
        <f t="shared" si="297"/>
        <v/>
      </c>
      <c r="BK286" s="528" t="str">
        <f t="shared" si="297"/>
        <v/>
      </c>
      <c r="BL286" s="528" t="str">
        <f t="shared" si="297"/>
        <v/>
      </c>
      <c r="BM286" s="528" t="str">
        <f t="shared" si="297"/>
        <v/>
      </c>
    </row>
    <row r="287" spans="6:65" ht="15.75" customHeight="1" x14ac:dyDescent="0.25">
      <c r="F287" s="197"/>
      <c r="G287" s="197">
        <f t="shared" si="268"/>
        <v>0</v>
      </c>
      <c r="H287" s="197">
        <f t="shared" si="269"/>
        <v>97</v>
      </c>
      <c r="I287" s="523">
        <v>1</v>
      </c>
      <c r="J287" s="533">
        <f>'Monthly DCF'!$I$3</f>
        <v>46418</v>
      </c>
      <c r="K287" s="533">
        <f t="shared" si="270"/>
        <v>46660</v>
      </c>
      <c r="L287" s="536">
        <f t="shared" si="294"/>
        <v>9</v>
      </c>
      <c r="M287" s="20" t="s">
        <v>366</v>
      </c>
      <c r="N287" s="20">
        <f t="shared" si="271"/>
        <v>1.2857142857142858</v>
      </c>
      <c r="O287" s="537">
        <v>7</v>
      </c>
      <c r="P287" s="528">
        <f t="shared" ref="P287:BM287" si="298">IFERROR(+IF(AND($M287="Flat",P$5&gt;=$J287,P$5&lt;=$K287),$I287/$L287,0)+IF(AND($M287="S-Curve",P$5&gt;=$J287,P$5&lt;=$K287),(_xlfn.NORM.DIST((YEAR(P$5)-YEAR($J287))*12+MONTH(P$5)-MONTH($J287)+1,$L287/2,$N287,TRUE)-_xlfn.NORM.DIST((YEAR(P$5)-YEAR($J287))*12+MONTH(P$5)-MONTH($J287),$L287/2,$N287,TRUE))/(1-2*_xlfn.NORM.DIST(0,$L287/2,$N287,TRUE))*$I287," "),"")</f>
        <v>3.0109979106340374E-3</v>
      </c>
      <c r="Q287" s="528">
        <f t="shared" si="298"/>
        <v>2.2689269627310087E-2</v>
      </c>
      <c r="R287" s="528">
        <f t="shared" si="298"/>
        <v>9.5796135149928421E-2</v>
      </c>
      <c r="S287" s="528">
        <f t="shared" si="298"/>
        <v>0.22711233222972513</v>
      </c>
      <c r="T287" s="528">
        <f t="shared" si="298"/>
        <v>0.30278253016480461</v>
      </c>
      <c r="U287" s="528">
        <f t="shared" si="298"/>
        <v>0.22711233222972516</v>
      </c>
      <c r="V287" s="528">
        <f t="shared" si="298"/>
        <v>9.5796135149928449E-2</v>
      </c>
      <c r="W287" s="528">
        <f t="shared" si="298"/>
        <v>2.2689269627310094E-2</v>
      </c>
      <c r="X287" s="528">
        <f t="shared" si="298"/>
        <v>3.0109979106340114E-3</v>
      </c>
      <c r="Y287" s="528" t="str">
        <f t="shared" si="298"/>
        <v/>
      </c>
      <c r="Z287" s="528" t="str">
        <f t="shared" si="298"/>
        <v/>
      </c>
      <c r="AA287" s="528" t="str">
        <f t="shared" si="298"/>
        <v/>
      </c>
      <c r="AB287" s="528" t="str">
        <f t="shared" si="298"/>
        <v/>
      </c>
      <c r="AC287" s="528" t="str">
        <f t="shared" si="298"/>
        <v/>
      </c>
      <c r="AD287" s="528" t="str">
        <f t="shared" si="298"/>
        <v/>
      </c>
      <c r="AE287" s="528" t="str">
        <f t="shared" si="298"/>
        <v/>
      </c>
      <c r="AF287" s="528" t="str">
        <f t="shared" si="298"/>
        <v/>
      </c>
      <c r="AG287" s="528" t="str">
        <f t="shared" si="298"/>
        <v/>
      </c>
      <c r="AH287" s="528" t="str">
        <f t="shared" si="298"/>
        <v/>
      </c>
      <c r="AI287" s="528" t="str">
        <f t="shared" si="298"/>
        <v/>
      </c>
      <c r="AJ287" s="528" t="str">
        <f t="shared" si="298"/>
        <v/>
      </c>
      <c r="AK287" s="528" t="str">
        <f t="shared" si="298"/>
        <v/>
      </c>
      <c r="AL287" s="528" t="str">
        <f t="shared" si="298"/>
        <v/>
      </c>
      <c r="AM287" s="528" t="str">
        <f t="shared" si="298"/>
        <v/>
      </c>
      <c r="AN287" s="528" t="str">
        <f t="shared" si="298"/>
        <v/>
      </c>
      <c r="AO287" s="528" t="str">
        <f t="shared" si="298"/>
        <v/>
      </c>
      <c r="AP287" s="528" t="str">
        <f t="shared" si="298"/>
        <v/>
      </c>
      <c r="AQ287" s="528" t="str">
        <f t="shared" si="298"/>
        <v/>
      </c>
      <c r="AR287" s="528" t="str">
        <f t="shared" si="298"/>
        <v/>
      </c>
      <c r="AS287" s="528" t="str">
        <f t="shared" si="298"/>
        <v/>
      </c>
      <c r="AT287" s="528" t="str">
        <f t="shared" si="298"/>
        <v/>
      </c>
      <c r="AU287" s="528" t="str">
        <f t="shared" si="298"/>
        <v/>
      </c>
      <c r="AV287" s="528" t="str">
        <f t="shared" si="298"/>
        <v/>
      </c>
      <c r="AW287" s="528" t="str">
        <f t="shared" si="298"/>
        <v/>
      </c>
      <c r="AX287" s="528" t="str">
        <f t="shared" si="298"/>
        <v/>
      </c>
      <c r="AY287" s="528" t="str">
        <f t="shared" si="298"/>
        <v/>
      </c>
      <c r="AZ287" s="528" t="str">
        <f t="shared" si="298"/>
        <v/>
      </c>
      <c r="BA287" s="528" t="str">
        <f t="shared" si="298"/>
        <v/>
      </c>
      <c r="BB287" s="528" t="str">
        <f t="shared" si="298"/>
        <v/>
      </c>
      <c r="BC287" s="528" t="str">
        <f t="shared" si="298"/>
        <v/>
      </c>
      <c r="BD287" s="528" t="str">
        <f t="shared" si="298"/>
        <v/>
      </c>
      <c r="BE287" s="528" t="str">
        <f t="shared" si="298"/>
        <v/>
      </c>
      <c r="BF287" s="528" t="str">
        <f t="shared" si="298"/>
        <v/>
      </c>
      <c r="BG287" s="528" t="str">
        <f t="shared" si="298"/>
        <v/>
      </c>
      <c r="BH287" s="528" t="str">
        <f t="shared" si="298"/>
        <v/>
      </c>
      <c r="BI287" s="528" t="str">
        <f t="shared" si="298"/>
        <v/>
      </c>
      <c r="BJ287" s="528" t="str">
        <f t="shared" si="298"/>
        <v/>
      </c>
      <c r="BK287" s="528" t="str">
        <f t="shared" si="298"/>
        <v/>
      </c>
      <c r="BL287" s="528" t="str">
        <f t="shared" si="298"/>
        <v/>
      </c>
      <c r="BM287" s="528" t="str">
        <f t="shared" si="298"/>
        <v/>
      </c>
    </row>
    <row r="288" spans="6:65" ht="15.75" customHeight="1" x14ac:dyDescent="0.25">
      <c r="F288" s="197"/>
      <c r="G288" s="197">
        <f t="shared" si="268"/>
        <v>0</v>
      </c>
      <c r="H288" s="197">
        <f t="shared" si="269"/>
        <v>107</v>
      </c>
      <c r="I288" s="523">
        <v>1</v>
      </c>
      <c r="J288" s="533">
        <f>'Monthly DCF'!$I$3</f>
        <v>46418</v>
      </c>
      <c r="K288" s="533">
        <f t="shared" si="270"/>
        <v>46691</v>
      </c>
      <c r="L288" s="536">
        <f t="shared" si="294"/>
        <v>10</v>
      </c>
      <c r="M288" s="20" t="s">
        <v>366</v>
      </c>
      <c r="N288" s="20">
        <f t="shared" si="271"/>
        <v>1.4285714285714286</v>
      </c>
      <c r="O288" s="537">
        <v>7</v>
      </c>
      <c r="P288" s="528">
        <f t="shared" ref="P288:BM288" si="299">IFERROR(+IF(AND($M288="Flat",P$5&gt;=$J288,P$5&lt;=$K288),$I288/$L288,0)+IF(AND($M288="S-Curve",P$5&gt;=$J288,P$5&lt;=$K288),(_xlfn.NORM.DIST((YEAR(P$5)-YEAR($J288))*12+MONTH(P$5)-MONTH($J288)+1,$L288/2,$N288,TRUE)-_xlfn.NORM.DIST((YEAR(P$5)-YEAR($J288))*12+MONTH(P$5)-MONTH($J288),$L288/2,$N288,TRUE))/(1-2*_xlfn.NORM.DIST(0,$L288/2,$N288,TRUE))*$I288," "),"")</f>
        <v>2.32358231702135E-3</v>
      </c>
      <c r="Q288" s="528">
        <f t="shared" si="299"/>
        <v>1.5316416320033924E-2</v>
      </c>
      <c r="R288" s="528">
        <f t="shared" si="299"/>
        <v>6.2921513418390584E-2</v>
      </c>
      <c r="S288" s="528">
        <f t="shared" si="299"/>
        <v>0.16128203076986786</v>
      </c>
      <c r="T288" s="528">
        <f t="shared" si="299"/>
        <v>0.25815645717468627</v>
      </c>
      <c r="U288" s="528">
        <f t="shared" si="299"/>
        <v>0.25815645717468622</v>
      </c>
      <c r="V288" s="528">
        <f t="shared" si="299"/>
        <v>0.16128203076986791</v>
      </c>
      <c r="W288" s="528">
        <f t="shared" si="299"/>
        <v>6.2921513418390584E-2</v>
      </c>
      <c r="X288" s="528">
        <f t="shared" si="299"/>
        <v>1.5316416320033893E-2</v>
      </c>
      <c r="Y288" s="528">
        <f t="shared" si="299"/>
        <v>2.3235823170213834E-3</v>
      </c>
      <c r="Z288" s="528" t="str">
        <f t="shared" si="299"/>
        <v/>
      </c>
      <c r="AA288" s="528" t="str">
        <f t="shared" si="299"/>
        <v/>
      </c>
      <c r="AB288" s="528" t="str">
        <f t="shared" si="299"/>
        <v/>
      </c>
      <c r="AC288" s="528" t="str">
        <f t="shared" si="299"/>
        <v/>
      </c>
      <c r="AD288" s="528" t="str">
        <f t="shared" si="299"/>
        <v/>
      </c>
      <c r="AE288" s="528" t="str">
        <f t="shared" si="299"/>
        <v/>
      </c>
      <c r="AF288" s="528" t="str">
        <f t="shared" si="299"/>
        <v/>
      </c>
      <c r="AG288" s="528" t="str">
        <f t="shared" si="299"/>
        <v/>
      </c>
      <c r="AH288" s="528" t="str">
        <f t="shared" si="299"/>
        <v/>
      </c>
      <c r="AI288" s="528" t="str">
        <f t="shared" si="299"/>
        <v/>
      </c>
      <c r="AJ288" s="528" t="str">
        <f t="shared" si="299"/>
        <v/>
      </c>
      <c r="AK288" s="528" t="str">
        <f t="shared" si="299"/>
        <v/>
      </c>
      <c r="AL288" s="528" t="str">
        <f t="shared" si="299"/>
        <v/>
      </c>
      <c r="AM288" s="528" t="str">
        <f t="shared" si="299"/>
        <v/>
      </c>
      <c r="AN288" s="528" t="str">
        <f t="shared" si="299"/>
        <v/>
      </c>
      <c r="AO288" s="528" t="str">
        <f t="shared" si="299"/>
        <v/>
      </c>
      <c r="AP288" s="528" t="str">
        <f t="shared" si="299"/>
        <v/>
      </c>
      <c r="AQ288" s="528" t="str">
        <f t="shared" si="299"/>
        <v/>
      </c>
      <c r="AR288" s="528" t="str">
        <f t="shared" si="299"/>
        <v/>
      </c>
      <c r="AS288" s="528" t="str">
        <f t="shared" si="299"/>
        <v/>
      </c>
      <c r="AT288" s="528" t="str">
        <f t="shared" si="299"/>
        <v/>
      </c>
      <c r="AU288" s="528" t="str">
        <f t="shared" si="299"/>
        <v/>
      </c>
      <c r="AV288" s="528" t="str">
        <f t="shared" si="299"/>
        <v/>
      </c>
      <c r="AW288" s="528" t="str">
        <f t="shared" si="299"/>
        <v/>
      </c>
      <c r="AX288" s="528" t="str">
        <f t="shared" si="299"/>
        <v/>
      </c>
      <c r="AY288" s="528" t="str">
        <f t="shared" si="299"/>
        <v/>
      </c>
      <c r="AZ288" s="528" t="str">
        <f t="shared" si="299"/>
        <v/>
      </c>
      <c r="BA288" s="528" t="str">
        <f t="shared" si="299"/>
        <v/>
      </c>
      <c r="BB288" s="528" t="str">
        <f t="shared" si="299"/>
        <v/>
      </c>
      <c r="BC288" s="528" t="str">
        <f t="shared" si="299"/>
        <v/>
      </c>
      <c r="BD288" s="528" t="str">
        <f t="shared" si="299"/>
        <v/>
      </c>
      <c r="BE288" s="528" t="str">
        <f t="shared" si="299"/>
        <v/>
      </c>
      <c r="BF288" s="528" t="str">
        <f t="shared" si="299"/>
        <v/>
      </c>
      <c r="BG288" s="528" t="str">
        <f t="shared" si="299"/>
        <v/>
      </c>
      <c r="BH288" s="528" t="str">
        <f t="shared" si="299"/>
        <v/>
      </c>
      <c r="BI288" s="528" t="str">
        <f t="shared" si="299"/>
        <v/>
      </c>
      <c r="BJ288" s="528" t="str">
        <f t="shared" si="299"/>
        <v/>
      </c>
      <c r="BK288" s="528" t="str">
        <f t="shared" si="299"/>
        <v/>
      </c>
      <c r="BL288" s="528" t="str">
        <f t="shared" si="299"/>
        <v/>
      </c>
      <c r="BM288" s="528" t="str">
        <f t="shared" si="299"/>
        <v/>
      </c>
    </row>
    <row r="289" spans="6:65" ht="15.75" customHeight="1" x14ac:dyDescent="0.25">
      <c r="F289" s="197"/>
      <c r="G289" s="197">
        <f t="shared" si="268"/>
        <v>0</v>
      </c>
      <c r="H289" s="197">
        <f t="shared" si="269"/>
        <v>117</v>
      </c>
      <c r="I289" s="523">
        <v>1</v>
      </c>
      <c r="J289" s="533">
        <f>'Monthly DCF'!$I$3</f>
        <v>46418</v>
      </c>
      <c r="K289" s="533">
        <f t="shared" si="270"/>
        <v>46721</v>
      </c>
      <c r="L289" s="536">
        <f t="shared" si="294"/>
        <v>11</v>
      </c>
      <c r="M289" s="20" t="s">
        <v>366</v>
      </c>
      <c r="N289" s="20">
        <f t="shared" si="271"/>
        <v>1.5714285714285714</v>
      </c>
      <c r="O289" s="537">
        <v>7</v>
      </c>
      <c r="P289" s="528">
        <f t="shared" ref="P289:BM289" si="300">IFERROR(+IF(AND($M289="Flat",P$5&gt;=$J289,P$5&lt;=$K289),$I289/$L289,0)+IF(AND($M289="S-Curve",P$5&gt;=$J289,P$5&lt;=$K289),(_xlfn.NORM.DIST((YEAR(P$5)-YEAR($J289))*12+MONTH(P$5)-MONTH($J289)+1,$L289/2,$N289,TRUE)-_xlfn.NORM.DIST((YEAR(P$5)-YEAR($J289))*12+MONTH(P$5)-MONTH($J289),$L289/2,$N289,TRUE))/(1-2*_xlfn.NORM.DIST(0,$L289/2,$N289,TRUE))*$I289," "),"")</f>
        <v>1.8622798686582557E-3</v>
      </c>
      <c r="Q289" s="528">
        <f t="shared" si="300"/>
        <v>1.0875543477873787E-2</v>
      </c>
      <c r="R289" s="528">
        <f t="shared" si="300"/>
        <v>4.2870437949401555E-2</v>
      </c>
      <c r="S289" s="528">
        <f t="shared" si="300"/>
        <v>0.11414189341168436</v>
      </c>
      <c r="T289" s="528">
        <f t="shared" si="300"/>
        <v>0.20536525354310189</v>
      </c>
      <c r="U289" s="528">
        <f t="shared" si="300"/>
        <v>0.24976918349856031</v>
      </c>
      <c r="V289" s="528">
        <f t="shared" si="300"/>
        <v>0.20536525354310192</v>
      </c>
      <c r="W289" s="528">
        <f t="shared" si="300"/>
        <v>0.11414189341168433</v>
      </c>
      <c r="X289" s="528">
        <f t="shared" si="300"/>
        <v>4.2870437949401569E-2</v>
      </c>
      <c r="Y289" s="528">
        <f t="shared" si="300"/>
        <v>1.0875543477873808E-2</v>
      </c>
      <c r="Z289" s="528">
        <f t="shared" si="300"/>
        <v>1.8622798686582021E-3</v>
      </c>
      <c r="AA289" s="528" t="str">
        <f t="shared" si="300"/>
        <v/>
      </c>
      <c r="AB289" s="528" t="str">
        <f t="shared" si="300"/>
        <v/>
      </c>
      <c r="AC289" s="528" t="str">
        <f t="shared" si="300"/>
        <v/>
      </c>
      <c r="AD289" s="528" t="str">
        <f t="shared" si="300"/>
        <v/>
      </c>
      <c r="AE289" s="528" t="str">
        <f t="shared" si="300"/>
        <v/>
      </c>
      <c r="AF289" s="528" t="str">
        <f t="shared" si="300"/>
        <v/>
      </c>
      <c r="AG289" s="528" t="str">
        <f t="shared" si="300"/>
        <v/>
      </c>
      <c r="AH289" s="528" t="str">
        <f t="shared" si="300"/>
        <v/>
      </c>
      <c r="AI289" s="528" t="str">
        <f t="shared" si="300"/>
        <v/>
      </c>
      <c r="AJ289" s="528" t="str">
        <f t="shared" si="300"/>
        <v/>
      </c>
      <c r="AK289" s="528" t="str">
        <f t="shared" si="300"/>
        <v/>
      </c>
      <c r="AL289" s="528" t="str">
        <f t="shared" si="300"/>
        <v/>
      </c>
      <c r="AM289" s="528" t="str">
        <f t="shared" si="300"/>
        <v/>
      </c>
      <c r="AN289" s="528" t="str">
        <f t="shared" si="300"/>
        <v/>
      </c>
      <c r="AO289" s="528" t="str">
        <f t="shared" si="300"/>
        <v/>
      </c>
      <c r="AP289" s="528" t="str">
        <f t="shared" si="300"/>
        <v/>
      </c>
      <c r="AQ289" s="528" t="str">
        <f t="shared" si="300"/>
        <v/>
      </c>
      <c r="AR289" s="528" t="str">
        <f t="shared" si="300"/>
        <v/>
      </c>
      <c r="AS289" s="528" t="str">
        <f t="shared" si="300"/>
        <v/>
      </c>
      <c r="AT289" s="528" t="str">
        <f t="shared" si="300"/>
        <v/>
      </c>
      <c r="AU289" s="528" t="str">
        <f t="shared" si="300"/>
        <v/>
      </c>
      <c r="AV289" s="528" t="str">
        <f t="shared" si="300"/>
        <v/>
      </c>
      <c r="AW289" s="528" t="str">
        <f t="shared" si="300"/>
        <v/>
      </c>
      <c r="AX289" s="528" t="str">
        <f t="shared" si="300"/>
        <v/>
      </c>
      <c r="AY289" s="528" t="str">
        <f t="shared" si="300"/>
        <v/>
      </c>
      <c r="AZ289" s="528" t="str">
        <f t="shared" si="300"/>
        <v/>
      </c>
      <c r="BA289" s="528" t="str">
        <f t="shared" si="300"/>
        <v/>
      </c>
      <c r="BB289" s="528" t="str">
        <f t="shared" si="300"/>
        <v/>
      </c>
      <c r="BC289" s="528" t="str">
        <f t="shared" si="300"/>
        <v/>
      </c>
      <c r="BD289" s="528" t="str">
        <f t="shared" si="300"/>
        <v/>
      </c>
      <c r="BE289" s="528" t="str">
        <f t="shared" si="300"/>
        <v/>
      </c>
      <c r="BF289" s="528" t="str">
        <f t="shared" si="300"/>
        <v/>
      </c>
      <c r="BG289" s="528" t="str">
        <f t="shared" si="300"/>
        <v/>
      </c>
      <c r="BH289" s="528" t="str">
        <f t="shared" si="300"/>
        <v/>
      </c>
      <c r="BI289" s="528" t="str">
        <f t="shared" si="300"/>
        <v/>
      </c>
      <c r="BJ289" s="528" t="str">
        <f t="shared" si="300"/>
        <v/>
      </c>
      <c r="BK289" s="528" t="str">
        <f t="shared" si="300"/>
        <v/>
      </c>
      <c r="BL289" s="528" t="str">
        <f t="shared" si="300"/>
        <v/>
      </c>
      <c r="BM289" s="528" t="str">
        <f t="shared" si="300"/>
        <v/>
      </c>
    </row>
    <row r="290" spans="6:65" ht="15.75" customHeight="1" x14ac:dyDescent="0.25">
      <c r="F290" s="197"/>
      <c r="G290" s="197">
        <f t="shared" si="268"/>
        <v>0</v>
      </c>
      <c r="H290" s="197">
        <f t="shared" si="269"/>
        <v>127</v>
      </c>
      <c r="I290" s="523">
        <v>1</v>
      </c>
      <c r="J290" s="533">
        <f>'Monthly DCF'!$I$3</f>
        <v>46418</v>
      </c>
      <c r="K290" s="533">
        <f t="shared" si="270"/>
        <v>46752</v>
      </c>
      <c r="L290" s="536">
        <f t="shared" si="294"/>
        <v>12</v>
      </c>
      <c r="M290" s="20" t="s">
        <v>366</v>
      </c>
      <c r="N290" s="20">
        <f t="shared" si="271"/>
        <v>1.7142857142857142</v>
      </c>
      <c r="O290" s="537">
        <v>7</v>
      </c>
      <c r="P290" s="528">
        <f t="shared" ref="P290:BM290" si="301">IFERROR(+IF(AND($M290="Flat",P$5&gt;=$J290,P$5&lt;=$K290),$I290/$L290,0)+IF(AND($M290="S-Curve",P$5&gt;=$J290,P$5&lt;=$K290),(_xlfn.NORM.DIST((YEAR(P$5)-YEAR($J290))*12+MONTH(P$5)-MONTH($J290)+1,$L290/2,$N290,TRUE)-_xlfn.NORM.DIST((YEAR(P$5)-YEAR($J290))*12+MONTH(P$5)-MONTH($J290),$L290/2,$N290,TRUE))/(1-2*_xlfn.NORM.DIST(0,$L290/2,$N290,TRUE))*$I290," "),"")</f>
        <v>1.5370542871220043E-3</v>
      </c>
      <c r="Q290" s="528">
        <f t="shared" si="301"/>
        <v>8.0501057669156804E-3</v>
      </c>
      <c r="R290" s="528">
        <f t="shared" si="301"/>
        <v>3.0257905972771743E-2</v>
      </c>
      <c r="S290" s="528">
        <f t="shared" si="301"/>
        <v>8.1651336661063126E-2</v>
      </c>
      <c r="T290" s="528">
        <f t="shared" si="301"/>
        <v>0.15823557941954644</v>
      </c>
      <c r="U290" s="528">
        <f t="shared" si="301"/>
        <v>0.22026801789258102</v>
      </c>
      <c r="V290" s="528">
        <f t="shared" si="301"/>
        <v>0.22026801789258102</v>
      </c>
      <c r="W290" s="528">
        <f t="shared" si="301"/>
        <v>0.15823557941954641</v>
      </c>
      <c r="X290" s="528">
        <f t="shared" si="301"/>
        <v>8.165133666106314E-2</v>
      </c>
      <c r="Y290" s="528">
        <f t="shared" si="301"/>
        <v>3.0257905972771778E-2</v>
      </c>
      <c r="Z290" s="528">
        <f t="shared" si="301"/>
        <v>8.0501057669156058E-3</v>
      </c>
      <c r="AA290" s="528">
        <f t="shared" si="301"/>
        <v>1.5370542871220433E-3</v>
      </c>
      <c r="AB290" s="528" t="str">
        <f t="shared" si="301"/>
        <v/>
      </c>
      <c r="AC290" s="528" t="str">
        <f t="shared" si="301"/>
        <v/>
      </c>
      <c r="AD290" s="528" t="str">
        <f t="shared" si="301"/>
        <v/>
      </c>
      <c r="AE290" s="528" t="str">
        <f t="shared" si="301"/>
        <v/>
      </c>
      <c r="AF290" s="528" t="str">
        <f t="shared" si="301"/>
        <v/>
      </c>
      <c r="AG290" s="528" t="str">
        <f t="shared" si="301"/>
        <v/>
      </c>
      <c r="AH290" s="528" t="str">
        <f t="shared" si="301"/>
        <v/>
      </c>
      <c r="AI290" s="528" t="str">
        <f t="shared" si="301"/>
        <v/>
      </c>
      <c r="AJ290" s="528" t="str">
        <f t="shared" si="301"/>
        <v/>
      </c>
      <c r="AK290" s="528" t="str">
        <f t="shared" si="301"/>
        <v/>
      </c>
      <c r="AL290" s="528" t="str">
        <f t="shared" si="301"/>
        <v/>
      </c>
      <c r="AM290" s="528" t="str">
        <f t="shared" si="301"/>
        <v/>
      </c>
      <c r="AN290" s="528" t="str">
        <f t="shared" si="301"/>
        <v/>
      </c>
      <c r="AO290" s="528" t="str">
        <f t="shared" si="301"/>
        <v/>
      </c>
      <c r="AP290" s="528" t="str">
        <f t="shared" si="301"/>
        <v/>
      </c>
      <c r="AQ290" s="528" t="str">
        <f t="shared" si="301"/>
        <v/>
      </c>
      <c r="AR290" s="528" t="str">
        <f t="shared" si="301"/>
        <v/>
      </c>
      <c r="AS290" s="528" t="str">
        <f t="shared" si="301"/>
        <v/>
      </c>
      <c r="AT290" s="528" t="str">
        <f t="shared" si="301"/>
        <v/>
      </c>
      <c r="AU290" s="528" t="str">
        <f t="shared" si="301"/>
        <v/>
      </c>
      <c r="AV290" s="528" t="str">
        <f t="shared" si="301"/>
        <v/>
      </c>
      <c r="AW290" s="528" t="str">
        <f t="shared" si="301"/>
        <v/>
      </c>
      <c r="AX290" s="528" t="str">
        <f t="shared" si="301"/>
        <v/>
      </c>
      <c r="AY290" s="528" t="str">
        <f t="shared" si="301"/>
        <v/>
      </c>
      <c r="AZ290" s="528" t="str">
        <f t="shared" si="301"/>
        <v/>
      </c>
      <c r="BA290" s="528" t="str">
        <f t="shared" si="301"/>
        <v/>
      </c>
      <c r="BB290" s="528" t="str">
        <f t="shared" si="301"/>
        <v/>
      </c>
      <c r="BC290" s="528" t="str">
        <f t="shared" si="301"/>
        <v/>
      </c>
      <c r="BD290" s="528" t="str">
        <f t="shared" si="301"/>
        <v/>
      </c>
      <c r="BE290" s="528" t="str">
        <f t="shared" si="301"/>
        <v/>
      </c>
      <c r="BF290" s="528" t="str">
        <f t="shared" si="301"/>
        <v/>
      </c>
      <c r="BG290" s="528" t="str">
        <f t="shared" si="301"/>
        <v/>
      </c>
      <c r="BH290" s="528" t="str">
        <f t="shared" si="301"/>
        <v/>
      </c>
      <c r="BI290" s="528" t="str">
        <f t="shared" si="301"/>
        <v/>
      </c>
      <c r="BJ290" s="528" t="str">
        <f t="shared" si="301"/>
        <v/>
      </c>
      <c r="BK290" s="528" t="str">
        <f t="shared" si="301"/>
        <v/>
      </c>
      <c r="BL290" s="528" t="str">
        <f t="shared" si="301"/>
        <v/>
      </c>
      <c r="BM290" s="528" t="str">
        <f t="shared" si="301"/>
        <v/>
      </c>
    </row>
    <row r="291" spans="6:65" ht="15.75" customHeight="1" x14ac:dyDescent="0.25">
      <c r="F291" s="197"/>
      <c r="G291" s="197">
        <f t="shared" si="268"/>
        <v>0</v>
      </c>
      <c r="H291" s="197">
        <f t="shared" si="269"/>
        <v>137</v>
      </c>
      <c r="I291" s="523">
        <v>1</v>
      </c>
      <c r="J291" s="533">
        <f>'Monthly DCF'!$I$3</f>
        <v>46418</v>
      </c>
      <c r="K291" s="533">
        <f t="shared" si="270"/>
        <v>46783</v>
      </c>
      <c r="L291" s="536">
        <f t="shared" si="294"/>
        <v>13</v>
      </c>
      <c r="M291" s="20" t="s">
        <v>366</v>
      </c>
      <c r="N291" s="20">
        <f t="shared" si="271"/>
        <v>1.8571428571428572</v>
      </c>
      <c r="O291" s="537">
        <v>7</v>
      </c>
      <c r="P291" s="528">
        <f t="shared" ref="P291:BM291" si="302">IFERROR(+IF(AND($M291="Flat",P$5&gt;=$J291,P$5&lt;=$K291),$I291/$L291,0)+IF(AND($M291="S-Curve",P$5&gt;=$J291,P$5&lt;=$K291),(_xlfn.NORM.DIST((YEAR(P$5)-YEAR($J291))*12+MONTH(P$5)-MONTH($J291)+1,$L291/2,$N291,TRUE)-_xlfn.NORM.DIST((YEAR(P$5)-YEAR($J291))*12+MONTH(P$5)-MONTH($J291),$L291/2,$N291,TRUE))/(1-2*_xlfn.NORM.DIST(0,$L291/2,$N291,TRUE))*$I291," "),"")</f>
        <v>1.2985063563929313E-3</v>
      </c>
      <c r="Q291" s="528">
        <f t="shared" si="302"/>
        <v>6.1671718131660223E-3</v>
      </c>
      <c r="R291" s="528">
        <f t="shared" si="302"/>
        <v>2.2056319952033471E-2</v>
      </c>
      <c r="S291" s="528">
        <f t="shared" si="302"/>
        <v>5.9413203725601035E-2</v>
      </c>
      <c r="T291" s="528">
        <f t="shared" si="302"/>
        <v>0.12056350651713969</v>
      </c>
      <c r="U291" s="528">
        <f t="shared" si="302"/>
        <v>0.18432794547743536</v>
      </c>
      <c r="V291" s="528">
        <f t="shared" si="302"/>
        <v>0.21234669231646291</v>
      </c>
      <c r="W291" s="528">
        <f t="shared" si="302"/>
        <v>0.18432794547743536</v>
      </c>
      <c r="X291" s="528">
        <f t="shared" si="302"/>
        <v>0.12056350651713972</v>
      </c>
      <c r="Y291" s="528">
        <f t="shared" si="302"/>
        <v>5.9413203725601119E-2</v>
      </c>
      <c r="Z291" s="528">
        <f t="shared" si="302"/>
        <v>2.2056319952033471E-2</v>
      </c>
      <c r="AA291" s="528">
        <f t="shared" si="302"/>
        <v>6.1671718131659182E-3</v>
      </c>
      <c r="AB291" s="528">
        <f t="shared" si="302"/>
        <v>1.2985063563929692E-3</v>
      </c>
      <c r="AC291" s="528" t="str">
        <f t="shared" si="302"/>
        <v/>
      </c>
      <c r="AD291" s="528" t="str">
        <f t="shared" si="302"/>
        <v/>
      </c>
      <c r="AE291" s="528" t="str">
        <f t="shared" si="302"/>
        <v/>
      </c>
      <c r="AF291" s="528" t="str">
        <f t="shared" si="302"/>
        <v/>
      </c>
      <c r="AG291" s="528" t="str">
        <f t="shared" si="302"/>
        <v/>
      </c>
      <c r="AH291" s="528" t="str">
        <f t="shared" si="302"/>
        <v/>
      </c>
      <c r="AI291" s="528" t="str">
        <f t="shared" si="302"/>
        <v/>
      </c>
      <c r="AJ291" s="528" t="str">
        <f t="shared" si="302"/>
        <v/>
      </c>
      <c r="AK291" s="528" t="str">
        <f t="shared" si="302"/>
        <v/>
      </c>
      <c r="AL291" s="528" t="str">
        <f t="shared" si="302"/>
        <v/>
      </c>
      <c r="AM291" s="528" t="str">
        <f t="shared" si="302"/>
        <v/>
      </c>
      <c r="AN291" s="528" t="str">
        <f t="shared" si="302"/>
        <v/>
      </c>
      <c r="AO291" s="528" t="str">
        <f t="shared" si="302"/>
        <v/>
      </c>
      <c r="AP291" s="528" t="str">
        <f t="shared" si="302"/>
        <v/>
      </c>
      <c r="AQ291" s="528" t="str">
        <f t="shared" si="302"/>
        <v/>
      </c>
      <c r="AR291" s="528" t="str">
        <f t="shared" si="302"/>
        <v/>
      </c>
      <c r="AS291" s="528" t="str">
        <f t="shared" si="302"/>
        <v/>
      </c>
      <c r="AT291" s="528" t="str">
        <f t="shared" si="302"/>
        <v/>
      </c>
      <c r="AU291" s="528" t="str">
        <f t="shared" si="302"/>
        <v/>
      </c>
      <c r="AV291" s="528" t="str">
        <f t="shared" si="302"/>
        <v/>
      </c>
      <c r="AW291" s="528" t="str">
        <f t="shared" si="302"/>
        <v/>
      </c>
      <c r="AX291" s="528" t="str">
        <f t="shared" si="302"/>
        <v/>
      </c>
      <c r="AY291" s="528" t="str">
        <f t="shared" si="302"/>
        <v/>
      </c>
      <c r="AZ291" s="528" t="str">
        <f t="shared" si="302"/>
        <v/>
      </c>
      <c r="BA291" s="528" t="str">
        <f t="shared" si="302"/>
        <v/>
      </c>
      <c r="BB291" s="528" t="str">
        <f t="shared" si="302"/>
        <v/>
      </c>
      <c r="BC291" s="528" t="str">
        <f t="shared" si="302"/>
        <v/>
      </c>
      <c r="BD291" s="528" t="str">
        <f t="shared" si="302"/>
        <v/>
      </c>
      <c r="BE291" s="528" t="str">
        <f t="shared" si="302"/>
        <v/>
      </c>
      <c r="BF291" s="528" t="str">
        <f t="shared" si="302"/>
        <v/>
      </c>
      <c r="BG291" s="528" t="str">
        <f t="shared" si="302"/>
        <v/>
      </c>
      <c r="BH291" s="528" t="str">
        <f t="shared" si="302"/>
        <v/>
      </c>
      <c r="BI291" s="528" t="str">
        <f t="shared" si="302"/>
        <v/>
      </c>
      <c r="BJ291" s="528" t="str">
        <f t="shared" si="302"/>
        <v/>
      </c>
      <c r="BK291" s="528" t="str">
        <f t="shared" si="302"/>
        <v/>
      </c>
      <c r="BL291" s="528" t="str">
        <f t="shared" si="302"/>
        <v/>
      </c>
      <c r="BM291" s="528" t="str">
        <f t="shared" si="302"/>
        <v/>
      </c>
    </row>
    <row r="292" spans="6:65" ht="15.75" customHeight="1" x14ac:dyDescent="0.25">
      <c r="F292" s="197"/>
      <c r="G292" s="197">
        <f t="shared" si="268"/>
        <v>0</v>
      </c>
      <c r="H292" s="197">
        <f t="shared" si="269"/>
        <v>147</v>
      </c>
      <c r="I292" s="523">
        <v>1</v>
      </c>
      <c r="J292" s="533">
        <f>'Monthly DCF'!$I$3</f>
        <v>46418</v>
      </c>
      <c r="K292" s="533">
        <f t="shared" si="270"/>
        <v>46812</v>
      </c>
      <c r="L292" s="536">
        <f t="shared" si="294"/>
        <v>14</v>
      </c>
      <c r="M292" s="20" t="s">
        <v>366</v>
      </c>
      <c r="N292" s="20">
        <f t="shared" si="271"/>
        <v>2</v>
      </c>
      <c r="O292" s="537">
        <v>7</v>
      </c>
      <c r="P292" s="528">
        <f t="shared" ref="P292:BM292" si="303">IFERROR(+IF(AND($M292="Flat",P$5&gt;=$J292,P$5&lt;=$K292),$I292/$L292,0)+IF(AND($M292="S-Curve",P$5&gt;=$J292,P$5&lt;=$K292),(_xlfn.NORM.DIST((YEAR(P$5)-YEAR($J292))*12+MONTH(P$5)-MONTH($J292)+1,$L292/2,$N292,TRUE)-_xlfn.NORM.DIST((YEAR(P$5)-YEAR($J292))*12+MONTH(P$5)-MONTH($J292),$L292/2,$N292,TRUE))/(1-2*_xlfn.NORM.DIST(0,$L292/2,$N292,TRUE))*$I292," "),"")</f>
        <v>1.1177890130518928E-3</v>
      </c>
      <c r="Q292" s="528">
        <f t="shared" si="303"/>
        <v>4.8620293929859081E-3</v>
      </c>
      <c r="R292" s="528">
        <f t="shared" si="303"/>
        <v>1.6548165791538682E-2</v>
      </c>
      <c r="S292" s="528">
        <f t="shared" si="303"/>
        <v>4.4077576772860443E-2</v>
      </c>
      <c r="T292" s="528">
        <f t="shared" si="303"/>
        <v>9.1890805609560505E-2</v>
      </c>
      <c r="U292" s="528">
        <f t="shared" si="303"/>
        <v>0.1499520512096747</v>
      </c>
      <c r="V292" s="528">
        <f t="shared" si="303"/>
        <v>0.19155158221032789</v>
      </c>
      <c r="W292" s="528">
        <f t="shared" si="303"/>
        <v>0.19155158221032789</v>
      </c>
      <c r="X292" s="528">
        <f t="shared" si="303"/>
        <v>0.14995205120967472</v>
      </c>
      <c r="Y292" s="528">
        <f t="shared" si="303"/>
        <v>9.189080560956045E-2</v>
      </c>
      <c r="Z292" s="528">
        <f t="shared" si="303"/>
        <v>4.4077576772860456E-2</v>
      </c>
      <c r="AA292" s="528">
        <f t="shared" si="303"/>
        <v>1.6548165791538675E-2</v>
      </c>
      <c r="AB292" s="528">
        <f t="shared" si="303"/>
        <v>4.8620293929859237E-3</v>
      </c>
      <c r="AC292" s="528">
        <f t="shared" si="303"/>
        <v>1.117789013051888E-3</v>
      </c>
      <c r="AD292" s="528" t="str">
        <f t="shared" si="303"/>
        <v/>
      </c>
      <c r="AE292" s="528" t="str">
        <f t="shared" si="303"/>
        <v/>
      </c>
      <c r="AF292" s="528" t="str">
        <f t="shared" si="303"/>
        <v/>
      </c>
      <c r="AG292" s="528" t="str">
        <f t="shared" si="303"/>
        <v/>
      </c>
      <c r="AH292" s="528" t="str">
        <f t="shared" si="303"/>
        <v/>
      </c>
      <c r="AI292" s="528" t="str">
        <f t="shared" si="303"/>
        <v/>
      </c>
      <c r="AJ292" s="528" t="str">
        <f t="shared" si="303"/>
        <v/>
      </c>
      <c r="AK292" s="528" t="str">
        <f t="shared" si="303"/>
        <v/>
      </c>
      <c r="AL292" s="528" t="str">
        <f t="shared" si="303"/>
        <v/>
      </c>
      <c r="AM292" s="528" t="str">
        <f t="shared" si="303"/>
        <v/>
      </c>
      <c r="AN292" s="528" t="str">
        <f t="shared" si="303"/>
        <v/>
      </c>
      <c r="AO292" s="528" t="str">
        <f t="shared" si="303"/>
        <v/>
      </c>
      <c r="AP292" s="528" t="str">
        <f t="shared" si="303"/>
        <v/>
      </c>
      <c r="AQ292" s="528" t="str">
        <f t="shared" si="303"/>
        <v/>
      </c>
      <c r="AR292" s="528" t="str">
        <f t="shared" si="303"/>
        <v/>
      </c>
      <c r="AS292" s="528" t="str">
        <f t="shared" si="303"/>
        <v/>
      </c>
      <c r="AT292" s="528" t="str">
        <f t="shared" si="303"/>
        <v/>
      </c>
      <c r="AU292" s="528" t="str">
        <f t="shared" si="303"/>
        <v/>
      </c>
      <c r="AV292" s="528" t="str">
        <f t="shared" si="303"/>
        <v/>
      </c>
      <c r="AW292" s="528" t="str">
        <f t="shared" si="303"/>
        <v/>
      </c>
      <c r="AX292" s="528" t="str">
        <f t="shared" si="303"/>
        <v/>
      </c>
      <c r="AY292" s="528" t="str">
        <f t="shared" si="303"/>
        <v/>
      </c>
      <c r="AZ292" s="528" t="str">
        <f t="shared" si="303"/>
        <v/>
      </c>
      <c r="BA292" s="528" t="str">
        <f t="shared" si="303"/>
        <v/>
      </c>
      <c r="BB292" s="528" t="str">
        <f t="shared" si="303"/>
        <v/>
      </c>
      <c r="BC292" s="528" t="str">
        <f t="shared" si="303"/>
        <v/>
      </c>
      <c r="BD292" s="528" t="str">
        <f t="shared" si="303"/>
        <v/>
      </c>
      <c r="BE292" s="528" t="str">
        <f t="shared" si="303"/>
        <v/>
      </c>
      <c r="BF292" s="528" t="str">
        <f t="shared" si="303"/>
        <v/>
      </c>
      <c r="BG292" s="528" t="str">
        <f t="shared" si="303"/>
        <v/>
      </c>
      <c r="BH292" s="528" t="str">
        <f t="shared" si="303"/>
        <v/>
      </c>
      <c r="BI292" s="528" t="str">
        <f t="shared" si="303"/>
        <v/>
      </c>
      <c r="BJ292" s="528" t="str">
        <f t="shared" si="303"/>
        <v/>
      </c>
      <c r="BK292" s="528" t="str">
        <f t="shared" si="303"/>
        <v/>
      </c>
      <c r="BL292" s="528" t="str">
        <f t="shared" si="303"/>
        <v/>
      </c>
      <c r="BM292" s="528" t="str">
        <f t="shared" si="303"/>
        <v/>
      </c>
    </row>
    <row r="293" spans="6:65" ht="15.75" customHeight="1" x14ac:dyDescent="0.25">
      <c r="F293" s="197"/>
      <c r="G293" s="197">
        <f t="shared" si="268"/>
        <v>0</v>
      </c>
      <c r="H293" s="197">
        <f t="shared" si="269"/>
        <v>157</v>
      </c>
      <c r="I293" s="523">
        <v>1</v>
      </c>
      <c r="J293" s="533">
        <f>'Monthly DCF'!$I$3</f>
        <v>46418</v>
      </c>
      <c r="K293" s="533">
        <f t="shared" si="270"/>
        <v>46843</v>
      </c>
      <c r="L293" s="536">
        <f t="shared" si="294"/>
        <v>15</v>
      </c>
      <c r="M293" s="20" t="s">
        <v>366</v>
      </c>
      <c r="N293" s="20">
        <f t="shared" si="271"/>
        <v>2.1428571428571428</v>
      </c>
      <c r="O293" s="537">
        <v>7</v>
      </c>
      <c r="P293" s="528">
        <f t="shared" ref="P293:BM293" si="304">IFERROR(+IF(AND($M293="Flat",P$5&gt;=$J293,P$5&lt;=$K293),$I293/$L293,0)+IF(AND($M293="S-Curve",P$5&gt;=$J293,P$5&lt;=$K293),(_xlfn.NORM.DIST((YEAR(P$5)-YEAR($J293))*12+MONTH(P$5)-MONTH($J293)+1,$L293/2,$N293,TRUE)-_xlfn.NORM.DIST((YEAR(P$5)-YEAR($J293))*12+MONTH(P$5)-MONTH($J293),$L293/2,$N293,TRUE))/(1-2*_xlfn.NORM.DIST(0,$L293/2,$N293,TRUE))*$I293," "),"")</f>
        <v>9.7716692251130022E-4</v>
      </c>
      <c r="Q293" s="528">
        <f t="shared" si="304"/>
        <v>3.9265488195573709E-3</v>
      </c>
      <c r="R293" s="528">
        <f t="shared" si="304"/>
        <v>1.2736282894986602E-2</v>
      </c>
      <c r="S293" s="528">
        <f t="shared" si="304"/>
        <v>3.3350550970206332E-2</v>
      </c>
      <c r="T293" s="528">
        <f t="shared" si="304"/>
        <v>7.0505853080610942E-2</v>
      </c>
      <c r="U293" s="528">
        <f t="shared" si="304"/>
        <v>0.12034714013744119</v>
      </c>
      <c r="V293" s="528">
        <f t="shared" si="304"/>
        <v>0.16586480602796369</v>
      </c>
      <c r="W293" s="528">
        <f t="shared" si="304"/>
        <v>0.18458330229344522</v>
      </c>
      <c r="X293" s="528">
        <f t="shared" si="304"/>
        <v>0.16586480602796358</v>
      </c>
      <c r="Y293" s="528">
        <f t="shared" si="304"/>
        <v>0.12034714013744122</v>
      </c>
      <c r="Z293" s="528">
        <f t="shared" si="304"/>
        <v>7.0505853080610928E-2</v>
      </c>
      <c r="AA293" s="528">
        <f t="shared" si="304"/>
        <v>3.3350550970206359E-2</v>
      </c>
      <c r="AB293" s="528">
        <f t="shared" si="304"/>
        <v>1.2736282894986621E-2</v>
      </c>
      <c r="AC293" s="528">
        <f t="shared" si="304"/>
        <v>3.9265488195574143E-3</v>
      </c>
      <c r="AD293" s="528">
        <f t="shared" si="304"/>
        <v>9.7716692251124037E-4</v>
      </c>
      <c r="AE293" s="528" t="str">
        <f t="shared" si="304"/>
        <v/>
      </c>
      <c r="AF293" s="528" t="str">
        <f t="shared" si="304"/>
        <v/>
      </c>
      <c r="AG293" s="528" t="str">
        <f t="shared" si="304"/>
        <v/>
      </c>
      <c r="AH293" s="528" t="str">
        <f t="shared" si="304"/>
        <v/>
      </c>
      <c r="AI293" s="528" t="str">
        <f t="shared" si="304"/>
        <v/>
      </c>
      <c r="AJ293" s="528" t="str">
        <f t="shared" si="304"/>
        <v/>
      </c>
      <c r="AK293" s="528" t="str">
        <f t="shared" si="304"/>
        <v/>
      </c>
      <c r="AL293" s="528" t="str">
        <f t="shared" si="304"/>
        <v/>
      </c>
      <c r="AM293" s="528" t="str">
        <f t="shared" si="304"/>
        <v/>
      </c>
      <c r="AN293" s="528" t="str">
        <f t="shared" si="304"/>
        <v/>
      </c>
      <c r="AO293" s="528" t="str">
        <f t="shared" si="304"/>
        <v/>
      </c>
      <c r="AP293" s="528" t="str">
        <f t="shared" si="304"/>
        <v/>
      </c>
      <c r="AQ293" s="528" t="str">
        <f t="shared" si="304"/>
        <v/>
      </c>
      <c r="AR293" s="528" t="str">
        <f t="shared" si="304"/>
        <v/>
      </c>
      <c r="AS293" s="528" t="str">
        <f t="shared" si="304"/>
        <v/>
      </c>
      <c r="AT293" s="528" t="str">
        <f t="shared" si="304"/>
        <v/>
      </c>
      <c r="AU293" s="528" t="str">
        <f t="shared" si="304"/>
        <v/>
      </c>
      <c r="AV293" s="528" t="str">
        <f t="shared" si="304"/>
        <v/>
      </c>
      <c r="AW293" s="528" t="str">
        <f t="shared" si="304"/>
        <v/>
      </c>
      <c r="AX293" s="528" t="str">
        <f t="shared" si="304"/>
        <v/>
      </c>
      <c r="AY293" s="528" t="str">
        <f t="shared" si="304"/>
        <v/>
      </c>
      <c r="AZ293" s="528" t="str">
        <f t="shared" si="304"/>
        <v/>
      </c>
      <c r="BA293" s="528" t="str">
        <f t="shared" si="304"/>
        <v/>
      </c>
      <c r="BB293" s="528" t="str">
        <f t="shared" si="304"/>
        <v/>
      </c>
      <c r="BC293" s="528" t="str">
        <f t="shared" si="304"/>
        <v/>
      </c>
      <c r="BD293" s="528" t="str">
        <f t="shared" si="304"/>
        <v/>
      </c>
      <c r="BE293" s="528" t="str">
        <f t="shared" si="304"/>
        <v/>
      </c>
      <c r="BF293" s="528" t="str">
        <f t="shared" si="304"/>
        <v/>
      </c>
      <c r="BG293" s="528" t="str">
        <f t="shared" si="304"/>
        <v/>
      </c>
      <c r="BH293" s="528" t="str">
        <f t="shared" si="304"/>
        <v/>
      </c>
      <c r="BI293" s="528" t="str">
        <f t="shared" si="304"/>
        <v/>
      </c>
      <c r="BJ293" s="528" t="str">
        <f t="shared" si="304"/>
        <v/>
      </c>
      <c r="BK293" s="528" t="str">
        <f t="shared" si="304"/>
        <v/>
      </c>
      <c r="BL293" s="528" t="str">
        <f t="shared" si="304"/>
        <v/>
      </c>
      <c r="BM293" s="528" t="str">
        <f t="shared" si="304"/>
        <v/>
      </c>
    </row>
    <row r="294" spans="6:65" ht="15.75" customHeight="1" x14ac:dyDescent="0.25">
      <c r="F294" s="197"/>
      <c r="G294" s="197">
        <f t="shared" si="268"/>
        <v>0</v>
      </c>
      <c r="H294" s="197">
        <f t="shared" si="269"/>
        <v>167</v>
      </c>
      <c r="I294" s="523">
        <v>1</v>
      </c>
      <c r="J294" s="533">
        <f>'Monthly DCF'!$I$3</f>
        <v>46418</v>
      </c>
      <c r="K294" s="533">
        <f t="shared" si="270"/>
        <v>46873</v>
      </c>
      <c r="L294" s="536">
        <f t="shared" si="294"/>
        <v>16</v>
      </c>
      <c r="M294" s="20" t="s">
        <v>366</v>
      </c>
      <c r="N294" s="20">
        <f t="shared" si="271"/>
        <v>2.2857142857142856</v>
      </c>
      <c r="O294" s="537">
        <v>7</v>
      </c>
      <c r="P294" s="528">
        <f t="shared" ref="P294:BM294" si="305">IFERROR(+IF(AND($M294="Flat",P$5&gt;=$J294,P$5&lt;=$K294),$I294/$L294,0)+IF(AND($M294="S-Curve",P$5&gt;=$J294,P$5&lt;=$K294),(_xlfn.NORM.DIST((YEAR(P$5)-YEAR($J294))*12+MONTH(P$5)-MONTH($J294)+1,$L294/2,$N294,TRUE)-_xlfn.NORM.DIST((YEAR(P$5)-YEAR($J294))*12+MONTH(P$5)-MONTH($J294),$L294/2,$N294,TRUE))/(1-2*_xlfn.NORM.DIST(0,$L294/2,$N294,TRUE))*$I294," "),"")</f>
        <v>8.6525586575269848E-4</v>
      </c>
      <c r="Q294" s="528">
        <f t="shared" si="305"/>
        <v>3.236471780473925E-3</v>
      </c>
      <c r="R294" s="528">
        <f t="shared" si="305"/>
        <v>1.0025237569354846E-2</v>
      </c>
      <c r="S294" s="528">
        <f t="shared" si="305"/>
        <v>2.5718100811227964E-2</v>
      </c>
      <c r="T294" s="528">
        <f t="shared" si="305"/>
        <v>5.4642008798192206E-2</v>
      </c>
      <c r="U294" s="528">
        <f t="shared" si="305"/>
        <v>9.6155947169735842E-2</v>
      </c>
      <c r="V294" s="528">
        <f t="shared" si="305"/>
        <v>0.14015264234859648</v>
      </c>
      <c r="W294" s="528">
        <f t="shared" si="305"/>
        <v>0.16920433565666607</v>
      </c>
      <c r="X294" s="528">
        <f t="shared" si="305"/>
        <v>0.16920433565666607</v>
      </c>
      <c r="Y294" s="528">
        <f t="shared" si="305"/>
        <v>0.14015264234859653</v>
      </c>
      <c r="Z294" s="528">
        <f t="shared" si="305"/>
        <v>9.6155947169735842E-2</v>
      </c>
      <c r="AA294" s="528">
        <f t="shared" si="305"/>
        <v>5.4642008798192136E-2</v>
      </c>
      <c r="AB294" s="528">
        <f t="shared" si="305"/>
        <v>2.5718100811227936E-2</v>
      </c>
      <c r="AC294" s="528">
        <f t="shared" si="305"/>
        <v>1.0025237569354832E-2</v>
      </c>
      <c r="AD294" s="528">
        <f t="shared" si="305"/>
        <v>3.236471780473944E-3</v>
      </c>
      <c r="AE294" s="528">
        <f t="shared" si="305"/>
        <v>8.6525586575271745E-4</v>
      </c>
      <c r="AF294" s="528" t="str">
        <f t="shared" si="305"/>
        <v/>
      </c>
      <c r="AG294" s="528" t="str">
        <f t="shared" si="305"/>
        <v/>
      </c>
      <c r="AH294" s="528" t="str">
        <f t="shared" si="305"/>
        <v/>
      </c>
      <c r="AI294" s="528" t="str">
        <f t="shared" si="305"/>
        <v/>
      </c>
      <c r="AJ294" s="528" t="str">
        <f t="shared" si="305"/>
        <v/>
      </c>
      <c r="AK294" s="528" t="str">
        <f t="shared" si="305"/>
        <v/>
      </c>
      <c r="AL294" s="528" t="str">
        <f t="shared" si="305"/>
        <v/>
      </c>
      <c r="AM294" s="528" t="str">
        <f t="shared" si="305"/>
        <v/>
      </c>
      <c r="AN294" s="528" t="str">
        <f t="shared" si="305"/>
        <v/>
      </c>
      <c r="AO294" s="528" t="str">
        <f t="shared" si="305"/>
        <v/>
      </c>
      <c r="AP294" s="528" t="str">
        <f t="shared" si="305"/>
        <v/>
      </c>
      <c r="AQ294" s="528" t="str">
        <f t="shared" si="305"/>
        <v/>
      </c>
      <c r="AR294" s="528" t="str">
        <f t="shared" si="305"/>
        <v/>
      </c>
      <c r="AS294" s="528" t="str">
        <f t="shared" si="305"/>
        <v/>
      </c>
      <c r="AT294" s="528" t="str">
        <f t="shared" si="305"/>
        <v/>
      </c>
      <c r="AU294" s="528" t="str">
        <f t="shared" si="305"/>
        <v/>
      </c>
      <c r="AV294" s="528" t="str">
        <f t="shared" si="305"/>
        <v/>
      </c>
      <c r="AW294" s="528" t="str">
        <f t="shared" si="305"/>
        <v/>
      </c>
      <c r="AX294" s="528" t="str">
        <f t="shared" si="305"/>
        <v/>
      </c>
      <c r="AY294" s="528" t="str">
        <f t="shared" si="305"/>
        <v/>
      </c>
      <c r="AZ294" s="528" t="str">
        <f t="shared" si="305"/>
        <v/>
      </c>
      <c r="BA294" s="528" t="str">
        <f t="shared" si="305"/>
        <v/>
      </c>
      <c r="BB294" s="528" t="str">
        <f t="shared" si="305"/>
        <v/>
      </c>
      <c r="BC294" s="528" t="str">
        <f t="shared" si="305"/>
        <v/>
      </c>
      <c r="BD294" s="528" t="str">
        <f t="shared" si="305"/>
        <v/>
      </c>
      <c r="BE294" s="528" t="str">
        <f t="shared" si="305"/>
        <v/>
      </c>
      <c r="BF294" s="528" t="str">
        <f t="shared" si="305"/>
        <v/>
      </c>
      <c r="BG294" s="528" t="str">
        <f t="shared" si="305"/>
        <v/>
      </c>
      <c r="BH294" s="528" t="str">
        <f t="shared" si="305"/>
        <v/>
      </c>
      <c r="BI294" s="528" t="str">
        <f t="shared" si="305"/>
        <v/>
      </c>
      <c r="BJ294" s="528" t="str">
        <f t="shared" si="305"/>
        <v/>
      </c>
      <c r="BK294" s="528" t="str">
        <f t="shared" si="305"/>
        <v/>
      </c>
      <c r="BL294" s="528" t="str">
        <f t="shared" si="305"/>
        <v/>
      </c>
      <c r="BM294" s="528" t="str">
        <f t="shared" si="305"/>
        <v/>
      </c>
    </row>
    <row r="295" spans="6:65" ht="15.75" customHeight="1" x14ac:dyDescent="0.25">
      <c r="F295" s="197"/>
      <c r="G295" s="197">
        <f t="shared" si="268"/>
        <v>0</v>
      </c>
      <c r="H295" s="197">
        <f t="shared" si="269"/>
        <v>177</v>
      </c>
      <c r="I295" s="523">
        <v>1</v>
      </c>
      <c r="J295" s="533">
        <f>'Monthly DCF'!$I$3</f>
        <v>46418</v>
      </c>
      <c r="K295" s="533">
        <f t="shared" si="270"/>
        <v>46904</v>
      </c>
      <c r="L295" s="536">
        <f t="shared" si="294"/>
        <v>17</v>
      </c>
      <c r="M295" s="20" t="s">
        <v>366</v>
      </c>
      <c r="N295" s="20">
        <f t="shared" si="271"/>
        <v>2.4285714285714284</v>
      </c>
      <c r="O295" s="537">
        <v>7</v>
      </c>
      <c r="P295" s="528">
        <f t="shared" ref="P295:BM295" si="306">IFERROR(+IF(AND($M295="Flat",P$5&gt;=$J295,P$5&lt;=$K295),$I295/$L295,0)+IF(AND($M295="S-Curve",P$5&gt;=$J295,P$5&lt;=$K295),(_xlfn.NORM.DIST((YEAR(P$5)-YEAR($J295))*12+MONTH(P$5)-MONTH($J295)+1,$L295/2,$N295,TRUE)-_xlfn.NORM.DIST((YEAR(P$5)-YEAR($J295))*12+MONTH(P$5)-MONTH($J295),$L295/2,$N295,TRUE))/(1-2*_xlfn.NORM.DIST(0,$L295/2,$N295,TRUE))*$I295," "),"")</f>
        <v>7.7447615807704664E-4</v>
      </c>
      <c r="Q295" s="528">
        <f t="shared" si="306"/>
        <v>2.714622881668891E-3</v>
      </c>
      <c r="R295" s="528">
        <f t="shared" si="306"/>
        <v>8.049007214650402E-3</v>
      </c>
      <c r="S295" s="528">
        <f t="shared" si="306"/>
        <v>2.0189421344043841E-2</v>
      </c>
      <c r="T295" s="528">
        <f t="shared" si="306"/>
        <v>4.2841954357427693E-2</v>
      </c>
      <c r="U295" s="528">
        <f t="shared" si="306"/>
        <v>7.6911478252546753E-2</v>
      </c>
      <c r="V295" s="528">
        <f t="shared" si="306"/>
        <v>0.11681524620187236</v>
      </c>
      <c r="W295" s="528">
        <f t="shared" si="306"/>
        <v>0.15010723535743853</v>
      </c>
      <c r="X295" s="528">
        <f t="shared" si="306"/>
        <v>0.16319311646454898</v>
      </c>
      <c r="Y295" s="528">
        <f t="shared" si="306"/>
        <v>0.15010723535743853</v>
      </c>
      <c r="Z295" s="528">
        <f t="shared" si="306"/>
        <v>0.11681524620187239</v>
      </c>
      <c r="AA295" s="528">
        <f t="shared" si="306"/>
        <v>7.6911478252546753E-2</v>
      </c>
      <c r="AB295" s="528">
        <f t="shared" si="306"/>
        <v>4.2841954357427631E-2</v>
      </c>
      <c r="AC295" s="528">
        <f t="shared" si="306"/>
        <v>2.0189421344043838E-2</v>
      </c>
      <c r="AD295" s="528">
        <f t="shared" si="306"/>
        <v>8.0490072146504228E-3</v>
      </c>
      <c r="AE295" s="528">
        <f t="shared" si="306"/>
        <v>2.7146228816689005E-3</v>
      </c>
      <c r="AF295" s="528">
        <f t="shared" si="306"/>
        <v>7.7447615807703959E-4</v>
      </c>
      <c r="AG295" s="528" t="str">
        <f t="shared" si="306"/>
        <v/>
      </c>
      <c r="AH295" s="528" t="str">
        <f t="shared" si="306"/>
        <v/>
      </c>
      <c r="AI295" s="528" t="str">
        <f t="shared" si="306"/>
        <v/>
      </c>
      <c r="AJ295" s="528" t="str">
        <f t="shared" si="306"/>
        <v/>
      </c>
      <c r="AK295" s="528" t="str">
        <f t="shared" si="306"/>
        <v/>
      </c>
      <c r="AL295" s="528" t="str">
        <f t="shared" si="306"/>
        <v/>
      </c>
      <c r="AM295" s="528" t="str">
        <f t="shared" si="306"/>
        <v/>
      </c>
      <c r="AN295" s="528" t="str">
        <f t="shared" si="306"/>
        <v/>
      </c>
      <c r="AO295" s="528" t="str">
        <f t="shared" si="306"/>
        <v/>
      </c>
      <c r="AP295" s="528" t="str">
        <f t="shared" si="306"/>
        <v/>
      </c>
      <c r="AQ295" s="528" t="str">
        <f t="shared" si="306"/>
        <v/>
      </c>
      <c r="AR295" s="528" t="str">
        <f t="shared" si="306"/>
        <v/>
      </c>
      <c r="AS295" s="528" t="str">
        <f t="shared" si="306"/>
        <v/>
      </c>
      <c r="AT295" s="528" t="str">
        <f t="shared" si="306"/>
        <v/>
      </c>
      <c r="AU295" s="528" t="str">
        <f t="shared" si="306"/>
        <v/>
      </c>
      <c r="AV295" s="528" t="str">
        <f t="shared" si="306"/>
        <v/>
      </c>
      <c r="AW295" s="528" t="str">
        <f t="shared" si="306"/>
        <v/>
      </c>
      <c r="AX295" s="528" t="str">
        <f t="shared" si="306"/>
        <v/>
      </c>
      <c r="AY295" s="528" t="str">
        <f t="shared" si="306"/>
        <v/>
      </c>
      <c r="AZ295" s="528" t="str">
        <f t="shared" si="306"/>
        <v/>
      </c>
      <c r="BA295" s="528" t="str">
        <f t="shared" si="306"/>
        <v/>
      </c>
      <c r="BB295" s="528" t="str">
        <f t="shared" si="306"/>
        <v/>
      </c>
      <c r="BC295" s="528" t="str">
        <f t="shared" si="306"/>
        <v/>
      </c>
      <c r="BD295" s="528" t="str">
        <f t="shared" si="306"/>
        <v/>
      </c>
      <c r="BE295" s="528" t="str">
        <f t="shared" si="306"/>
        <v/>
      </c>
      <c r="BF295" s="528" t="str">
        <f t="shared" si="306"/>
        <v/>
      </c>
      <c r="BG295" s="528" t="str">
        <f t="shared" si="306"/>
        <v/>
      </c>
      <c r="BH295" s="528" t="str">
        <f t="shared" si="306"/>
        <v/>
      </c>
      <c r="BI295" s="528" t="str">
        <f t="shared" si="306"/>
        <v/>
      </c>
      <c r="BJ295" s="528" t="str">
        <f t="shared" si="306"/>
        <v/>
      </c>
      <c r="BK295" s="528" t="str">
        <f t="shared" si="306"/>
        <v/>
      </c>
      <c r="BL295" s="528" t="str">
        <f t="shared" si="306"/>
        <v/>
      </c>
      <c r="BM295" s="528" t="str">
        <f t="shared" si="306"/>
        <v/>
      </c>
    </row>
    <row r="296" spans="6:65" ht="15.75" customHeight="1" x14ac:dyDescent="0.25">
      <c r="F296" s="197"/>
      <c r="G296" s="197">
        <f t="shared" si="268"/>
        <v>0</v>
      </c>
      <c r="H296" s="197">
        <f t="shared" si="269"/>
        <v>187</v>
      </c>
      <c r="I296" s="523">
        <v>1</v>
      </c>
      <c r="J296" s="533">
        <f>'Monthly DCF'!$I$3</f>
        <v>46418</v>
      </c>
      <c r="K296" s="533">
        <f t="shared" si="270"/>
        <v>46934</v>
      </c>
      <c r="L296" s="536">
        <f t="shared" si="294"/>
        <v>18</v>
      </c>
      <c r="M296" s="20" t="s">
        <v>366</v>
      </c>
      <c r="N296" s="20">
        <f t="shared" si="271"/>
        <v>2.5714285714285716</v>
      </c>
      <c r="O296" s="537">
        <v>7</v>
      </c>
      <c r="P296" s="528">
        <f t="shared" ref="P296:BM296" si="307">IFERROR(+IF(AND($M296="Flat",P$5&gt;=$J296,P$5&lt;=$K296),$I296/$L296,0)+IF(AND($M296="S-Curve",P$5&gt;=$J296,P$5&lt;=$K296),(_xlfn.NORM.DIST((YEAR(P$5)-YEAR($J296))*12+MONTH(P$5)-MONTH($J296)+1,$L296/2,$N296,TRUE)-_xlfn.NORM.DIST((YEAR(P$5)-YEAR($J296))*12+MONTH(P$5)-MONTH($J296),$L296/2,$N296,TRUE))/(1-2*_xlfn.NORM.DIST(0,$L296/2,$N296,TRUE))*$I296," "),"")</f>
        <v>6.9962039257464724E-4</v>
      </c>
      <c r="Q296" s="528">
        <f t="shared" si="307"/>
        <v>2.31137751805939E-3</v>
      </c>
      <c r="R296" s="528">
        <f t="shared" si="307"/>
        <v>6.5761621434036561E-3</v>
      </c>
      <c r="S296" s="528">
        <f t="shared" si="307"/>
        <v>1.611310748390643E-2</v>
      </c>
      <c r="T296" s="528">
        <f t="shared" si="307"/>
        <v>3.4001787353884268E-2</v>
      </c>
      <c r="U296" s="528">
        <f t="shared" si="307"/>
        <v>6.1794347796044161E-2</v>
      </c>
      <c r="V296" s="528">
        <f t="shared" si="307"/>
        <v>9.6722511724646673E-2</v>
      </c>
      <c r="W296" s="528">
        <f t="shared" si="307"/>
        <v>0.13038982050507847</v>
      </c>
      <c r="X296" s="528">
        <f t="shared" si="307"/>
        <v>0.15139126508240233</v>
      </c>
      <c r="Y296" s="528">
        <f t="shared" si="307"/>
        <v>0.15139126508240228</v>
      </c>
      <c r="Z296" s="528">
        <f t="shared" si="307"/>
        <v>0.13038982050507855</v>
      </c>
      <c r="AA296" s="528">
        <f t="shared" si="307"/>
        <v>9.6722511724646618E-2</v>
      </c>
      <c r="AB296" s="528">
        <f t="shared" si="307"/>
        <v>6.1794347796044161E-2</v>
      </c>
      <c r="AC296" s="528">
        <f t="shared" si="307"/>
        <v>3.4001787353884295E-2</v>
      </c>
      <c r="AD296" s="528">
        <f t="shared" si="307"/>
        <v>1.6113107483906458E-2</v>
      </c>
      <c r="AE296" s="528">
        <f t="shared" si="307"/>
        <v>6.576162143403637E-3</v>
      </c>
      <c r="AF296" s="528">
        <f t="shared" si="307"/>
        <v>2.3113775180593952E-3</v>
      </c>
      <c r="AG296" s="528">
        <f t="shared" si="307"/>
        <v>6.9962039257461634E-4</v>
      </c>
      <c r="AH296" s="528" t="str">
        <f t="shared" si="307"/>
        <v/>
      </c>
      <c r="AI296" s="528" t="str">
        <f t="shared" si="307"/>
        <v/>
      </c>
      <c r="AJ296" s="528" t="str">
        <f t="shared" si="307"/>
        <v/>
      </c>
      <c r="AK296" s="528" t="str">
        <f t="shared" si="307"/>
        <v/>
      </c>
      <c r="AL296" s="528" t="str">
        <f t="shared" si="307"/>
        <v/>
      </c>
      <c r="AM296" s="528" t="str">
        <f t="shared" si="307"/>
        <v/>
      </c>
      <c r="AN296" s="528" t="str">
        <f t="shared" si="307"/>
        <v/>
      </c>
      <c r="AO296" s="528" t="str">
        <f t="shared" si="307"/>
        <v/>
      </c>
      <c r="AP296" s="528" t="str">
        <f t="shared" si="307"/>
        <v/>
      </c>
      <c r="AQ296" s="528" t="str">
        <f t="shared" si="307"/>
        <v/>
      </c>
      <c r="AR296" s="528" t="str">
        <f t="shared" si="307"/>
        <v/>
      </c>
      <c r="AS296" s="528" t="str">
        <f t="shared" si="307"/>
        <v/>
      </c>
      <c r="AT296" s="528" t="str">
        <f t="shared" si="307"/>
        <v/>
      </c>
      <c r="AU296" s="528" t="str">
        <f t="shared" si="307"/>
        <v/>
      </c>
      <c r="AV296" s="528" t="str">
        <f t="shared" si="307"/>
        <v/>
      </c>
      <c r="AW296" s="528" t="str">
        <f t="shared" si="307"/>
        <v/>
      </c>
      <c r="AX296" s="528" t="str">
        <f t="shared" si="307"/>
        <v/>
      </c>
      <c r="AY296" s="528" t="str">
        <f t="shared" si="307"/>
        <v/>
      </c>
      <c r="AZ296" s="528" t="str">
        <f t="shared" si="307"/>
        <v/>
      </c>
      <c r="BA296" s="528" t="str">
        <f t="shared" si="307"/>
        <v/>
      </c>
      <c r="BB296" s="528" t="str">
        <f t="shared" si="307"/>
        <v/>
      </c>
      <c r="BC296" s="528" t="str">
        <f t="shared" si="307"/>
        <v/>
      </c>
      <c r="BD296" s="528" t="str">
        <f t="shared" si="307"/>
        <v/>
      </c>
      <c r="BE296" s="528" t="str">
        <f t="shared" si="307"/>
        <v/>
      </c>
      <c r="BF296" s="528" t="str">
        <f t="shared" si="307"/>
        <v/>
      </c>
      <c r="BG296" s="528" t="str">
        <f t="shared" si="307"/>
        <v/>
      </c>
      <c r="BH296" s="528" t="str">
        <f t="shared" si="307"/>
        <v/>
      </c>
      <c r="BI296" s="528" t="str">
        <f t="shared" si="307"/>
        <v/>
      </c>
      <c r="BJ296" s="528" t="str">
        <f t="shared" si="307"/>
        <v/>
      </c>
      <c r="BK296" s="528" t="str">
        <f t="shared" si="307"/>
        <v/>
      </c>
      <c r="BL296" s="528" t="str">
        <f t="shared" si="307"/>
        <v/>
      </c>
      <c r="BM296" s="528" t="str">
        <f t="shared" si="307"/>
        <v/>
      </c>
    </row>
    <row r="297" spans="6:65" ht="15.75" customHeight="1" x14ac:dyDescent="0.25">
      <c r="F297" s="197"/>
      <c r="G297" s="197">
        <f t="shared" si="268"/>
        <v>0</v>
      </c>
      <c r="H297" s="197">
        <f t="shared" si="269"/>
        <v>197</v>
      </c>
      <c r="I297" s="523">
        <v>1</v>
      </c>
      <c r="J297" s="533">
        <f>'Monthly DCF'!$I$3</f>
        <v>46418</v>
      </c>
      <c r="K297" s="533">
        <f t="shared" si="270"/>
        <v>46965</v>
      </c>
      <c r="L297" s="536">
        <f t="shared" si="294"/>
        <v>19</v>
      </c>
      <c r="M297" s="20" t="s">
        <v>366</v>
      </c>
      <c r="N297" s="20">
        <f t="shared" si="271"/>
        <v>2.7142857142857144</v>
      </c>
      <c r="O297" s="537">
        <v>7</v>
      </c>
      <c r="P297" s="528">
        <f t="shared" ref="P297:BM297" si="308">IFERROR(+IF(AND($M297="Flat",P$5&gt;=$J297,P$5&lt;=$K297),$I297/$L297,0)+IF(AND($M297="S-Curve",P$5&gt;=$J297,P$5&lt;=$K297),(_xlfn.NORM.DIST((YEAR(P$5)-YEAR($J297))*12+MONTH(P$5)-MONTH($J297)+1,$L297/2,$N297,TRUE)-_xlfn.NORM.DIST((YEAR(P$5)-YEAR($J297))*12+MONTH(P$5)-MONTH($J297),$L297/2,$N297,TRUE))/(1-2*_xlfn.NORM.DIST(0,$L297/2,$N297,TRUE))*$I297," "),"")</f>
        <v>6.3701245869722479E-4</v>
      </c>
      <c r="Q297" s="528">
        <f t="shared" si="308"/>
        <v>1.9938358264357521E-3</v>
      </c>
      <c r="R297" s="528">
        <f t="shared" si="308"/>
        <v>5.4564341949831004E-3</v>
      </c>
      <c r="S297" s="528">
        <f t="shared" si="308"/>
        <v>1.3056142711647151E-2</v>
      </c>
      <c r="T297" s="528">
        <f t="shared" si="308"/>
        <v>2.7315849142958582E-2</v>
      </c>
      <c r="U297" s="528">
        <f t="shared" si="308"/>
        <v>4.9970621572127789E-2</v>
      </c>
      <c r="V297" s="528">
        <f t="shared" si="308"/>
        <v>7.9931933897222279E-2</v>
      </c>
      <c r="W297" s="528">
        <f t="shared" si="308"/>
        <v>0.11179839732789111</v>
      </c>
      <c r="X297" s="528">
        <f t="shared" si="308"/>
        <v>0.1367299089001863</v>
      </c>
      <c r="Y297" s="528">
        <f t="shared" si="308"/>
        <v>0.14621972793570143</v>
      </c>
      <c r="Z297" s="528">
        <f t="shared" si="308"/>
        <v>0.1367299089001863</v>
      </c>
      <c r="AA297" s="528">
        <f t="shared" si="308"/>
        <v>0.11179839732789111</v>
      </c>
      <c r="AB297" s="528">
        <f t="shared" si="308"/>
        <v>7.9931933897222252E-2</v>
      </c>
      <c r="AC297" s="528">
        <f t="shared" si="308"/>
        <v>4.9970621572127776E-2</v>
      </c>
      <c r="AD297" s="528">
        <f t="shared" si="308"/>
        <v>2.7315849142958603E-2</v>
      </c>
      <c r="AE297" s="528">
        <f t="shared" si="308"/>
        <v>1.3056142711647178E-2</v>
      </c>
      <c r="AF297" s="528">
        <f t="shared" si="308"/>
        <v>5.4564341949830467E-3</v>
      </c>
      <c r="AG297" s="528">
        <f t="shared" si="308"/>
        <v>1.9938358264357482E-3</v>
      </c>
      <c r="AH297" s="528">
        <f t="shared" si="308"/>
        <v>6.3701245869726046E-4</v>
      </c>
      <c r="AI297" s="528" t="str">
        <f t="shared" si="308"/>
        <v/>
      </c>
      <c r="AJ297" s="528" t="str">
        <f t="shared" si="308"/>
        <v/>
      </c>
      <c r="AK297" s="528" t="str">
        <f t="shared" si="308"/>
        <v/>
      </c>
      <c r="AL297" s="528" t="str">
        <f t="shared" si="308"/>
        <v/>
      </c>
      <c r="AM297" s="528" t="str">
        <f t="shared" si="308"/>
        <v/>
      </c>
      <c r="AN297" s="528" t="str">
        <f t="shared" si="308"/>
        <v/>
      </c>
      <c r="AO297" s="528" t="str">
        <f t="shared" si="308"/>
        <v/>
      </c>
      <c r="AP297" s="528" t="str">
        <f t="shared" si="308"/>
        <v/>
      </c>
      <c r="AQ297" s="528" t="str">
        <f t="shared" si="308"/>
        <v/>
      </c>
      <c r="AR297" s="528" t="str">
        <f t="shared" si="308"/>
        <v/>
      </c>
      <c r="AS297" s="528" t="str">
        <f t="shared" si="308"/>
        <v/>
      </c>
      <c r="AT297" s="528" t="str">
        <f t="shared" si="308"/>
        <v/>
      </c>
      <c r="AU297" s="528" t="str">
        <f t="shared" si="308"/>
        <v/>
      </c>
      <c r="AV297" s="528" t="str">
        <f t="shared" si="308"/>
        <v/>
      </c>
      <c r="AW297" s="528" t="str">
        <f t="shared" si="308"/>
        <v/>
      </c>
      <c r="AX297" s="528" t="str">
        <f t="shared" si="308"/>
        <v/>
      </c>
      <c r="AY297" s="528" t="str">
        <f t="shared" si="308"/>
        <v/>
      </c>
      <c r="AZ297" s="528" t="str">
        <f t="shared" si="308"/>
        <v/>
      </c>
      <c r="BA297" s="528" t="str">
        <f t="shared" si="308"/>
        <v/>
      </c>
      <c r="BB297" s="528" t="str">
        <f t="shared" si="308"/>
        <v/>
      </c>
      <c r="BC297" s="528" t="str">
        <f t="shared" si="308"/>
        <v/>
      </c>
      <c r="BD297" s="528" t="str">
        <f t="shared" si="308"/>
        <v/>
      </c>
      <c r="BE297" s="528" t="str">
        <f t="shared" si="308"/>
        <v/>
      </c>
      <c r="BF297" s="528" t="str">
        <f t="shared" si="308"/>
        <v/>
      </c>
      <c r="BG297" s="528" t="str">
        <f t="shared" si="308"/>
        <v/>
      </c>
      <c r="BH297" s="528" t="str">
        <f t="shared" si="308"/>
        <v/>
      </c>
      <c r="BI297" s="528" t="str">
        <f t="shared" si="308"/>
        <v/>
      </c>
      <c r="BJ297" s="528" t="str">
        <f t="shared" si="308"/>
        <v/>
      </c>
      <c r="BK297" s="528" t="str">
        <f t="shared" si="308"/>
        <v/>
      </c>
      <c r="BL297" s="528" t="str">
        <f t="shared" si="308"/>
        <v/>
      </c>
      <c r="BM297" s="528" t="str">
        <f t="shared" si="308"/>
        <v/>
      </c>
    </row>
    <row r="298" spans="6:65" ht="15.75" customHeight="1" x14ac:dyDescent="0.25">
      <c r="F298" s="197"/>
      <c r="G298" s="197">
        <f t="shared" si="268"/>
        <v>0</v>
      </c>
      <c r="H298" s="197">
        <f t="shared" si="269"/>
        <v>207</v>
      </c>
      <c r="I298" s="523">
        <v>1</v>
      </c>
      <c r="J298" s="533">
        <f>'Monthly DCF'!$I$3</f>
        <v>46418</v>
      </c>
      <c r="K298" s="533">
        <f t="shared" si="270"/>
        <v>46996</v>
      </c>
      <c r="L298" s="536">
        <f t="shared" si="294"/>
        <v>20</v>
      </c>
      <c r="M298" s="20" t="s">
        <v>366</v>
      </c>
      <c r="N298" s="20">
        <f t="shared" si="271"/>
        <v>2.8571428571428572</v>
      </c>
      <c r="O298" s="537">
        <v>7</v>
      </c>
      <c r="P298" s="528">
        <f t="shared" ref="P298:BM298" si="309">IFERROR(+IF(AND($M298="Flat",P$5&gt;=$J298,P$5&lt;=$K298),$I298/$L298,0)+IF(AND($M298="S-Curve",P$5&gt;=$J298,P$5&lt;=$K298),(_xlfn.NORM.DIST((YEAR(P$5)-YEAR($J298))*12+MONTH(P$5)-MONTH($J298)+1,$L298/2,$N298,TRUE)-_xlfn.NORM.DIST((YEAR(P$5)-YEAR($J298))*12+MONTH(P$5)-MONTH($J298),$L298/2,$N298,TRUE))/(1-2*_xlfn.NORM.DIST(0,$L298/2,$N298,TRUE))*$I298," "),"")</f>
        <v>5.839949422041694E-4</v>
      </c>
      <c r="Q298" s="528">
        <f t="shared" si="309"/>
        <v>1.7395873748171807E-3</v>
      </c>
      <c r="R298" s="528">
        <f t="shared" si="309"/>
        <v>4.5898158541136588E-3</v>
      </c>
      <c r="S298" s="528">
        <f t="shared" si="309"/>
        <v>1.0726600465920265E-2</v>
      </c>
      <c r="T298" s="528">
        <f t="shared" si="309"/>
        <v>2.2205067389754155E-2</v>
      </c>
      <c r="U298" s="528">
        <f t="shared" si="309"/>
        <v>4.0716446028636437E-2</v>
      </c>
      <c r="V298" s="528">
        <f t="shared" si="309"/>
        <v>6.6133166137189281E-2</v>
      </c>
      <c r="W298" s="528">
        <f t="shared" si="309"/>
        <v>9.514886463267859E-2</v>
      </c>
      <c r="X298" s="528">
        <f t="shared" si="309"/>
        <v>0.12126211478947868</v>
      </c>
      <c r="Y298" s="528">
        <f t="shared" si="309"/>
        <v>0.13689434238520759</v>
      </c>
      <c r="Z298" s="528">
        <f t="shared" si="309"/>
        <v>0.13689434238520759</v>
      </c>
      <c r="AA298" s="528">
        <f t="shared" si="309"/>
        <v>0.12126211478947863</v>
      </c>
      <c r="AB298" s="528">
        <f t="shared" si="309"/>
        <v>9.5148864632678673E-2</v>
      </c>
      <c r="AC298" s="528">
        <f t="shared" si="309"/>
        <v>6.6133166137189239E-2</v>
      </c>
      <c r="AD298" s="528">
        <f t="shared" si="309"/>
        <v>4.0716446028636437E-2</v>
      </c>
      <c r="AE298" s="528">
        <f t="shared" si="309"/>
        <v>2.2205067389754151E-2</v>
      </c>
      <c r="AF298" s="528">
        <f t="shared" si="309"/>
        <v>1.0726600465920248E-2</v>
      </c>
      <c r="AG298" s="528">
        <f t="shared" si="309"/>
        <v>4.589815854113645E-3</v>
      </c>
      <c r="AH298" s="528">
        <f t="shared" si="309"/>
        <v>1.7395873748171739E-3</v>
      </c>
      <c r="AI298" s="528">
        <f t="shared" si="309"/>
        <v>5.8399494220420919E-4</v>
      </c>
      <c r="AJ298" s="528" t="str">
        <f t="shared" si="309"/>
        <v/>
      </c>
      <c r="AK298" s="528" t="str">
        <f t="shared" si="309"/>
        <v/>
      </c>
      <c r="AL298" s="528" t="str">
        <f t="shared" si="309"/>
        <v/>
      </c>
      <c r="AM298" s="528" t="str">
        <f t="shared" si="309"/>
        <v/>
      </c>
      <c r="AN298" s="528" t="str">
        <f t="shared" si="309"/>
        <v/>
      </c>
      <c r="AO298" s="528" t="str">
        <f t="shared" si="309"/>
        <v/>
      </c>
      <c r="AP298" s="528" t="str">
        <f t="shared" si="309"/>
        <v/>
      </c>
      <c r="AQ298" s="528" t="str">
        <f t="shared" si="309"/>
        <v/>
      </c>
      <c r="AR298" s="528" t="str">
        <f t="shared" si="309"/>
        <v/>
      </c>
      <c r="AS298" s="528" t="str">
        <f t="shared" si="309"/>
        <v/>
      </c>
      <c r="AT298" s="528" t="str">
        <f t="shared" si="309"/>
        <v/>
      </c>
      <c r="AU298" s="528" t="str">
        <f t="shared" si="309"/>
        <v/>
      </c>
      <c r="AV298" s="528" t="str">
        <f t="shared" si="309"/>
        <v/>
      </c>
      <c r="AW298" s="528" t="str">
        <f t="shared" si="309"/>
        <v/>
      </c>
      <c r="AX298" s="528" t="str">
        <f t="shared" si="309"/>
        <v/>
      </c>
      <c r="AY298" s="528" t="str">
        <f t="shared" si="309"/>
        <v/>
      </c>
      <c r="AZ298" s="528" t="str">
        <f t="shared" si="309"/>
        <v/>
      </c>
      <c r="BA298" s="528" t="str">
        <f t="shared" si="309"/>
        <v/>
      </c>
      <c r="BB298" s="528" t="str">
        <f t="shared" si="309"/>
        <v/>
      </c>
      <c r="BC298" s="528" t="str">
        <f t="shared" si="309"/>
        <v/>
      </c>
      <c r="BD298" s="528" t="str">
        <f t="shared" si="309"/>
        <v/>
      </c>
      <c r="BE298" s="528" t="str">
        <f t="shared" si="309"/>
        <v/>
      </c>
      <c r="BF298" s="528" t="str">
        <f t="shared" si="309"/>
        <v/>
      </c>
      <c r="BG298" s="528" t="str">
        <f t="shared" si="309"/>
        <v/>
      </c>
      <c r="BH298" s="528" t="str">
        <f t="shared" si="309"/>
        <v/>
      </c>
      <c r="BI298" s="528" t="str">
        <f t="shared" si="309"/>
        <v/>
      </c>
      <c r="BJ298" s="528" t="str">
        <f t="shared" si="309"/>
        <v/>
      </c>
      <c r="BK298" s="528" t="str">
        <f t="shared" si="309"/>
        <v/>
      </c>
      <c r="BL298" s="528" t="str">
        <f t="shared" si="309"/>
        <v/>
      </c>
      <c r="BM298" s="528" t="str">
        <f t="shared" si="309"/>
        <v/>
      </c>
    </row>
    <row r="299" spans="6:65" ht="15.75" customHeight="1" x14ac:dyDescent="0.25">
      <c r="F299" s="197"/>
      <c r="G299" s="197">
        <f t="shared" si="268"/>
        <v>0</v>
      </c>
      <c r="H299" s="197">
        <f t="shared" si="269"/>
        <v>217</v>
      </c>
      <c r="I299" s="523">
        <v>1</v>
      </c>
      <c r="J299" s="533">
        <f>'Monthly DCF'!$I$3</f>
        <v>46418</v>
      </c>
      <c r="K299" s="533">
        <f t="shared" si="270"/>
        <v>47026</v>
      </c>
      <c r="L299" s="536">
        <f t="shared" si="294"/>
        <v>21</v>
      </c>
      <c r="M299" s="20" t="s">
        <v>366</v>
      </c>
      <c r="N299" s="20">
        <f t="shared" si="271"/>
        <v>3</v>
      </c>
      <c r="O299" s="537">
        <v>7</v>
      </c>
      <c r="P299" s="528">
        <f t="shared" ref="P299:BM299" si="310">IFERROR(+IF(AND($M299="Flat",P$5&gt;=$J299,P$5&lt;=$K299),$I299/$L299,0)+IF(AND($M299="S-Curve",P$5&gt;=$J299,P$5&lt;=$K299),(_xlfn.NORM.DIST((YEAR(P$5)-YEAR($J299))*12+MONTH(P$5)-MONTH($J299)+1,$L299/2,$N299,TRUE)-_xlfn.NORM.DIST((YEAR(P$5)-YEAR($J299))*12+MONTH(P$5)-MONTH($J299),$L299/2,$N299,TRUE))/(1-2*_xlfn.NORM.DIST(0,$L299/2,$N299,TRUE))*$I299," "),"")</f>
        <v>5.3860629640784278E-4</v>
      </c>
      <c r="Q299" s="528">
        <f t="shared" si="310"/>
        <v>1.5329945854630719E-3</v>
      </c>
      <c r="R299" s="528">
        <f t="shared" si="310"/>
        <v>3.9082175241668864E-3</v>
      </c>
      <c r="S299" s="528">
        <f t="shared" si="310"/>
        <v>8.9246269399512346E-3</v>
      </c>
      <c r="T299" s="528">
        <f t="shared" si="310"/>
        <v>1.8254860797491921E-2</v>
      </c>
      <c r="U299" s="528">
        <f t="shared" si="310"/>
        <v>3.3446254826955971E-2</v>
      </c>
      <c r="V299" s="528">
        <f t="shared" si="310"/>
        <v>5.4890841717435621E-2</v>
      </c>
      <c r="W299" s="528">
        <f t="shared" si="310"/>
        <v>8.0693419661061735E-2</v>
      </c>
      <c r="X299" s="528">
        <f t="shared" si="310"/>
        <v>0.10625859544073783</v>
      </c>
      <c r="Y299" s="528">
        <f t="shared" si="310"/>
        <v>0.1253369426982075</v>
      </c>
      <c r="Z299" s="528">
        <f t="shared" si="310"/>
        <v>0.13242927902424081</v>
      </c>
      <c r="AA299" s="528">
        <f t="shared" si="310"/>
        <v>0.1253369426982075</v>
      </c>
      <c r="AB299" s="528">
        <f t="shared" si="310"/>
        <v>0.10625859544073783</v>
      </c>
      <c r="AC299" s="528">
        <f t="shared" si="310"/>
        <v>8.0693419661061708E-2</v>
      </c>
      <c r="AD299" s="528">
        <f t="shared" si="310"/>
        <v>5.4890841717435621E-2</v>
      </c>
      <c r="AE299" s="528">
        <f t="shared" si="310"/>
        <v>3.3446254826955998E-2</v>
      </c>
      <c r="AF299" s="528">
        <f t="shared" si="310"/>
        <v>1.8254860797491907E-2</v>
      </c>
      <c r="AG299" s="528">
        <f t="shared" si="310"/>
        <v>8.9246269399512208E-3</v>
      </c>
      <c r="AH299" s="528">
        <f t="shared" si="310"/>
        <v>3.9082175241669471E-3</v>
      </c>
      <c r="AI299" s="528">
        <f t="shared" si="310"/>
        <v>1.5329945854629934E-3</v>
      </c>
      <c r="AJ299" s="528">
        <f t="shared" si="310"/>
        <v>5.3860629640787119E-4</v>
      </c>
      <c r="AK299" s="528" t="str">
        <f t="shared" si="310"/>
        <v/>
      </c>
      <c r="AL299" s="528" t="str">
        <f t="shared" si="310"/>
        <v/>
      </c>
      <c r="AM299" s="528" t="str">
        <f t="shared" si="310"/>
        <v/>
      </c>
      <c r="AN299" s="528" t="str">
        <f t="shared" si="310"/>
        <v/>
      </c>
      <c r="AO299" s="528" t="str">
        <f t="shared" si="310"/>
        <v/>
      </c>
      <c r="AP299" s="528" t="str">
        <f t="shared" si="310"/>
        <v/>
      </c>
      <c r="AQ299" s="528" t="str">
        <f t="shared" si="310"/>
        <v/>
      </c>
      <c r="AR299" s="528" t="str">
        <f t="shared" si="310"/>
        <v/>
      </c>
      <c r="AS299" s="528" t="str">
        <f t="shared" si="310"/>
        <v/>
      </c>
      <c r="AT299" s="528" t="str">
        <f t="shared" si="310"/>
        <v/>
      </c>
      <c r="AU299" s="528" t="str">
        <f t="shared" si="310"/>
        <v/>
      </c>
      <c r="AV299" s="528" t="str">
        <f t="shared" si="310"/>
        <v/>
      </c>
      <c r="AW299" s="528" t="str">
        <f t="shared" si="310"/>
        <v/>
      </c>
      <c r="AX299" s="528" t="str">
        <f t="shared" si="310"/>
        <v/>
      </c>
      <c r="AY299" s="528" t="str">
        <f t="shared" si="310"/>
        <v/>
      </c>
      <c r="AZ299" s="528" t="str">
        <f t="shared" si="310"/>
        <v/>
      </c>
      <c r="BA299" s="528" t="str">
        <f t="shared" si="310"/>
        <v/>
      </c>
      <c r="BB299" s="528" t="str">
        <f t="shared" si="310"/>
        <v/>
      </c>
      <c r="BC299" s="528" t="str">
        <f t="shared" si="310"/>
        <v/>
      </c>
      <c r="BD299" s="528" t="str">
        <f t="shared" si="310"/>
        <v/>
      </c>
      <c r="BE299" s="528" t="str">
        <f t="shared" si="310"/>
        <v/>
      </c>
      <c r="BF299" s="528" t="str">
        <f t="shared" si="310"/>
        <v/>
      </c>
      <c r="BG299" s="528" t="str">
        <f t="shared" si="310"/>
        <v/>
      </c>
      <c r="BH299" s="528" t="str">
        <f t="shared" si="310"/>
        <v/>
      </c>
      <c r="BI299" s="528" t="str">
        <f t="shared" si="310"/>
        <v/>
      </c>
      <c r="BJ299" s="528" t="str">
        <f t="shared" si="310"/>
        <v/>
      </c>
      <c r="BK299" s="528" t="str">
        <f t="shared" si="310"/>
        <v/>
      </c>
      <c r="BL299" s="528" t="str">
        <f t="shared" si="310"/>
        <v/>
      </c>
      <c r="BM299" s="528" t="str">
        <f t="shared" si="310"/>
        <v/>
      </c>
    </row>
    <row r="300" spans="6:65" ht="15.75" customHeight="1" x14ac:dyDescent="0.25">
      <c r="F300" s="197"/>
      <c r="G300" s="197">
        <f t="shared" si="268"/>
        <v>0</v>
      </c>
      <c r="H300" s="197">
        <f t="shared" si="269"/>
        <v>227</v>
      </c>
      <c r="I300" s="523">
        <v>1</v>
      </c>
      <c r="J300" s="533">
        <f>'Monthly DCF'!$I$3</f>
        <v>46418</v>
      </c>
      <c r="K300" s="533">
        <f t="shared" si="270"/>
        <v>47057</v>
      </c>
      <c r="L300" s="536">
        <f t="shared" si="294"/>
        <v>22</v>
      </c>
      <c r="M300" s="20" t="s">
        <v>366</v>
      </c>
      <c r="N300" s="20">
        <f t="shared" si="271"/>
        <v>3.1428571428571428</v>
      </c>
      <c r="O300" s="537">
        <v>7</v>
      </c>
      <c r="P300" s="528">
        <f t="shared" ref="P300:BM300" si="311">IFERROR(+IF(AND($M300="Flat",P$5&gt;=$J300,P$5&lt;=$K300),$I300/$L300,0)+IF(AND($M300="S-Curve",P$5&gt;=$J300,P$5&lt;=$K300),(_xlfn.NORM.DIST((YEAR(P$5)-YEAR($J300))*12+MONTH(P$5)-MONTH($J300)+1,$L300/2,$N300,TRUE)-_xlfn.NORM.DIST((YEAR(P$5)-YEAR($J300))*12+MONTH(P$5)-MONTH($J300),$L300/2,$N300,TRUE))/(1-2*_xlfn.NORM.DIST(0,$L300/2,$N300,TRUE))*$I300," "),"")</f>
        <v>4.993715800585952E-4</v>
      </c>
      <c r="Q300" s="528">
        <f t="shared" si="311"/>
        <v>1.3629082885996608E-3</v>
      </c>
      <c r="R300" s="528">
        <f t="shared" si="311"/>
        <v>3.3643013359081946E-3</v>
      </c>
      <c r="S300" s="528">
        <f t="shared" si="311"/>
        <v>7.5112421419655925E-3</v>
      </c>
      <c r="T300" s="528">
        <f t="shared" si="311"/>
        <v>1.5167713494086301E-2</v>
      </c>
      <c r="U300" s="528">
        <f t="shared" si="311"/>
        <v>2.7702724455315256E-2</v>
      </c>
      <c r="V300" s="528">
        <f t="shared" si="311"/>
        <v>4.5763691924832199E-2</v>
      </c>
      <c r="W300" s="528">
        <f t="shared" si="311"/>
        <v>6.8378201486852155E-2</v>
      </c>
      <c r="X300" s="528">
        <f t="shared" si="311"/>
        <v>9.2408906072743269E-2</v>
      </c>
      <c r="Y300" s="528">
        <f t="shared" si="311"/>
        <v>0.11295634747035864</v>
      </c>
      <c r="Z300" s="528">
        <f t="shared" si="311"/>
        <v>0.12488459174928015</v>
      </c>
      <c r="AA300" s="528">
        <f t="shared" si="311"/>
        <v>0.12488459174928015</v>
      </c>
      <c r="AB300" s="528">
        <f t="shared" si="311"/>
        <v>0.11295634747035864</v>
      </c>
      <c r="AC300" s="528">
        <f t="shared" si="311"/>
        <v>9.2408906072743296E-2</v>
      </c>
      <c r="AD300" s="528">
        <f t="shared" si="311"/>
        <v>6.8378201486852169E-2</v>
      </c>
      <c r="AE300" s="528">
        <f t="shared" si="311"/>
        <v>4.5763691924832164E-2</v>
      </c>
      <c r="AF300" s="528">
        <f t="shared" si="311"/>
        <v>2.7702724455315263E-2</v>
      </c>
      <c r="AG300" s="528">
        <f t="shared" si="311"/>
        <v>1.5167713494086304E-2</v>
      </c>
      <c r="AH300" s="528">
        <f t="shared" si="311"/>
        <v>7.5112421419656194E-3</v>
      </c>
      <c r="AI300" s="528">
        <f t="shared" si="311"/>
        <v>3.3643013359081889E-3</v>
      </c>
      <c r="AJ300" s="528">
        <f t="shared" si="311"/>
        <v>1.3629082885995771E-3</v>
      </c>
      <c r="AK300" s="528">
        <f t="shared" si="311"/>
        <v>4.9937158005862513E-4</v>
      </c>
      <c r="AL300" s="528" t="str">
        <f t="shared" si="311"/>
        <v/>
      </c>
      <c r="AM300" s="528" t="str">
        <f t="shared" si="311"/>
        <v/>
      </c>
      <c r="AN300" s="528" t="str">
        <f t="shared" si="311"/>
        <v/>
      </c>
      <c r="AO300" s="528" t="str">
        <f t="shared" si="311"/>
        <v/>
      </c>
      <c r="AP300" s="528" t="str">
        <f t="shared" si="311"/>
        <v/>
      </c>
      <c r="AQ300" s="528" t="str">
        <f t="shared" si="311"/>
        <v/>
      </c>
      <c r="AR300" s="528" t="str">
        <f t="shared" si="311"/>
        <v/>
      </c>
      <c r="AS300" s="528" t="str">
        <f t="shared" si="311"/>
        <v/>
      </c>
      <c r="AT300" s="528" t="str">
        <f t="shared" si="311"/>
        <v/>
      </c>
      <c r="AU300" s="528" t="str">
        <f t="shared" si="311"/>
        <v/>
      </c>
      <c r="AV300" s="528" t="str">
        <f t="shared" si="311"/>
        <v/>
      </c>
      <c r="AW300" s="528" t="str">
        <f t="shared" si="311"/>
        <v/>
      </c>
      <c r="AX300" s="528" t="str">
        <f t="shared" si="311"/>
        <v/>
      </c>
      <c r="AY300" s="528" t="str">
        <f t="shared" si="311"/>
        <v/>
      </c>
      <c r="AZ300" s="528" t="str">
        <f t="shared" si="311"/>
        <v/>
      </c>
      <c r="BA300" s="528" t="str">
        <f t="shared" si="311"/>
        <v/>
      </c>
      <c r="BB300" s="528" t="str">
        <f t="shared" si="311"/>
        <v/>
      </c>
      <c r="BC300" s="528" t="str">
        <f t="shared" si="311"/>
        <v/>
      </c>
      <c r="BD300" s="528" t="str">
        <f t="shared" si="311"/>
        <v/>
      </c>
      <c r="BE300" s="528" t="str">
        <f t="shared" si="311"/>
        <v/>
      </c>
      <c r="BF300" s="528" t="str">
        <f t="shared" si="311"/>
        <v/>
      </c>
      <c r="BG300" s="528" t="str">
        <f t="shared" si="311"/>
        <v/>
      </c>
      <c r="BH300" s="528" t="str">
        <f t="shared" si="311"/>
        <v/>
      </c>
      <c r="BI300" s="528" t="str">
        <f t="shared" si="311"/>
        <v/>
      </c>
      <c r="BJ300" s="528" t="str">
        <f t="shared" si="311"/>
        <v/>
      </c>
      <c r="BK300" s="528" t="str">
        <f t="shared" si="311"/>
        <v/>
      </c>
      <c r="BL300" s="528" t="str">
        <f t="shared" si="311"/>
        <v/>
      </c>
      <c r="BM300" s="528" t="str">
        <f t="shared" si="311"/>
        <v/>
      </c>
    </row>
    <row r="301" spans="6:65" ht="15.75" customHeight="1" x14ac:dyDescent="0.25">
      <c r="F301" s="197"/>
      <c r="G301" s="197">
        <f t="shared" si="268"/>
        <v>0</v>
      </c>
      <c r="H301" s="197">
        <f t="shared" si="269"/>
        <v>237</v>
      </c>
      <c r="I301" s="523">
        <v>1</v>
      </c>
      <c r="J301" s="533">
        <f>'Monthly DCF'!$I$3</f>
        <v>46418</v>
      </c>
      <c r="K301" s="533">
        <f t="shared" si="270"/>
        <v>47087</v>
      </c>
      <c r="L301" s="536">
        <f t="shared" si="294"/>
        <v>23</v>
      </c>
      <c r="M301" s="20" t="s">
        <v>366</v>
      </c>
      <c r="N301" s="20">
        <f t="shared" si="271"/>
        <v>3.2857142857142856</v>
      </c>
      <c r="O301" s="537">
        <v>7</v>
      </c>
      <c r="P301" s="528">
        <f t="shared" ref="P301:BM301" si="312">IFERROR(+IF(AND($M301="Flat",P$5&gt;=$J301,P$5&lt;=$K301),$I301/$L301,0)+IF(AND($M301="S-Curve",P$5&gt;=$J301,P$5&lt;=$K301),(_xlfn.NORM.DIST((YEAR(P$5)-YEAR($J301))*12+MONTH(P$5)-MONTH($J301)+1,$L301/2,$N301,TRUE)-_xlfn.NORM.DIST((YEAR(P$5)-YEAR($J301))*12+MONTH(P$5)-MONTH($J301),$L301/2,$N301,TRUE))/(1-2*_xlfn.NORM.DIST(0,$L301/2,$N301,TRUE))*$I301," "),"")</f>
        <v>4.6516329188282975E-4</v>
      </c>
      <c r="Q301" s="528">
        <f t="shared" si="312"/>
        <v>1.2212241830335752E-3</v>
      </c>
      <c r="R301" s="528">
        <f t="shared" si="312"/>
        <v>2.9245191654010761E-3</v>
      </c>
      <c r="S301" s="528">
        <f t="shared" si="312"/>
        <v>6.388295894539449E-3</v>
      </c>
      <c r="T301" s="528">
        <f t="shared" si="312"/>
        <v>1.2728850584602115E-2</v>
      </c>
      <c r="U301" s="528">
        <f t="shared" si="312"/>
        <v>2.3134966377034816E-2</v>
      </c>
      <c r="V301" s="528">
        <f t="shared" si="312"/>
        <v>3.8355331729335237E-2</v>
      </c>
      <c r="W301" s="528">
        <f t="shared" si="312"/>
        <v>5.8004437922974238E-2</v>
      </c>
      <c r="X301" s="528">
        <f t="shared" si="312"/>
        <v>8.0015934688925261E-2</v>
      </c>
      <c r="Y301" s="528">
        <f t="shared" si="312"/>
        <v>0.10068677703521532</v>
      </c>
      <c r="Z301" s="528">
        <f t="shared" si="312"/>
        <v>0.11557123383648021</v>
      </c>
      <c r="AA301" s="528">
        <f t="shared" si="312"/>
        <v>0.12100653058115175</v>
      </c>
      <c r="AB301" s="528">
        <f t="shared" si="312"/>
        <v>0.11557123383648021</v>
      </c>
      <c r="AC301" s="528">
        <f t="shared" si="312"/>
        <v>0.10068677703521529</v>
      </c>
      <c r="AD301" s="528">
        <f t="shared" si="312"/>
        <v>8.0015934688925289E-2</v>
      </c>
      <c r="AE301" s="528">
        <f t="shared" si="312"/>
        <v>5.8004437922974252E-2</v>
      </c>
      <c r="AF301" s="528">
        <f t="shared" si="312"/>
        <v>3.8355331729335279E-2</v>
      </c>
      <c r="AG301" s="528">
        <f t="shared" si="312"/>
        <v>2.3134966377034719E-2</v>
      </c>
      <c r="AH301" s="528">
        <f t="shared" si="312"/>
        <v>1.2728850584602155E-2</v>
      </c>
      <c r="AI301" s="528">
        <f t="shared" si="312"/>
        <v>6.3882958945394551E-3</v>
      </c>
      <c r="AJ301" s="528">
        <f t="shared" si="312"/>
        <v>2.9245191654010717E-3</v>
      </c>
      <c r="AK301" s="528">
        <f t="shared" si="312"/>
        <v>1.2212241830336053E-3</v>
      </c>
      <c r="AL301" s="528">
        <f t="shared" si="312"/>
        <v>4.6516329188278432E-4</v>
      </c>
      <c r="AM301" s="528" t="str">
        <f t="shared" si="312"/>
        <v/>
      </c>
      <c r="AN301" s="528" t="str">
        <f t="shared" si="312"/>
        <v/>
      </c>
      <c r="AO301" s="528" t="str">
        <f t="shared" si="312"/>
        <v/>
      </c>
      <c r="AP301" s="528" t="str">
        <f t="shared" si="312"/>
        <v/>
      </c>
      <c r="AQ301" s="528" t="str">
        <f t="shared" si="312"/>
        <v/>
      </c>
      <c r="AR301" s="528" t="str">
        <f t="shared" si="312"/>
        <v/>
      </c>
      <c r="AS301" s="528" t="str">
        <f t="shared" si="312"/>
        <v/>
      </c>
      <c r="AT301" s="528" t="str">
        <f t="shared" si="312"/>
        <v/>
      </c>
      <c r="AU301" s="528" t="str">
        <f t="shared" si="312"/>
        <v/>
      </c>
      <c r="AV301" s="528" t="str">
        <f t="shared" si="312"/>
        <v/>
      </c>
      <c r="AW301" s="528" t="str">
        <f t="shared" si="312"/>
        <v/>
      </c>
      <c r="AX301" s="528" t="str">
        <f t="shared" si="312"/>
        <v/>
      </c>
      <c r="AY301" s="528" t="str">
        <f t="shared" si="312"/>
        <v/>
      </c>
      <c r="AZ301" s="528" t="str">
        <f t="shared" si="312"/>
        <v/>
      </c>
      <c r="BA301" s="528" t="str">
        <f t="shared" si="312"/>
        <v/>
      </c>
      <c r="BB301" s="528" t="str">
        <f t="shared" si="312"/>
        <v/>
      </c>
      <c r="BC301" s="528" t="str">
        <f t="shared" si="312"/>
        <v/>
      </c>
      <c r="BD301" s="528" t="str">
        <f t="shared" si="312"/>
        <v/>
      </c>
      <c r="BE301" s="528" t="str">
        <f t="shared" si="312"/>
        <v/>
      </c>
      <c r="BF301" s="528" t="str">
        <f t="shared" si="312"/>
        <v/>
      </c>
      <c r="BG301" s="528" t="str">
        <f t="shared" si="312"/>
        <v/>
      </c>
      <c r="BH301" s="528" t="str">
        <f t="shared" si="312"/>
        <v/>
      </c>
      <c r="BI301" s="528" t="str">
        <f t="shared" si="312"/>
        <v/>
      </c>
      <c r="BJ301" s="528" t="str">
        <f t="shared" si="312"/>
        <v/>
      </c>
      <c r="BK301" s="528" t="str">
        <f t="shared" si="312"/>
        <v/>
      </c>
      <c r="BL301" s="528" t="str">
        <f t="shared" si="312"/>
        <v/>
      </c>
      <c r="BM301" s="528" t="str">
        <f t="shared" si="312"/>
        <v/>
      </c>
    </row>
    <row r="302" spans="6:65" ht="15.75" customHeight="1" x14ac:dyDescent="0.25">
      <c r="F302" s="197"/>
      <c r="G302" s="197">
        <f t="shared" si="268"/>
        <v>0</v>
      </c>
      <c r="H302" s="197">
        <f t="shared" si="269"/>
        <v>247</v>
      </c>
      <c r="I302" s="523">
        <v>1</v>
      </c>
      <c r="J302" s="533">
        <f>'Monthly DCF'!$I$3</f>
        <v>46418</v>
      </c>
      <c r="K302" s="533">
        <f t="shared" si="270"/>
        <v>47118</v>
      </c>
      <c r="L302" s="536">
        <f t="shared" si="294"/>
        <v>24</v>
      </c>
      <c r="M302" s="20" t="s">
        <v>366</v>
      </c>
      <c r="N302" s="20">
        <f t="shared" si="271"/>
        <v>3.4285714285714284</v>
      </c>
      <c r="O302" s="537">
        <v>7</v>
      </c>
      <c r="P302" s="528">
        <f t="shared" ref="P302:BM302" si="313">IFERROR(+IF(AND($M302="Flat",P$5&gt;=$J302,P$5&lt;=$K302),$I302/$L302,0)+IF(AND($M302="S-Curve",P$5&gt;=$J302,P$5&lt;=$K302),(_xlfn.NORM.DIST((YEAR(P$5)-YEAR($J302))*12+MONTH(P$5)-MONTH($J302)+1,$L302/2,$N302,TRUE)-_xlfn.NORM.DIST((YEAR(P$5)-YEAR($J302))*12+MONTH(P$5)-MONTH($J302),$L302/2,$N302,TRUE))/(1-2*_xlfn.NORM.DIST(0,$L302/2,$N302,TRUE))*$I302," "),"")</f>
        <v>4.3510667917614869E-4</v>
      </c>
      <c r="Q302" s="528">
        <f t="shared" si="313"/>
        <v>1.1019476079458556E-3</v>
      </c>
      <c r="R302" s="528">
        <f t="shared" si="313"/>
        <v>2.5646733591046188E-3</v>
      </c>
      <c r="S302" s="528">
        <f t="shared" si="313"/>
        <v>5.4854324078110611E-3</v>
      </c>
      <c r="T302" s="528">
        <f t="shared" si="313"/>
        <v>1.0781991479494582E-2</v>
      </c>
      <c r="U302" s="528">
        <f t="shared" si="313"/>
        <v>1.9475914493277163E-2</v>
      </c>
      <c r="V302" s="528">
        <f t="shared" si="313"/>
        <v>3.2330228340168229E-2</v>
      </c>
      <c r="W302" s="528">
        <f t="shared" si="313"/>
        <v>4.9321108320894889E-2</v>
      </c>
      <c r="X302" s="528">
        <f t="shared" si="313"/>
        <v>6.9146619306864929E-2</v>
      </c>
      <c r="Y302" s="528">
        <f t="shared" si="313"/>
        <v>8.9088960112681512E-2</v>
      </c>
      <c r="Z302" s="528">
        <f t="shared" si="313"/>
        <v>0.10548536318134868</v>
      </c>
      <c r="AA302" s="528">
        <f t="shared" si="313"/>
        <v>0.11478265471123233</v>
      </c>
      <c r="AB302" s="528">
        <f t="shared" si="313"/>
        <v>0.11478265471123233</v>
      </c>
      <c r="AC302" s="528">
        <f t="shared" si="313"/>
        <v>0.10548536318134868</v>
      </c>
      <c r="AD302" s="528">
        <f t="shared" si="313"/>
        <v>8.9088960112681567E-2</v>
      </c>
      <c r="AE302" s="528">
        <f t="shared" si="313"/>
        <v>6.9146619306864845E-2</v>
      </c>
      <c r="AF302" s="528">
        <f t="shared" si="313"/>
        <v>4.9321108320894959E-2</v>
      </c>
      <c r="AG302" s="528">
        <f t="shared" si="313"/>
        <v>3.2330228340168174E-2</v>
      </c>
      <c r="AH302" s="528">
        <f t="shared" si="313"/>
        <v>1.9475914493277163E-2</v>
      </c>
      <c r="AI302" s="528">
        <f t="shared" si="313"/>
        <v>1.0781991479494617E-2</v>
      </c>
      <c r="AJ302" s="528">
        <f t="shared" si="313"/>
        <v>5.4854324078109874E-3</v>
      </c>
      <c r="AK302" s="528">
        <f t="shared" si="313"/>
        <v>2.564673359104618E-3</v>
      </c>
      <c r="AL302" s="528">
        <f t="shared" si="313"/>
        <v>1.1019476079459089E-3</v>
      </c>
      <c r="AM302" s="528">
        <f t="shared" si="313"/>
        <v>4.3510667917613427E-4</v>
      </c>
      <c r="AN302" s="528" t="str">
        <f t="shared" si="313"/>
        <v/>
      </c>
      <c r="AO302" s="528" t="str">
        <f t="shared" si="313"/>
        <v/>
      </c>
      <c r="AP302" s="528" t="str">
        <f t="shared" si="313"/>
        <v/>
      </c>
      <c r="AQ302" s="528" t="str">
        <f t="shared" si="313"/>
        <v/>
      </c>
      <c r="AR302" s="528" t="str">
        <f t="shared" si="313"/>
        <v/>
      </c>
      <c r="AS302" s="528" t="str">
        <f t="shared" si="313"/>
        <v/>
      </c>
      <c r="AT302" s="528" t="str">
        <f t="shared" si="313"/>
        <v/>
      </c>
      <c r="AU302" s="528" t="str">
        <f t="shared" si="313"/>
        <v/>
      </c>
      <c r="AV302" s="528" t="str">
        <f t="shared" si="313"/>
        <v/>
      </c>
      <c r="AW302" s="528" t="str">
        <f t="shared" si="313"/>
        <v/>
      </c>
      <c r="AX302" s="528" t="str">
        <f t="shared" si="313"/>
        <v/>
      </c>
      <c r="AY302" s="528" t="str">
        <f t="shared" si="313"/>
        <v/>
      </c>
      <c r="AZ302" s="528" t="str">
        <f t="shared" si="313"/>
        <v/>
      </c>
      <c r="BA302" s="528" t="str">
        <f t="shared" si="313"/>
        <v/>
      </c>
      <c r="BB302" s="528" t="str">
        <f t="shared" si="313"/>
        <v/>
      </c>
      <c r="BC302" s="528" t="str">
        <f t="shared" si="313"/>
        <v/>
      </c>
      <c r="BD302" s="528" t="str">
        <f t="shared" si="313"/>
        <v/>
      </c>
      <c r="BE302" s="528" t="str">
        <f t="shared" si="313"/>
        <v/>
      </c>
      <c r="BF302" s="528" t="str">
        <f t="shared" si="313"/>
        <v/>
      </c>
      <c r="BG302" s="528" t="str">
        <f t="shared" si="313"/>
        <v/>
      </c>
      <c r="BH302" s="528" t="str">
        <f t="shared" si="313"/>
        <v/>
      </c>
      <c r="BI302" s="528" t="str">
        <f t="shared" si="313"/>
        <v/>
      </c>
      <c r="BJ302" s="528" t="str">
        <f t="shared" si="313"/>
        <v/>
      </c>
      <c r="BK302" s="528" t="str">
        <f t="shared" si="313"/>
        <v/>
      </c>
      <c r="BL302" s="528" t="str">
        <f t="shared" si="313"/>
        <v/>
      </c>
      <c r="BM302" s="528" t="str">
        <f t="shared" si="313"/>
        <v/>
      </c>
    </row>
    <row r="303" spans="6:65" ht="15.75" customHeight="1" x14ac:dyDescent="0.25">
      <c r="F303" s="197"/>
      <c r="G303" s="197">
        <f t="shared" si="268"/>
        <v>0</v>
      </c>
      <c r="H303" s="197">
        <f t="shared" si="269"/>
        <v>257</v>
      </c>
      <c r="I303" s="523">
        <v>1</v>
      </c>
      <c r="J303" s="533">
        <f>'Monthly DCF'!$I$3</f>
        <v>46418</v>
      </c>
      <c r="K303" s="533">
        <f t="shared" si="270"/>
        <v>47149</v>
      </c>
      <c r="L303" s="536">
        <f t="shared" si="294"/>
        <v>25</v>
      </c>
      <c r="M303" s="20" t="s">
        <v>366</v>
      </c>
      <c r="N303" s="20">
        <f t="shared" si="271"/>
        <v>3.5714285714285716</v>
      </c>
      <c r="O303" s="537">
        <v>7</v>
      </c>
      <c r="P303" s="528">
        <f t="shared" ref="P303:BM303" si="314">IFERROR(+IF(AND($M303="Flat",P$5&gt;=$J303,P$5&lt;=$K303),$I303/$L303,0)+IF(AND($M303="S-Curve",P$5&gt;=$J303,P$5&lt;=$K303),(_xlfn.NORM.DIST((YEAR(P$5)-YEAR($J303))*12+MONTH(P$5)-MONTH($J303)+1,$L303/2,$N303,TRUE)-_xlfn.NORM.DIST((YEAR(P$5)-YEAR($J303))*12+MONTH(P$5)-MONTH($J303),$L303/2,$N303,TRUE))/(1-2*_xlfn.NORM.DIST(0,$L303/2,$N303,TRUE))*$I303," "),"")</f>
        <v>4.0851396908133189E-4</v>
      </c>
      <c r="Q303" s="528">
        <f t="shared" si="314"/>
        <v>1.0005737756087945E-3</v>
      </c>
      <c r="R303" s="528">
        <f t="shared" si="314"/>
        <v>2.2670260930801509E-3</v>
      </c>
      <c r="S303" s="528">
        <f t="shared" si="314"/>
        <v>4.7514971234635045E-3</v>
      </c>
      <c r="T303" s="528">
        <f t="shared" si="314"/>
        <v>9.2123876758214915E-3</v>
      </c>
      <c r="U303" s="528">
        <f t="shared" si="314"/>
        <v>1.6522769236254554E-2</v>
      </c>
      <c r="V303" s="528">
        <f t="shared" si="314"/>
        <v>2.7413428587212775E-2</v>
      </c>
      <c r="W303" s="528">
        <f t="shared" si="314"/>
        <v>4.2074079718320771E-2</v>
      </c>
      <c r="X303" s="528">
        <f t="shared" si="314"/>
        <v>5.9736170947257132E-2</v>
      </c>
      <c r="Y303" s="528">
        <f t="shared" si="314"/>
        <v>7.8457095699213233E-2</v>
      </c>
      <c r="Z303" s="528">
        <f t="shared" si="314"/>
        <v>9.532342462613913E-2</v>
      </c>
      <c r="AA303" s="528">
        <f t="shared" si="314"/>
        <v>0.1071371147625195</v>
      </c>
      <c r="AB303" s="528">
        <f t="shared" si="314"/>
        <v>0.1113918355720553</v>
      </c>
      <c r="AC303" s="528">
        <f t="shared" si="314"/>
        <v>0.1071371147625195</v>
      </c>
      <c r="AD303" s="528">
        <f t="shared" si="314"/>
        <v>9.5323424626139075E-2</v>
      </c>
      <c r="AE303" s="528">
        <f t="shared" si="314"/>
        <v>7.8457095699213344E-2</v>
      </c>
      <c r="AF303" s="528">
        <f t="shared" si="314"/>
        <v>5.9736170947257104E-2</v>
      </c>
      <c r="AG303" s="528">
        <f t="shared" si="314"/>
        <v>4.2074079718320716E-2</v>
      </c>
      <c r="AH303" s="528">
        <f t="shared" si="314"/>
        <v>2.7413428587212754E-2</v>
      </c>
      <c r="AI303" s="528">
        <f t="shared" si="314"/>
        <v>1.6522769236254585E-2</v>
      </c>
      <c r="AJ303" s="528">
        <f t="shared" si="314"/>
        <v>9.212387675821495E-3</v>
      </c>
      <c r="AK303" s="528">
        <f t="shared" si="314"/>
        <v>4.7514971234634907E-3</v>
      </c>
      <c r="AL303" s="528">
        <f t="shared" si="314"/>
        <v>2.2670260930802038E-3</v>
      </c>
      <c r="AM303" s="528">
        <f t="shared" si="314"/>
        <v>1.0005737756087546E-3</v>
      </c>
      <c r="AN303" s="528">
        <f t="shared" si="314"/>
        <v>4.0851396908133124E-4</v>
      </c>
      <c r="AO303" s="528" t="str">
        <f t="shared" si="314"/>
        <v/>
      </c>
      <c r="AP303" s="528" t="str">
        <f t="shared" si="314"/>
        <v/>
      </c>
      <c r="AQ303" s="528" t="str">
        <f t="shared" si="314"/>
        <v/>
      </c>
      <c r="AR303" s="528" t="str">
        <f t="shared" si="314"/>
        <v/>
      </c>
      <c r="AS303" s="528" t="str">
        <f t="shared" si="314"/>
        <v/>
      </c>
      <c r="AT303" s="528" t="str">
        <f t="shared" si="314"/>
        <v/>
      </c>
      <c r="AU303" s="528" t="str">
        <f t="shared" si="314"/>
        <v/>
      </c>
      <c r="AV303" s="528" t="str">
        <f t="shared" si="314"/>
        <v/>
      </c>
      <c r="AW303" s="528" t="str">
        <f t="shared" si="314"/>
        <v/>
      </c>
      <c r="AX303" s="528" t="str">
        <f t="shared" si="314"/>
        <v/>
      </c>
      <c r="AY303" s="528" t="str">
        <f t="shared" si="314"/>
        <v/>
      </c>
      <c r="AZ303" s="528" t="str">
        <f t="shared" si="314"/>
        <v/>
      </c>
      <c r="BA303" s="528" t="str">
        <f t="shared" si="314"/>
        <v/>
      </c>
      <c r="BB303" s="528" t="str">
        <f t="shared" si="314"/>
        <v/>
      </c>
      <c r="BC303" s="528" t="str">
        <f t="shared" si="314"/>
        <v/>
      </c>
      <c r="BD303" s="528" t="str">
        <f t="shared" si="314"/>
        <v/>
      </c>
      <c r="BE303" s="528" t="str">
        <f t="shared" si="314"/>
        <v/>
      </c>
      <c r="BF303" s="528" t="str">
        <f t="shared" si="314"/>
        <v/>
      </c>
      <c r="BG303" s="528" t="str">
        <f t="shared" si="314"/>
        <v/>
      </c>
      <c r="BH303" s="528" t="str">
        <f t="shared" si="314"/>
        <v/>
      </c>
      <c r="BI303" s="528" t="str">
        <f t="shared" si="314"/>
        <v/>
      </c>
      <c r="BJ303" s="528" t="str">
        <f t="shared" si="314"/>
        <v/>
      </c>
      <c r="BK303" s="528" t="str">
        <f t="shared" si="314"/>
        <v/>
      </c>
      <c r="BL303" s="528" t="str">
        <f t="shared" si="314"/>
        <v/>
      </c>
      <c r="BM303" s="528" t="str">
        <f t="shared" si="314"/>
        <v/>
      </c>
    </row>
    <row r="304" spans="6:65" ht="15.75" customHeight="1" x14ac:dyDescent="0.25">
      <c r="F304" s="197"/>
      <c r="G304" s="197">
        <f t="shared" si="268"/>
        <v>0</v>
      </c>
      <c r="H304" s="197">
        <f t="shared" si="269"/>
        <v>267</v>
      </c>
      <c r="I304" s="523">
        <v>1</v>
      </c>
      <c r="J304" s="533">
        <f>'Monthly DCF'!$I$3</f>
        <v>46418</v>
      </c>
      <c r="K304" s="533">
        <f t="shared" si="270"/>
        <v>47177</v>
      </c>
      <c r="L304" s="536">
        <f t="shared" si="294"/>
        <v>26</v>
      </c>
      <c r="M304" s="20" t="s">
        <v>366</v>
      </c>
      <c r="N304" s="20">
        <f t="shared" si="271"/>
        <v>3.7142857142857144</v>
      </c>
      <c r="O304" s="537">
        <v>7</v>
      </c>
      <c r="P304" s="528">
        <f t="shared" ref="P304:BM304" si="315">IFERROR(+IF(AND($M304="Flat",P$5&gt;=$J304,P$5&lt;=$K304),$I304/$L304,0)+IF(AND($M304="S-Curve",P$5&gt;=$J304,P$5&lt;=$K304),(_xlfn.NORM.DIST((YEAR(P$5)-YEAR($J304))*12+MONTH(P$5)-MONTH($J304)+1,$L304/2,$N304,TRUE)-_xlfn.NORM.DIST((YEAR(P$5)-YEAR($J304))*12+MONTH(P$5)-MONTH($J304),$L304/2,$N304,TRUE))/(1-2*_xlfn.NORM.DIST(0,$L304/2,$N304,TRUE))*$I304," "),"")</f>
        <v>3.8483783222601641E-4</v>
      </c>
      <c r="Q304" s="528">
        <f t="shared" si="315"/>
        <v>9.1366852416691503E-4</v>
      </c>
      <c r="R304" s="528">
        <f t="shared" si="315"/>
        <v>2.0183800447945584E-3</v>
      </c>
      <c r="S304" s="528">
        <f t="shared" si="315"/>
        <v>4.1487917683714643E-3</v>
      </c>
      <c r="T304" s="528">
        <f t="shared" si="315"/>
        <v>7.9349774605464701E-3</v>
      </c>
      <c r="U304" s="528">
        <f t="shared" si="315"/>
        <v>1.4121342491487001E-2</v>
      </c>
      <c r="V304" s="528">
        <f t="shared" si="315"/>
        <v>2.3383702498195897E-2</v>
      </c>
      <c r="W304" s="528">
        <f t="shared" si="315"/>
        <v>3.6029501227405142E-2</v>
      </c>
      <c r="X304" s="528">
        <f t="shared" si="315"/>
        <v>5.1654896018758466E-2</v>
      </c>
      <c r="Y304" s="528">
        <f t="shared" si="315"/>
        <v>6.8908610498381234E-2</v>
      </c>
      <c r="Z304" s="528">
        <f t="shared" si="315"/>
        <v>8.5535155125913351E-2</v>
      </c>
      <c r="AA304" s="528">
        <f t="shared" si="315"/>
        <v>9.8792790351522011E-2</v>
      </c>
      <c r="AB304" s="528">
        <f t="shared" si="315"/>
        <v>0.10617334615823149</v>
      </c>
      <c r="AC304" s="528">
        <f t="shared" si="315"/>
        <v>0.10617334615823143</v>
      </c>
      <c r="AD304" s="528">
        <f t="shared" si="315"/>
        <v>9.8792790351522067E-2</v>
      </c>
      <c r="AE304" s="528">
        <f t="shared" si="315"/>
        <v>8.5535155125913295E-2</v>
      </c>
      <c r="AF304" s="528">
        <f t="shared" si="315"/>
        <v>6.890861049838129E-2</v>
      </c>
      <c r="AG304" s="528">
        <f t="shared" si="315"/>
        <v>5.1654896018758438E-2</v>
      </c>
      <c r="AH304" s="528">
        <f t="shared" si="315"/>
        <v>3.6029501227405142E-2</v>
      </c>
      <c r="AI304" s="528">
        <f t="shared" si="315"/>
        <v>2.3383702498195977E-2</v>
      </c>
      <c r="AJ304" s="528">
        <f t="shared" si="315"/>
        <v>1.4121342491486983E-2</v>
      </c>
      <c r="AK304" s="528">
        <f t="shared" si="315"/>
        <v>7.9349774605464874E-3</v>
      </c>
      <c r="AL304" s="528">
        <f t="shared" si="315"/>
        <v>4.1487917683713706E-3</v>
      </c>
      <c r="AM304" s="528">
        <f t="shared" si="315"/>
        <v>2.0183800447945476E-3</v>
      </c>
      <c r="AN304" s="528">
        <f t="shared" si="315"/>
        <v>9.1366852416701716E-4</v>
      </c>
      <c r="AO304" s="528">
        <f t="shared" si="315"/>
        <v>3.8483783222595212E-4</v>
      </c>
      <c r="AP304" s="528" t="str">
        <f t="shared" si="315"/>
        <v/>
      </c>
      <c r="AQ304" s="528" t="str">
        <f t="shared" si="315"/>
        <v/>
      </c>
      <c r="AR304" s="528" t="str">
        <f t="shared" si="315"/>
        <v/>
      </c>
      <c r="AS304" s="528" t="str">
        <f t="shared" si="315"/>
        <v/>
      </c>
      <c r="AT304" s="528" t="str">
        <f t="shared" si="315"/>
        <v/>
      </c>
      <c r="AU304" s="528" t="str">
        <f t="shared" si="315"/>
        <v/>
      </c>
      <c r="AV304" s="528" t="str">
        <f t="shared" si="315"/>
        <v/>
      </c>
      <c r="AW304" s="528" t="str">
        <f t="shared" si="315"/>
        <v/>
      </c>
      <c r="AX304" s="528" t="str">
        <f t="shared" si="315"/>
        <v/>
      </c>
      <c r="AY304" s="528" t="str">
        <f t="shared" si="315"/>
        <v/>
      </c>
      <c r="AZ304" s="528" t="str">
        <f t="shared" si="315"/>
        <v/>
      </c>
      <c r="BA304" s="528" t="str">
        <f t="shared" si="315"/>
        <v/>
      </c>
      <c r="BB304" s="528" t="str">
        <f t="shared" si="315"/>
        <v/>
      </c>
      <c r="BC304" s="528" t="str">
        <f t="shared" si="315"/>
        <v/>
      </c>
      <c r="BD304" s="528" t="str">
        <f t="shared" si="315"/>
        <v/>
      </c>
      <c r="BE304" s="528" t="str">
        <f t="shared" si="315"/>
        <v/>
      </c>
      <c r="BF304" s="528" t="str">
        <f t="shared" si="315"/>
        <v/>
      </c>
      <c r="BG304" s="528" t="str">
        <f t="shared" si="315"/>
        <v/>
      </c>
      <c r="BH304" s="528" t="str">
        <f t="shared" si="315"/>
        <v/>
      </c>
      <c r="BI304" s="528" t="str">
        <f t="shared" si="315"/>
        <v/>
      </c>
      <c r="BJ304" s="528" t="str">
        <f t="shared" si="315"/>
        <v/>
      </c>
      <c r="BK304" s="528" t="str">
        <f t="shared" si="315"/>
        <v/>
      </c>
      <c r="BL304" s="528" t="str">
        <f t="shared" si="315"/>
        <v/>
      </c>
      <c r="BM304" s="528" t="str">
        <f t="shared" si="315"/>
        <v/>
      </c>
    </row>
    <row r="305" spans="6:65" ht="15.75" customHeight="1" x14ac:dyDescent="0.25">
      <c r="F305" s="197"/>
      <c r="G305" s="197">
        <f t="shared" si="268"/>
        <v>0</v>
      </c>
      <c r="H305" s="197">
        <f t="shared" si="269"/>
        <v>277</v>
      </c>
      <c r="I305" s="523">
        <v>1</v>
      </c>
      <c r="J305" s="533">
        <f>'Monthly DCF'!$I$3</f>
        <v>46418</v>
      </c>
      <c r="K305" s="533">
        <f t="shared" si="270"/>
        <v>47208</v>
      </c>
      <c r="L305" s="536">
        <f t="shared" si="294"/>
        <v>27</v>
      </c>
      <c r="M305" s="20" t="s">
        <v>366</v>
      </c>
      <c r="N305" s="20">
        <f t="shared" si="271"/>
        <v>3.8571428571428572</v>
      </c>
      <c r="O305" s="537">
        <v>7</v>
      </c>
      <c r="P305" s="528">
        <f t="shared" ref="P305:BM305" si="316">IFERROR(+IF(AND($M305="Flat",P$5&gt;=$J305,P$5&lt;=$K305),$I305/$L305,0)+IF(AND($M305="S-Curve",P$5&gt;=$J305,P$5&lt;=$K305),(_xlfn.NORM.DIST((YEAR(P$5)-YEAR($J305))*12+MONTH(P$5)-MONTH($J305)+1,$L305/2,$N305,TRUE)-_xlfn.NORM.DIST((YEAR(P$5)-YEAR($J305))*12+MONTH(P$5)-MONTH($J305),$L305/2,$N305,TRUE))/(1-2*_xlfn.NORM.DIST(0,$L305/2,$N305,TRUE))*$I305," "),"")</f>
        <v>3.6363789530907041E-4</v>
      </c>
      <c r="Q305" s="528">
        <f t="shared" si="316"/>
        <v>8.3857934315806804E-4</v>
      </c>
      <c r="R305" s="528">
        <f t="shared" si="316"/>
        <v>1.8087806721668945E-3</v>
      </c>
      <c r="S305" s="528">
        <f t="shared" si="316"/>
        <v>3.6491791620936491E-3</v>
      </c>
      <c r="T305" s="528">
        <f t="shared" si="316"/>
        <v>6.886090621958987E-3</v>
      </c>
      <c r="U305" s="528">
        <f t="shared" si="316"/>
        <v>1.2153999843257442E-2</v>
      </c>
      <c r="V305" s="528">
        <f t="shared" si="316"/>
        <v>2.0064820183325362E-2</v>
      </c>
      <c r="W305" s="528">
        <f t="shared" si="316"/>
        <v>3.0982853257119965E-2</v>
      </c>
      <c r="X305" s="528">
        <f t="shared" si="316"/>
        <v>4.4748461709483107E-2</v>
      </c>
      <c r="Y305" s="528">
        <f t="shared" si="316"/>
        <v>6.0451317755162728E-2</v>
      </c>
      <c r="Z305" s="528">
        <f t="shared" si="316"/>
        <v>7.6384409145006715E-2</v>
      </c>
      <c r="AA305" s="528">
        <f t="shared" si="316"/>
        <v>9.0276605329555643E-2</v>
      </c>
      <c r="AB305" s="528">
        <f t="shared" si="316"/>
        <v>9.9796990413345027E-2</v>
      </c>
      <c r="AC305" s="528">
        <f t="shared" si="316"/>
        <v>0.10318854933811478</v>
      </c>
      <c r="AD305" s="528">
        <f t="shared" si="316"/>
        <v>9.9796990413344971E-2</v>
      </c>
      <c r="AE305" s="528">
        <f t="shared" si="316"/>
        <v>9.0276605329555698E-2</v>
      </c>
      <c r="AF305" s="528">
        <f t="shared" si="316"/>
        <v>7.6384409145006604E-2</v>
      </c>
      <c r="AG305" s="528">
        <f t="shared" si="316"/>
        <v>6.0451317755162756E-2</v>
      </c>
      <c r="AH305" s="528">
        <f t="shared" si="316"/>
        <v>4.4748461709483177E-2</v>
      </c>
      <c r="AI305" s="528">
        <f t="shared" si="316"/>
        <v>3.0982853257119972E-2</v>
      </c>
      <c r="AJ305" s="528">
        <f t="shared" si="316"/>
        <v>2.0064820183325303E-2</v>
      </c>
      <c r="AK305" s="528">
        <f t="shared" si="316"/>
        <v>1.2153999843257464E-2</v>
      </c>
      <c r="AL305" s="528">
        <f t="shared" si="316"/>
        <v>6.886090621958987E-3</v>
      </c>
      <c r="AM305" s="528">
        <f t="shared" si="316"/>
        <v>3.6491791620936452E-3</v>
      </c>
      <c r="AN305" s="528">
        <f t="shared" si="316"/>
        <v>1.808780672166893E-3</v>
      </c>
      <c r="AO305" s="528">
        <f t="shared" si="316"/>
        <v>8.3857934315811021E-4</v>
      </c>
      <c r="AP305" s="528">
        <f t="shared" si="316"/>
        <v>3.6363789530900813E-4</v>
      </c>
      <c r="AQ305" s="528" t="str">
        <f t="shared" si="316"/>
        <v/>
      </c>
      <c r="AR305" s="528" t="str">
        <f t="shared" si="316"/>
        <v/>
      </c>
      <c r="AS305" s="528" t="str">
        <f t="shared" si="316"/>
        <v/>
      </c>
      <c r="AT305" s="528" t="str">
        <f t="shared" si="316"/>
        <v/>
      </c>
      <c r="AU305" s="528" t="str">
        <f t="shared" si="316"/>
        <v/>
      </c>
      <c r="AV305" s="528" t="str">
        <f t="shared" si="316"/>
        <v/>
      </c>
      <c r="AW305" s="528" t="str">
        <f t="shared" si="316"/>
        <v/>
      </c>
      <c r="AX305" s="528" t="str">
        <f t="shared" si="316"/>
        <v/>
      </c>
      <c r="AY305" s="528" t="str">
        <f t="shared" si="316"/>
        <v/>
      </c>
      <c r="AZ305" s="528" t="str">
        <f t="shared" si="316"/>
        <v/>
      </c>
      <c r="BA305" s="528" t="str">
        <f t="shared" si="316"/>
        <v/>
      </c>
      <c r="BB305" s="528" t="str">
        <f t="shared" si="316"/>
        <v/>
      </c>
      <c r="BC305" s="528" t="str">
        <f t="shared" si="316"/>
        <v/>
      </c>
      <c r="BD305" s="528" t="str">
        <f t="shared" si="316"/>
        <v/>
      </c>
      <c r="BE305" s="528" t="str">
        <f t="shared" si="316"/>
        <v/>
      </c>
      <c r="BF305" s="528" t="str">
        <f t="shared" si="316"/>
        <v/>
      </c>
      <c r="BG305" s="528" t="str">
        <f t="shared" si="316"/>
        <v/>
      </c>
      <c r="BH305" s="528" t="str">
        <f t="shared" si="316"/>
        <v/>
      </c>
      <c r="BI305" s="528" t="str">
        <f t="shared" si="316"/>
        <v/>
      </c>
      <c r="BJ305" s="528" t="str">
        <f t="shared" si="316"/>
        <v/>
      </c>
      <c r="BK305" s="528" t="str">
        <f t="shared" si="316"/>
        <v/>
      </c>
      <c r="BL305" s="528" t="str">
        <f t="shared" si="316"/>
        <v/>
      </c>
      <c r="BM305" s="528" t="str">
        <f t="shared" si="316"/>
        <v/>
      </c>
    </row>
    <row r="306" spans="6:65" ht="15.75" customHeight="1" x14ac:dyDescent="0.25">
      <c r="F306" s="197"/>
      <c r="G306" s="197">
        <f t="shared" si="268"/>
        <v>0</v>
      </c>
      <c r="H306" s="197">
        <f t="shared" si="269"/>
        <v>287</v>
      </c>
      <c r="I306" s="523">
        <v>1</v>
      </c>
      <c r="J306" s="533">
        <f>'Monthly DCF'!$I$3</f>
        <v>46418</v>
      </c>
      <c r="K306" s="533">
        <f t="shared" si="270"/>
        <v>47238</v>
      </c>
      <c r="L306" s="536">
        <f t="shared" si="294"/>
        <v>28</v>
      </c>
      <c r="M306" s="20" t="s">
        <v>366</v>
      </c>
      <c r="N306" s="20">
        <f t="shared" si="271"/>
        <v>4</v>
      </c>
      <c r="O306" s="537">
        <v>7</v>
      </c>
      <c r="P306" s="528">
        <f t="shared" ref="P306:BM306" si="317">IFERROR(+IF(AND($M306="Flat",P$5&gt;=$J306,P$5&lt;=$K306),$I306/$L306,0)+IF(AND($M306="S-Curve",P$5&gt;=$J306,P$5&lt;=$K306),(_xlfn.NORM.DIST((YEAR(P$5)-YEAR($J306))*12+MONTH(P$5)-MONTH($J306)+1,$L306/2,$N306,TRUE)-_xlfn.NORM.DIST((YEAR(P$5)-YEAR($J306))*12+MONTH(P$5)-MONTH($J306),$L306/2,$N306,TRUE))/(1-2*_xlfn.NORM.DIST(0,$L306/2,$N306,TRUE))*$I306," "),"")</f>
        <v>3.4455627097122494E-4</v>
      </c>
      <c r="Q306" s="528">
        <f t="shared" si="317"/>
        <v>7.7323274208066796E-4</v>
      </c>
      <c r="R306" s="528">
        <f t="shared" si="317"/>
        <v>1.6306238644801566E-3</v>
      </c>
      <c r="S306" s="528">
        <f t="shared" si="317"/>
        <v>3.2314055285057514E-3</v>
      </c>
      <c r="T306" s="528">
        <f t="shared" si="317"/>
        <v>6.0176070700499696E-3</v>
      </c>
      <c r="U306" s="528">
        <f t="shared" si="317"/>
        <v>1.0530558721488715E-2</v>
      </c>
      <c r="V306" s="528">
        <f t="shared" si="317"/>
        <v>1.7317081829232944E-2</v>
      </c>
      <c r="W306" s="528">
        <f t="shared" si="317"/>
        <v>2.6760494943627502E-2</v>
      </c>
      <c r="X306" s="528">
        <f t="shared" si="317"/>
        <v>3.8860652633662972E-2</v>
      </c>
      <c r="Y306" s="528">
        <f t="shared" si="317"/>
        <v>5.3030152975897533E-2</v>
      </c>
      <c r="Z306" s="528">
        <f t="shared" si="317"/>
        <v>6.8003737739173689E-2</v>
      </c>
      <c r="AA306" s="528">
        <f t="shared" si="317"/>
        <v>8.1948313470500994E-2</v>
      </c>
      <c r="AB306" s="528">
        <f t="shared" si="317"/>
        <v>9.2799311227701478E-2</v>
      </c>
      <c r="AC306" s="528">
        <f t="shared" si="317"/>
        <v>9.8752270982626414E-2</v>
      </c>
      <c r="AD306" s="528">
        <f t="shared" si="317"/>
        <v>9.8752270982626414E-2</v>
      </c>
      <c r="AE306" s="528">
        <f t="shared" si="317"/>
        <v>9.2799311227701478E-2</v>
      </c>
      <c r="AF306" s="528">
        <f t="shared" si="317"/>
        <v>8.1948313470500939E-2</v>
      </c>
      <c r="AG306" s="528">
        <f t="shared" si="317"/>
        <v>6.8003737739173772E-2</v>
      </c>
      <c r="AH306" s="528">
        <f t="shared" si="317"/>
        <v>5.303015297589752E-2</v>
      </c>
      <c r="AI306" s="528">
        <f t="shared" si="317"/>
        <v>3.886065263366293E-2</v>
      </c>
      <c r="AJ306" s="528">
        <f t="shared" si="317"/>
        <v>2.6760494943627516E-2</v>
      </c>
      <c r="AK306" s="528">
        <f t="shared" si="317"/>
        <v>1.7317081829232941E-2</v>
      </c>
      <c r="AL306" s="528">
        <f t="shared" si="317"/>
        <v>1.0530558721488757E-2</v>
      </c>
      <c r="AM306" s="528">
        <f t="shared" si="317"/>
        <v>6.0176070700499193E-3</v>
      </c>
      <c r="AN306" s="528">
        <f t="shared" si="317"/>
        <v>3.231405528505777E-3</v>
      </c>
      <c r="AO306" s="528">
        <f t="shared" si="317"/>
        <v>1.6306238644801469E-3</v>
      </c>
      <c r="AP306" s="528">
        <f t="shared" si="317"/>
        <v>7.7323274208067783E-4</v>
      </c>
      <c r="AQ306" s="528">
        <f t="shared" si="317"/>
        <v>3.4455627097121019E-4</v>
      </c>
      <c r="AR306" s="528" t="str">
        <f t="shared" si="317"/>
        <v/>
      </c>
      <c r="AS306" s="528" t="str">
        <f t="shared" si="317"/>
        <v/>
      </c>
      <c r="AT306" s="528" t="str">
        <f t="shared" si="317"/>
        <v/>
      </c>
      <c r="AU306" s="528" t="str">
        <f t="shared" si="317"/>
        <v/>
      </c>
      <c r="AV306" s="528" t="str">
        <f t="shared" si="317"/>
        <v/>
      </c>
      <c r="AW306" s="528" t="str">
        <f t="shared" si="317"/>
        <v/>
      </c>
      <c r="AX306" s="528" t="str">
        <f t="shared" si="317"/>
        <v/>
      </c>
      <c r="AY306" s="528" t="str">
        <f t="shared" si="317"/>
        <v/>
      </c>
      <c r="AZ306" s="528" t="str">
        <f t="shared" si="317"/>
        <v/>
      </c>
      <c r="BA306" s="528" t="str">
        <f t="shared" si="317"/>
        <v/>
      </c>
      <c r="BB306" s="528" t="str">
        <f t="shared" si="317"/>
        <v/>
      </c>
      <c r="BC306" s="528" t="str">
        <f t="shared" si="317"/>
        <v/>
      </c>
      <c r="BD306" s="528" t="str">
        <f t="shared" si="317"/>
        <v/>
      </c>
      <c r="BE306" s="528" t="str">
        <f t="shared" si="317"/>
        <v/>
      </c>
      <c r="BF306" s="528" t="str">
        <f t="shared" si="317"/>
        <v/>
      </c>
      <c r="BG306" s="528" t="str">
        <f t="shared" si="317"/>
        <v/>
      </c>
      <c r="BH306" s="528" t="str">
        <f t="shared" si="317"/>
        <v/>
      </c>
      <c r="BI306" s="528" t="str">
        <f t="shared" si="317"/>
        <v/>
      </c>
      <c r="BJ306" s="528" t="str">
        <f t="shared" si="317"/>
        <v/>
      </c>
      <c r="BK306" s="528" t="str">
        <f t="shared" si="317"/>
        <v/>
      </c>
      <c r="BL306" s="528" t="str">
        <f t="shared" si="317"/>
        <v/>
      </c>
      <c r="BM306" s="528" t="str">
        <f t="shared" si="317"/>
        <v/>
      </c>
    </row>
    <row r="307" spans="6:65" ht="15.75" customHeight="1" x14ac:dyDescent="0.25">
      <c r="F307" s="197"/>
      <c r="G307" s="197">
        <f t="shared" si="268"/>
        <v>0</v>
      </c>
      <c r="H307" s="197">
        <f t="shared" si="269"/>
        <v>297</v>
      </c>
      <c r="I307" s="523">
        <v>1</v>
      </c>
      <c r="J307" s="533">
        <f>'Monthly DCF'!$I$3</f>
        <v>46418</v>
      </c>
      <c r="K307" s="533">
        <f t="shared" si="270"/>
        <v>47269</v>
      </c>
      <c r="L307" s="536">
        <f t="shared" si="294"/>
        <v>29</v>
      </c>
      <c r="M307" s="20" t="s">
        <v>366</v>
      </c>
      <c r="N307" s="20">
        <f t="shared" si="271"/>
        <v>4.1428571428571432</v>
      </c>
      <c r="O307" s="537">
        <v>7</v>
      </c>
      <c r="P307" s="528">
        <f t="shared" ref="P307:BM307" si="318">IFERROR(+IF(AND($M307="Flat",P$5&gt;=$J307,P$5&lt;=$K307),$I307/$L307,0)+IF(AND($M307="S-Curve",P$5&gt;=$J307,P$5&lt;=$K307),(_xlfn.NORM.DIST((YEAR(P$5)-YEAR($J307))*12+MONTH(P$5)-MONTH($J307)+1,$L307/2,$N307,TRUE)-_xlfn.NORM.DIST((YEAR(P$5)-YEAR($J307))*12+MONTH(P$5)-MONTH($J307),$L307/2,$N307,TRUE))/(1-2*_xlfn.NORM.DIST(0,$L307/2,$N307,TRUE))*$I307," "),"")</f>
        <v>3.272994240659575E-4</v>
      </c>
      <c r="Q307" s="528">
        <f t="shared" si="318"/>
        <v>7.1598990527181746E-4</v>
      </c>
      <c r="R307" s="528">
        <f t="shared" si="318"/>
        <v>1.4780326433814597E-3</v>
      </c>
      <c r="S307" s="528">
        <f t="shared" si="318"/>
        <v>2.8792350343452436E-3</v>
      </c>
      <c r="T307" s="528">
        <f t="shared" si="318"/>
        <v>5.2928140503515917E-3</v>
      </c>
      <c r="U307" s="528">
        <f t="shared" si="318"/>
        <v>9.1814865732244757E-3</v>
      </c>
      <c r="V307" s="528">
        <f t="shared" si="318"/>
        <v>1.5029917744372697E-2</v>
      </c>
      <c r="W307" s="528">
        <f t="shared" si="318"/>
        <v>2.3217624505417783E-2</v>
      </c>
      <c r="X307" s="528">
        <f t="shared" si="318"/>
        <v>3.3845181536640852E-2</v>
      </c>
      <c r="Y307" s="528">
        <f t="shared" si="318"/>
        <v>4.6557973039515615E-2</v>
      </c>
      <c r="Z307" s="528">
        <f t="shared" si="318"/>
        <v>6.0437940837738492E-2</v>
      </c>
      <c r="AA307" s="528">
        <f t="shared" si="318"/>
        <v>7.4036148460366699E-2</v>
      </c>
      <c r="AB307" s="528">
        <f t="shared" si="318"/>
        <v>8.5584808723546915E-2</v>
      </c>
      <c r="AC307" s="528">
        <f t="shared" si="318"/>
        <v>9.3361616575483877E-2</v>
      </c>
      <c r="AD307" s="528">
        <f t="shared" si="318"/>
        <v>9.6107861892553131E-2</v>
      </c>
      <c r="AE307" s="528">
        <f t="shared" si="318"/>
        <v>9.3361616575483822E-2</v>
      </c>
      <c r="AF307" s="528">
        <f t="shared" si="318"/>
        <v>8.5584808723546915E-2</v>
      </c>
      <c r="AG307" s="528">
        <f t="shared" si="318"/>
        <v>7.4036148460366755E-2</v>
      </c>
      <c r="AH307" s="528">
        <f t="shared" si="318"/>
        <v>6.0437940837738464E-2</v>
      </c>
      <c r="AI307" s="528">
        <f t="shared" si="318"/>
        <v>4.6557973039515629E-2</v>
      </c>
      <c r="AJ307" s="528">
        <f t="shared" si="318"/>
        <v>3.3845181536640796E-2</v>
      </c>
      <c r="AK307" s="528">
        <f t="shared" si="318"/>
        <v>2.3217624505417811E-2</v>
      </c>
      <c r="AL307" s="528">
        <f t="shared" si="318"/>
        <v>1.5029917744372701E-2</v>
      </c>
      <c r="AM307" s="528">
        <f t="shared" si="318"/>
        <v>9.1814865732245034E-3</v>
      </c>
      <c r="AN307" s="528">
        <f t="shared" si="318"/>
        <v>5.2928140503515232E-3</v>
      </c>
      <c r="AO307" s="528">
        <f t="shared" si="318"/>
        <v>2.8792350343452731E-3</v>
      </c>
      <c r="AP307" s="528">
        <f t="shared" si="318"/>
        <v>1.4780326433814365E-3</v>
      </c>
      <c r="AQ307" s="528">
        <f t="shared" si="318"/>
        <v>7.1598990527182971E-4</v>
      </c>
      <c r="AR307" s="528">
        <f t="shared" si="318"/>
        <v>3.2729942406594731E-4</v>
      </c>
      <c r="AS307" s="528" t="str">
        <f t="shared" si="318"/>
        <v/>
      </c>
      <c r="AT307" s="528" t="str">
        <f t="shared" si="318"/>
        <v/>
      </c>
      <c r="AU307" s="528" t="str">
        <f t="shared" si="318"/>
        <v/>
      </c>
      <c r="AV307" s="528" t="str">
        <f t="shared" si="318"/>
        <v/>
      </c>
      <c r="AW307" s="528" t="str">
        <f t="shared" si="318"/>
        <v/>
      </c>
      <c r="AX307" s="528" t="str">
        <f t="shared" si="318"/>
        <v/>
      </c>
      <c r="AY307" s="528" t="str">
        <f t="shared" si="318"/>
        <v/>
      </c>
      <c r="AZ307" s="528" t="str">
        <f t="shared" si="318"/>
        <v/>
      </c>
      <c r="BA307" s="528" t="str">
        <f t="shared" si="318"/>
        <v/>
      </c>
      <c r="BB307" s="528" t="str">
        <f t="shared" si="318"/>
        <v/>
      </c>
      <c r="BC307" s="528" t="str">
        <f t="shared" si="318"/>
        <v/>
      </c>
      <c r="BD307" s="528" t="str">
        <f t="shared" si="318"/>
        <v/>
      </c>
      <c r="BE307" s="528" t="str">
        <f t="shared" si="318"/>
        <v/>
      </c>
      <c r="BF307" s="528" t="str">
        <f t="shared" si="318"/>
        <v/>
      </c>
      <c r="BG307" s="528" t="str">
        <f t="shared" si="318"/>
        <v/>
      </c>
      <c r="BH307" s="528" t="str">
        <f t="shared" si="318"/>
        <v/>
      </c>
      <c r="BI307" s="528" t="str">
        <f t="shared" si="318"/>
        <v/>
      </c>
      <c r="BJ307" s="528" t="str">
        <f t="shared" si="318"/>
        <v/>
      </c>
      <c r="BK307" s="528" t="str">
        <f t="shared" si="318"/>
        <v/>
      </c>
      <c r="BL307" s="528" t="str">
        <f t="shared" si="318"/>
        <v/>
      </c>
      <c r="BM307" s="528" t="str">
        <f t="shared" si="318"/>
        <v/>
      </c>
    </row>
    <row r="308" spans="6:65" ht="15.75" customHeight="1" x14ac:dyDescent="0.25">
      <c r="F308" s="197"/>
      <c r="G308" s="197">
        <f t="shared" si="268"/>
        <v>0</v>
      </c>
      <c r="H308" s="197">
        <f t="shared" si="269"/>
        <v>307</v>
      </c>
      <c r="I308" s="523">
        <v>1</v>
      </c>
      <c r="J308" s="533">
        <f>'Monthly DCF'!$I$3</f>
        <v>46418</v>
      </c>
      <c r="K308" s="533">
        <f t="shared" si="270"/>
        <v>47299</v>
      </c>
      <c r="L308" s="536">
        <f t="shared" si="294"/>
        <v>30</v>
      </c>
      <c r="M308" s="20" t="s">
        <v>366</v>
      </c>
      <c r="N308" s="20">
        <f t="shared" si="271"/>
        <v>4.2857142857142856</v>
      </c>
      <c r="O308" s="537">
        <v>7</v>
      </c>
      <c r="P308" s="528">
        <f t="shared" ref="P308:BM308" si="319">IFERROR(+IF(AND($M308="Flat",P$5&gt;=$J308,P$5&lt;=$K308),$I308/$L308,0)+IF(AND($M308="S-Curve",P$5&gt;=$J308,P$5&lt;=$K308),(_xlfn.NORM.DIST((YEAR(P$5)-YEAR($J308))*12+MONTH(P$5)-MONTH($J308)+1,$L308/2,$N308,TRUE)-_xlfn.NORM.DIST((YEAR(P$5)-YEAR($J308))*12+MONTH(P$5)-MONTH($J308),$L308/2,$N308,TRUE))/(1-2*_xlfn.NORM.DIST(0,$L308/2,$N308,TRUE))*$I308," "),"")</f>
        <v>3.1162455930008637E-4</v>
      </c>
      <c r="Q308" s="528">
        <f t="shared" si="319"/>
        <v>6.6554236321121401E-4</v>
      </c>
      <c r="R308" s="528">
        <f t="shared" si="319"/>
        <v>1.3464153945100471E-3</v>
      </c>
      <c r="S308" s="528">
        <f t="shared" si="319"/>
        <v>2.5801334250473238E-3</v>
      </c>
      <c r="T308" s="528">
        <f t="shared" si="319"/>
        <v>4.6834443119690133E-3</v>
      </c>
      <c r="U308" s="528">
        <f t="shared" si="319"/>
        <v>8.0528385830175887E-3</v>
      </c>
      <c r="V308" s="528">
        <f t="shared" si="319"/>
        <v>1.3115757357033664E-2</v>
      </c>
      <c r="W308" s="528">
        <f t="shared" si="319"/>
        <v>2.023479361317267E-2</v>
      </c>
      <c r="X308" s="528">
        <f t="shared" si="319"/>
        <v>2.9570962448184232E-2</v>
      </c>
      <c r="Y308" s="528">
        <f t="shared" si="319"/>
        <v>4.093489063242671E-2</v>
      </c>
      <c r="Z308" s="528">
        <f t="shared" si="319"/>
        <v>5.367641366720282E-2</v>
      </c>
      <c r="AA308" s="528">
        <f t="shared" si="319"/>
        <v>6.6670726470238376E-2</v>
      </c>
      <c r="AB308" s="528">
        <f t="shared" si="319"/>
        <v>7.844203447467242E-2</v>
      </c>
      <c r="AC308" s="528">
        <f t="shared" si="319"/>
        <v>8.742277155329127E-2</v>
      </c>
      <c r="AD308" s="528">
        <f t="shared" si="319"/>
        <v>9.2291651146722581E-2</v>
      </c>
      <c r="AE308" s="528">
        <f t="shared" si="319"/>
        <v>9.2291651146722636E-2</v>
      </c>
      <c r="AF308" s="528">
        <f t="shared" si="319"/>
        <v>8.7422771553291215E-2</v>
      </c>
      <c r="AG308" s="528">
        <f t="shared" si="319"/>
        <v>7.8442034474672365E-2</v>
      </c>
      <c r="AH308" s="528">
        <f t="shared" si="319"/>
        <v>6.6670726470238376E-2</v>
      </c>
      <c r="AI308" s="528">
        <f t="shared" si="319"/>
        <v>5.3676413667202848E-2</v>
      </c>
      <c r="AJ308" s="528">
        <f t="shared" si="319"/>
        <v>4.0934890632426696E-2</v>
      </c>
      <c r="AK308" s="528">
        <f t="shared" si="319"/>
        <v>2.9570962448184232E-2</v>
      </c>
      <c r="AL308" s="528">
        <f t="shared" si="319"/>
        <v>2.023479361317268E-2</v>
      </c>
      <c r="AM308" s="528">
        <f t="shared" si="319"/>
        <v>1.3115757357033677E-2</v>
      </c>
      <c r="AN308" s="528">
        <f t="shared" si="319"/>
        <v>8.0528385830176269E-3</v>
      </c>
      <c r="AO308" s="528">
        <f t="shared" si="319"/>
        <v>4.6834443119689942E-3</v>
      </c>
      <c r="AP308" s="528">
        <f t="shared" si="319"/>
        <v>2.5801334250472713E-3</v>
      </c>
      <c r="AQ308" s="528">
        <f t="shared" si="319"/>
        <v>1.3464153945101428E-3</v>
      </c>
      <c r="AR308" s="528">
        <f t="shared" si="319"/>
        <v>6.6554236321118734E-4</v>
      </c>
      <c r="AS308" s="528">
        <f t="shared" si="319"/>
        <v>3.1162455930005303E-4</v>
      </c>
      <c r="AT308" s="528" t="str">
        <f t="shared" si="319"/>
        <v/>
      </c>
      <c r="AU308" s="528" t="str">
        <f t="shared" si="319"/>
        <v/>
      </c>
      <c r="AV308" s="528" t="str">
        <f t="shared" si="319"/>
        <v/>
      </c>
      <c r="AW308" s="528" t="str">
        <f t="shared" si="319"/>
        <v/>
      </c>
      <c r="AX308" s="528" t="str">
        <f t="shared" si="319"/>
        <v/>
      </c>
      <c r="AY308" s="528" t="str">
        <f t="shared" si="319"/>
        <v/>
      </c>
      <c r="AZ308" s="528" t="str">
        <f t="shared" si="319"/>
        <v/>
      </c>
      <c r="BA308" s="528" t="str">
        <f t="shared" si="319"/>
        <v/>
      </c>
      <c r="BB308" s="528" t="str">
        <f t="shared" si="319"/>
        <v/>
      </c>
      <c r="BC308" s="528" t="str">
        <f t="shared" si="319"/>
        <v/>
      </c>
      <c r="BD308" s="528" t="str">
        <f t="shared" si="319"/>
        <v/>
      </c>
      <c r="BE308" s="528" t="str">
        <f t="shared" si="319"/>
        <v/>
      </c>
      <c r="BF308" s="528" t="str">
        <f t="shared" si="319"/>
        <v/>
      </c>
      <c r="BG308" s="528" t="str">
        <f t="shared" si="319"/>
        <v/>
      </c>
      <c r="BH308" s="528" t="str">
        <f t="shared" si="319"/>
        <v/>
      </c>
      <c r="BI308" s="528" t="str">
        <f t="shared" si="319"/>
        <v/>
      </c>
      <c r="BJ308" s="528" t="str">
        <f t="shared" si="319"/>
        <v/>
      </c>
      <c r="BK308" s="528" t="str">
        <f t="shared" si="319"/>
        <v/>
      </c>
      <c r="BL308" s="528" t="str">
        <f t="shared" si="319"/>
        <v/>
      </c>
      <c r="BM308" s="528" t="str">
        <f t="shared" si="319"/>
        <v/>
      </c>
    </row>
    <row r="309" spans="6:65" ht="15.75" customHeight="1" x14ac:dyDescent="0.25">
      <c r="F309" s="197"/>
      <c r="G309" s="197">
        <f t="shared" si="268"/>
        <v>0</v>
      </c>
      <c r="H309" s="197">
        <f t="shared" si="269"/>
        <v>317</v>
      </c>
      <c r="I309" s="523">
        <v>1</v>
      </c>
      <c r="J309" s="533">
        <f>'Monthly DCF'!$I$3</f>
        <v>46418</v>
      </c>
      <c r="K309" s="533">
        <f t="shared" si="270"/>
        <v>47330</v>
      </c>
      <c r="L309" s="536">
        <f t="shared" si="294"/>
        <v>31</v>
      </c>
      <c r="M309" s="20" t="s">
        <v>366</v>
      </c>
      <c r="N309" s="20">
        <f t="shared" si="271"/>
        <v>4.4285714285714288</v>
      </c>
      <c r="O309" s="537">
        <v>7</v>
      </c>
      <c r="P309" s="528">
        <f t="shared" ref="P309:BM309" si="320">IFERROR(+IF(AND($M309="Flat",P$5&gt;=$J309,P$5&lt;=$K309),$I309/$L309,0)+IF(AND($M309="S-Curve",P$5&gt;=$J309,P$5&lt;=$K309),(_xlfn.NORM.DIST((YEAR(P$5)-YEAR($J309))*12+MONTH(P$5)-MONTH($J309)+1,$L309/2,$N309,TRUE)-_xlfn.NORM.DIST((YEAR(P$5)-YEAR($J309))*12+MONTH(P$5)-MONTH($J309),$L309/2,$N309,TRUE))/(1-2*_xlfn.NORM.DIST(0,$L309/2,$N309,TRUE))*$I309," "),"")</f>
        <v>2.973292809515212E-4</v>
      </c>
      <c r="Q309" s="528">
        <f t="shared" si="320"/>
        <v>6.2083556861121988E-4</v>
      </c>
      <c r="R309" s="528">
        <f t="shared" si="320"/>
        <v>1.2321484746151304E-3</v>
      </c>
      <c r="S309" s="528">
        <f t="shared" si="320"/>
        <v>2.3243276964755458E-3</v>
      </c>
      <c r="T309" s="528">
        <f t="shared" si="320"/>
        <v>4.1675404677990538E-3</v>
      </c>
      <c r="U309" s="528">
        <f t="shared" si="320"/>
        <v>7.1024914771758109E-3</v>
      </c>
      <c r="V309" s="528">
        <f t="shared" si="320"/>
        <v>1.1505097249669947E-2</v>
      </c>
      <c r="W309" s="528">
        <f t="shared" si="320"/>
        <v>1.7714086899657346E-2</v>
      </c>
      <c r="X309" s="528">
        <f t="shared" si="320"/>
        <v>2.5923662316260407E-2</v>
      </c>
      <c r="Y309" s="528">
        <f t="shared" si="320"/>
        <v>3.6059792960874165E-2</v>
      </c>
      <c r="Z309" s="528">
        <f t="shared" si="320"/>
        <v>4.7675971042434533E-2</v>
      </c>
      <c r="AA309" s="528">
        <f t="shared" si="320"/>
        <v>5.9913603922387183E-2</v>
      </c>
      <c r="AB309" s="528">
        <f t="shared" si="320"/>
        <v>7.1565058090968275E-2</v>
      </c>
      <c r="AC309" s="528">
        <f t="shared" si="320"/>
        <v>8.1250564046589341E-2</v>
      </c>
      <c r="AD309" s="528">
        <f t="shared" si="320"/>
        <v>8.768020854189125E-2</v>
      </c>
      <c r="AE309" s="528">
        <f t="shared" si="320"/>
        <v>8.9934563927278527E-2</v>
      </c>
      <c r="AF309" s="528">
        <f t="shared" si="320"/>
        <v>8.7680208541891305E-2</v>
      </c>
      <c r="AG309" s="528">
        <f t="shared" si="320"/>
        <v>8.1250564046589285E-2</v>
      </c>
      <c r="AH309" s="528">
        <f t="shared" si="320"/>
        <v>7.1565058090968331E-2</v>
      </c>
      <c r="AI309" s="528">
        <f t="shared" si="320"/>
        <v>5.9913603922387128E-2</v>
      </c>
      <c r="AJ309" s="528">
        <f t="shared" si="320"/>
        <v>4.7675971042434616E-2</v>
      </c>
      <c r="AK309" s="528">
        <f t="shared" si="320"/>
        <v>3.6059792960874124E-2</v>
      </c>
      <c r="AL309" s="528">
        <f t="shared" si="320"/>
        <v>2.5923662316260365E-2</v>
      </c>
      <c r="AM309" s="528">
        <f t="shared" si="320"/>
        <v>1.7714086899657394E-2</v>
      </c>
      <c r="AN309" s="528">
        <f t="shared" si="320"/>
        <v>1.1505097249669926E-2</v>
      </c>
      <c r="AO309" s="528">
        <f t="shared" si="320"/>
        <v>7.1024914771758889E-3</v>
      </c>
      <c r="AP309" s="528">
        <f t="shared" si="320"/>
        <v>4.1675404677990382E-3</v>
      </c>
      <c r="AQ309" s="528">
        <f t="shared" si="320"/>
        <v>2.3243276964754873E-3</v>
      </c>
      <c r="AR309" s="528">
        <f t="shared" si="320"/>
        <v>1.232148474615172E-3</v>
      </c>
      <c r="AS309" s="528">
        <f t="shared" si="320"/>
        <v>6.2083556861117109E-4</v>
      </c>
      <c r="AT309" s="528">
        <f t="shared" si="320"/>
        <v>2.9732928095153703E-4</v>
      </c>
      <c r="AU309" s="528" t="str">
        <f t="shared" si="320"/>
        <v/>
      </c>
      <c r="AV309" s="528" t="str">
        <f t="shared" si="320"/>
        <v/>
      </c>
      <c r="AW309" s="528" t="str">
        <f t="shared" si="320"/>
        <v/>
      </c>
      <c r="AX309" s="528" t="str">
        <f t="shared" si="320"/>
        <v/>
      </c>
      <c r="AY309" s="528" t="str">
        <f t="shared" si="320"/>
        <v/>
      </c>
      <c r="AZ309" s="528" t="str">
        <f t="shared" si="320"/>
        <v/>
      </c>
      <c r="BA309" s="528" t="str">
        <f t="shared" si="320"/>
        <v/>
      </c>
      <c r="BB309" s="528" t="str">
        <f t="shared" si="320"/>
        <v/>
      </c>
      <c r="BC309" s="528" t="str">
        <f t="shared" si="320"/>
        <v/>
      </c>
      <c r="BD309" s="528" t="str">
        <f t="shared" si="320"/>
        <v/>
      </c>
      <c r="BE309" s="528" t="str">
        <f t="shared" si="320"/>
        <v/>
      </c>
      <c r="BF309" s="528" t="str">
        <f t="shared" si="320"/>
        <v/>
      </c>
      <c r="BG309" s="528" t="str">
        <f t="shared" si="320"/>
        <v/>
      </c>
      <c r="BH309" s="528" t="str">
        <f t="shared" si="320"/>
        <v/>
      </c>
      <c r="BI309" s="528" t="str">
        <f t="shared" si="320"/>
        <v/>
      </c>
      <c r="BJ309" s="528" t="str">
        <f t="shared" si="320"/>
        <v/>
      </c>
      <c r="BK309" s="528" t="str">
        <f t="shared" si="320"/>
        <v/>
      </c>
      <c r="BL309" s="528" t="str">
        <f t="shared" si="320"/>
        <v/>
      </c>
      <c r="BM309" s="528" t="str">
        <f t="shared" si="320"/>
        <v/>
      </c>
    </row>
    <row r="310" spans="6:65" ht="15.75" customHeight="1" x14ac:dyDescent="0.25">
      <c r="F310" s="197"/>
      <c r="G310" s="197">
        <f t="shared" si="268"/>
        <v>0</v>
      </c>
      <c r="H310" s="197">
        <f t="shared" si="269"/>
        <v>327</v>
      </c>
      <c r="I310" s="523">
        <v>1</v>
      </c>
      <c r="J310" s="533">
        <f>'Monthly DCF'!$I$3</f>
        <v>46418</v>
      </c>
      <c r="K310" s="533">
        <f t="shared" si="270"/>
        <v>47361</v>
      </c>
      <c r="L310" s="536">
        <f t="shared" si="294"/>
        <v>32</v>
      </c>
      <c r="M310" s="20" t="s">
        <v>366</v>
      </c>
      <c r="N310" s="20">
        <f t="shared" si="271"/>
        <v>4.5714285714285712</v>
      </c>
      <c r="O310" s="537">
        <v>7</v>
      </c>
      <c r="P310" s="528">
        <f t="shared" ref="P310:BM310" si="321">IFERROR(+IF(AND($M310="Flat",P$5&gt;=$J310,P$5&lt;=$K310),$I310/$L310,0)+IF(AND($M310="S-Curve",P$5&gt;=$J310,P$5&lt;=$K310),(_xlfn.NORM.DIST((YEAR(P$5)-YEAR($J310))*12+MONTH(P$5)-MONTH($J310)+1,$L310/2,$N310,TRUE)-_xlfn.NORM.DIST((YEAR(P$5)-YEAR($J310))*12+MONTH(P$5)-MONTH($J310),$L310/2,$N310,TRUE))/(1-2*_xlfn.NORM.DIST(0,$L310/2,$N310,TRUE))*$I310," "),"")</f>
        <v>2.842436515822892E-4</v>
      </c>
      <c r="Q310" s="528">
        <f t="shared" si="321"/>
        <v>5.8101221417040927E-4</v>
      </c>
      <c r="R310" s="528">
        <f t="shared" si="321"/>
        <v>1.1323452665023023E-3</v>
      </c>
      <c r="S310" s="528">
        <f t="shared" si="321"/>
        <v>2.1041265139716226E-3</v>
      </c>
      <c r="T310" s="528">
        <f t="shared" si="321"/>
        <v>3.7279015994260895E-3</v>
      </c>
      <c r="U310" s="528">
        <f t="shared" si="321"/>
        <v>6.2973359699287548E-3</v>
      </c>
      <c r="V310" s="528">
        <f t="shared" si="321"/>
        <v>1.0142600583096947E-2</v>
      </c>
      <c r="W310" s="528">
        <f t="shared" si="321"/>
        <v>1.5575500228131013E-2</v>
      </c>
      <c r="X310" s="528">
        <f t="shared" si="321"/>
        <v>2.2805262328780173E-2</v>
      </c>
      <c r="Y310" s="528">
        <f t="shared" si="321"/>
        <v>3.1836746469412036E-2</v>
      </c>
      <c r="Z310" s="528">
        <f t="shared" si="321"/>
        <v>4.2376292198923408E-2</v>
      </c>
      <c r="AA310" s="528">
        <f t="shared" si="321"/>
        <v>5.3779654970812434E-2</v>
      </c>
      <c r="AB310" s="528">
        <f t="shared" si="321"/>
        <v>6.5074965153847295E-2</v>
      </c>
      <c r="AC310" s="528">
        <f t="shared" si="321"/>
        <v>7.5077677194749184E-2</v>
      </c>
      <c r="AD310" s="528">
        <f t="shared" si="321"/>
        <v>8.258643483012057E-2</v>
      </c>
      <c r="AE310" s="528">
        <f t="shared" si="321"/>
        <v>8.6617900826545483E-2</v>
      </c>
      <c r="AF310" s="528">
        <f t="shared" si="321"/>
        <v>8.6617900826545427E-2</v>
      </c>
      <c r="AG310" s="528">
        <f t="shared" si="321"/>
        <v>8.2586434830120625E-2</v>
      </c>
      <c r="AH310" s="528">
        <f t="shared" si="321"/>
        <v>7.5077677194749184E-2</v>
      </c>
      <c r="AI310" s="528">
        <f t="shared" si="321"/>
        <v>6.507496515384735E-2</v>
      </c>
      <c r="AJ310" s="528">
        <f t="shared" si="321"/>
        <v>5.3779654970812323E-2</v>
      </c>
      <c r="AK310" s="528">
        <f t="shared" si="321"/>
        <v>4.2376292198923519E-2</v>
      </c>
      <c r="AL310" s="528">
        <f t="shared" si="321"/>
        <v>3.1836746469411967E-2</v>
      </c>
      <c r="AM310" s="528">
        <f t="shared" si="321"/>
        <v>2.2805262328780173E-2</v>
      </c>
      <c r="AN310" s="528">
        <f t="shared" si="321"/>
        <v>1.5575500228130978E-2</v>
      </c>
      <c r="AO310" s="528">
        <f t="shared" si="321"/>
        <v>1.0142600583096956E-2</v>
      </c>
      <c r="AP310" s="528">
        <f t="shared" si="321"/>
        <v>6.2973359699288207E-3</v>
      </c>
      <c r="AQ310" s="528">
        <f t="shared" si="321"/>
        <v>3.7279015994260106E-3</v>
      </c>
      <c r="AR310" s="528">
        <f t="shared" si="321"/>
        <v>2.1041265139716448E-3</v>
      </c>
      <c r="AS310" s="528">
        <f t="shared" si="321"/>
        <v>1.1323452665022991E-3</v>
      </c>
      <c r="AT310" s="528">
        <f t="shared" si="321"/>
        <v>5.8101221417046424E-4</v>
      </c>
      <c r="AU310" s="528">
        <f t="shared" si="321"/>
        <v>2.8424365158225315E-4</v>
      </c>
      <c r="AV310" s="528" t="str">
        <f t="shared" si="321"/>
        <v/>
      </c>
      <c r="AW310" s="528" t="str">
        <f t="shared" si="321"/>
        <v/>
      </c>
      <c r="AX310" s="528" t="str">
        <f t="shared" si="321"/>
        <v/>
      </c>
      <c r="AY310" s="528" t="str">
        <f t="shared" si="321"/>
        <v/>
      </c>
      <c r="AZ310" s="528" t="str">
        <f t="shared" si="321"/>
        <v/>
      </c>
      <c r="BA310" s="528" t="str">
        <f t="shared" si="321"/>
        <v/>
      </c>
      <c r="BB310" s="528" t="str">
        <f t="shared" si="321"/>
        <v/>
      </c>
      <c r="BC310" s="528" t="str">
        <f t="shared" si="321"/>
        <v/>
      </c>
      <c r="BD310" s="528" t="str">
        <f t="shared" si="321"/>
        <v/>
      </c>
      <c r="BE310" s="528" t="str">
        <f t="shared" si="321"/>
        <v/>
      </c>
      <c r="BF310" s="528" t="str">
        <f t="shared" si="321"/>
        <v/>
      </c>
      <c r="BG310" s="528" t="str">
        <f t="shared" si="321"/>
        <v/>
      </c>
      <c r="BH310" s="528" t="str">
        <f t="shared" si="321"/>
        <v/>
      </c>
      <c r="BI310" s="528" t="str">
        <f t="shared" si="321"/>
        <v/>
      </c>
      <c r="BJ310" s="528" t="str">
        <f t="shared" si="321"/>
        <v/>
      </c>
      <c r="BK310" s="528" t="str">
        <f t="shared" si="321"/>
        <v/>
      </c>
      <c r="BL310" s="528" t="str">
        <f t="shared" si="321"/>
        <v/>
      </c>
      <c r="BM310" s="528" t="str">
        <f t="shared" si="321"/>
        <v/>
      </c>
    </row>
    <row r="311" spans="6:65" ht="15.75" customHeight="1" x14ac:dyDescent="0.25">
      <c r="F311" s="197"/>
      <c r="G311" s="197">
        <f t="shared" si="268"/>
        <v>0</v>
      </c>
      <c r="H311" s="197">
        <f t="shared" si="269"/>
        <v>337</v>
      </c>
      <c r="I311" s="523">
        <v>1</v>
      </c>
      <c r="J311" s="533">
        <f>'Monthly DCF'!$I$3</f>
        <v>46418</v>
      </c>
      <c r="K311" s="533">
        <f t="shared" si="270"/>
        <v>47391</v>
      </c>
      <c r="L311" s="536">
        <f t="shared" si="294"/>
        <v>33</v>
      </c>
      <c r="M311" s="20" t="s">
        <v>366</v>
      </c>
      <c r="N311" s="20">
        <f t="shared" si="271"/>
        <v>4.7142857142857144</v>
      </c>
      <c r="O311" s="537">
        <v>7</v>
      </c>
      <c r="P311" s="528">
        <f t="shared" ref="P311:BM311" si="322">IFERROR(+IF(AND($M311="Flat",P$5&gt;=$J311,P$5&lt;=$K311),$I311/$L311,0)+IF(AND($M311="S-Curve",P$5&gt;=$J311,P$5&lt;=$K311),(_xlfn.NORM.DIST((YEAR(P$5)-YEAR($J311))*12+MONTH(P$5)-MONTH($J311)+1,$L311/2,$N311,TRUE)-_xlfn.NORM.DIST((YEAR(P$5)-YEAR($J311))*12+MONTH(P$5)-MONTH($J311),$L311/2,$N311,TRUE))/(1-2*_xlfn.NORM.DIST(0,$L311/2,$N311,TRUE))*$I311," "),"")</f>
        <v>2.7222403093960944E-4</v>
      </c>
      <c r="Q311" s="528">
        <f t="shared" si="322"/>
        <v>5.4536970505076655E-4</v>
      </c>
      <c r="R311" s="528">
        <f t="shared" si="322"/>
        <v>1.0446861326678799E-3</v>
      </c>
      <c r="S311" s="528">
        <f t="shared" si="322"/>
        <v>1.9134236108395741E-3</v>
      </c>
      <c r="T311" s="528">
        <f t="shared" si="322"/>
        <v>3.3509434562701544E-3</v>
      </c>
      <c r="U311" s="528">
        <f t="shared" si="322"/>
        <v>5.611176410764078E-3</v>
      </c>
      <c r="V311" s="528">
        <f t="shared" si="322"/>
        <v>8.9840418110851833E-3</v>
      </c>
      <c r="W311" s="528">
        <f t="shared" si="322"/>
        <v>1.3753738947143416E-2</v>
      </c>
      <c r="X311" s="528">
        <f t="shared" si="322"/>
        <v>2.0132657191172992E-2</v>
      </c>
      <c r="Y311" s="528">
        <f t="shared" si="322"/>
        <v>2.8178174456861035E-2</v>
      </c>
      <c r="Z311" s="528">
        <f t="shared" si="322"/>
        <v>3.770996693507786E-2</v>
      </c>
      <c r="AA311" s="528">
        <f t="shared" si="322"/>
        <v>4.8253752019745383E-2</v>
      </c>
      <c r="AB311" s="528">
        <f t="shared" si="322"/>
        <v>5.9038830183711664E-2</v>
      </c>
      <c r="AC311" s="528">
        <f t="shared" si="322"/>
        <v>6.9067889377610825E-2</v>
      </c>
      <c r="AD311" s="528">
        <f t="shared" si="322"/>
        <v>7.725853398177944E-2</v>
      </c>
      <c r="AE311" s="528">
        <f t="shared" si="322"/>
        <v>8.263206672108718E-2</v>
      </c>
      <c r="AF311" s="528">
        <f t="shared" si="322"/>
        <v>8.450505005638595E-2</v>
      </c>
      <c r="AG311" s="528">
        <f t="shared" si="322"/>
        <v>8.263206672108718E-2</v>
      </c>
      <c r="AH311" s="528">
        <f t="shared" si="322"/>
        <v>7.725853398177944E-2</v>
      </c>
      <c r="AI311" s="528">
        <f t="shared" si="322"/>
        <v>6.9067889377610825E-2</v>
      </c>
      <c r="AJ311" s="528">
        <f t="shared" si="322"/>
        <v>5.9038830183711664E-2</v>
      </c>
      <c r="AK311" s="528">
        <f t="shared" si="322"/>
        <v>4.8253752019745355E-2</v>
      </c>
      <c r="AL311" s="528">
        <f t="shared" si="322"/>
        <v>3.7709966935077888E-2</v>
      </c>
      <c r="AM311" s="528">
        <f t="shared" si="322"/>
        <v>2.8178174456860987E-2</v>
      </c>
      <c r="AN311" s="528">
        <f t="shared" si="322"/>
        <v>2.0132657191173013E-2</v>
      </c>
      <c r="AO311" s="528">
        <f t="shared" si="322"/>
        <v>1.3753738947143478E-2</v>
      </c>
      <c r="AP311" s="528">
        <f t="shared" si="322"/>
        <v>8.984041811085185E-3</v>
      </c>
      <c r="AQ311" s="528">
        <f t="shared" si="322"/>
        <v>5.6111764107640381E-3</v>
      </c>
      <c r="AR311" s="528">
        <f t="shared" si="322"/>
        <v>3.35094345627015E-3</v>
      </c>
      <c r="AS311" s="528">
        <f t="shared" si="322"/>
        <v>1.9134236108396205E-3</v>
      </c>
      <c r="AT311" s="528">
        <f t="shared" si="322"/>
        <v>1.0446861326678786E-3</v>
      </c>
      <c r="AU311" s="528">
        <f t="shared" si="322"/>
        <v>5.453697050507388E-4</v>
      </c>
      <c r="AV311" s="528">
        <f t="shared" si="322"/>
        <v>2.7222403093958483E-4</v>
      </c>
      <c r="AW311" s="528" t="str">
        <f t="shared" si="322"/>
        <v/>
      </c>
      <c r="AX311" s="528" t="str">
        <f t="shared" si="322"/>
        <v/>
      </c>
      <c r="AY311" s="528" t="str">
        <f t="shared" si="322"/>
        <v/>
      </c>
      <c r="AZ311" s="528" t="str">
        <f t="shared" si="322"/>
        <v/>
      </c>
      <c r="BA311" s="528" t="str">
        <f t="shared" si="322"/>
        <v/>
      </c>
      <c r="BB311" s="528" t="str">
        <f t="shared" si="322"/>
        <v/>
      </c>
      <c r="BC311" s="528" t="str">
        <f t="shared" si="322"/>
        <v/>
      </c>
      <c r="BD311" s="528" t="str">
        <f t="shared" si="322"/>
        <v/>
      </c>
      <c r="BE311" s="528" t="str">
        <f t="shared" si="322"/>
        <v/>
      </c>
      <c r="BF311" s="528" t="str">
        <f t="shared" si="322"/>
        <v/>
      </c>
      <c r="BG311" s="528" t="str">
        <f t="shared" si="322"/>
        <v/>
      </c>
      <c r="BH311" s="528" t="str">
        <f t="shared" si="322"/>
        <v/>
      </c>
      <c r="BI311" s="528" t="str">
        <f t="shared" si="322"/>
        <v/>
      </c>
      <c r="BJ311" s="528" t="str">
        <f t="shared" si="322"/>
        <v/>
      </c>
      <c r="BK311" s="528" t="str">
        <f t="shared" si="322"/>
        <v/>
      </c>
      <c r="BL311" s="528" t="str">
        <f t="shared" si="322"/>
        <v/>
      </c>
      <c r="BM311" s="528" t="str">
        <f t="shared" si="322"/>
        <v/>
      </c>
    </row>
    <row r="312" spans="6:65" ht="15.75" customHeight="1" x14ac:dyDescent="0.25">
      <c r="F312" s="197"/>
      <c r="G312" s="197">
        <f t="shared" si="268"/>
        <v>0</v>
      </c>
      <c r="H312" s="197">
        <f t="shared" si="269"/>
        <v>347</v>
      </c>
      <c r="I312" s="523">
        <v>1</v>
      </c>
      <c r="J312" s="533">
        <f>'Monthly DCF'!$I$3</f>
        <v>46418</v>
      </c>
      <c r="K312" s="533">
        <f t="shared" si="270"/>
        <v>47422</v>
      </c>
      <c r="L312" s="536">
        <f t="shared" si="294"/>
        <v>34</v>
      </c>
      <c r="M312" s="20" t="s">
        <v>366</v>
      </c>
      <c r="N312" s="20">
        <f t="shared" si="271"/>
        <v>4.8571428571428568</v>
      </c>
      <c r="O312" s="537">
        <v>7</v>
      </c>
      <c r="P312" s="528">
        <f t="shared" ref="P312:BM312" si="323">IFERROR(+IF(AND($M312="Flat",P$5&gt;=$J312,P$5&lt;=$K312),$I312/$L312,0)+IF(AND($M312="S-Curve",P$5&gt;=$J312,P$5&lt;=$K312),(_xlfn.NORM.DIST((YEAR(P$5)-YEAR($J312))*12+MONTH(P$5)-MONTH($J312)+1,$L312/2,$N312,TRUE)-_xlfn.NORM.DIST((YEAR(P$5)-YEAR($J312))*12+MONTH(P$5)-MONTH($J312),$L312/2,$N312,TRUE))/(1-2*_xlfn.NORM.DIST(0,$L312/2,$N312,TRUE))*$I312," "),"")</f>
        <v>2.6114825070166814E-4</v>
      </c>
      <c r="Q312" s="528">
        <f t="shared" si="323"/>
        <v>5.1332790737537845E-4</v>
      </c>
      <c r="R312" s="528">
        <f t="shared" si="323"/>
        <v>9.6729181278708341E-4</v>
      </c>
      <c r="S312" s="528">
        <f t="shared" si="323"/>
        <v>1.7473310688818073E-3</v>
      </c>
      <c r="T312" s="528">
        <f t="shared" si="323"/>
        <v>3.0258548806933257E-3</v>
      </c>
      <c r="U312" s="528">
        <f t="shared" si="323"/>
        <v>5.0231523339570767E-3</v>
      </c>
      <c r="V312" s="528">
        <f t="shared" si="323"/>
        <v>7.993925492463071E-3</v>
      </c>
      <c r="W312" s="528">
        <f t="shared" si="323"/>
        <v>1.219549585158077E-2</v>
      </c>
      <c r="X312" s="528">
        <f t="shared" si="323"/>
        <v>1.7835880904886144E-2</v>
      </c>
      <c r="Y312" s="528">
        <f t="shared" si="323"/>
        <v>2.500607345254155E-2</v>
      </c>
      <c r="Z312" s="528">
        <f t="shared" si="323"/>
        <v>3.3608750859965904E-2</v>
      </c>
      <c r="AA312" s="528">
        <f t="shared" si="323"/>
        <v>4.3302727392580849E-2</v>
      </c>
      <c r="AB312" s="528">
        <f t="shared" si="323"/>
        <v>5.348527227046939E-2</v>
      </c>
      <c r="AC312" s="528">
        <f t="shared" si="323"/>
        <v>6.3329973931402966E-2</v>
      </c>
      <c r="AD312" s="528">
        <f t="shared" si="323"/>
        <v>7.1885383221322471E-2</v>
      </c>
      <c r="AE312" s="528">
        <f t="shared" si="323"/>
        <v>7.8221852136116071E-2</v>
      </c>
      <c r="AF312" s="528">
        <f t="shared" si="323"/>
        <v>8.1596558232274491E-2</v>
      </c>
      <c r="AG312" s="528">
        <f t="shared" si="323"/>
        <v>8.1596558232274491E-2</v>
      </c>
      <c r="AH312" s="528">
        <f t="shared" si="323"/>
        <v>7.8221852136116127E-2</v>
      </c>
      <c r="AI312" s="528">
        <f t="shared" si="323"/>
        <v>7.1885383221322416E-2</v>
      </c>
      <c r="AJ312" s="528">
        <f t="shared" si="323"/>
        <v>6.3329973931403022E-2</v>
      </c>
      <c r="AK312" s="528">
        <f t="shared" si="323"/>
        <v>5.3485272270469363E-2</v>
      </c>
      <c r="AL312" s="528">
        <f t="shared" si="323"/>
        <v>4.3302727392580807E-2</v>
      </c>
      <c r="AM312" s="528">
        <f t="shared" si="323"/>
        <v>3.3608750859965945E-2</v>
      </c>
      <c r="AN312" s="528">
        <f t="shared" si="323"/>
        <v>2.5006073452541487E-2</v>
      </c>
      <c r="AO312" s="528">
        <f t="shared" si="323"/>
        <v>1.7835880904886144E-2</v>
      </c>
      <c r="AP312" s="528">
        <f t="shared" si="323"/>
        <v>1.2195495851580833E-2</v>
      </c>
      <c r="AQ312" s="528">
        <f t="shared" si="323"/>
        <v>7.9939254924630051E-3</v>
      </c>
      <c r="AR312" s="528">
        <f t="shared" si="323"/>
        <v>5.0231523339571687E-3</v>
      </c>
      <c r="AS312" s="528">
        <f t="shared" si="323"/>
        <v>3.0258548806932537E-3</v>
      </c>
      <c r="AT312" s="528">
        <f t="shared" si="323"/>
        <v>1.7473310688818321E-3</v>
      </c>
      <c r="AU312" s="528">
        <f t="shared" si="323"/>
        <v>9.6729181278706845E-4</v>
      </c>
      <c r="AV312" s="528">
        <f t="shared" si="323"/>
        <v>5.1332790737535308E-4</v>
      </c>
      <c r="AW312" s="528">
        <f t="shared" si="323"/>
        <v>2.6114825070168646E-4</v>
      </c>
      <c r="AX312" s="528" t="str">
        <f t="shared" si="323"/>
        <v/>
      </c>
      <c r="AY312" s="528" t="str">
        <f t="shared" si="323"/>
        <v/>
      </c>
      <c r="AZ312" s="528" t="str">
        <f t="shared" si="323"/>
        <v/>
      </c>
      <c r="BA312" s="528" t="str">
        <f t="shared" si="323"/>
        <v/>
      </c>
      <c r="BB312" s="528" t="str">
        <f t="shared" si="323"/>
        <v/>
      </c>
      <c r="BC312" s="528" t="str">
        <f t="shared" si="323"/>
        <v/>
      </c>
      <c r="BD312" s="528" t="str">
        <f t="shared" si="323"/>
        <v/>
      </c>
      <c r="BE312" s="528" t="str">
        <f t="shared" si="323"/>
        <v/>
      </c>
      <c r="BF312" s="528" t="str">
        <f t="shared" si="323"/>
        <v/>
      </c>
      <c r="BG312" s="528" t="str">
        <f t="shared" si="323"/>
        <v/>
      </c>
      <c r="BH312" s="528" t="str">
        <f t="shared" si="323"/>
        <v/>
      </c>
      <c r="BI312" s="528" t="str">
        <f t="shared" si="323"/>
        <v/>
      </c>
      <c r="BJ312" s="528" t="str">
        <f t="shared" si="323"/>
        <v/>
      </c>
      <c r="BK312" s="528" t="str">
        <f t="shared" si="323"/>
        <v/>
      </c>
      <c r="BL312" s="528" t="str">
        <f t="shared" si="323"/>
        <v/>
      </c>
      <c r="BM312" s="528" t="str">
        <f t="shared" si="323"/>
        <v/>
      </c>
    </row>
    <row r="313" spans="6:65" ht="15.75" customHeight="1" x14ac:dyDescent="0.25">
      <c r="F313" s="197"/>
      <c r="G313" s="197">
        <f t="shared" si="268"/>
        <v>0</v>
      </c>
      <c r="H313" s="197">
        <f t="shared" si="269"/>
        <v>357</v>
      </c>
      <c r="I313" s="523">
        <v>1</v>
      </c>
      <c r="J313" s="533">
        <f>'Monthly DCF'!$I$3</f>
        <v>46418</v>
      </c>
      <c r="K313" s="533">
        <f t="shared" si="270"/>
        <v>47452</v>
      </c>
      <c r="L313" s="536">
        <f t="shared" si="294"/>
        <v>35</v>
      </c>
      <c r="M313" s="20" t="s">
        <v>366</v>
      </c>
      <c r="N313" s="20">
        <f t="shared" si="271"/>
        <v>5</v>
      </c>
      <c r="O313" s="537">
        <v>7</v>
      </c>
      <c r="P313" s="528">
        <f t="shared" ref="P313:BM313" si="324">IFERROR(+IF(AND($M313="Flat",P$5&gt;=$J313,P$5&lt;=$K313),$I313/$L313,0)+IF(AND($M313="S-Curve",P$5&gt;=$J313,P$5&lt;=$K313),(_xlfn.NORM.DIST((YEAR(P$5)-YEAR($J313))*12+MONTH(P$5)-MONTH($J313)+1,$L313/2,$N313,TRUE)-_xlfn.NORM.DIST((YEAR(P$5)-YEAR($J313))*12+MONTH(P$5)-MONTH($J313),$L313/2,$N313,TRUE))/(1-2*_xlfn.NORM.DIST(0,$L313/2,$N313,TRUE))*$I313," "),"")</f>
        <v>2.5091180211114089E-4</v>
      </c>
      <c r="Q313" s="528">
        <f t="shared" si="324"/>
        <v>4.8440444395393413E-4</v>
      </c>
      <c r="R313" s="528">
        <f t="shared" si="324"/>
        <v>8.9862818125808455E-4</v>
      </c>
      <c r="S313" s="528">
        <f t="shared" si="324"/>
        <v>1.6019058023996544E-3</v>
      </c>
      <c r="T313" s="528">
        <f t="shared" si="324"/>
        <v>2.7439681763149868E-3</v>
      </c>
      <c r="U313" s="528">
        <f t="shared" si="324"/>
        <v>4.5165460557984411E-3</v>
      </c>
      <c r="V313" s="528">
        <f t="shared" si="324"/>
        <v>7.1436341752190314E-3</v>
      </c>
      <c r="W313" s="528">
        <f t="shared" si="324"/>
        <v>1.0857190649708765E-2</v>
      </c>
      <c r="X313" s="528">
        <f t="shared" si="324"/>
        <v>1.5856280206263867E-2</v>
      </c>
      <c r="Y313" s="528">
        <f t="shared" si="324"/>
        <v>2.2252091477409024E-2</v>
      </c>
      <c r="Z313" s="528">
        <f t="shared" si="324"/>
        <v>3.0007244432025491E-2</v>
      </c>
      <c r="AA313" s="528">
        <f t="shared" si="324"/>
        <v>3.8883667304201328E-2</v>
      </c>
      <c r="AB313" s="528">
        <f t="shared" si="324"/>
        <v>4.8416590614146077E-2</v>
      </c>
      <c r="AC313" s="528">
        <f t="shared" si="324"/>
        <v>5.7930479504503918E-2</v>
      </c>
      <c r="AD313" s="528">
        <f t="shared" si="324"/>
        <v>6.6604874964358379E-2</v>
      </c>
      <c r="AE313" s="528">
        <f t="shared" si="324"/>
        <v>7.3585275234677283E-2</v>
      </c>
      <c r="AF313" s="528">
        <f t="shared" si="324"/>
        <v>7.8119930847058233E-2</v>
      </c>
      <c r="AG313" s="528">
        <f t="shared" si="324"/>
        <v>7.9692752257184765E-2</v>
      </c>
      <c r="AH313" s="528">
        <f t="shared" si="324"/>
        <v>7.8119930847058233E-2</v>
      </c>
      <c r="AI313" s="528">
        <f t="shared" si="324"/>
        <v>7.3585275234677283E-2</v>
      </c>
      <c r="AJ313" s="528">
        <f t="shared" si="324"/>
        <v>6.6604874964358324E-2</v>
      </c>
      <c r="AK313" s="528">
        <f t="shared" si="324"/>
        <v>5.7930479504503946E-2</v>
      </c>
      <c r="AL313" s="528">
        <f t="shared" si="324"/>
        <v>4.8416590614146077E-2</v>
      </c>
      <c r="AM313" s="528">
        <f t="shared" si="324"/>
        <v>3.8883667304201369E-2</v>
      </c>
      <c r="AN313" s="528">
        <f t="shared" si="324"/>
        <v>3.0007244432025449E-2</v>
      </c>
      <c r="AO313" s="528">
        <f t="shared" si="324"/>
        <v>2.2252091477409086E-2</v>
      </c>
      <c r="AP313" s="528">
        <f t="shared" si="324"/>
        <v>1.5856280206263781E-2</v>
      </c>
      <c r="AQ313" s="528">
        <f t="shared" si="324"/>
        <v>1.08571906497088E-2</v>
      </c>
      <c r="AR313" s="528">
        <f t="shared" si="324"/>
        <v>7.1436341752190227E-3</v>
      </c>
      <c r="AS313" s="528">
        <f t="shared" si="324"/>
        <v>4.5165460557984411E-3</v>
      </c>
      <c r="AT313" s="528">
        <f t="shared" si="324"/>
        <v>2.7439681763150587E-3</v>
      </c>
      <c r="AU313" s="528">
        <f t="shared" si="324"/>
        <v>1.6019058023996012E-3</v>
      </c>
      <c r="AV313" s="528">
        <f t="shared" si="324"/>
        <v>8.9862818125813237E-4</v>
      </c>
      <c r="AW313" s="528">
        <f t="shared" si="324"/>
        <v>4.8440444395388935E-4</v>
      </c>
      <c r="AX313" s="528">
        <f t="shared" si="324"/>
        <v>2.5091180211112994E-4</v>
      </c>
      <c r="AY313" s="528" t="str">
        <f t="shared" si="324"/>
        <v/>
      </c>
      <c r="AZ313" s="528" t="str">
        <f t="shared" si="324"/>
        <v/>
      </c>
      <c r="BA313" s="528" t="str">
        <f t="shared" si="324"/>
        <v/>
      </c>
      <c r="BB313" s="528" t="str">
        <f t="shared" si="324"/>
        <v/>
      </c>
      <c r="BC313" s="528" t="str">
        <f t="shared" si="324"/>
        <v/>
      </c>
      <c r="BD313" s="528" t="str">
        <f t="shared" si="324"/>
        <v/>
      </c>
      <c r="BE313" s="528" t="str">
        <f t="shared" si="324"/>
        <v/>
      </c>
      <c r="BF313" s="528" t="str">
        <f t="shared" si="324"/>
        <v/>
      </c>
      <c r="BG313" s="528" t="str">
        <f t="shared" si="324"/>
        <v/>
      </c>
      <c r="BH313" s="528" t="str">
        <f t="shared" si="324"/>
        <v/>
      </c>
      <c r="BI313" s="528" t="str">
        <f t="shared" si="324"/>
        <v/>
      </c>
      <c r="BJ313" s="528" t="str">
        <f t="shared" si="324"/>
        <v/>
      </c>
      <c r="BK313" s="528" t="str">
        <f t="shared" si="324"/>
        <v/>
      </c>
      <c r="BL313" s="528" t="str">
        <f t="shared" si="324"/>
        <v/>
      </c>
      <c r="BM313" s="528" t="str">
        <f t="shared" si="324"/>
        <v/>
      </c>
    </row>
    <row r="314" spans="6:65" ht="15.75" customHeight="1" x14ac:dyDescent="0.25">
      <c r="F314" s="197"/>
      <c r="G314" s="197">
        <f t="shared" si="268"/>
        <v>0</v>
      </c>
      <c r="H314" s="197">
        <f t="shared" si="269"/>
        <v>367</v>
      </c>
      <c r="I314" s="523">
        <v>1</v>
      </c>
      <c r="J314" s="533">
        <f>'Monthly DCF'!$I$3</f>
        <v>46418</v>
      </c>
      <c r="K314" s="533">
        <f t="shared" si="270"/>
        <v>47483</v>
      </c>
      <c r="L314" s="536">
        <f t="shared" si="294"/>
        <v>36</v>
      </c>
      <c r="M314" s="20" t="s">
        <v>366</v>
      </c>
      <c r="N314" s="20">
        <f t="shared" si="271"/>
        <v>5.1428571428571432</v>
      </c>
      <c r="O314" s="537">
        <v>7</v>
      </c>
      <c r="P314" s="528">
        <f t="shared" ref="P314:BM314" si="325">IFERROR(+IF(AND($M314="Flat",P$5&gt;=$J314,P$5&lt;=$K314),$I314/$L314,0)+IF(AND($M314="S-Curve",P$5&gt;=$J314,P$5&lt;=$K314),(_xlfn.NORM.DIST((YEAR(P$5)-YEAR($J314))*12+MONTH(P$5)-MONTH($J314)+1,$L314/2,$N314,TRUE)-_xlfn.NORM.DIST((YEAR(P$5)-YEAR($J314))*12+MONTH(P$5)-MONTH($J314),$L314/2,$N314,TRUE))/(1-2*_xlfn.NORM.DIST(0,$L314/2,$N314,TRUE))*$I314," "),"")</f>
        <v>2.4142479910047301E-4</v>
      </c>
      <c r="Q314" s="528">
        <f t="shared" si="325"/>
        <v>4.5819559347417426E-4</v>
      </c>
      <c r="R314" s="528">
        <f t="shared" si="325"/>
        <v>8.3743389454736094E-4</v>
      </c>
      <c r="S314" s="528">
        <f t="shared" si="325"/>
        <v>1.473943623512029E-3</v>
      </c>
      <c r="T314" s="528">
        <f t="shared" si="325"/>
        <v>2.4982852841101801E-3</v>
      </c>
      <c r="U314" s="528">
        <f t="shared" si="325"/>
        <v>4.077876859293476E-3</v>
      </c>
      <c r="V314" s="528">
        <f t="shared" si="325"/>
        <v>6.4099877357017615E-3</v>
      </c>
      <c r="W314" s="528">
        <f t="shared" si="325"/>
        <v>9.7031197482046715E-3</v>
      </c>
      <c r="X314" s="528">
        <f t="shared" si="325"/>
        <v>1.4144798488865302E-2</v>
      </c>
      <c r="Y314" s="528">
        <f t="shared" si="325"/>
        <v>1.9856988865018962E-2</v>
      </c>
      <c r="Z314" s="528">
        <f t="shared" si="325"/>
        <v>2.6844872117373509E-2</v>
      </c>
      <c r="AA314" s="528">
        <f t="shared" si="325"/>
        <v>3.4949475678670648E-2</v>
      </c>
      <c r="AB314" s="528">
        <f t="shared" si="325"/>
        <v>4.3817885832307488E-2</v>
      </c>
      <c r="AC314" s="528">
        <f t="shared" si="325"/>
        <v>5.2904625892339185E-2</v>
      </c>
      <c r="AD314" s="528">
        <f t="shared" si="325"/>
        <v>6.151306769489983E-2</v>
      </c>
      <c r="AE314" s="528">
        <f t="shared" si="325"/>
        <v>6.8876752810178632E-2</v>
      </c>
      <c r="AF314" s="528">
        <f t="shared" si="325"/>
        <v>7.4269329629197731E-2</v>
      </c>
      <c r="AG314" s="528">
        <f t="shared" si="325"/>
        <v>7.7121935453204588E-2</v>
      </c>
      <c r="AH314" s="528">
        <f t="shared" si="325"/>
        <v>7.7121935453204532E-2</v>
      </c>
      <c r="AI314" s="528">
        <f t="shared" si="325"/>
        <v>7.4269329629197731E-2</v>
      </c>
      <c r="AJ314" s="528">
        <f t="shared" si="325"/>
        <v>6.8876752810178743E-2</v>
      </c>
      <c r="AK314" s="528">
        <f t="shared" si="325"/>
        <v>6.1513067694899802E-2</v>
      </c>
      <c r="AL314" s="528">
        <f t="shared" si="325"/>
        <v>5.2904625892339158E-2</v>
      </c>
      <c r="AM314" s="528">
        <f t="shared" si="325"/>
        <v>4.381788583230746E-2</v>
      </c>
      <c r="AN314" s="528">
        <f t="shared" si="325"/>
        <v>3.4949475678670731E-2</v>
      </c>
      <c r="AO314" s="528">
        <f t="shared" si="325"/>
        <v>2.6844872117373426E-2</v>
      </c>
      <c r="AP314" s="528">
        <f t="shared" si="325"/>
        <v>1.9856988865018976E-2</v>
      </c>
      <c r="AQ314" s="528">
        <f t="shared" si="325"/>
        <v>1.414479848886532E-2</v>
      </c>
      <c r="AR314" s="528">
        <f t="shared" si="325"/>
        <v>9.7031197482046333E-3</v>
      </c>
      <c r="AS314" s="528">
        <f t="shared" si="325"/>
        <v>6.4099877357018257E-3</v>
      </c>
      <c r="AT314" s="528">
        <f t="shared" si="325"/>
        <v>4.0778768592933988E-3</v>
      </c>
      <c r="AU314" s="528">
        <f t="shared" si="325"/>
        <v>2.4982852841102386E-3</v>
      </c>
      <c r="AV314" s="528">
        <f t="shared" si="325"/>
        <v>1.4739436235119681E-3</v>
      </c>
      <c r="AW314" s="528">
        <f t="shared" si="325"/>
        <v>8.3743389454742686E-4</v>
      </c>
      <c r="AX314" s="528">
        <f t="shared" si="325"/>
        <v>4.5819559347419145E-4</v>
      </c>
      <c r="AY314" s="528">
        <f t="shared" si="325"/>
        <v>2.4142479910042492E-4</v>
      </c>
      <c r="AZ314" s="528" t="str">
        <f t="shared" si="325"/>
        <v/>
      </c>
      <c r="BA314" s="528" t="str">
        <f t="shared" si="325"/>
        <v/>
      </c>
      <c r="BB314" s="528" t="str">
        <f t="shared" si="325"/>
        <v/>
      </c>
      <c r="BC314" s="528" t="str">
        <f t="shared" si="325"/>
        <v/>
      </c>
      <c r="BD314" s="528" t="str">
        <f t="shared" si="325"/>
        <v/>
      </c>
      <c r="BE314" s="528" t="str">
        <f t="shared" si="325"/>
        <v/>
      </c>
      <c r="BF314" s="528" t="str">
        <f t="shared" si="325"/>
        <v/>
      </c>
      <c r="BG314" s="528" t="str">
        <f t="shared" si="325"/>
        <v/>
      </c>
      <c r="BH314" s="528" t="str">
        <f t="shared" si="325"/>
        <v/>
      </c>
      <c r="BI314" s="528" t="str">
        <f t="shared" si="325"/>
        <v/>
      </c>
      <c r="BJ314" s="528" t="str">
        <f t="shared" si="325"/>
        <v/>
      </c>
      <c r="BK314" s="528" t="str">
        <f t="shared" si="325"/>
        <v/>
      </c>
      <c r="BL314" s="528" t="str">
        <f t="shared" si="325"/>
        <v/>
      </c>
      <c r="BM314" s="528" t="str">
        <f t="shared" si="325"/>
        <v/>
      </c>
    </row>
    <row r="315" spans="6:65" ht="15.75" customHeight="1" x14ac:dyDescent="0.25">
      <c r="F315" s="197"/>
      <c r="G315" s="197">
        <f t="shared" si="268"/>
        <v>0</v>
      </c>
      <c r="H315" s="197">
        <f t="shared" si="269"/>
        <v>377</v>
      </c>
      <c r="I315" s="523">
        <v>1</v>
      </c>
      <c r="J315" s="533">
        <f>'Monthly DCF'!$I$3</f>
        <v>46418</v>
      </c>
      <c r="K315" s="533">
        <f t="shared" si="270"/>
        <v>47514</v>
      </c>
      <c r="L315" s="536">
        <f t="shared" si="294"/>
        <v>37</v>
      </c>
      <c r="M315" s="20" t="s">
        <v>366</v>
      </c>
      <c r="N315" s="20">
        <f t="shared" si="271"/>
        <v>5.2857142857142856</v>
      </c>
      <c r="O315" s="537">
        <v>7</v>
      </c>
      <c r="P315" s="528">
        <f t="shared" ref="P315:BM315" si="326">IFERROR(+IF(AND($M315="Flat",P$5&gt;=$J315,P$5&lt;=$K315),$I315/$L315,0)+IF(AND($M315="S-Curve",P$5&gt;=$J315,P$5&lt;=$K315),(_xlfn.NORM.DIST((YEAR(P$5)-YEAR($J315))*12+MONTH(P$5)-MONTH($J315)+1,$L315/2,$N315,TRUE)-_xlfn.NORM.DIST((YEAR(P$5)-YEAR($J315))*12+MONTH(P$5)-MONTH($J315),$L315/2,$N315,TRUE))/(1-2*_xlfn.NORM.DIST(0,$L315/2,$N315,TRUE))*$I315," "),"")</f>
        <v>2.326095405569397E-4</v>
      </c>
      <c r="Q315" s="528">
        <f t="shared" si="326"/>
        <v>4.3436139242223487E-4</v>
      </c>
      <c r="R315" s="528">
        <f t="shared" si="326"/>
        <v>7.826649210598578E-4</v>
      </c>
      <c r="S315" s="528">
        <f t="shared" si="326"/>
        <v>1.3608227972658989E-3</v>
      </c>
      <c r="T315" s="528">
        <f t="shared" si="326"/>
        <v>2.2831183633758726E-3</v>
      </c>
      <c r="U315" s="528">
        <f t="shared" si="326"/>
        <v>3.6962088797735859E-3</v>
      </c>
      <c r="V315" s="528">
        <f t="shared" si="326"/>
        <v>5.774121144242003E-3</v>
      </c>
      <c r="W315" s="528">
        <f t="shared" si="326"/>
        <v>8.7039553794434517E-3</v>
      </c>
      <c r="X315" s="528">
        <f t="shared" si="326"/>
        <v>1.2660441970190249E-2</v>
      </c>
      <c r="Y315" s="528">
        <f t="shared" si="326"/>
        <v>1.7769801883076586E-2</v>
      </c>
      <c r="Z315" s="528">
        <f t="shared" si="326"/>
        <v>2.4066773368499123E-2</v>
      </c>
      <c r="AA315" s="528">
        <f t="shared" si="326"/>
        <v>3.1452470548550895E-2</v>
      </c>
      <c r="AB315" s="528">
        <f t="shared" si="326"/>
        <v>3.9663708535844916E-2</v>
      </c>
      <c r="AC315" s="528">
        <f t="shared" si="326"/>
        <v>4.8265139724589255E-2</v>
      </c>
      <c r="AD315" s="528">
        <f t="shared" si="326"/>
        <v>5.667291429198841E-2</v>
      </c>
      <c r="AE315" s="528">
        <f t="shared" si="326"/>
        <v>6.4212455704277763E-2</v>
      </c>
      <c r="AF315" s="528">
        <f t="shared" si="326"/>
        <v>7.0204473721378766E-2</v>
      </c>
      <c r="AG315" s="528">
        <f t="shared" si="326"/>
        <v>7.4064839747455938E-2</v>
      </c>
      <c r="AH315" s="528">
        <f t="shared" si="326"/>
        <v>7.5398236172016589E-2</v>
      </c>
      <c r="AI315" s="528">
        <f t="shared" si="326"/>
        <v>7.4064839747455938E-2</v>
      </c>
      <c r="AJ315" s="528">
        <f t="shared" si="326"/>
        <v>7.020447372137871E-2</v>
      </c>
      <c r="AK315" s="528">
        <f t="shared" si="326"/>
        <v>6.4212455704277763E-2</v>
      </c>
      <c r="AL315" s="528">
        <f t="shared" si="326"/>
        <v>5.6672914291988466E-2</v>
      </c>
      <c r="AM315" s="528">
        <f t="shared" si="326"/>
        <v>4.8265139724589172E-2</v>
      </c>
      <c r="AN315" s="528">
        <f t="shared" si="326"/>
        <v>3.9663708535844958E-2</v>
      </c>
      <c r="AO315" s="528">
        <f t="shared" si="326"/>
        <v>3.1452470548550868E-2</v>
      </c>
      <c r="AP315" s="528">
        <f t="shared" si="326"/>
        <v>2.4066773368499102E-2</v>
      </c>
      <c r="AQ315" s="528">
        <f t="shared" si="326"/>
        <v>1.7769801883076676E-2</v>
      </c>
      <c r="AR315" s="528">
        <f t="shared" si="326"/>
        <v>1.2660441970190235E-2</v>
      </c>
      <c r="AS315" s="528">
        <f t="shared" si="326"/>
        <v>8.7039553794434569E-3</v>
      </c>
      <c r="AT315" s="528">
        <f t="shared" si="326"/>
        <v>5.7741211442419735E-3</v>
      </c>
      <c r="AU315" s="528">
        <f t="shared" si="326"/>
        <v>3.6962088797735373E-3</v>
      </c>
      <c r="AV315" s="528">
        <f t="shared" si="326"/>
        <v>2.2831183633759112E-3</v>
      </c>
      <c r="AW315" s="528">
        <f t="shared" si="326"/>
        <v>1.3608227972659419E-3</v>
      </c>
      <c r="AX315" s="528">
        <f t="shared" si="326"/>
        <v>7.8266492105978104E-4</v>
      </c>
      <c r="AY315" s="528">
        <f t="shared" si="326"/>
        <v>4.3436139242226409E-4</v>
      </c>
      <c r="AZ315" s="528">
        <f t="shared" si="326"/>
        <v>2.3260954055692184E-4</v>
      </c>
      <c r="BA315" s="528" t="str">
        <f t="shared" si="326"/>
        <v/>
      </c>
      <c r="BB315" s="528" t="str">
        <f t="shared" si="326"/>
        <v/>
      </c>
      <c r="BC315" s="528" t="str">
        <f t="shared" si="326"/>
        <v/>
      </c>
      <c r="BD315" s="528" t="str">
        <f t="shared" si="326"/>
        <v/>
      </c>
      <c r="BE315" s="528" t="str">
        <f t="shared" si="326"/>
        <v/>
      </c>
      <c r="BF315" s="528" t="str">
        <f t="shared" si="326"/>
        <v/>
      </c>
      <c r="BG315" s="528" t="str">
        <f t="shared" si="326"/>
        <v/>
      </c>
      <c r="BH315" s="528" t="str">
        <f t="shared" si="326"/>
        <v/>
      </c>
      <c r="BI315" s="528" t="str">
        <f t="shared" si="326"/>
        <v/>
      </c>
      <c r="BJ315" s="528" t="str">
        <f t="shared" si="326"/>
        <v/>
      </c>
      <c r="BK315" s="528" t="str">
        <f t="shared" si="326"/>
        <v/>
      </c>
      <c r="BL315" s="528" t="str">
        <f t="shared" si="326"/>
        <v/>
      </c>
      <c r="BM315" s="528" t="str">
        <f t="shared" si="326"/>
        <v/>
      </c>
    </row>
    <row r="316" spans="6:65" ht="15.75" customHeight="1" x14ac:dyDescent="0.25">
      <c r="F316" s="197"/>
      <c r="G316" s="197">
        <f t="shared" si="268"/>
        <v>0</v>
      </c>
      <c r="H316" s="197">
        <f t="shared" si="269"/>
        <v>387</v>
      </c>
      <c r="I316" s="523">
        <v>1</v>
      </c>
      <c r="J316" s="533">
        <f>'Monthly DCF'!$I$3</f>
        <v>46418</v>
      </c>
      <c r="K316" s="533">
        <f t="shared" si="270"/>
        <v>47542</v>
      </c>
      <c r="L316" s="536">
        <f t="shared" si="294"/>
        <v>38</v>
      </c>
      <c r="M316" s="20" t="s">
        <v>366</v>
      </c>
      <c r="N316" s="20">
        <f t="shared" si="271"/>
        <v>5.4285714285714288</v>
      </c>
      <c r="O316" s="537">
        <v>7</v>
      </c>
      <c r="P316" s="528">
        <f t="shared" ref="P316:BM316" si="327">IFERROR(+IF(AND($M316="Flat",P$5&gt;=$J316,P$5&lt;=$K316),$I316/$L316,0)+IF(AND($M316="S-Curve",P$5&gt;=$J316,P$5&lt;=$K316),(_xlfn.NORM.DIST((YEAR(P$5)-YEAR($J316))*12+MONTH(P$5)-MONTH($J316)+1,$L316/2,$N316,TRUE)-_xlfn.NORM.DIST((YEAR(P$5)-YEAR($J316))*12+MONTH(P$5)-MONTH($J316),$L316/2,$N316,TRUE))/(1-2*_xlfn.NORM.DIST(0,$L316/2,$N316,TRUE))*$I316," "),"")</f>
        <v>2.2439853942394453E-4</v>
      </c>
      <c r="Q316" s="528">
        <f t="shared" si="327"/>
        <v>4.1261391927328015E-4</v>
      </c>
      <c r="R316" s="528">
        <f t="shared" si="327"/>
        <v>7.3345164574976766E-4</v>
      </c>
      <c r="S316" s="528">
        <f t="shared" si="327"/>
        <v>1.2603841806859844E-3</v>
      </c>
      <c r="T316" s="528">
        <f t="shared" si="327"/>
        <v>2.0938150541604142E-3</v>
      </c>
      <c r="U316" s="528">
        <f t="shared" si="327"/>
        <v>3.3626191408226863E-3</v>
      </c>
      <c r="V316" s="528">
        <f t="shared" si="327"/>
        <v>5.2206081583546018E-3</v>
      </c>
      <c r="W316" s="528">
        <f t="shared" si="327"/>
        <v>7.8355345532925488E-3</v>
      </c>
      <c r="X316" s="528">
        <f t="shared" si="327"/>
        <v>1.136894942639011E-2</v>
      </c>
      <c r="Y316" s="528">
        <f t="shared" si="327"/>
        <v>1.5946899716568475E-2</v>
      </c>
      <c r="Z316" s="528">
        <f t="shared" si="327"/>
        <v>2.1624021435701166E-2</v>
      </c>
      <c r="AA316" s="528">
        <f t="shared" si="327"/>
        <v>2.8346600136426623E-2</v>
      </c>
      <c r="AB316" s="528">
        <f t="shared" si="327"/>
        <v>3.5922772182092721E-2</v>
      </c>
      <c r="AC316" s="528">
        <f t="shared" si="327"/>
        <v>4.4009161715129565E-2</v>
      </c>
      <c r="AD316" s="528">
        <f t="shared" si="327"/>
        <v>5.2121962877073214E-2</v>
      </c>
      <c r="AE316" s="528">
        <f t="shared" si="327"/>
        <v>5.9676434450817897E-2</v>
      </c>
      <c r="AF316" s="528">
        <f t="shared" si="327"/>
        <v>6.6052525681396704E-2</v>
      </c>
      <c r="AG316" s="528">
        <f t="shared" si="327"/>
        <v>7.0677383218789594E-2</v>
      </c>
      <c r="AH316" s="528">
        <f t="shared" si="327"/>
        <v>7.3109863967850713E-2</v>
      </c>
      <c r="AI316" s="528">
        <f t="shared" si="327"/>
        <v>7.3109863967850713E-2</v>
      </c>
      <c r="AJ316" s="528">
        <f t="shared" si="327"/>
        <v>7.0677383218789594E-2</v>
      </c>
      <c r="AK316" s="528">
        <f t="shared" si="327"/>
        <v>6.6052525681396704E-2</v>
      </c>
      <c r="AL316" s="528">
        <f t="shared" si="327"/>
        <v>5.9676434450817925E-2</v>
      </c>
      <c r="AM316" s="528">
        <f t="shared" si="327"/>
        <v>5.2121962877073186E-2</v>
      </c>
      <c r="AN316" s="528">
        <f t="shared" si="327"/>
        <v>4.4009161715129565E-2</v>
      </c>
      <c r="AO316" s="528">
        <f t="shared" si="327"/>
        <v>3.5922772182092694E-2</v>
      </c>
      <c r="AP316" s="528">
        <f t="shared" si="327"/>
        <v>2.8346600136426623E-2</v>
      </c>
      <c r="AQ316" s="528">
        <f t="shared" si="327"/>
        <v>2.1624021435701152E-2</v>
      </c>
      <c r="AR316" s="528">
        <f t="shared" si="327"/>
        <v>1.5946899716568558E-2</v>
      </c>
      <c r="AS316" s="528">
        <f t="shared" si="327"/>
        <v>1.1368949426390048E-2</v>
      </c>
      <c r="AT316" s="528">
        <f t="shared" si="327"/>
        <v>7.8355345532925471E-3</v>
      </c>
      <c r="AU316" s="528">
        <f t="shared" si="327"/>
        <v>5.2206081583546313E-3</v>
      </c>
      <c r="AV316" s="528">
        <f t="shared" si="327"/>
        <v>3.3626191408226923E-3</v>
      </c>
      <c r="AW316" s="528">
        <f t="shared" si="327"/>
        <v>2.0938150541603543E-3</v>
      </c>
      <c r="AX316" s="528">
        <f t="shared" si="327"/>
        <v>1.2603841806859972E-3</v>
      </c>
      <c r="AY316" s="528">
        <f t="shared" si="327"/>
        <v>7.3345164574975096E-4</v>
      </c>
      <c r="AZ316" s="528">
        <f t="shared" si="327"/>
        <v>4.1261391927338071E-4</v>
      </c>
      <c r="BA316" s="528">
        <f t="shared" si="327"/>
        <v>2.243985394238797E-4</v>
      </c>
      <c r="BB316" s="528" t="str">
        <f t="shared" si="327"/>
        <v/>
      </c>
      <c r="BC316" s="528" t="str">
        <f t="shared" si="327"/>
        <v/>
      </c>
      <c r="BD316" s="528" t="str">
        <f t="shared" si="327"/>
        <v/>
      </c>
      <c r="BE316" s="528" t="str">
        <f t="shared" si="327"/>
        <v/>
      </c>
      <c r="BF316" s="528" t="str">
        <f t="shared" si="327"/>
        <v/>
      </c>
      <c r="BG316" s="528" t="str">
        <f t="shared" si="327"/>
        <v/>
      </c>
      <c r="BH316" s="528" t="str">
        <f t="shared" si="327"/>
        <v/>
      </c>
      <c r="BI316" s="528" t="str">
        <f t="shared" si="327"/>
        <v/>
      </c>
      <c r="BJ316" s="528" t="str">
        <f t="shared" si="327"/>
        <v/>
      </c>
      <c r="BK316" s="528" t="str">
        <f t="shared" si="327"/>
        <v/>
      </c>
      <c r="BL316" s="528" t="str">
        <f t="shared" si="327"/>
        <v/>
      </c>
      <c r="BM316" s="528" t="str">
        <f t="shared" si="327"/>
        <v/>
      </c>
    </row>
    <row r="317" spans="6:65" ht="15.75" customHeight="1" x14ac:dyDescent="0.25">
      <c r="F317" s="197"/>
      <c r="G317" s="197">
        <f t="shared" si="268"/>
        <v>0</v>
      </c>
      <c r="H317" s="197">
        <f t="shared" si="269"/>
        <v>397</v>
      </c>
      <c r="I317" s="523">
        <v>1</v>
      </c>
      <c r="J317" s="533">
        <f>'Monthly DCF'!$I$3</f>
        <v>46418</v>
      </c>
      <c r="K317" s="533">
        <f t="shared" si="270"/>
        <v>47573</v>
      </c>
      <c r="L317" s="536">
        <f t="shared" si="294"/>
        <v>39</v>
      </c>
      <c r="M317" s="20" t="s">
        <v>366</v>
      </c>
      <c r="N317" s="20">
        <f t="shared" si="271"/>
        <v>5.5714285714285712</v>
      </c>
      <c r="O317" s="537">
        <v>7</v>
      </c>
      <c r="P317" s="528">
        <f t="shared" ref="P317:BM317" si="328">IFERROR(+IF(AND($M317="Flat",P$5&gt;=$J317,P$5&lt;=$K317),$I317/$L317,0)+IF(AND($M317="S-Curve",P$5&gt;=$J317,P$5&lt;=$K317),(_xlfn.NORM.DIST((YEAR(P$5)-YEAR($J317))*12+MONTH(P$5)-MONTH($J317)+1,$L317/2,$N317,TRUE)-_xlfn.NORM.DIST((YEAR(P$5)-YEAR($J317))*12+MONTH(P$5)-MONTH($J317),$L317/2,$N317,TRUE))/(1-2*_xlfn.NORM.DIST(0,$L317/2,$N317,TRUE))*$I317," "),"")</f>
        <v>2.167329184587906E-4</v>
      </c>
      <c r="Q317" s="528">
        <f t="shared" si="328"/>
        <v>3.9270800989822408E-4</v>
      </c>
      <c r="R317" s="528">
        <f t="shared" si="328"/>
        <v>6.8906542803591367E-4</v>
      </c>
      <c r="S317" s="528">
        <f t="shared" si="328"/>
        <v>1.1708386486149241E-3</v>
      </c>
      <c r="T317" s="528">
        <f t="shared" si="328"/>
        <v>1.9265469121823181E-3</v>
      </c>
      <c r="U317" s="528">
        <f t="shared" si="328"/>
        <v>3.069786252368777E-3</v>
      </c>
      <c r="V317" s="528">
        <f t="shared" si="328"/>
        <v>4.7367749296192497E-3</v>
      </c>
      <c r="W317" s="528">
        <f t="shared" si="328"/>
        <v>7.0778846143703051E-3</v>
      </c>
      <c r="X317" s="528">
        <f t="shared" si="328"/>
        <v>1.0241660408043895E-2</v>
      </c>
      <c r="Y317" s="528">
        <f t="shared" si="328"/>
        <v>1.4351043237760324E-2</v>
      </c>
      <c r="Z317" s="528">
        <f t="shared" si="328"/>
        <v>1.9473446565313812E-2</v>
      </c>
      <c r="AA317" s="528">
        <f t="shared" si="328"/>
        <v>2.5588713922526901E-2</v>
      </c>
      <c r="AB317" s="528">
        <f t="shared" si="328"/>
        <v>3.2561200840679115E-2</v>
      </c>
      <c r="AC317" s="528">
        <f t="shared" si="328"/>
        <v>4.0123491193911655E-2</v>
      </c>
      <c r="AD317" s="528">
        <f t="shared" si="328"/>
        <v>4.7878814482548958E-2</v>
      </c>
      <c r="AE317" s="528">
        <f t="shared" si="328"/>
        <v>5.5326660371051606E-2</v>
      </c>
      <c r="AF317" s="528">
        <f t="shared" si="328"/>
        <v>6.1911586791986752E-2</v>
      </c>
      <c r="AG317" s="528">
        <f t="shared" si="328"/>
        <v>6.7089698314397012E-2</v>
      </c>
      <c r="AH317" s="528">
        <f t="shared" si="328"/>
        <v>7.0402191369889691E-2</v>
      </c>
      <c r="AI317" s="528">
        <f t="shared" si="328"/>
        <v>7.1542309576683519E-2</v>
      </c>
      <c r="AJ317" s="528">
        <f t="shared" si="328"/>
        <v>7.0402191369889691E-2</v>
      </c>
      <c r="AK317" s="528">
        <f t="shared" si="328"/>
        <v>6.7089698314397067E-2</v>
      </c>
      <c r="AL317" s="528">
        <f t="shared" si="328"/>
        <v>6.1911586791986807E-2</v>
      </c>
      <c r="AM317" s="528">
        <f t="shared" si="328"/>
        <v>5.5326660371051495E-2</v>
      </c>
      <c r="AN317" s="528">
        <f t="shared" si="328"/>
        <v>4.7878814482549013E-2</v>
      </c>
      <c r="AO317" s="528">
        <f t="shared" si="328"/>
        <v>4.0123491193911627E-2</v>
      </c>
      <c r="AP317" s="528">
        <f t="shared" si="328"/>
        <v>3.2561200840679198E-2</v>
      </c>
      <c r="AQ317" s="528">
        <f t="shared" si="328"/>
        <v>2.558871392252686E-2</v>
      </c>
      <c r="AR317" s="528">
        <f t="shared" si="328"/>
        <v>1.9473446565313846E-2</v>
      </c>
      <c r="AS317" s="528">
        <f t="shared" si="328"/>
        <v>1.43510432377603E-2</v>
      </c>
      <c r="AT317" s="528">
        <f t="shared" si="328"/>
        <v>1.0241660408043836E-2</v>
      </c>
      <c r="AU317" s="528">
        <f t="shared" si="328"/>
        <v>7.0778846143703051E-3</v>
      </c>
      <c r="AV317" s="528">
        <f t="shared" si="328"/>
        <v>4.7367749296193295E-3</v>
      </c>
      <c r="AW317" s="528">
        <f t="shared" si="328"/>
        <v>3.0697862523687484E-3</v>
      </c>
      <c r="AX317" s="528">
        <f t="shared" si="328"/>
        <v>1.926546912182325E-3</v>
      </c>
      <c r="AY317" s="528">
        <f t="shared" si="328"/>
        <v>1.170838648614956E-3</v>
      </c>
      <c r="AZ317" s="528">
        <f t="shared" si="328"/>
        <v>6.8906542803586943E-4</v>
      </c>
      <c r="BA317" s="528">
        <f t="shared" si="328"/>
        <v>3.9270800989824571E-4</v>
      </c>
      <c r="BB317" s="528">
        <f t="shared" si="328"/>
        <v>2.1673291845874306E-4</v>
      </c>
      <c r="BC317" s="528" t="str">
        <f t="shared" si="328"/>
        <v/>
      </c>
      <c r="BD317" s="528" t="str">
        <f t="shared" si="328"/>
        <v/>
      </c>
      <c r="BE317" s="528" t="str">
        <f t="shared" si="328"/>
        <v/>
      </c>
      <c r="BF317" s="528" t="str">
        <f t="shared" si="328"/>
        <v/>
      </c>
      <c r="BG317" s="528" t="str">
        <f t="shared" si="328"/>
        <v/>
      </c>
      <c r="BH317" s="528" t="str">
        <f t="shared" si="328"/>
        <v/>
      </c>
      <c r="BI317" s="528" t="str">
        <f t="shared" si="328"/>
        <v/>
      </c>
      <c r="BJ317" s="528" t="str">
        <f t="shared" si="328"/>
        <v/>
      </c>
      <c r="BK317" s="528" t="str">
        <f t="shared" si="328"/>
        <v/>
      </c>
      <c r="BL317" s="528" t="str">
        <f t="shared" si="328"/>
        <v/>
      </c>
      <c r="BM317" s="528" t="str">
        <f t="shared" si="328"/>
        <v/>
      </c>
    </row>
    <row r="318" spans="6:65" ht="15.75" customHeight="1" x14ac:dyDescent="0.25">
      <c r="F318" s="197"/>
      <c r="G318" s="197">
        <f t="shared" si="268"/>
        <v>0</v>
      </c>
      <c r="H318" s="197">
        <f t="shared" si="269"/>
        <v>407</v>
      </c>
      <c r="I318" s="523">
        <v>1</v>
      </c>
      <c r="J318" s="533">
        <f>'Monthly DCF'!$I$3</f>
        <v>46418</v>
      </c>
      <c r="K318" s="533">
        <f t="shared" si="270"/>
        <v>47603</v>
      </c>
      <c r="L318" s="536">
        <f t="shared" si="294"/>
        <v>40</v>
      </c>
      <c r="M318" s="20" t="s">
        <v>366</v>
      </c>
      <c r="N318" s="20">
        <f t="shared" si="271"/>
        <v>5.7142857142857144</v>
      </c>
      <c r="O318" s="537">
        <v>7</v>
      </c>
      <c r="P318" s="528">
        <f t="shared" ref="P318:BM318" si="329">IFERROR(+IF(AND($M318="Flat",P$5&gt;=$J318,P$5&lt;=$K318),$I318/$L318,0)+IF(AND($M318="S-Curve",P$5&gt;=$J318,P$5&lt;=$K318),(_xlfn.NORM.DIST((YEAR(P$5)-YEAR($J318))*12+MONTH(P$5)-MONTH($J318)+1,$L318/2,$N318,TRUE)-_xlfn.NORM.DIST((YEAR(P$5)-YEAR($J318))*12+MONTH(P$5)-MONTH($J318),$L318/2,$N318,TRUE))/(1-2*_xlfn.NORM.DIST(0,$L318/2,$N318,TRUE))*$I318," "),"")</f>
        <v>2.0956109612908587E-4</v>
      </c>
      <c r="Q318" s="528">
        <f t="shared" si="329"/>
        <v>3.744338460750835E-4</v>
      </c>
      <c r="R318" s="528">
        <f t="shared" si="329"/>
        <v>6.4889232885068831E-4</v>
      </c>
      <c r="S318" s="528">
        <f t="shared" si="329"/>
        <v>1.0906950459664924E-3</v>
      </c>
      <c r="T318" s="528">
        <f t="shared" si="329"/>
        <v>1.7781453292052734E-3</v>
      </c>
      <c r="U318" s="528">
        <f t="shared" si="329"/>
        <v>2.8116705249083863E-3</v>
      </c>
      <c r="V318" s="528">
        <f t="shared" si="329"/>
        <v>4.31216044867146E-3</v>
      </c>
      <c r="W318" s="528">
        <f t="shared" si="329"/>
        <v>6.4144400172488035E-3</v>
      </c>
      <c r="X318" s="528">
        <f t="shared" si="329"/>
        <v>9.2545643203825398E-3</v>
      </c>
      <c r="Y318" s="528">
        <f t="shared" si="329"/>
        <v>1.2950503069371615E-2</v>
      </c>
      <c r="Z318" s="528">
        <f t="shared" si="329"/>
        <v>1.7577243368209497E-2</v>
      </c>
      <c r="AA318" s="528">
        <f t="shared" si="329"/>
        <v>2.313920266042694E-2</v>
      </c>
      <c r="AB318" s="528">
        <f t="shared" si="329"/>
        <v>2.9544696930354795E-2</v>
      </c>
      <c r="AC318" s="528">
        <f t="shared" si="329"/>
        <v>3.6588469206834492E-2</v>
      </c>
      <c r="AD318" s="528">
        <f t="shared" si="329"/>
        <v>4.394834380210233E-2</v>
      </c>
      <c r="AE318" s="528">
        <f t="shared" si="329"/>
        <v>5.1200520830576267E-2</v>
      </c>
      <c r="AF318" s="528">
        <f t="shared" si="329"/>
        <v>5.7854860691543657E-2</v>
      </c>
      <c r="AG318" s="528">
        <f t="shared" si="329"/>
        <v>6.3407254097935017E-2</v>
      </c>
      <c r="AH318" s="528">
        <f t="shared" si="329"/>
        <v>6.7401827217927479E-2</v>
      </c>
      <c r="AI318" s="528">
        <f t="shared" si="329"/>
        <v>6.9492515167280125E-2</v>
      </c>
      <c r="AJ318" s="528">
        <f t="shared" si="329"/>
        <v>6.9492515167280125E-2</v>
      </c>
      <c r="AK318" s="528">
        <f t="shared" si="329"/>
        <v>6.7401827217927479E-2</v>
      </c>
      <c r="AL318" s="528">
        <f t="shared" si="329"/>
        <v>6.3407254097935017E-2</v>
      </c>
      <c r="AM318" s="528">
        <f t="shared" si="329"/>
        <v>5.7854860691543601E-2</v>
      </c>
      <c r="AN318" s="528">
        <f t="shared" si="329"/>
        <v>5.1200520830576378E-2</v>
      </c>
      <c r="AO318" s="528">
        <f t="shared" si="329"/>
        <v>4.3948343802102302E-2</v>
      </c>
      <c r="AP318" s="528">
        <f t="shared" si="329"/>
        <v>3.6588469206834451E-2</v>
      </c>
      <c r="AQ318" s="528">
        <f t="shared" si="329"/>
        <v>2.9544696930354795E-2</v>
      </c>
      <c r="AR318" s="528">
        <f t="shared" si="329"/>
        <v>2.3139202660426926E-2</v>
      </c>
      <c r="AS318" s="528">
        <f t="shared" si="329"/>
        <v>1.7577243368209511E-2</v>
      </c>
      <c r="AT318" s="528">
        <f t="shared" si="329"/>
        <v>1.2950503069371597E-2</v>
      </c>
      <c r="AU318" s="528">
        <f t="shared" si="329"/>
        <v>9.2545643203825537E-3</v>
      </c>
      <c r="AV318" s="528">
        <f t="shared" si="329"/>
        <v>6.4144400172487966E-3</v>
      </c>
      <c r="AW318" s="528">
        <f t="shared" si="329"/>
        <v>4.3121604486714505E-3</v>
      </c>
      <c r="AX318" s="528">
        <f t="shared" si="329"/>
        <v>2.8116705249083673E-3</v>
      </c>
      <c r="AY318" s="528">
        <f t="shared" si="329"/>
        <v>1.7781453292052781E-3</v>
      </c>
      <c r="AZ318" s="528">
        <f t="shared" si="329"/>
        <v>1.0906950459664919E-3</v>
      </c>
      <c r="BA318" s="528">
        <f t="shared" si="329"/>
        <v>6.4889232885068202E-4</v>
      </c>
      <c r="BB318" s="528">
        <f t="shared" si="329"/>
        <v>3.7443384607511288E-4</v>
      </c>
      <c r="BC318" s="528">
        <f t="shared" si="329"/>
        <v>2.0956109612909631E-4</v>
      </c>
      <c r="BD318" s="528" t="str">
        <f t="shared" si="329"/>
        <v/>
      </c>
      <c r="BE318" s="528" t="str">
        <f t="shared" si="329"/>
        <v/>
      </c>
      <c r="BF318" s="528" t="str">
        <f t="shared" si="329"/>
        <v/>
      </c>
      <c r="BG318" s="528" t="str">
        <f t="shared" si="329"/>
        <v/>
      </c>
      <c r="BH318" s="528" t="str">
        <f t="shared" si="329"/>
        <v/>
      </c>
      <c r="BI318" s="528" t="str">
        <f t="shared" si="329"/>
        <v/>
      </c>
      <c r="BJ318" s="528" t="str">
        <f t="shared" si="329"/>
        <v/>
      </c>
      <c r="BK318" s="528" t="str">
        <f t="shared" si="329"/>
        <v/>
      </c>
      <c r="BL318" s="528" t="str">
        <f t="shared" si="329"/>
        <v/>
      </c>
      <c r="BM318" s="528" t="str">
        <f t="shared" si="329"/>
        <v/>
      </c>
    </row>
    <row r="319" spans="6:65" ht="15.75" customHeight="1" x14ac:dyDescent="0.25">
      <c r="F319" s="197"/>
      <c r="G319" s="197">
        <f t="shared" si="268"/>
        <v>0</v>
      </c>
      <c r="H319" s="197">
        <f t="shared" si="269"/>
        <v>417</v>
      </c>
      <c r="I319" s="523">
        <v>1</v>
      </c>
      <c r="J319" s="533">
        <f>'Monthly DCF'!$I$3</f>
        <v>46418</v>
      </c>
      <c r="K319" s="533">
        <f t="shared" si="270"/>
        <v>47634</v>
      </c>
      <c r="L319" s="536">
        <f t="shared" si="294"/>
        <v>41</v>
      </c>
      <c r="M319" s="20" t="s">
        <v>366</v>
      </c>
      <c r="N319" s="20">
        <f t="shared" si="271"/>
        <v>5.8571428571428568</v>
      </c>
      <c r="O319" s="537">
        <v>7</v>
      </c>
      <c r="P319" s="528">
        <f t="shared" ref="P319:BM319" si="330">IFERROR(+IF(AND($M319="Flat",P$5&gt;=$J319,P$5&lt;=$K319),$I319/$L319,0)+IF(AND($M319="S-Curve",P$5&gt;=$J319,P$5&lt;=$K319),(_xlfn.NORM.DIST((YEAR(P$5)-YEAR($J319))*12+MONTH(P$5)-MONTH($J319)+1,$L319/2,$N319,TRUE)-_xlfn.NORM.DIST((YEAR(P$5)-YEAR($J319))*12+MONTH(P$5)-MONTH($J319),$L319/2,$N319,TRUE))/(1-2*_xlfn.NORM.DIST(0,$L319/2,$N319,TRUE))*$I319," "),"")</f>
        <v>2.0283770372295926E-4</v>
      </c>
      <c r="Q319" s="528">
        <f t="shared" si="330"/>
        <v>3.5761099859738139E-4</v>
      </c>
      <c r="R319" s="528">
        <f t="shared" si="330"/>
        <v>6.1241231970847584E-4</v>
      </c>
      <c r="S319" s="528">
        <f t="shared" si="330"/>
        <v>1.0187037065857375E-3</v>
      </c>
      <c r="T319" s="528">
        <f t="shared" si="330"/>
        <v>1.6459734099466691E-3</v>
      </c>
      <c r="U319" s="528">
        <f t="shared" si="330"/>
        <v>2.5832637342894193E-3</v>
      </c>
      <c r="V319" s="528">
        <f t="shared" si="330"/>
        <v>3.9380907696150678E-3</v>
      </c>
      <c r="W319" s="528">
        <f t="shared" si="330"/>
        <v>5.8314126854220952E-3</v>
      </c>
      <c r="X319" s="528">
        <f t="shared" si="330"/>
        <v>8.387508001299334E-3</v>
      </c>
      <c r="Y319" s="528">
        <f t="shared" si="330"/>
        <v>1.1718263647599404E-2</v>
      </c>
      <c r="Z319" s="528">
        <f t="shared" si="330"/>
        <v>1.5902476382974776E-2</v>
      </c>
      <c r="AA319" s="528">
        <f t="shared" si="330"/>
        <v>2.0962228836818392E-2</v>
      </c>
      <c r="AB319" s="528">
        <f t="shared" si="330"/>
        <v>2.6839930369555613E-2</v>
      </c>
      <c r="AC319" s="528">
        <f t="shared" si="330"/>
        <v>3.3380786312929914E-2</v>
      </c>
      <c r="AD319" s="528">
        <f t="shared" si="330"/>
        <v>4.0325801744759603E-2</v>
      </c>
      <c r="AE319" s="528">
        <f t="shared" si="330"/>
        <v>4.7319565234017355E-2</v>
      </c>
      <c r="AF319" s="528">
        <f t="shared" si="330"/>
        <v>5.3934888119727097E-2</v>
      </c>
      <c r="AG319" s="528">
        <f t="shared" si="330"/>
        <v>5.9713170616945255E-2</v>
      </c>
      <c r="AH319" s="528">
        <f t="shared" si="330"/>
        <v>6.4215786114098394E-2</v>
      </c>
      <c r="AI319" s="528">
        <f t="shared" si="330"/>
        <v>6.7078725730445904E-2</v>
      </c>
      <c r="AJ319" s="528">
        <f t="shared" si="330"/>
        <v>6.8061127121882364E-2</v>
      </c>
      <c r="AK319" s="528">
        <f t="shared" si="330"/>
        <v>6.7078725730445904E-2</v>
      </c>
      <c r="AL319" s="528">
        <f t="shared" si="330"/>
        <v>6.4215786114098394E-2</v>
      </c>
      <c r="AM319" s="528">
        <f t="shared" si="330"/>
        <v>5.9713170616945255E-2</v>
      </c>
      <c r="AN319" s="528">
        <f t="shared" si="330"/>
        <v>5.3934888119727152E-2</v>
      </c>
      <c r="AO319" s="528">
        <f t="shared" si="330"/>
        <v>4.7319565234017272E-2</v>
      </c>
      <c r="AP319" s="528">
        <f t="shared" si="330"/>
        <v>4.0325801744759686E-2</v>
      </c>
      <c r="AQ319" s="528">
        <f t="shared" si="330"/>
        <v>3.3380786312929914E-2</v>
      </c>
      <c r="AR319" s="528">
        <f t="shared" si="330"/>
        <v>2.6839930369555599E-2</v>
      </c>
      <c r="AS319" s="528">
        <f t="shared" si="330"/>
        <v>2.0962228836818329E-2</v>
      </c>
      <c r="AT319" s="528">
        <f t="shared" si="330"/>
        <v>1.5902476382974803E-2</v>
      </c>
      <c r="AU319" s="528">
        <f t="shared" si="330"/>
        <v>1.1718263647599422E-2</v>
      </c>
      <c r="AV319" s="528">
        <f t="shared" si="330"/>
        <v>8.3875080012992959E-3</v>
      </c>
      <c r="AW319" s="528">
        <f t="shared" si="330"/>
        <v>5.8314126854221455E-3</v>
      </c>
      <c r="AX319" s="528">
        <f t="shared" si="330"/>
        <v>3.9380907696150861E-3</v>
      </c>
      <c r="AY319" s="528">
        <f t="shared" si="330"/>
        <v>2.5832637342893343E-3</v>
      </c>
      <c r="AZ319" s="528">
        <f t="shared" si="330"/>
        <v>1.6459734099466773E-3</v>
      </c>
      <c r="BA319" s="528">
        <f t="shared" si="330"/>
        <v>1.0187037065858115E-3</v>
      </c>
      <c r="BB319" s="528">
        <f t="shared" si="330"/>
        <v>6.1241231970843768E-4</v>
      </c>
      <c r="BC319" s="528">
        <f t="shared" si="330"/>
        <v>3.5761099859731873E-4</v>
      </c>
      <c r="BD319" s="528">
        <f t="shared" si="330"/>
        <v>2.0283770372299297E-4</v>
      </c>
      <c r="BE319" s="528" t="str">
        <f t="shared" si="330"/>
        <v/>
      </c>
      <c r="BF319" s="528" t="str">
        <f t="shared" si="330"/>
        <v/>
      </c>
      <c r="BG319" s="528" t="str">
        <f t="shared" si="330"/>
        <v/>
      </c>
      <c r="BH319" s="528" t="str">
        <f t="shared" si="330"/>
        <v/>
      </c>
      <c r="BI319" s="528" t="str">
        <f t="shared" si="330"/>
        <v/>
      </c>
      <c r="BJ319" s="528" t="str">
        <f t="shared" si="330"/>
        <v/>
      </c>
      <c r="BK319" s="528" t="str">
        <f t="shared" si="330"/>
        <v/>
      </c>
      <c r="BL319" s="528" t="str">
        <f t="shared" si="330"/>
        <v/>
      </c>
      <c r="BM319" s="528" t="str">
        <f t="shared" si="330"/>
        <v/>
      </c>
    </row>
    <row r="320" spans="6:65" ht="15.75" customHeight="1" x14ac:dyDescent="0.25">
      <c r="F320" s="197"/>
      <c r="G320" s="197">
        <f t="shared" si="268"/>
        <v>0</v>
      </c>
      <c r="H320" s="197">
        <f t="shared" si="269"/>
        <v>427</v>
      </c>
      <c r="I320" s="523">
        <v>1</v>
      </c>
      <c r="J320" s="533">
        <f>'Monthly DCF'!$I$3</f>
        <v>46418</v>
      </c>
      <c r="K320" s="533">
        <f t="shared" si="270"/>
        <v>47664</v>
      </c>
      <c r="L320" s="536">
        <f t="shared" si="294"/>
        <v>42</v>
      </c>
      <c r="M320" s="20" t="s">
        <v>366</v>
      </c>
      <c r="N320" s="20">
        <f t="shared" si="271"/>
        <v>6</v>
      </c>
      <c r="O320" s="537">
        <v>7</v>
      </c>
      <c r="P320" s="528">
        <f t="shared" ref="P320:BM320" si="331">IFERROR(+IF(AND($M320="Flat",P$5&gt;=$J320,P$5&lt;=$K320),$I320/$L320,0)+IF(AND($M320="S-Curve",P$5&gt;=$J320,P$5&lt;=$K320),(_xlfn.NORM.DIST((YEAR(P$5)-YEAR($J320))*12+MONTH(P$5)-MONTH($J320)+1,$L320/2,$N320,TRUE)-_xlfn.NORM.DIST((YEAR(P$5)-YEAR($J320))*12+MONTH(P$5)-MONTH($J320),$L320/2,$N320,TRUE))/(1-2*_xlfn.NORM.DIST(0,$L320/2,$N320,TRUE))*$I320," "),"")</f>
        <v>1.965226879451245E-4</v>
      </c>
      <c r="Q320" s="528">
        <f t="shared" si="331"/>
        <v>3.4208360846271822E-4</v>
      </c>
      <c r="R320" s="528">
        <f t="shared" si="331"/>
        <v>5.7918271664405012E-4</v>
      </c>
      <c r="S320" s="528">
        <f t="shared" si="331"/>
        <v>9.5381186881902187E-4</v>
      </c>
      <c r="T320" s="528">
        <f t="shared" si="331"/>
        <v>1.527825269064393E-3</v>
      </c>
      <c r="U320" s="528">
        <f t="shared" si="331"/>
        <v>2.3803922551024932E-3</v>
      </c>
      <c r="V320" s="528">
        <f t="shared" si="331"/>
        <v>3.6073416479998838E-3</v>
      </c>
      <c r="W320" s="528">
        <f t="shared" si="331"/>
        <v>5.3172852919513508E-3</v>
      </c>
      <c r="X320" s="528">
        <f t="shared" si="331"/>
        <v>7.6235388515874499E-3</v>
      </c>
      <c r="Y320" s="528">
        <f t="shared" si="331"/>
        <v>1.063132194590447E-2</v>
      </c>
      <c r="Z320" s="528">
        <f t="shared" si="331"/>
        <v>1.4420553968375143E-2</v>
      </c>
      <c r="AA320" s="528">
        <f t="shared" si="331"/>
        <v>1.9025700858580831E-2</v>
      </c>
      <c r="AB320" s="528">
        <f t="shared" si="331"/>
        <v>2.4415377910765191E-2</v>
      </c>
      <c r="AC320" s="528">
        <f t="shared" si="331"/>
        <v>3.047546380667043E-2</v>
      </c>
      <c r="AD320" s="528">
        <f t="shared" si="331"/>
        <v>3.6999963892124885E-2</v>
      </c>
      <c r="AE320" s="528">
        <f t="shared" si="331"/>
        <v>4.3693455768936851E-2</v>
      </c>
      <c r="AF320" s="528">
        <f t="shared" si="331"/>
        <v>5.0187506730219364E-2</v>
      </c>
      <c r="AG320" s="528">
        <f t="shared" si="331"/>
        <v>5.6071088710518462E-2</v>
      </c>
      <c r="AH320" s="528">
        <f t="shared" si="331"/>
        <v>6.0932150635948923E-2</v>
      </c>
      <c r="AI320" s="528">
        <f t="shared" si="331"/>
        <v>6.4404792062258562E-2</v>
      </c>
      <c r="AJ320" s="528">
        <f t="shared" si="331"/>
        <v>6.6214639512120407E-2</v>
      </c>
      <c r="AK320" s="528">
        <f t="shared" si="331"/>
        <v>6.6214639512120407E-2</v>
      </c>
      <c r="AL320" s="528">
        <f t="shared" si="331"/>
        <v>6.4404792062258617E-2</v>
      </c>
      <c r="AM320" s="528">
        <f t="shared" si="331"/>
        <v>6.0932150635948867E-2</v>
      </c>
      <c r="AN320" s="528">
        <f t="shared" si="331"/>
        <v>5.6071088710518462E-2</v>
      </c>
      <c r="AO320" s="528">
        <f t="shared" si="331"/>
        <v>5.0187506730219364E-2</v>
      </c>
      <c r="AP320" s="528">
        <f t="shared" si="331"/>
        <v>4.3693455768936879E-2</v>
      </c>
      <c r="AQ320" s="528">
        <f t="shared" si="331"/>
        <v>3.6999963892124829E-2</v>
      </c>
      <c r="AR320" s="528">
        <f t="shared" si="331"/>
        <v>3.0475463806670457E-2</v>
      </c>
      <c r="AS320" s="528">
        <f t="shared" si="331"/>
        <v>2.4415377910765163E-2</v>
      </c>
      <c r="AT320" s="528">
        <f t="shared" si="331"/>
        <v>1.9025700858580866E-2</v>
      </c>
      <c r="AU320" s="528">
        <f t="shared" si="331"/>
        <v>1.4420553968375136E-2</v>
      </c>
      <c r="AV320" s="528">
        <f t="shared" si="331"/>
        <v>1.0631321945904453E-2</v>
      </c>
      <c r="AW320" s="528">
        <f t="shared" si="331"/>
        <v>7.6235388515874551E-3</v>
      </c>
      <c r="AX320" s="528">
        <f t="shared" si="331"/>
        <v>5.3172852919513838E-3</v>
      </c>
      <c r="AY320" s="528">
        <f t="shared" si="331"/>
        <v>3.607341647999837E-3</v>
      </c>
      <c r="AZ320" s="528">
        <f t="shared" si="331"/>
        <v>2.3803922551024798E-3</v>
      </c>
      <c r="BA320" s="528">
        <f t="shared" si="331"/>
        <v>1.5278252690644676E-3</v>
      </c>
      <c r="BB320" s="528">
        <f t="shared" si="331"/>
        <v>9.5381186881897655E-4</v>
      </c>
      <c r="BC320" s="528">
        <f t="shared" si="331"/>
        <v>5.7918271664401683E-4</v>
      </c>
      <c r="BD320" s="528">
        <f t="shared" si="331"/>
        <v>3.4208360846281417E-4</v>
      </c>
      <c r="BE320" s="528">
        <f t="shared" si="331"/>
        <v>1.9652268794505701E-4</v>
      </c>
      <c r="BF320" s="528" t="str">
        <f t="shared" si="331"/>
        <v/>
      </c>
      <c r="BG320" s="528" t="str">
        <f t="shared" si="331"/>
        <v/>
      </c>
      <c r="BH320" s="528" t="str">
        <f t="shared" si="331"/>
        <v/>
      </c>
      <c r="BI320" s="528" t="str">
        <f t="shared" si="331"/>
        <v/>
      </c>
      <c r="BJ320" s="528" t="str">
        <f t="shared" si="331"/>
        <v/>
      </c>
      <c r="BK320" s="528" t="str">
        <f t="shared" si="331"/>
        <v/>
      </c>
      <c r="BL320" s="528" t="str">
        <f t="shared" si="331"/>
        <v/>
      </c>
      <c r="BM320" s="528" t="str">
        <f t="shared" si="331"/>
        <v/>
      </c>
    </row>
    <row r="321" spans="6:65" ht="15.75" customHeight="1" x14ac:dyDescent="0.25">
      <c r="F321" s="197"/>
      <c r="G321" s="197">
        <f t="shared" si="268"/>
        <v>0</v>
      </c>
      <c r="H321" s="197">
        <f t="shared" si="269"/>
        <v>437</v>
      </c>
      <c r="I321" s="523">
        <v>1</v>
      </c>
      <c r="J321" s="533">
        <f>'Monthly DCF'!$I$3</f>
        <v>46418</v>
      </c>
      <c r="K321" s="533">
        <f t="shared" si="270"/>
        <v>47695</v>
      </c>
      <c r="L321" s="536">
        <f t="shared" si="294"/>
        <v>43</v>
      </c>
      <c r="M321" s="20" t="s">
        <v>366</v>
      </c>
      <c r="N321" s="20">
        <f t="shared" si="271"/>
        <v>6.1428571428571432</v>
      </c>
      <c r="O321" s="537">
        <v>7</v>
      </c>
      <c r="P321" s="528">
        <f t="shared" ref="P321:BM321" si="332">IFERROR(+IF(AND($M321="Flat",P$5&gt;=$J321,P$5&lt;=$K321),$I321/$L321,0)+IF(AND($M321="S-Curve",P$5&gt;=$J321,P$5&lt;=$K321),(_xlfn.NORM.DIST((YEAR(P$5)-YEAR($J321))*12+MONTH(P$5)-MONTH($J321)+1,$L321/2,$N321,TRUE)-_xlfn.NORM.DIST((YEAR(P$5)-YEAR($J321))*12+MONTH(P$5)-MONTH($J321),$L321/2,$N321,TRUE))/(1-2*_xlfn.NORM.DIST(0,$L321/2,$N321,TRUE))*$I321," "),"")</f>
        <v>1.9058056325259811E-4</v>
      </c>
      <c r="Q321" s="528">
        <f t="shared" si="332"/>
        <v>3.2771646481902477E-4</v>
      </c>
      <c r="R321" s="528">
        <f t="shared" si="332"/>
        <v>5.4882489440179303E-4</v>
      </c>
      <c r="S321" s="528">
        <f t="shared" si="332"/>
        <v>8.9512825019227393E-4</v>
      </c>
      <c r="T321" s="528">
        <f t="shared" si="332"/>
        <v>1.4218463815352735E-3</v>
      </c>
      <c r="U321" s="528">
        <f t="shared" si="332"/>
        <v>2.1995613178610301E-3</v>
      </c>
      <c r="V321" s="528">
        <f t="shared" si="332"/>
        <v>3.3138701084399272E-3</v>
      </c>
      <c r="W321" s="528">
        <f t="shared" si="332"/>
        <v>4.8624027569428773E-3</v>
      </c>
      <c r="X321" s="528">
        <f t="shared" si="332"/>
        <v>6.9483620703125019E-3</v>
      </c>
      <c r="Y321" s="528">
        <f t="shared" si="332"/>
        <v>9.670079426205045E-3</v>
      </c>
      <c r="Z321" s="528">
        <f t="shared" si="332"/>
        <v>1.3106711862171218E-2</v>
      </c>
      <c r="AA321" s="528">
        <f t="shared" si="332"/>
        <v>1.7301095109394357E-2</v>
      </c>
      <c r="AB321" s="528">
        <f t="shared" si="332"/>
        <v>2.2241782244936538E-2</v>
      </c>
      <c r="AC321" s="528">
        <f t="shared" si="332"/>
        <v>2.7847213319568447E-2</v>
      </c>
      <c r="AD321" s="528">
        <f t="shared" si="332"/>
        <v>3.3955496106364162E-2</v>
      </c>
      <c r="AE321" s="528">
        <f t="shared" si="332"/>
        <v>4.0323165017145571E-2</v>
      </c>
      <c r="AF321" s="528">
        <f t="shared" si="332"/>
        <v>4.6635361998473193E-2</v>
      </c>
      <c r="AG321" s="528">
        <f t="shared" si="332"/>
        <v>5.2528174398254975E-2</v>
      </c>
      <c r="AH321" s="528">
        <f t="shared" si="332"/>
        <v>5.7621622941293429E-2</v>
      </c>
      <c r="AI321" s="528">
        <f t="shared" si="332"/>
        <v>6.155947329257537E-2</v>
      </c>
      <c r="AJ321" s="528">
        <f t="shared" si="332"/>
        <v>6.4050207197258582E-2</v>
      </c>
      <c r="AK321" s="528">
        <f t="shared" si="332"/>
        <v>6.4902648557203638E-2</v>
      </c>
      <c r="AL321" s="528">
        <f t="shared" si="332"/>
        <v>6.4050207197258582E-2</v>
      </c>
      <c r="AM321" s="528">
        <f t="shared" si="332"/>
        <v>6.155947329257537E-2</v>
      </c>
      <c r="AN321" s="528">
        <f t="shared" si="332"/>
        <v>5.7621622941293374E-2</v>
      </c>
      <c r="AO321" s="528">
        <f t="shared" si="332"/>
        <v>5.2528174398255058E-2</v>
      </c>
      <c r="AP321" s="528">
        <f t="shared" si="332"/>
        <v>4.6635361998473193E-2</v>
      </c>
      <c r="AQ321" s="528">
        <f t="shared" si="332"/>
        <v>4.0323165017145543E-2</v>
      </c>
      <c r="AR321" s="528">
        <f t="shared" si="332"/>
        <v>3.395549610636419E-2</v>
      </c>
      <c r="AS321" s="528">
        <f t="shared" si="332"/>
        <v>2.7847213319568461E-2</v>
      </c>
      <c r="AT321" s="528">
        <f t="shared" si="332"/>
        <v>2.2241782244936448E-2</v>
      </c>
      <c r="AU321" s="528">
        <f t="shared" si="332"/>
        <v>1.7301095109394433E-2</v>
      </c>
      <c r="AV321" s="528">
        <f t="shared" si="332"/>
        <v>1.3106711862171152E-2</v>
      </c>
      <c r="AW321" s="528">
        <f t="shared" si="332"/>
        <v>9.6700794262050381E-3</v>
      </c>
      <c r="AX321" s="528">
        <f t="shared" si="332"/>
        <v>6.9483620703125904E-3</v>
      </c>
      <c r="AY321" s="528">
        <f t="shared" si="332"/>
        <v>4.8624027569428114E-3</v>
      </c>
      <c r="AZ321" s="528">
        <f t="shared" si="332"/>
        <v>3.3138701084399038E-3</v>
      </c>
      <c r="BA321" s="528">
        <f t="shared" si="332"/>
        <v>2.1995613178611251E-3</v>
      </c>
      <c r="BB321" s="528">
        <f t="shared" si="332"/>
        <v>1.4218463815352318E-3</v>
      </c>
      <c r="BC321" s="528">
        <f t="shared" si="332"/>
        <v>8.9512825019223555E-4</v>
      </c>
      <c r="BD321" s="528">
        <f t="shared" si="332"/>
        <v>5.488248944018699E-4</v>
      </c>
      <c r="BE321" s="528">
        <f t="shared" si="332"/>
        <v>3.2771646481903372E-4</v>
      </c>
      <c r="BF321" s="528">
        <f t="shared" si="332"/>
        <v>1.9058056325252823E-4</v>
      </c>
      <c r="BG321" s="528" t="str">
        <f t="shared" si="332"/>
        <v/>
      </c>
      <c r="BH321" s="528" t="str">
        <f t="shared" si="332"/>
        <v/>
      </c>
      <c r="BI321" s="528" t="str">
        <f t="shared" si="332"/>
        <v/>
      </c>
      <c r="BJ321" s="528" t="str">
        <f t="shared" si="332"/>
        <v/>
      </c>
      <c r="BK321" s="528" t="str">
        <f t="shared" si="332"/>
        <v/>
      </c>
      <c r="BL321" s="528" t="str">
        <f t="shared" si="332"/>
        <v/>
      </c>
      <c r="BM321" s="528" t="str">
        <f t="shared" si="332"/>
        <v/>
      </c>
    </row>
    <row r="322" spans="6:65" ht="15.75" customHeight="1" x14ac:dyDescent="0.25">
      <c r="F322" s="197"/>
      <c r="G322" s="197">
        <f t="shared" si="268"/>
        <v>0</v>
      </c>
      <c r="H322" s="197">
        <f t="shared" si="269"/>
        <v>447</v>
      </c>
      <c r="I322" s="523">
        <v>1</v>
      </c>
      <c r="J322" s="533">
        <f>'Monthly DCF'!$I$3</f>
        <v>46418</v>
      </c>
      <c r="K322" s="533">
        <f t="shared" si="270"/>
        <v>47726</v>
      </c>
      <c r="L322" s="536">
        <f t="shared" si="294"/>
        <v>44</v>
      </c>
      <c r="M322" s="20" t="s">
        <v>366</v>
      </c>
      <c r="N322" s="20">
        <f t="shared" si="271"/>
        <v>6.2857142857142856</v>
      </c>
      <c r="O322" s="537">
        <v>7</v>
      </c>
      <c r="P322" s="528">
        <f t="shared" ref="P322:BM322" si="333">IFERROR(+IF(AND($M322="Flat",P$5&gt;=$J322,P$5&lt;=$K322),$I322/$L322,0)+IF(AND($M322="S-Curve",P$5&gt;=$J322,P$5&lt;=$K322),(_xlfn.NORM.DIST((YEAR(P$5)-YEAR($J322))*12+MONTH(P$5)-MONTH($J322)+1,$L322/2,$N322,TRUE)-_xlfn.NORM.DIST((YEAR(P$5)-YEAR($J322))*12+MONTH(P$5)-MONTH($J322),$L322/2,$N322,TRUE))/(1-2*_xlfn.NORM.DIST(0,$L322/2,$N322,TRUE))*$I322," "),"")</f>
        <v>1.8497978579378035E-4</v>
      </c>
      <c r="Q322" s="528">
        <f t="shared" si="333"/>
        <v>3.1439179426481485E-4</v>
      </c>
      <c r="R322" s="528">
        <f t="shared" si="333"/>
        <v>5.2101356544325057E-4</v>
      </c>
      <c r="S322" s="528">
        <f t="shared" si="333"/>
        <v>8.4189472315641001E-4</v>
      </c>
      <c r="T322" s="528">
        <f t="shared" si="333"/>
        <v>1.3264702045495459E-3</v>
      </c>
      <c r="U322" s="528">
        <f t="shared" si="333"/>
        <v>2.0378311313586487E-3</v>
      </c>
      <c r="V322" s="528">
        <f t="shared" si="333"/>
        <v>3.0525999464388353E-3</v>
      </c>
      <c r="W322" s="528">
        <f t="shared" si="333"/>
        <v>4.4586421955267576E-3</v>
      </c>
      <c r="X322" s="528">
        <f t="shared" si="333"/>
        <v>6.3498929390118815E-3</v>
      </c>
      <c r="Y322" s="528">
        <f t="shared" si="333"/>
        <v>8.8178205550744175E-3</v>
      </c>
      <c r="Z322" s="528">
        <f t="shared" si="333"/>
        <v>1.1939529186191086E-2</v>
      </c>
      <c r="AA322" s="528">
        <f t="shared" si="333"/>
        <v>1.5763195269124168E-2</v>
      </c>
      <c r="AB322" s="528">
        <f t="shared" si="333"/>
        <v>2.0292354219997165E-2</v>
      </c>
      <c r="AC322" s="528">
        <f t="shared" si="333"/>
        <v>2.5471337704835031E-2</v>
      </c>
      <c r="AD322" s="528">
        <f t="shared" si="333"/>
        <v>3.1174695937948766E-2</v>
      </c>
      <c r="AE322" s="528">
        <f t="shared" si="333"/>
        <v>3.7203505548903393E-2</v>
      </c>
      <c r="AF322" s="528">
        <f t="shared" si="333"/>
        <v>4.3290906176565329E-2</v>
      </c>
      <c r="AG322" s="528">
        <f t="shared" si="333"/>
        <v>4.911799989617794E-2</v>
      </c>
      <c r="AH322" s="528">
        <f t="shared" si="333"/>
        <v>5.4339528119451953E-2</v>
      </c>
      <c r="AI322" s="528">
        <f t="shared" si="333"/>
        <v>5.8616819350906679E-2</v>
      </c>
      <c r="AJ322" s="528">
        <f t="shared" si="333"/>
        <v>6.1653798355080655E-2</v>
      </c>
      <c r="AK322" s="528">
        <f t="shared" si="333"/>
        <v>6.32307933941995E-2</v>
      </c>
      <c r="AL322" s="528">
        <f t="shared" si="333"/>
        <v>6.3230793394199444E-2</v>
      </c>
      <c r="AM322" s="528">
        <f t="shared" si="333"/>
        <v>6.1653798355080711E-2</v>
      </c>
      <c r="AN322" s="528">
        <f t="shared" si="333"/>
        <v>5.8616819350906735E-2</v>
      </c>
      <c r="AO322" s="528">
        <f t="shared" si="333"/>
        <v>5.4339528119451898E-2</v>
      </c>
      <c r="AP322" s="528">
        <f t="shared" si="333"/>
        <v>4.9117999896177884E-2</v>
      </c>
      <c r="AQ322" s="528">
        <f t="shared" si="333"/>
        <v>4.3290906176565412E-2</v>
      </c>
      <c r="AR322" s="528">
        <f t="shared" si="333"/>
        <v>3.7203505548903337E-2</v>
      </c>
      <c r="AS322" s="528">
        <f t="shared" si="333"/>
        <v>3.1174695937948835E-2</v>
      </c>
      <c r="AT322" s="528">
        <f t="shared" si="333"/>
        <v>2.5471337704834975E-2</v>
      </c>
      <c r="AU322" s="528">
        <f t="shared" si="333"/>
        <v>2.0292354219997186E-2</v>
      </c>
      <c r="AV322" s="528">
        <f t="shared" si="333"/>
        <v>1.5763195269124147E-2</v>
      </c>
      <c r="AW322" s="528">
        <f t="shared" si="333"/>
        <v>1.1939529186191114E-2</v>
      </c>
      <c r="AX322" s="528">
        <f t="shared" si="333"/>
        <v>8.8178205550743689E-3</v>
      </c>
      <c r="AY322" s="528">
        <f t="shared" si="333"/>
        <v>6.3498929390119344E-3</v>
      </c>
      <c r="AZ322" s="528">
        <f t="shared" si="333"/>
        <v>4.4586421955267229E-3</v>
      </c>
      <c r="BA322" s="528">
        <f t="shared" si="333"/>
        <v>3.0525999464388969E-3</v>
      </c>
      <c r="BB322" s="528">
        <f t="shared" si="333"/>
        <v>2.0378311313586418E-3</v>
      </c>
      <c r="BC322" s="528">
        <f t="shared" si="333"/>
        <v>1.3264702045495472E-3</v>
      </c>
      <c r="BD322" s="528">
        <f t="shared" si="333"/>
        <v>8.4189472315633867E-4</v>
      </c>
      <c r="BE322" s="528">
        <f t="shared" si="333"/>
        <v>5.2101356544323831E-4</v>
      </c>
      <c r="BF322" s="528">
        <f t="shared" si="333"/>
        <v>3.1439179426485649E-4</v>
      </c>
      <c r="BG322" s="528">
        <f t="shared" si="333"/>
        <v>1.8497978579376867E-4</v>
      </c>
      <c r="BH322" s="528" t="str">
        <f t="shared" si="333"/>
        <v/>
      </c>
      <c r="BI322" s="528" t="str">
        <f t="shared" si="333"/>
        <v/>
      </c>
      <c r="BJ322" s="528" t="str">
        <f t="shared" si="333"/>
        <v/>
      </c>
      <c r="BK322" s="528" t="str">
        <f t="shared" si="333"/>
        <v/>
      </c>
      <c r="BL322" s="528" t="str">
        <f t="shared" si="333"/>
        <v/>
      </c>
      <c r="BM322" s="528" t="str">
        <f t="shared" si="333"/>
        <v/>
      </c>
    </row>
    <row r="323" spans="6:65" ht="15.75" customHeight="1" x14ac:dyDescent="0.25">
      <c r="F323" s="197"/>
      <c r="G323" s="197">
        <f t="shared" si="268"/>
        <v>0</v>
      </c>
      <c r="H323" s="197">
        <f t="shared" si="269"/>
        <v>457</v>
      </c>
      <c r="I323" s="523">
        <v>1</v>
      </c>
      <c r="J323" s="533">
        <f>'Monthly DCF'!$I$3</f>
        <v>46418</v>
      </c>
      <c r="K323" s="533">
        <f t="shared" si="270"/>
        <v>47756</v>
      </c>
      <c r="L323" s="536">
        <f t="shared" si="294"/>
        <v>45</v>
      </c>
      <c r="M323" s="20" t="s">
        <v>366</v>
      </c>
      <c r="N323" s="20">
        <f t="shared" si="271"/>
        <v>6.4285714285714288</v>
      </c>
      <c r="O323" s="537">
        <v>7</v>
      </c>
      <c r="P323" s="528">
        <f t="shared" ref="P323:BM323" si="334">IFERROR(+IF(AND($M323="Flat",P$5&gt;=$J323,P$5&lt;=$K323),$I323/$L323,0)+IF(AND($M323="S-Curve",P$5&gt;=$J323,P$5&lt;=$K323),(_xlfn.NORM.DIST((YEAR(P$5)-YEAR($J323))*12+MONTH(P$5)-MONTH($J323)+1,$L323/2,$N323,TRUE)-_xlfn.NORM.DIST((YEAR(P$5)-YEAR($J323))*12+MONTH(P$5)-MONTH($J323),$L323/2,$N323,TRUE))/(1-2*_xlfn.NORM.DIST(0,$L323/2,$N323,TRUE))*$I323," "),"")</f>
        <v>1.7969222665944004E-4</v>
      </c>
      <c r="Q323" s="528">
        <f t="shared" si="334"/>
        <v>3.0200661802557452E-4</v>
      </c>
      <c r="R323" s="528">
        <f t="shared" si="334"/>
        <v>4.9546807782628577E-4</v>
      </c>
      <c r="S323" s="528">
        <f t="shared" si="334"/>
        <v>7.9346353322958571E-4</v>
      </c>
      <c r="T323" s="528">
        <f t="shared" si="334"/>
        <v>1.2403674548931468E-3</v>
      </c>
      <c r="U323" s="528">
        <f t="shared" si="334"/>
        <v>1.8927178314346444E-3</v>
      </c>
      <c r="V323" s="528">
        <f t="shared" si="334"/>
        <v>2.8192495932580271E-3</v>
      </c>
      <c r="W323" s="528">
        <f t="shared" si="334"/>
        <v>4.0991455673224705E-3</v>
      </c>
      <c r="X323" s="528">
        <f t="shared" si="334"/>
        <v>5.8178877344060983E-3</v>
      </c>
      <c r="Y323" s="528">
        <f t="shared" si="334"/>
        <v>8.0602689008888381E-3</v>
      </c>
      <c r="Z323" s="528">
        <f t="shared" si="334"/>
        <v>1.0900487969687702E-2</v>
      </c>
      <c r="AA323" s="528">
        <f t="shared" si="334"/>
        <v>1.4389794099629793E-2</v>
      </c>
      <c r="AB323" s="528">
        <f t="shared" si="334"/>
        <v>1.8542806411637542E-2</v>
      </c>
      <c r="AC323" s="528">
        <f t="shared" si="334"/>
        <v>2.3324299337504212E-2</v>
      </c>
      <c r="AD323" s="528">
        <f t="shared" si="334"/>
        <v>2.8638747331469188E-2</v>
      </c>
      <c r="AE323" s="528">
        <f t="shared" si="334"/>
        <v>3.4325091938186877E-2</v>
      </c>
      <c r="AF323" s="528">
        <f t="shared" si="334"/>
        <v>4.015888900125892E-2</v>
      </c>
      <c r="AG323" s="528">
        <f t="shared" si="334"/>
        <v>4.5863159197995398E-2</v>
      </c>
      <c r="AH323" s="528">
        <f t="shared" si="334"/>
        <v>5.1127969842118197E-2</v>
      </c>
      <c r="AI323" s="528">
        <f t="shared" si="334"/>
        <v>5.5637222250165687E-2</v>
      </c>
      <c r="AJ323" s="528">
        <f t="shared" si="334"/>
        <v>5.90996139356798E-2</v>
      </c>
      <c r="AK323" s="528">
        <f t="shared" si="334"/>
        <v>6.127963438005847E-2</v>
      </c>
      <c r="AL323" s="528">
        <f t="shared" si="334"/>
        <v>6.2024033533328284E-2</v>
      </c>
      <c r="AM323" s="528">
        <f t="shared" si="334"/>
        <v>6.127963438005847E-2</v>
      </c>
      <c r="AN323" s="528">
        <f t="shared" si="334"/>
        <v>5.9099613935679744E-2</v>
      </c>
      <c r="AO323" s="528">
        <f t="shared" si="334"/>
        <v>5.5637222250165687E-2</v>
      </c>
      <c r="AP323" s="528">
        <f t="shared" si="334"/>
        <v>5.1127969842118141E-2</v>
      </c>
      <c r="AQ323" s="528">
        <f t="shared" si="334"/>
        <v>4.5863159197995454E-2</v>
      </c>
      <c r="AR323" s="528">
        <f t="shared" si="334"/>
        <v>4.0158889001258948E-2</v>
      </c>
      <c r="AS323" s="528">
        <f t="shared" si="334"/>
        <v>3.4325091938186822E-2</v>
      </c>
      <c r="AT323" s="528">
        <f t="shared" si="334"/>
        <v>2.8638747331469202E-2</v>
      </c>
      <c r="AU323" s="528">
        <f t="shared" si="334"/>
        <v>2.3324299337504253E-2</v>
      </c>
      <c r="AV323" s="528">
        <f t="shared" si="334"/>
        <v>1.8542806411637473E-2</v>
      </c>
      <c r="AW323" s="528">
        <f t="shared" si="334"/>
        <v>1.4389794099629856E-2</v>
      </c>
      <c r="AX323" s="528">
        <f t="shared" si="334"/>
        <v>1.0900487969687671E-2</v>
      </c>
      <c r="AY323" s="528">
        <f t="shared" si="334"/>
        <v>8.0602689008888312E-3</v>
      </c>
      <c r="AZ323" s="528">
        <f t="shared" si="334"/>
        <v>5.8178877344060966E-3</v>
      </c>
      <c r="BA323" s="528">
        <f t="shared" si="334"/>
        <v>4.0991455673225069E-3</v>
      </c>
      <c r="BB323" s="528">
        <f t="shared" si="334"/>
        <v>2.8192495932580176E-3</v>
      </c>
      <c r="BC323" s="528">
        <f t="shared" si="334"/>
        <v>1.8927178314346431E-3</v>
      </c>
      <c r="BD323" s="528">
        <f t="shared" si="334"/>
        <v>1.240367454893113E-3</v>
      </c>
      <c r="BE323" s="528">
        <f t="shared" si="334"/>
        <v>7.9346353322965791E-4</v>
      </c>
      <c r="BF323" s="528">
        <f t="shared" si="334"/>
        <v>4.9546807782626929E-4</v>
      </c>
      <c r="BG323" s="528">
        <f t="shared" si="334"/>
        <v>3.0200661802551229E-4</v>
      </c>
      <c r="BH323" s="528">
        <f t="shared" si="334"/>
        <v>1.7969222665945882E-4</v>
      </c>
      <c r="BI323" s="528" t="str">
        <f t="shared" si="334"/>
        <v/>
      </c>
      <c r="BJ323" s="528" t="str">
        <f t="shared" si="334"/>
        <v/>
      </c>
      <c r="BK323" s="528" t="str">
        <f t="shared" si="334"/>
        <v/>
      </c>
      <c r="BL323" s="528" t="str">
        <f t="shared" si="334"/>
        <v/>
      </c>
      <c r="BM323" s="528" t="str">
        <f t="shared" si="334"/>
        <v/>
      </c>
    </row>
    <row r="324" spans="6:65" ht="15.75" customHeight="1" x14ac:dyDescent="0.25">
      <c r="F324" s="197"/>
      <c r="G324" s="197">
        <f t="shared" si="268"/>
        <v>0</v>
      </c>
      <c r="H324" s="197">
        <f t="shared" si="269"/>
        <v>467</v>
      </c>
      <c r="I324" s="523">
        <v>1</v>
      </c>
      <c r="J324" s="533">
        <f>'Monthly DCF'!$I$3</f>
        <v>46418</v>
      </c>
      <c r="K324" s="533">
        <f t="shared" si="270"/>
        <v>47787</v>
      </c>
      <c r="L324" s="536">
        <f t="shared" si="294"/>
        <v>46</v>
      </c>
      <c r="M324" s="20" t="s">
        <v>366</v>
      </c>
      <c r="N324" s="20">
        <f t="shared" si="271"/>
        <v>6.5714285714285712</v>
      </c>
      <c r="O324" s="537">
        <v>7</v>
      </c>
      <c r="P324" s="528">
        <f t="shared" ref="P324:BM324" si="335">IFERROR(+IF(AND($M324="Flat",P$5&gt;=$J324,P$5&lt;=$K324),$I324/$L324,0)+IF(AND($M324="S-Curve",P$5&gt;=$J324,P$5&lt;=$K324),(_xlfn.NORM.DIST((YEAR(P$5)-YEAR($J324))*12+MONTH(P$5)-MONTH($J324)+1,$L324/2,$N324,TRUE)-_xlfn.NORM.DIST((YEAR(P$5)-YEAR($J324))*12+MONTH(P$5)-MONTH($J324),$L324/2,$N324,TRUE))/(1-2*_xlfn.NORM.DIST(0,$L324/2,$N324,TRUE))*$I324," "),"")</f>
        <v>1.7469272667525567E-4</v>
      </c>
      <c r="Q324" s="528">
        <f t="shared" si="335"/>
        <v>2.9047056520757402E-4</v>
      </c>
      <c r="R324" s="528">
        <f t="shared" si="335"/>
        <v>4.7194531234967383E-4</v>
      </c>
      <c r="S324" s="528">
        <f t="shared" si="335"/>
        <v>7.4927887068390142E-4</v>
      </c>
      <c r="T324" s="528">
        <f t="shared" si="335"/>
        <v>1.1624052894049913E-3</v>
      </c>
      <c r="U324" s="528">
        <f t="shared" si="335"/>
        <v>1.7621138759960847E-3</v>
      </c>
      <c r="V324" s="528">
        <f t="shared" si="335"/>
        <v>2.6101933875077206E-3</v>
      </c>
      <c r="W324" s="528">
        <f t="shared" si="335"/>
        <v>3.778102507031728E-3</v>
      </c>
      <c r="X324" s="528">
        <f t="shared" si="335"/>
        <v>5.3436393968523616E-3</v>
      </c>
      <c r="Y324" s="528">
        <f t="shared" si="335"/>
        <v>7.3852111877497533E-3</v>
      </c>
      <c r="Z324" s="528">
        <f t="shared" si="335"/>
        <v>9.9735800756004488E-3</v>
      </c>
      <c r="AA324" s="528">
        <f t="shared" si="335"/>
        <v>1.3161386301434369E-2</v>
      </c>
      <c r="AB324" s="528">
        <f t="shared" si="335"/>
        <v>1.697128019565065E-2</v>
      </c>
      <c r="AC324" s="528">
        <f t="shared" si="335"/>
        <v>2.1384051533684587E-2</v>
      </c>
      <c r="AD324" s="528">
        <f t="shared" si="335"/>
        <v>2.6328602795985177E-2</v>
      </c>
      <c r="AE324" s="528">
        <f t="shared" si="335"/>
        <v>3.1675835126989065E-2</v>
      </c>
      <c r="AF324" s="528">
        <f t="shared" si="335"/>
        <v>3.7238380410555619E-2</v>
      </c>
      <c r="AG324" s="528">
        <f t="shared" si="335"/>
        <v>4.2777554278369649E-2</v>
      </c>
      <c r="AH324" s="528">
        <f t="shared" si="335"/>
        <v>4.8017946184480916E-2</v>
      </c>
      <c r="AI324" s="528">
        <f t="shared" si="335"/>
        <v>5.2668830850734406E-2</v>
      </c>
      <c r="AJ324" s="528">
        <f t="shared" si="335"/>
        <v>5.6450299098947977E-2</v>
      </c>
      <c r="AK324" s="528">
        <f t="shared" si="335"/>
        <v>5.9120934737532237E-2</v>
      </c>
      <c r="AL324" s="528">
        <f t="shared" si="335"/>
        <v>6.0503265290575876E-2</v>
      </c>
      <c r="AM324" s="528">
        <f t="shared" si="335"/>
        <v>6.0503265290575876E-2</v>
      </c>
      <c r="AN324" s="528">
        <f t="shared" si="335"/>
        <v>5.9120934737532237E-2</v>
      </c>
      <c r="AO324" s="528">
        <f t="shared" si="335"/>
        <v>5.6450299098947977E-2</v>
      </c>
      <c r="AP324" s="528">
        <f t="shared" si="335"/>
        <v>5.2668830850734406E-2</v>
      </c>
      <c r="AQ324" s="528">
        <f t="shared" si="335"/>
        <v>4.8017946184480888E-2</v>
      </c>
      <c r="AR324" s="528">
        <f t="shared" si="335"/>
        <v>4.2777554278369649E-2</v>
      </c>
      <c r="AS324" s="528">
        <f t="shared" si="335"/>
        <v>3.7238380410555647E-2</v>
      </c>
      <c r="AT324" s="528">
        <f t="shared" si="335"/>
        <v>3.1675835126989106E-2</v>
      </c>
      <c r="AU324" s="528">
        <f t="shared" si="335"/>
        <v>2.6328602795985149E-2</v>
      </c>
      <c r="AV324" s="528">
        <f t="shared" si="335"/>
        <v>2.1384051533684518E-2</v>
      </c>
      <c r="AW324" s="528">
        <f t="shared" si="335"/>
        <v>1.6971280195650761E-2</v>
      </c>
      <c r="AX324" s="528">
        <f t="shared" si="335"/>
        <v>1.3161386301434349E-2</v>
      </c>
      <c r="AY324" s="528">
        <f t="shared" si="335"/>
        <v>9.9735800756003724E-3</v>
      </c>
      <c r="AZ324" s="528">
        <f t="shared" si="335"/>
        <v>7.3852111877498296E-3</v>
      </c>
      <c r="BA324" s="528">
        <f t="shared" si="335"/>
        <v>5.3436393968523252E-3</v>
      </c>
      <c r="BB324" s="528">
        <f t="shared" si="335"/>
        <v>3.7781025070317566E-3</v>
      </c>
      <c r="BC324" s="528">
        <f t="shared" si="335"/>
        <v>2.610193387507698E-3</v>
      </c>
      <c r="BD324" s="528">
        <f t="shared" si="335"/>
        <v>1.7621138759961064E-3</v>
      </c>
      <c r="BE324" s="528">
        <f t="shared" si="335"/>
        <v>1.1624052894049655E-3</v>
      </c>
      <c r="BF324" s="528">
        <f t="shared" si="335"/>
        <v>7.4927887068386401E-4</v>
      </c>
      <c r="BG324" s="528">
        <f t="shared" si="335"/>
        <v>4.7194531234974127E-4</v>
      </c>
      <c r="BH324" s="528">
        <f t="shared" si="335"/>
        <v>2.9047056520758172E-4</v>
      </c>
      <c r="BI324" s="528">
        <f t="shared" si="335"/>
        <v>1.7469272667520254E-4</v>
      </c>
      <c r="BJ324" s="528" t="str">
        <f t="shared" si="335"/>
        <v/>
      </c>
      <c r="BK324" s="528" t="str">
        <f t="shared" si="335"/>
        <v/>
      </c>
      <c r="BL324" s="528" t="str">
        <f t="shared" si="335"/>
        <v/>
      </c>
      <c r="BM324" s="528" t="str">
        <f t="shared" si="335"/>
        <v/>
      </c>
    </row>
    <row r="325" spans="6:65" ht="15.75" customHeight="1" x14ac:dyDescent="0.25">
      <c r="F325" s="197"/>
      <c r="G325" s="197">
        <f t="shared" si="268"/>
        <v>0</v>
      </c>
      <c r="H325" s="197">
        <f t="shared" si="269"/>
        <v>477</v>
      </c>
      <c r="I325" s="523">
        <v>1</v>
      </c>
      <c r="J325" s="533">
        <f>'Monthly DCF'!$I$3</f>
        <v>46418</v>
      </c>
      <c r="K325" s="533">
        <f t="shared" si="270"/>
        <v>47817</v>
      </c>
      <c r="L325" s="536">
        <f t="shared" si="294"/>
        <v>47</v>
      </c>
      <c r="M325" s="20" t="s">
        <v>366</v>
      </c>
      <c r="N325" s="20">
        <f t="shared" si="271"/>
        <v>6.7142857142857144</v>
      </c>
      <c r="O325" s="537">
        <v>7</v>
      </c>
      <c r="P325" s="528">
        <f t="shared" ref="P325:BM325" si="336">IFERROR(+IF(AND($M325="Flat",P$5&gt;=$J325,P$5&lt;=$K325),$I325/$L325,0)+IF(AND($M325="S-Curve",P$5&gt;=$J325,P$5&lt;=$K325),(_xlfn.NORM.DIST((YEAR(P$5)-YEAR($J325))*12+MONTH(P$5)-MONTH($J325)+1,$L325/2,$N325,TRUE)-_xlfn.NORM.DIST((YEAR(P$5)-YEAR($J325))*12+MONTH(P$5)-MONTH($J325),$L325/2,$N325,TRUE))/(1-2*_xlfn.NORM.DIST(0,$L325/2,$N325,TRUE))*$I325," "),"")</f>
        <v>1.69958718486235E-4</v>
      </c>
      <c r="Q325" s="528">
        <f t="shared" si="336"/>
        <v>2.7970405444417175E-4</v>
      </c>
      <c r="R325" s="528">
        <f t="shared" si="336"/>
        <v>4.5023385425506932E-4</v>
      </c>
      <c r="S325" s="528">
        <f t="shared" si="336"/>
        <v>7.0886188284106943E-4</v>
      </c>
      <c r="T325" s="528">
        <f t="shared" si="336"/>
        <v>1.0916142801505838E-3</v>
      </c>
      <c r="U325" s="528">
        <f t="shared" si="336"/>
        <v>1.6442237518830716E-3</v>
      </c>
      <c r="V325" s="528">
        <f t="shared" si="336"/>
        <v>2.4223492975099818E-3</v>
      </c>
      <c r="W325" s="528">
        <f t="shared" si="336"/>
        <v>3.4905733906369111E-3</v>
      </c>
      <c r="X325" s="528">
        <f t="shared" si="336"/>
        <v>4.9197263861133897E-3</v>
      </c>
      <c r="Y325" s="528">
        <f t="shared" si="336"/>
        <v>6.7821799669187865E-3</v>
      </c>
      <c r="Z325" s="528">
        <f t="shared" si="336"/>
        <v>9.1449611699992214E-3</v>
      </c>
      <c r="AA325" s="528">
        <f t="shared" si="336"/>
        <v>1.2060869816755143E-2</v>
      </c>
      <c r="AB325" s="528">
        <f t="shared" si="336"/>
        <v>1.555820940545705E-2</v>
      </c>
      <c r="AC325" s="528">
        <f t="shared" si="336"/>
        <v>1.9630204510238843E-2</v>
      </c>
      <c r="AD325" s="528">
        <f t="shared" si="336"/>
        <v>2.4225585027602581E-2</v>
      </c>
      <c r="AE325" s="528">
        <f t="shared" si="336"/>
        <v>2.924206037499134E-2</v>
      </c>
      <c r="AF325" s="528">
        <f t="shared" si="336"/>
        <v>3.4524382440908996E-2</v>
      </c>
      <c r="AG325" s="528">
        <f t="shared" si="336"/>
        <v>3.9868337711819746E-2</v>
      </c>
      <c r="AH325" s="528">
        <f t="shared" si="336"/>
        <v>4.5031312344839682E-2</v>
      </c>
      <c r="AI325" s="528">
        <f t="shared" si="336"/>
        <v>4.9749113904105607E-2</v>
      </c>
      <c r="AJ325" s="528">
        <f t="shared" si="336"/>
        <v>5.3757661761833206E-2</v>
      </c>
      <c r="AK325" s="528">
        <f t="shared" si="336"/>
        <v>5.681717922077046E-2</v>
      </c>
      <c r="AL325" s="528">
        <f t="shared" si="336"/>
        <v>5.873584847234755E-2</v>
      </c>
      <c r="AM325" s="528">
        <f t="shared" si="336"/>
        <v>5.9389696510182576E-2</v>
      </c>
      <c r="AN325" s="528">
        <f t="shared" si="336"/>
        <v>5.8735848472347606E-2</v>
      </c>
      <c r="AO325" s="528">
        <f t="shared" si="336"/>
        <v>5.681717922077046E-2</v>
      </c>
      <c r="AP325" s="528">
        <f t="shared" si="336"/>
        <v>5.375766176183315E-2</v>
      </c>
      <c r="AQ325" s="528">
        <f t="shared" si="336"/>
        <v>4.9749113904105663E-2</v>
      </c>
      <c r="AR325" s="528">
        <f t="shared" si="336"/>
        <v>4.5031312344839682E-2</v>
      </c>
      <c r="AS325" s="528">
        <f t="shared" si="336"/>
        <v>3.9868337711819746E-2</v>
      </c>
      <c r="AT325" s="528">
        <f t="shared" si="336"/>
        <v>3.4524382440908968E-2</v>
      </c>
      <c r="AU325" s="528">
        <f t="shared" si="336"/>
        <v>2.9242060374991396E-2</v>
      </c>
      <c r="AV325" s="528">
        <f t="shared" si="336"/>
        <v>2.4225585027602525E-2</v>
      </c>
      <c r="AW325" s="528">
        <f t="shared" si="336"/>
        <v>1.9630204510238836E-2</v>
      </c>
      <c r="AX325" s="528">
        <f t="shared" si="336"/>
        <v>1.5558209405457036E-2</v>
      </c>
      <c r="AY325" s="528">
        <f t="shared" si="336"/>
        <v>1.2060869816755171E-2</v>
      </c>
      <c r="AZ325" s="528">
        <f t="shared" si="336"/>
        <v>9.1449611699992387E-3</v>
      </c>
      <c r="BA325" s="528">
        <f t="shared" si="336"/>
        <v>6.7821799669187917E-3</v>
      </c>
      <c r="BB325" s="528">
        <f t="shared" si="336"/>
        <v>4.9197263861133897E-3</v>
      </c>
      <c r="BC325" s="528">
        <f t="shared" si="336"/>
        <v>3.4905733906369103E-3</v>
      </c>
      <c r="BD325" s="528">
        <f t="shared" si="336"/>
        <v>2.422349297509987E-3</v>
      </c>
      <c r="BE325" s="528">
        <f t="shared" si="336"/>
        <v>1.6442237518830569E-3</v>
      </c>
      <c r="BF325" s="528">
        <f t="shared" si="336"/>
        <v>1.091614280150576E-3</v>
      </c>
      <c r="BG325" s="528">
        <f t="shared" si="336"/>
        <v>7.0886188284111865E-4</v>
      </c>
      <c r="BH325" s="528">
        <f t="shared" si="336"/>
        <v>4.5023385425505382E-4</v>
      </c>
      <c r="BI325" s="528">
        <f t="shared" si="336"/>
        <v>2.7970405444418183E-4</v>
      </c>
      <c r="BJ325" s="528">
        <f t="shared" si="336"/>
        <v>1.6995871848619239E-4</v>
      </c>
      <c r="BK325" s="528" t="str">
        <f t="shared" si="336"/>
        <v/>
      </c>
      <c r="BL325" s="528" t="str">
        <f t="shared" si="336"/>
        <v/>
      </c>
      <c r="BM325" s="528" t="str">
        <f t="shared" si="336"/>
        <v/>
      </c>
    </row>
    <row r="326" spans="6:65" ht="15.75" customHeight="1" x14ac:dyDescent="0.25">
      <c r="F326" s="197"/>
      <c r="G326" s="197">
        <f t="shared" si="268"/>
        <v>0</v>
      </c>
      <c r="H326" s="197">
        <f t="shared" si="269"/>
        <v>487</v>
      </c>
      <c r="I326" s="523">
        <v>1</v>
      </c>
      <c r="J326" s="533">
        <f>'Monthly DCF'!$I$3</f>
        <v>46418</v>
      </c>
      <c r="K326" s="533">
        <f t="shared" si="270"/>
        <v>47848</v>
      </c>
      <c r="L326" s="536">
        <f t="shared" si="294"/>
        <v>48</v>
      </c>
      <c r="M326" s="20" t="s">
        <v>366</v>
      </c>
      <c r="N326" s="20">
        <f t="shared" si="271"/>
        <v>6.8571428571428568</v>
      </c>
      <c r="O326" s="537">
        <v>7</v>
      </c>
      <c r="P326" s="528">
        <f t="shared" ref="P326:BM326" si="337">IFERROR(+IF(AND($M326="Flat",P$5&gt;=$J326,P$5&lt;=$K326),$I326/$L326,0)+IF(AND($M326="S-Curve",P$5&gt;=$J326,P$5&lt;=$K326),(_xlfn.NORM.DIST((YEAR(P$5)-YEAR($J326))*12+MONTH(P$5)-MONTH($J326)+1,$L326/2,$N326,TRUE)-_xlfn.NORM.DIST((YEAR(P$5)-YEAR($J326))*12+MONTH(P$5)-MONTH($J326),$L326/2,$N326,TRUE))/(1-2*_xlfn.NORM.DIST(0,$L326/2,$N326,TRUE))*$I326," "),"")</f>
        <v>1.654699044424389E-4</v>
      </c>
      <c r="Q326" s="528">
        <f t="shared" si="337"/>
        <v>2.6963677473370977E-4</v>
      </c>
      <c r="R326" s="528">
        <f t="shared" si="337"/>
        <v>4.3014918657654979E-4</v>
      </c>
      <c r="S326" s="528">
        <f t="shared" si="337"/>
        <v>6.717984213693058E-4</v>
      </c>
      <c r="T326" s="528">
        <f t="shared" si="337"/>
        <v>1.0271615594115661E-3</v>
      </c>
      <c r="U326" s="528">
        <f t="shared" si="337"/>
        <v>1.5375117996930532E-3</v>
      </c>
      <c r="V326" s="528">
        <f t="shared" si="337"/>
        <v>2.2530876724994112E-3</v>
      </c>
      <c r="W326" s="528">
        <f t="shared" si="337"/>
        <v>3.23234473531165E-3</v>
      </c>
      <c r="X326" s="528">
        <f t="shared" si="337"/>
        <v>4.5398051615437836E-3</v>
      </c>
      <c r="Y326" s="528">
        <f t="shared" si="337"/>
        <v>6.2421863179507988E-3</v>
      </c>
      <c r="Z326" s="528">
        <f t="shared" si="337"/>
        <v>8.4026490175539651E-3</v>
      </c>
      <c r="AA326" s="528">
        <f t="shared" si="337"/>
        <v>1.1073265475723197E-2</v>
      </c>
      <c r="AB326" s="528">
        <f t="shared" si="337"/>
        <v>1.4286149919030088E-2</v>
      </c>
      <c r="AC326" s="528">
        <f t="shared" si="337"/>
        <v>1.8044078421138143E-2</v>
      </c>
      <c r="AD326" s="528">
        <f t="shared" si="337"/>
        <v>2.2311780458023976E-2</v>
      </c>
      <c r="AE326" s="528">
        <f t="shared" si="337"/>
        <v>2.7009327862870913E-2</v>
      </c>
      <c r="AF326" s="528">
        <f t="shared" si="337"/>
        <v>3.2009092312967877E-2</v>
      </c>
      <c r="AG326" s="528">
        <f t="shared" si="337"/>
        <v>3.7137526993897059E-2</v>
      </c>
      <c r="AH326" s="528">
        <f t="shared" si="337"/>
        <v>4.2182532178247877E-2</v>
      </c>
      <c r="AI326" s="528">
        <f t="shared" si="337"/>
        <v>4.6906427934433642E-2</v>
      </c>
      <c r="AJ326" s="528">
        <f t="shared" si="337"/>
        <v>5.1063682235914967E-2</v>
      </c>
      <c r="AK326" s="528">
        <f t="shared" si="337"/>
        <v>5.4421680945433717E-2</v>
      </c>
      <c r="AL326" s="528">
        <f t="shared" si="337"/>
        <v>5.678215000558496E-2</v>
      </c>
      <c r="AM326" s="528">
        <f t="shared" si="337"/>
        <v>5.8000504705647375E-2</v>
      </c>
      <c r="AN326" s="528">
        <f t="shared" si="337"/>
        <v>5.8000504705647375E-2</v>
      </c>
      <c r="AO326" s="528">
        <f t="shared" si="337"/>
        <v>5.678215000558496E-2</v>
      </c>
      <c r="AP326" s="528">
        <f t="shared" si="337"/>
        <v>5.4421680945433717E-2</v>
      </c>
      <c r="AQ326" s="528">
        <f t="shared" si="337"/>
        <v>5.1063682235914967E-2</v>
      </c>
      <c r="AR326" s="528">
        <f t="shared" si="337"/>
        <v>4.6906427934433614E-2</v>
      </c>
      <c r="AS326" s="528">
        <f t="shared" si="337"/>
        <v>4.218253217824796E-2</v>
      </c>
      <c r="AT326" s="528">
        <f t="shared" si="337"/>
        <v>3.7137526993897031E-2</v>
      </c>
      <c r="AU326" s="528">
        <f t="shared" si="337"/>
        <v>3.2009092312967821E-2</v>
      </c>
      <c r="AV326" s="528">
        <f t="shared" si="337"/>
        <v>2.7009327862870997E-2</v>
      </c>
      <c r="AW326" s="528">
        <f t="shared" si="337"/>
        <v>2.2311780458023962E-2</v>
      </c>
      <c r="AX326" s="528">
        <f t="shared" si="337"/>
        <v>1.8044078421138088E-2</v>
      </c>
      <c r="AY326" s="528">
        <f t="shared" si="337"/>
        <v>1.4286149919030088E-2</v>
      </c>
      <c r="AZ326" s="528">
        <f t="shared" si="337"/>
        <v>1.1073265475723204E-2</v>
      </c>
      <c r="BA326" s="528">
        <f t="shared" si="337"/>
        <v>8.4026490175539582E-3</v>
      </c>
      <c r="BB326" s="528">
        <f t="shared" si="337"/>
        <v>6.2421863179507727E-3</v>
      </c>
      <c r="BC326" s="528">
        <f t="shared" si="337"/>
        <v>4.5398051615438443E-3</v>
      </c>
      <c r="BD326" s="528">
        <f t="shared" si="337"/>
        <v>3.2323447353116092E-3</v>
      </c>
      <c r="BE326" s="528">
        <f t="shared" si="337"/>
        <v>2.2530876724993782E-3</v>
      </c>
      <c r="BF326" s="528">
        <f t="shared" si="337"/>
        <v>1.5375117996931547E-3</v>
      </c>
      <c r="BG326" s="528">
        <f t="shared" si="337"/>
        <v>1.0271615594114633E-3</v>
      </c>
      <c r="BH326" s="528">
        <f t="shared" si="337"/>
        <v>6.7179842136932586E-4</v>
      </c>
      <c r="BI326" s="528">
        <f t="shared" si="337"/>
        <v>4.3014918657658318E-4</v>
      </c>
      <c r="BJ326" s="528">
        <f t="shared" si="337"/>
        <v>2.6963677473369031E-4</v>
      </c>
      <c r="BK326" s="528">
        <f t="shared" si="337"/>
        <v>1.6546990444244396E-4</v>
      </c>
      <c r="BL326" s="528" t="str">
        <f t="shared" si="337"/>
        <v/>
      </c>
      <c r="BM326" s="528" t="str">
        <f t="shared" si="337"/>
        <v/>
      </c>
    </row>
    <row r="327" spans="6:65" ht="15.75" customHeight="1" x14ac:dyDescent="0.25">
      <c r="F327" s="197"/>
      <c r="G327" s="197">
        <f t="shared" si="268"/>
        <v>0</v>
      </c>
      <c r="H327" s="197">
        <f t="shared" si="269"/>
        <v>497</v>
      </c>
      <c r="I327" s="523">
        <v>1</v>
      </c>
      <c r="J327" s="533">
        <f>'Monthly DCF'!$I$3</f>
        <v>46418</v>
      </c>
      <c r="K327" s="533">
        <f t="shared" si="270"/>
        <v>47879</v>
      </c>
      <c r="L327" s="536">
        <f t="shared" si="294"/>
        <v>49</v>
      </c>
      <c r="M327" s="20" t="s">
        <v>366</v>
      </c>
      <c r="N327" s="20">
        <f t="shared" si="271"/>
        <v>7</v>
      </c>
      <c r="O327" s="537">
        <v>7</v>
      </c>
      <c r="P327" s="528">
        <f t="shared" ref="P327:BM327" si="338">IFERROR(+IF(AND($M327="Flat",P$5&gt;=$J327,P$5&lt;=$K327),$I327/$L327,0)+IF(AND($M327="S-Curve",P$5&gt;=$J327,P$5&lt;=$K327),(_xlfn.NORM.DIST((YEAR(P$5)-YEAR($J327))*12+MONTH(P$5)-MONTH($J327)+1,$L327/2,$N327,TRUE)-_xlfn.NORM.DIST((YEAR(P$5)-YEAR($J327))*12+MONTH(P$5)-MONTH($J327),$L327/2,$N327,TRUE))/(1-2*_xlfn.NORM.DIST(0,$L327/2,$N327,TRUE))*$I327," "),"")</f>
        <v>1.6120798097099925E-4</v>
      </c>
      <c r="Q327" s="528">
        <f t="shared" si="338"/>
        <v>2.6020641053168696E-4</v>
      </c>
      <c r="R327" s="528">
        <f t="shared" si="338"/>
        <v>4.1152970692651483E-4</v>
      </c>
      <c r="S327" s="528">
        <f t="shared" si="338"/>
        <v>6.3772897582830819E-4</v>
      </c>
      <c r="T327" s="528">
        <f t="shared" si="338"/>
        <v>9.683288747949154E-4</v>
      </c>
      <c r="U327" s="528">
        <f t="shared" si="338"/>
        <v>1.4406596764781723E-3</v>
      </c>
      <c r="V327" s="528">
        <f t="shared" si="338"/>
        <v>2.1001567805072037E-3</v>
      </c>
      <c r="W327" s="528">
        <f t="shared" si="338"/>
        <v>2.9998106487528495E-3</v>
      </c>
      <c r="X327" s="528">
        <f t="shared" si="338"/>
        <v>4.1984384273754316E-3</v>
      </c>
      <c r="Y327" s="528">
        <f t="shared" si="338"/>
        <v>5.7574949383990062E-3</v>
      </c>
      <c r="Z327" s="528">
        <f t="shared" si="338"/>
        <v>7.7362622156011461E-3</v>
      </c>
      <c r="AA327" s="528">
        <f t="shared" si="338"/>
        <v>1.0185459992859656E-2</v>
      </c>
      <c r="AB327" s="528">
        <f t="shared" si="338"/>
        <v>1.3139594740994989E-2</v>
      </c>
      <c r="AC327" s="528">
        <f t="shared" si="338"/>
        <v>1.6608681600416047E-2</v>
      </c>
      <c r="AD327" s="528">
        <f t="shared" si="338"/>
        <v>2.0570280829735318E-2</v>
      </c>
      <c r="AE327" s="528">
        <f t="shared" si="338"/>
        <v>2.4963022103950596E-2</v>
      </c>
      <c r="AF327" s="528">
        <f t="shared" si="338"/>
        <v>2.9682876614065427E-2</v>
      </c>
      <c r="AG327" s="528">
        <f t="shared" si="338"/>
        <v>3.4583321550031236E-2</v>
      </c>
      <c r="AH327" s="528">
        <f t="shared" si="338"/>
        <v>3.9480197233346066E-2</v>
      </c>
      <c r="AI327" s="528">
        <f t="shared" si="338"/>
        <v>4.4161500749676008E-2</v>
      </c>
      <c r="AJ327" s="528">
        <f t="shared" si="338"/>
        <v>4.840165773843054E-2</v>
      </c>
      <c r="AK327" s="528">
        <f t="shared" si="338"/>
        <v>5.1979075913966416E-2</v>
      </c>
      <c r="AL327" s="528">
        <f t="shared" si="338"/>
        <v>5.4695145239591875E-2</v>
      </c>
      <c r="AM327" s="528">
        <f t="shared" si="338"/>
        <v>5.6392443700108902E-2</v>
      </c>
      <c r="AN327" s="528">
        <f t="shared" si="338"/>
        <v>5.6969834713321399E-2</v>
      </c>
      <c r="AO327" s="528">
        <f t="shared" si="338"/>
        <v>5.6392443700108902E-2</v>
      </c>
      <c r="AP327" s="528">
        <f t="shared" si="338"/>
        <v>5.469514523959193E-2</v>
      </c>
      <c r="AQ327" s="528">
        <f t="shared" si="338"/>
        <v>5.1979075913966361E-2</v>
      </c>
      <c r="AR327" s="528">
        <f t="shared" si="338"/>
        <v>4.840165773843054E-2</v>
      </c>
      <c r="AS327" s="528">
        <f t="shared" si="338"/>
        <v>4.4161500749676036E-2</v>
      </c>
      <c r="AT327" s="528">
        <f t="shared" si="338"/>
        <v>3.9480197233346066E-2</v>
      </c>
      <c r="AU327" s="528">
        <f t="shared" si="338"/>
        <v>3.4583321550031264E-2</v>
      </c>
      <c r="AV327" s="528">
        <f t="shared" si="338"/>
        <v>2.9682876614065414E-2</v>
      </c>
      <c r="AW327" s="528">
        <f t="shared" si="338"/>
        <v>2.4963022103950499E-2</v>
      </c>
      <c r="AX327" s="528">
        <f t="shared" si="338"/>
        <v>2.0570280829735346E-2</v>
      </c>
      <c r="AY327" s="528">
        <f t="shared" si="338"/>
        <v>1.6608681600416054E-2</v>
      </c>
      <c r="AZ327" s="528">
        <f t="shared" si="338"/>
        <v>1.3139594740995044E-2</v>
      </c>
      <c r="BA327" s="528">
        <f t="shared" si="338"/>
        <v>1.0185459992859573E-2</v>
      </c>
      <c r="BB327" s="528">
        <f t="shared" si="338"/>
        <v>7.736262215601219E-3</v>
      </c>
      <c r="BC327" s="528">
        <f t="shared" si="338"/>
        <v>5.7574949383990184E-3</v>
      </c>
      <c r="BD327" s="528">
        <f t="shared" si="338"/>
        <v>4.1984384273753674E-3</v>
      </c>
      <c r="BE327" s="528">
        <f t="shared" si="338"/>
        <v>2.9998106487528512E-3</v>
      </c>
      <c r="BF327" s="528">
        <f t="shared" si="338"/>
        <v>2.1001567805071864E-3</v>
      </c>
      <c r="BG327" s="528">
        <f t="shared" si="338"/>
        <v>1.4406596764782447E-3</v>
      </c>
      <c r="BH327" s="528">
        <f t="shared" si="338"/>
        <v>9.6832887479485858E-4</v>
      </c>
      <c r="BI327" s="528">
        <f t="shared" si="338"/>
        <v>6.3772897582832662E-4</v>
      </c>
      <c r="BJ327" s="528">
        <f t="shared" si="338"/>
        <v>4.1152970692655196E-4</v>
      </c>
      <c r="BK327" s="528">
        <f t="shared" si="338"/>
        <v>2.6020641053170869E-4</v>
      </c>
      <c r="BL327" s="528">
        <f t="shared" si="338"/>
        <v>1.6120798097093468E-4</v>
      </c>
      <c r="BM327" s="528" t="str">
        <f t="shared" si="338"/>
        <v/>
      </c>
    </row>
    <row r="328" spans="6:65" ht="15.75" customHeight="1" x14ac:dyDescent="0.25">
      <c r="F328" s="197"/>
      <c r="G328" s="197">
        <f t="shared" si="268"/>
        <v>0</v>
      </c>
      <c r="H328" s="197">
        <f t="shared" si="269"/>
        <v>507</v>
      </c>
      <c r="I328" s="523">
        <v>1</v>
      </c>
      <c r="J328" s="533">
        <f>'Monthly DCF'!$I$3</f>
        <v>46418</v>
      </c>
      <c r="K328" s="533">
        <f t="shared" si="270"/>
        <v>47907</v>
      </c>
      <c r="L328" s="536">
        <f t="shared" si="294"/>
        <v>50</v>
      </c>
      <c r="M328" s="20" t="s">
        <v>366</v>
      </c>
      <c r="N328" s="20">
        <f t="shared" si="271"/>
        <v>7.1428571428571432</v>
      </c>
      <c r="O328" s="537">
        <v>7</v>
      </c>
      <c r="P328" s="528">
        <f t="shared" ref="P328:BM328" si="339">IFERROR(+IF(AND($M328="Flat",P$5&gt;=$J328,P$5&lt;=$K328),$I328/$L328,0)+IF(AND($M328="S-Curve",P$5&gt;=$J328,P$5&lt;=$K328),(_xlfn.NORM.DIST((YEAR(P$5)-YEAR($J328))*12+MONTH(P$5)-MONTH($J328)+1,$L328/2,$N328,TRUE)-_xlfn.NORM.DIST((YEAR(P$5)-YEAR($J328))*12+MONTH(P$5)-MONTH($J328),$L328/2,$N328,TRUE))/(1-2*_xlfn.NORM.DIST(0,$L328/2,$N328,TRUE))*$I328," "),"")</f>
        <v>1.571564018445578E-4</v>
      </c>
      <c r="Q328" s="528">
        <f t="shared" si="339"/>
        <v>2.5135756723677406E-4</v>
      </c>
      <c r="R328" s="528">
        <f t="shared" si="339"/>
        <v>3.9423341145364862E-4</v>
      </c>
      <c r="S328" s="528">
        <f t="shared" si="339"/>
        <v>6.0634036415514573E-4</v>
      </c>
      <c r="T328" s="528">
        <f t="shared" si="339"/>
        <v>9.1449457233122383E-4</v>
      </c>
      <c r="U328" s="528">
        <f t="shared" si="339"/>
        <v>1.3525315207489268E-3</v>
      </c>
      <c r="V328" s="528">
        <f t="shared" si="339"/>
        <v>1.9616218010257576E-3</v>
      </c>
      <c r="W328" s="528">
        <f t="shared" si="339"/>
        <v>2.7898753224377469E-3</v>
      </c>
      <c r="X328" s="528">
        <f t="shared" si="339"/>
        <v>3.8909527079200603E-3</v>
      </c>
      <c r="Y328" s="528">
        <f t="shared" si="339"/>
        <v>5.3214349679014316E-3</v>
      </c>
      <c r="Z328" s="528">
        <f t="shared" si="339"/>
        <v>7.136795037517572E-3</v>
      </c>
      <c r="AA328" s="528">
        <f t="shared" si="339"/>
        <v>9.3859741987369801E-3</v>
      </c>
      <c r="AB328" s="528">
        <f t="shared" si="339"/>
        <v>1.2104787268858601E-2</v>
      </c>
      <c r="AC328" s="528">
        <f t="shared" si="339"/>
        <v>1.5308641318354174E-2</v>
      </c>
      <c r="AD328" s="528">
        <f t="shared" si="339"/>
        <v>1.8985315594923266E-2</v>
      </c>
      <c r="AE328" s="528">
        <f t="shared" si="339"/>
        <v>2.3088764123397509E-2</v>
      </c>
      <c r="AF328" s="528">
        <f t="shared" si="339"/>
        <v>2.7535010809842199E-2</v>
      </c>
      <c r="AG328" s="528">
        <f t="shared" si="339"/>
        <v>3.2201160137414933E-2</v>
      </c>
      <c r="AH328" s="528">
        <f t="shared" si="339"/>
        <v>3.6928315132636551E-2</v>
      </c>
      <c r="AI328" s="528">
        <f t="shared" si="339"/>
        <v>4.1528780566576683E-2</v>
      </c>
      <c r="AJ328" s="528">
        <f t="shared" si="339"/>
        <v>4.5797374227931849E-2</v>
      </c>
      <c r="AK328" s="528">
        <f t="shared" si="339"/>
        <v>4.9526050398207275E-2</v>
      </c>
      <c r="AL328" s="528">
        <f t="shared" si="339"/>
        <v>5.2520461168977753E-2</v>
      </c>
      <c r="AM328" s="528">
        <f t="shared" si="339"/>
        <v>5.4616653593541738E-2</v>
      </c>
      <c r="AN328" s="528">
        <f t="shared" si="339"/>
        <v>5.569591778602765E-2</v>
      </c>
      <c r="AO328" s="528">
        <f t="shared" si="339"/>
        <v>5.569591778602765E-2</v>
      </c>
      <c r="AP328" s="528">
        <f t="shared" si="339"/>
        <v>5.4616653593541738E-2</v>
      </c>
      <c r="AQ328" s="528">
        <f t="shared" si="339"/>
        <v>5.2520461168977753E-2</v>
      </c>
      <c r="AR328" s="528">
        <f t="shared" si="339"/>
        <v>4.9526050398207275E-2</v>
      </c>
      <c r="AS328" s="528">
        <f t="shared" si="339"/>
        <v>4.5797374227931793E-2</v>
      </c>
      <c r="AT328" s="528">
        <f t="shared" si="339"/>
        <v>4.152878056657671E-2</v>
      </c>
      <c r="AU328" s="528">
        <f t="shared" si="339"/>
        <v>3.6928315132636634E-2</v>
      </c>
      <c r="AV328" s="528">
        <f t="shared" si="339"/>
        <v>3.2201160137414905E-2</v>
      </c>
      <c r="AW328" s="528">
        <f t="shared" si="339"/>
        <v>2.7535010809842199E-2</v>
      </c>
      <c r="AX328" s="528">
        <f t="shared" si="339"/>
        <v>2.3088764123397467E-2</v>
      </c>
      <c r="AY328" s="528">
        <f t="shared" si="339"/>
        <v>1.8985315594923252E-2</v>
      </c>
      <c r="AZ328" s="528">
        <f t="shared" si="339"/>
        <v>1.5308641318354181E-2</v>
      </c>
      <c r="BA328" s="528">
        <f t="shared" si="339"/>
        <v>1.2104787268858573E-2</v>
      </c>
      <c r="BB328" s="528">
        <f t="shared" si="339"/>
        <v>9.3859741987369766E-3</v>
      </c>
      <c r="BC328" s="528">
        <f t="shared" si="339"/>
        <v>7.1367950375176067E-3</v>
      </c>
      <c r="BD328" s="528">
        <f t="shared" si="339"/>
        <v>5.3214349679014316E-3</v>
      </c>
      <c r="BE328" s="528">
        <f t="shared" si="339"/>
        <v>3.8909527079200638E-3</v>
      </c>
      <c r="BF328" s="528">
        <f t="shared" si="339"/>
        <v>2.7898753224377694E-3</v>
      </c>
      <c r="BG328" s="528">
        <f t="shared" si="339"/>
        <v>1.9616218010257212E-3</v>
      </c>
      <c r="BH328" s="528">
        <f t="shared" si="339"/>
        <v>1.3525315207489064E-3</v>
      </c>
      <c r="BI328" s="528">
        <f t="shared" si="339"/>
        <v>9.1449457233129733E-4</v>
      </c>
      <c r="BJ328" s="528">
        <f t="shared" si="339"/>
        <v>6.0634036415510508E-4</v>
      </c>
      <c r="BK328" s="528">
        <f t="shared" si="339"/>
        <v>3.9423341145364938E-4</v>
      </c>
      <c r="BL328" s="528">
        <f t="shared" si="339"/>
        <v>2.5135756723681358E-4</v>
      </c>
      <c r="BM328" s="528">
        <f t="shared" si="339"/>
        <v>1.5715640184451766E-4</v>
      </c>
    </row>
    <row r="329" spans="6:65" ht="15.75" customHeight="1" x14ac:dyDescent="0.25">
      <c r="F329" s="197"/>
      <c r="G329" s="197">
        <f t="shared" si="268"/>
        <v>0</v>
      </c>
      <c r="H329" s="197">
        <f t="shared" si="269"/>
        <v>58</v>
      </c>
      <c r="I329" s="523">
        <v>1</v>
      </c>
      <c r="J329" s="533">
        <f>'Monthly DCF'!$I$3</f>
        <v>46418</v>
      </c>
      <c r="K329" s="533">
        <f t="shared" si="270"/>
        <v>46538</v>
      </c>
      <c r="L329" s="536">
        <v>5</v>
      </c>
      <c r="M329" s="20" t="s">
        <v>366</v>
      </c>
      <c r="N329" s="20">
        <f t="shared" si="271"/>
        <v>0.625</v>
      </c>
      <c r="O329" s="537">
        <v>8</v>
      </c>
      <c r="P329" s="528">
        <f t="shared" ref="P329:BM329" si="340">IFERROR(+IF(AND($M329="Flat",P$5&gt;=$J329,P$5&lt;=$K329),$I329/$L329,0)+IF(AND($M329="S-Curve",P$5&gt;=$J329,P$5&lt;=$K329),(_xlfn.NORM.DIST((YEAR(P$5)-YEAR($J329))*12+MONTH(P$5)-MONTH($J329)+1,$L329/2,$N329,TRUE)-_xlfn.NORM.DIST((YEAR(P$5)-YEAR($J329))*12+MONTH(P$5)-MONTH($J329),$L329/2,$N329,TRUE))/(1-2*_xlfn.NORM.DIST(0,$L329/2,$N329,TRUE))*$I329," "),"")</f>
        <v>8.1663819616790319E-3</v>
      </c>
      <c r="Q329" s="528">
        <f t="shared" si="340"/>
        <v>0.2036707636708216</v>
      </c>
      <c r="R329" s="528">
        <f t="shared" si="340"/>
        <v>0.57632570873499867</v>
      </c>
      <c r="S329" s="528">
        <f t="shared" si="340"/>
        <v>0.2036707636708216</v>
      </c>
      <c r="T329" s="528">
        <f t="shared" si="340"/>
        <v>8.1663819616790562E-3</v>
      </c>
      <c r="U329" s="528" t="str">
        <f t="shared" si="340"/>
        <v/>
      </c>
      <c r="V329" s="528" t="str">
        <f t="shared" si="340"/>
        <v/>
      </c>
      <c r="W329" s="528" t="str">
        <f t="shared" si="340"/>
        <v/>
      </c>
      <c r="X329" s="528" t="str">
        <f t="shared" si="340"/>
        <v/>
      </c>
      <c r="Y329" s="528" t="str">
        <f t="shared" si="340"/>
        <v/>
      </c>
      <c r="Z329" s="528" t="str">
        <f t="shared" si="340"/>
        <v/>
      </c>
      <c r="AA329" s="528" t="str">
        <f t="shared" si="340"/>
        <v/>
      </c>
      <c r="AB329" s="528" t="str">
        <f t="shared" si="340"/>
        <v/>
      </c>
      <c r="AC329" s="528" t="str">
        <f t="shared" si="340"/>
        <v/>
      </c>
      <c r="AD329" s="528" t="str">
        <f t="shared" si="340"/>
        <v/>
      </c>
      <c r="AE329" s="528" t="str">
        <f t="shared" si="340"/>
        <v/>
      </c>
      <c r="AF329" s="528" t="str">
        <f t="shared" si="340"/>
        <v/>
      </c>
      <c r="AG329" s="528" t="str">
        <f t="shared" si="340"/>
        <v/>
      </c>
      <c r="AH329" s="528" t="str">
        <f t="shared" si="340"/>
        <v/>
      </c>
      <c r="AI329" s="528" t="str">
        <f t="shared" si="340"/>
        <v/>
      </c>
      <c r="AJ329" s="528" t="str">
        <f t="shared" si="340"/>
        <v/>
      </c>
      <c r="AK329" s="528" t="str">
        <f t="shared" si="340"/>
        <v/>
      </c>
      <c r="AL329" s="528" t="str">
        <f t="shared" si="340"/>
        <v/>
      </c>
      <c r="AM329" s="528" t="str">
        <f t="shared" si="340"/>
        <v/>
      </c>
      <c r="AN329" s="528" t="str">
        <f t="shared" si="340"/>
        <v/>
      </c>
      <c r="AO329" s="528" t="str">
        <f t="shared" si="340"/>
        <v/>
      </c>
      <c r="AP329" s="528" t="str">
        <f t="shared" si="340"/>
        <v/>
      </c>
      <c r="AQ329" s="528" t="str">
        <f t="shared" si="340"/>
        <v/>
      </c>
      <c r="AR329" s="528" t="str">
        <f t="shared" si="340"/>
        <v/>
      </c>
      <c r="AS329" s="528" t="str">
        <f t="shared" si="340"/>
        <v/>
      </c>
      <c r="AT329" s="528" t="str">
        <f t="shared" si="340"/>
        <v/>
      </c>
      <c r="AU329" s="528" t="str">
        <f t="shared" si="340"/>
        <v/>
      </c>
      <c r="AV329" s="528" t="str">
        <f t="shared" si="340"/>
        <v/>
      </c>
      <c r="AW329" s="528" t="str">
        <f t="shared" si="340"/>
        <v/>
      </c>
      <c r="AX329" s="528" t="str">
        <f t="shared" si="340"/>
        <v/>
      </c>
      <c r="AY329" s="528" t="str">
        <f t="shared" si="340"/>
        <v/>
      </c>
      <c r="AZ329" s="528" t="str">
        <f t="shared" si="340"/>
        <v/>
      </c>
      <c r="BA329" s="528" t="str">
        <f t="shared" si="340"/>
        <v/>
      </c>
      <c r="BB329" s="528" t="str">
        <f t="shared" si="340"/>
        <v/>
      </c>
      <c r="BC329" s="528" t="str">
        <f t="shared" si="340"/>
        <v/>
      </c>
      <c r="BD329" s="528" t="str">
        <f t="shared" si="340"/>
        <v/>
      </c>
      <c r="BE329" s="528" t="str">
        <f t="shared" si="340"/>
        <v/>
      </c>
      <c r="BF329" s="528" t="str">
        <f t="shared" si="340"/>
        <v/>
      </c>
      <c r="BG329" s="528" t="str">
        <f t="shared" si="340"/>
        <v/>
      </c>
      <c r="BH329" s="528" t="str">
        <f t="shared" si="340"/>
        <v/>
      </c>
      <c r="BI329" s="528" t="str">
        <f t="shared" si="340"/>
        <v/>
      </c>
      <c r="BJ329" s="528" t="str">
        <f t="shared" si="340"/>
        <v/>
      </c>
      <c r="BK329" s="528" t="str">
        <f t="shared" si="340"/>
        <v/>
      </c>
      <c r="BL329" s="528" t="str">
        <f t="shared" si="340"/>
        <v/>
      </c>
      <c r="BM329" s="528" t="str">
        <f t="shared" si="340"/>
        <v/>
      </c>
    </row>
    <row r="330" spans="6:65" ht="15.75" customHeight="1" x14ac:dyDescent="0.25">
      <c r="F330" s="197"/>
      <c r="G330" s="197">
        <f t="shared" si="268"/>
        <v>0</v>
      </c>
      <c r="H330" s="197">
        <f t="shared" si="269"/>
        <v>68</v>
      </c>
      <c r="I330" s="523">
        <v>1</v>
      </c>
      <c r="J330" s="533">
        <f>'Monthly DCF'!$I$3</f>
        <v>46418</v>
      </c>
      <c r="K330" s="533">
        <f t="shared" si="270"/>
        <v>46568</v>
      </c>
      <c r="L330" s="536">
        <f t="shared" ref="L330:L374" si="341">L329+1</f>
        <v>6</v>
      </c>
      <c r="M330" s="20" t="s">
        <v>366</v>
      </c>
      <c r="N330" s="20">
        <f t="shared" si="271"/>
        <v>0.75</v>
      </c>
      <c r="O330" s="537">
        <v>8</v>
      </c>
      <c r="P330" s="528">
        <f t="shared" ref="P330:BM330" si="342">IFERROR(+IF(AND($M330="Flat",P$5&gt;=$J330,P$5&lt;=$K330),$I330/$L330,0)+IF(AND($M330="S-Curve",P$5&gt;=$J330,P$5&lt;=$K330),(_xlfn.NORM.DIST((YEAR(P$5)-YEAR($J330))*12+MONTH(P$5)-MONTH($J330)+1,$L330/2,$N330,TRUE)-_xlfn.NORM.DIST((YEAR(P$5)-YEAR($J330))*12+MONTH(P$5)-MONTH($J330),$L330/2,$N330,TRUE))/(1-2*_xlfn.NORM.DIST(0,$L330/2,$N330,TRUE))*$I330," "),"")</f>
        <v>3.7989499606824492E-3</v>
      </c>
      <c r="Q330" s="528">
        <f t="shared" si="342"/>
        <v>8.7386374428273017E-2</v>
      </c>
      <c r="R330" s="528">
        <f t="shared" si="342"/>
        <v>0.40881467561104451</v>
      </c>
      <c r="S330" s="528">
        <f t="shared" si="342"/>
        <v>0.40881467561104451</v>
      </c>
      <c r="T330" s="528">
        <f t="shared" si="342"/>
        <v>8.7386374428272975E-2</v>
      </c>
      <c r="U330" s="528">
        <f t="shared" si="342"/>
        <v>3.7989499606824887E-3</v>
      </c>
      <c r="V330" s="528" t="str">
        <f t="shared" si="342"/>
        <v/>
      </c>
      <c r="W330" s="528" t="str">
        <f t="shared" si="342"/>
        <v/>
      </c>
      <c r="X330" s="528" t="str">
        <f t="shared" si="342"/>
        <v/>
      </c>
      <c r="Y330" s="528" t="str">
        <f t="shared" si="342"/>
        <v/>
      </c>
      <c r="Z330" s="528" t="str">
        <f t="shared" si="342"/>
        <v/>
      </c>
      <c r="AA330" s="528" t="str">
        <f t="shared" si="342"/>
        <v/>
      </c>
      <c r="AB330" s="528" t="str">
        <f t="shared" si="342"/>
        <v/>
      </c>
      <c r="AC330" s="528" t="str">
        <f t="shared" si="342"/>
        <v/>
      </c>
      <c r="AD330" s="528" t="str">
        <f t="shared" si="342"/>
        <v/>
      </c>
      <c r="AE330" s="528" t="str">
        <f t="shared" si="342"/>
        <v/>
      </c>
      <c r="AF330" s="528" t="str">
        <f t="shared" si="342"/>
        <v/>
      </c>
      <c r="AG330" s="528" t="str">
        <f t="shared" si="342"/>
        <v/>
      </c>
      <c r="AH330" s="528" t="str">
        <f t="shared" si="342"/>
        <v/>
      </c>
      <c r="AI330" s="528" t="str">
        <f t="shared" si="342"/>
        <v/>
      </c>
      <c r="AJ330" s="528" t="str">
        <f t="shared" si="342"/>
        <v/>
      </c>
      <c r="AK330" s="528" t="str">
        <f t="shared" si="342"/>
        <v/>
      </c>
      <c r="AL330" s="528" t="str">
        <f t="shared" si="342"/>
        <v/>
      </c>
      <c r="AM330" s="528" t="str">
        <f t="shared" si="342"/>
        <v/>
      </c>
      <c r="AN330" s="528" t="str">
        <f t="shared" si="342"/>
        <v/>
      </c>
      <c r="AO330" s="528" t="str">
        <f t="shared" si="342"/>
        <v/>
      </c>
      <c r="AP330" s="528" t="str">
        <f t="shared" si="342"/>
        <v/>
      </c>
      <c r="AQ330" s="528" t="str">
        <f t="shared" si="342"/>
        <v/>
      </c>
      <c r="AR330" s="528" t="str">
        <f t="shared" si="342"/>
        <v/>
      </c>
      <c r="AS330" s="528" t="str">
        <f t="shared" si="342"/>
        <v/>
      </c>
      <c r="AT330" s="528" t="str">
        <f t="shared" si="342"/>
        <v/>
      </c>
      <c r="AU330" s="528" t="str">
        <f t="shared" si="342"/>
        <v/>
      </c>
      <c r="AV330" s="528" t="str">
        <f t="shared" si="342"/>
        <v/>
      </c>
      <c r="AW330" s="528" t="str">
        <f t="shared" si="342"/>
        <v/>
      </c>
      <c r="AX330" s="528" t="str">
        <f t="shared" si="342"/>
        <v/>
      </c>
      <c r="AY330" s="528" t="str">
        <f t="shared" si="342"/>
        <v/>
      </c>
      <c r="AZ330" s="528" t="str">
        <f t="shared" si="342"/>
        <v/>
      </c>
      <c r="BA330" s="528" t="str">
        <f t="shared" si="342"/>
        <v/>
      </c>
      <c r="BB330" s="528" t="str">
        <f t="shared" si="342"/>
        <v/>
      </c>
      <c r="BC330" s="528" t="str">
        <f t="shared" si="342"/>
        <v/>
      </c>
      <c r="BD330" s="528" t="str">
        <f t="shared" si="342"/>
        <v/>
      </c>
      <c r="BE330" s="528" t="str">
        <f t="shared" si="342"/>
        <v/>
      </c>
      <c r="BF330" s="528" t="str">
        <f t="shared" si="342"/>
        <v/>
      </c>
      <c r="BG330" s="528" t="str">
        <f t="shared" si="342"/>
        <v/>
      </c>
      <c r="BH330" s="528" t="str">
        <f t="shared" si="342"/>
        <v/>
      </c>
      <c r="BI330" s="528" t="str">
        <f t="shared" si="342"/>
        <v/>
      </c>
      <c r="BJ330" s="528" t="str">
        <f t="shared" si="342"/>
        <v/>
      </c>
      <c r="BK330" s="528" t="str">
        <f t="shared" si="342"/>
        <v/>
      </c>
      <c r="BL330" s="528" t="str">
        <f t="shared" si="342"/>
        <v/>
      </c>
      <c r="BM330" s="528" t="str">
        <f t="shared" si="342"/>
        <v/>
      </c>
    </row>
    <row r="331" spans="6:65" ht="15.75" customHeight="1" x14ac:dyDescent="0.25">
      <c r="F331" s="197"/>
      <c r="G331" s="197">
        <f t="shared" si="268"/>
        <v>0</v>
      </c>
      <c r="H331" s="197">
        <f t="shared" si="269"/>
        <v>78</v>
      </c>
      <c r="I331" s="523">
        <v>1</v>
      </c>
      <c r="J331" s="533">
        <f>'Monthly DCF'!$I$3</f>
        <v>46418</v>
      </c>
      <c r="K331" s="533">
        <f t="shared" si="270"/>
        <v>46599</v>
      </c>
      <c r="L331" s="536">
        <f t="shared" si="341"/>
        <v>7</v>
      </c>
      <c r="M331" s="20" t="s">
        <v>366</v>
      </c>
      <c r="N331" s="20">
        <f t="shared" si="271"/>
        <v>0.875</v>
      </c>
      <c r="O331" s="537">
        <v>8</v>
      </c>
      <c r="P331" s="528">
        <f t="shared" ref="P331:BM331" si="343">IFERROR(+IF(AND($M331="Flat",P$5&gt;=$J331,P$5&lt;=$K331),$I331/$L331,0)+IF(AND($M331="S-Curve",P$5&gt;=$J331,P$5&lt;=$K331),(_xlfn.NORM.DIST((YEAR(P$5)-YEAR($J331))*12+MONTH(P$5)-MONTH($J331)+1,$L331/2,$N331,TRUE)-_xlfn.NORM.DIST((YEAR(P$5)-YEAR($J331))*12+MONTH(P$5)-MONTH($J331),$L331/2,$N331,TRUE))/(1-2*_xlfn.NORM.DIST(0,$L331/2,$N331,TRUE))*$I331," "),"")</f>
        <v>2.1058291267002207E-3</v>
      </c>
      <c r="Q331" s="528">
        <f t="shared" si="343"/>
        <v>4.1103369356248601E-2</v>
      </c>
      <c r="R331" s="528">
        <f t="shared" si="343"/>
        <v>0.24063169256089909</v>
      </c>
      <c r="S331" s="528">
        <f t="shared" si="343"/>
        <v>0.43231821791230418</v>
      </c>
      <c r="T331" s="528">
        <f t="shared" si="343"/>
        <v>0.24063169256089914</v>
      </c>
      <c r="U331" s="528">
        <f t="shared" si="343"/>
        <v>4.1103369356248559E-2</v>
      </c>
      <c r="V331" s="528">
        <f t="shared" si="343"/>
        <v>2.1058291267002059E-3</v>
      </c>
      <c r="W331" s="528" t="str">
        <f t="shared" si="343"/>
        <v/>
      </c>
      <c r="X331" s="528" t="str">
        <f t="shared" si="343"/>
        <v/>
      </c>
      <c r="Y331" s="528" t="str">
        <f t="shared" si="343"/>
        <v/>
      </c>
      <c r="Z331" s="528" t="str">
        <f t="shared" si="343"/>
        <v/>
      </c>
      <c r="AA331" s="528" t="str">
        <f t="shared" si="343"/>
        <v/>
      </c>
      <c r="AB331" s="528" t="str">
        <f t="shared" si="343"/>
        <v/>
      </c>
      <c r="AC331" s="528" t="str">
        <f t="shared" si="343"/>
        <v/>
      </c>
      <c r="AD331" s="528" t="str">
        <f t="shared" si="343"/>
        <v/>
      </c>
      <c r="AE331" s="528" t="str">
        <f t="shared" si="343"/>
        <v/>
      </c>
      <c r="AF331" s="528" t="str">
        <f t="shared" si="343"/>
        <v/>
      </c>
      <c r="AG331" s="528" t="str">
        <f t="shared" si="343"/>
        <v/>
      </c>
      <c r="AH331" s="528" t="str">
        <f t="shared" si="343"/>
        <v/>
      </c>
      <c r="AI331" s="528" t="str">
        <f t="shared" si="343"/>
        <v/>
      </c>
      <c r="AJ331" s="528" t="str">
        <f t="shared" si="343"/>
        <v/>
      </c>
      <c r="AK331" s="528" t="str">
        <f t="shared" si="343"/>
        <v/>
      </c>
      <c r="AL331" s="528" t="str">
        <f t="shared" si="343"/>
        <v/>
      </c>
      <c r="AM331" s="528" t="str">
        <f t="shared" si="343"/>
        <v/>
      </c>
      <c r="AN331" s="528" t="str">
        <f t="shared" si="343"/>
        <v/>
      </c>
      <c r="AO331" s="528" t="str">
        <f t="shared" si="343"/>
        <v/>
      </c>
      <c r="AP331" s="528" t="str">
        <f t="shared" si="343"/>
        <v/>
      </c>
      <c r="AQ331" s="528" t="str">
        <f t="shared" si="343"/>
        <v/>
      </c>
      <c r="AR331" s="528" t="str">
        <f t="shared" si="343"/>
        <v/>
      </c>
      <c r="AS331" s="528" t="str">
        <f t="shared" si="343"/>
        <v/>
      </c>
      <c r="AT331" s="528" t="str">
        <f t="shared" si="343"/>
        <v/>
      </c>
      <c r="AU331" s="528" t="str">
        <f t="shared" si="343"/>
        <v/>
      </c>
      <c r="AV331" s="528" t="str">
        <f t="shared" si="343"/>
        <v/>
      </c>
      <c r="AW331" s="528" t="str">
        <f t="shared" si="343"/>
        <v/>
      </c>
      <c r="AX331" s="528" t="str">
        <f t="shared" si="343"/>
        <v/>
      </c>
      <c r="AY331" s="528" t="str">
        <f t="shared" si="343"/>
        <v/>
      </c>
      <c r="AZ331" s="528" t="str">
        <f t="shared" si="343"/>
        <v/>
      </c>
      <c r="BA331" s="528" t="str">
        <f t="shared" si="343"/>
        <v/>
      </c>
      <c r="BB331" s="528" t="str">
        <f t="shared" si="343"/>
        <v/>
      </c>
      <c r="BC331" s="528" t="str">
        <f t="shared" si="343"/>
        <v/>
      </c>
      <c r="BD331" s="528" t="str">
        <f t="shared" si="343"/>
        <v/>
      </c>
      <c r="BE331" s="528" t="str">
        <f t="shared" si="343"/>
        <v/>
      </c>
      <c r="BF331" s="528" t="str">
        <f t="shared" si="343"/>
        <v/>
      </c>
      <c r="BG331" s="528" t="str">
        <f t="shared" si="343"/>
        <v/>
      </c>
      <c r="BH331" s="528" t="str">
        <f t="shared" si="343"/>
        <v/>
      </c>
      <c r="BI331" s="528" t="str">
        <f t="shared" si="343"/>
        <v/>
      </c>
      <c r="BJ331" s="528" t="str">
        <f t="shared" si="343"/>
        <v/>
      </c>
      <c r="BK331" s="528" t="str">
        <f t="shared" si="343"/>
        <v/>
      </c>
      <c r="BL331" s="528" t="str">
        <f t="shared" si="343"/>
        <v/>
      </c>
      <c r="BM331" s="528" t="str">
        <f t="shared" si="343"/>
        <v/>
      </c>
    </row>
    <row r="332" spans="6:65" ht="15.75" customHeight="1" x14ac:dyDescent="0.25">
      <c r="F332" s="197"/>
      <c r="G332" s="197">
        <f t="shared" si="268"/>
        <v>0</v>
      </c>
      <c r="H332" s="197">
        <f t="shared" si="269"/>
        <v>88</v>
      </c>
      <c r="I332" s="523">
        <v>1</v>
      </c>
      <c r="J332" s="533">
        <f>'Monthly DCF'!$I$3</f>
        <v>46418</v>
      </c>
      <c r="K332" s="533">
        <f t="shared" si="270"/>
        <v>46630</v>
      </c>
      <c r="L332" s="536">
        <f t="shared" si="341"/>
        <v>8</v>
      </c>
      <c r="M332" s="20" t="s">
        <v>366</v>
      </c>
      <c r="N332" s="20">
        <f t="shared" si="271"/>
        <v>1</v>
      </c>
      <c r="O332" s="537">
        <v>8</v>
      </c>
      <c r="P332" s="528">
        <f t="shared" ref="P332:BM332" si="344">IFERROR(+IF(AND($M332="Flat",P$5&gt;=$J332,P$5&lt;=$K332),$I332/$L332,0)+IF(AND($M332="S-Curve",P$5&gt;=$J332,P$5&lt;=$K332),(_xlfn.NORM.DIST((YEAR(P$5)-YEAR($J332))*12+MONTH(P$5)-MONTH($J332)+1,$L332/2,$N332,TRUE)-_xlfn.NORM.DIST((YEAR(P$5)-YEAR($J332))*12+MONTH(P$5)-MONTH($J332),$L332/2,$N332,TRUE))/(1-2*_xlfn.NORM.DIST(0,$L332/2,$N332,TRUE))*$I332," "),"")</f>
        <v>1.3183102948452917E-3</v>
      </c>
      <c r="Q332" s="528">
        <f t="shared" si="344"/>
        <v>2.1401589546385373E-2</v>
      </c>
      <c r="R332" s="528">
        <f t="shared" si="344"/>
        <v>0.13591373109656982</v>
      </c>
      <c r="S332" s="528">
        <f t="shared" si="344"/>
        <v>0.34136636906219958</v>
      </c>
      <c r="T332" s="528">
        <f t="shared" si="344"/>
        <v>0.34136636906219958</v>
      </c>
      <c r="U332" s="528">
        <f t="shared" si="344"/>
        <v>0.13591373109656976</v>
      </c>
      <c r="V332" s="528">
        <f t="shared" si="344"/>
        <v>2.140158954638538E-2</v>
      </c>
      <c r="W332" s="528">
        <f t="shared" si="344"/>
        <v>1.3183102948453017E-3</v>
      </c>
      <c r="X332" s="528" t="str">
        <f t="shared" si="344"/>
        <v/>
      </c>
      <c r="Y332" s="528" t="str">
        <f t="shared" si="344"/>
        <v/>
      </c>
      <c r="Z332" s="528" t="str">
        <f t="shared" si="344"/>
        <v/>
      </c>
      <c r="AA332" s="528" t="str">
        <f t="shared" si="344"/>
        <v/>
      </c>
      <c r="AB332" s="528" t="str">
        <f t="shared" si="344"/>
        <v/>
      </c>
      <c r="AC332" s="528" t="str">
        <f t="shared" si="344"/>
        <v/>
      </c>
      <c r="AD332" s="528" t="str">
        <f t="shared" si="344"/>
        <v/>
      </c>
      <c r="AE332" s="528" t="str">
        <f t="shared" si="344"/>
        <v/>
      </c>
      <c r="AF332" s="528" t="str">
        <f t="shared" si="344"/>
        <v/>
      </c>
      <c r="AG332" s="528" t="str">
        <f t="shared" si="344"/>
        <v/>
      </c>
      <c r="AH332" s="528" t="str">
        <f t="shared" si="344"/>
        <v/>
      </c>
      <c r="AI332" s="528" t="str">
        <f t="shared" si="344"/>
        <v/>
      </c>
      <c r="AJ332" s="528" t="str">
        <f t="shared" si="344"/>
        <v/>
      </c>
      <c r="AK332" s="528" t="str">
        <f t="shared" si="344"/>
        <v/>
      </c>
      <c r="AL332" s="528" t="str">
        <f t="shared" si="344"/>
        <v/>
      </c>
      <c r="AM332" s="528" t="str">
        <f t="shared" si="344"/>
        <v/>
      </c>
      <c r="AN332" s="528" t="str">
        <f t="shared" si="344"/>
        <v/>
      </c>
      <c r="AO332" s="528" t="str">
        <f t="shared" si="344"/>
        <v/>
      </c>
      <c r="AP332" s="528" t="str">
        <f t="shared" si="344"/>
        <v/>
      </c>
      <c r="AQ332" s="528" t="str">
        <f t="shared" si="344"/>
        <v/>
      </c>
      <c r="AR332" s="528" t="str">
        <f t="shared" si="344"/>
        <v/>
      </c>
      <c r="AS332" s="528" t="str">
        <f t="shared" si="344"/>
        <v/>
      </c>
      <c r="AT332" s="528" t="str">
        <f t="shared" si="344"/>
        <v/>
      </c>
      <c r="AU332" s="528" t="str">
        <f t="shared" si="344"/>
        <v/>
      </c>
      <c r="AV332" s="528" t="str">
        <f t="shared" si="344"/>
        <v/>
      </c>
      <c r="AW332" s="528" t="str">
        <f t="shared" si="344"/>
        <v/>
      </c>
      <c r="AX332" s="528" t="str">
        <f t="shared" si="344"/>
        <v/>
      </c>
      <c r="AY332" s="528" t="str">
        <f t="shared" si="344"/>
        <v/>
      </c>
      <c r="AZ332" s="528" t="str">
        <f t="shared" si="344"/>
        <v/>
      </c>
      <c r="BA332" s="528" t="str">
        <f t="shared" si="344"/>
        <v/>
      </c>
      <c r="BB332" s="528" t="str">
        <f t="shared" si="344"/>
        <v/>
      </c>
      <c r="BC332" s="528" t="str">
        <f t="shared" si="344"/>
        <v/>
      </c>
      <c r="BD332" s="528" t="str">
        <f t="shared" si="344"/>
        <v/>
      </c>
      <c r="BE332" s="528" t="str">
        <f t="shared" si="344"/>
        <v/>
      </c>
      <c r="BF332" s="528" t="str">
        <f t="shared" si="344"/>
        <v/>
      </c>
      <c r="BG332" s="528" t="str">
        <f t="shared" si="344"/>
        <v/>
      </c>
      <c r="BH332" s="528" t="str">
        <f t="shared" si="344"/>
        <v/>
      </c>
      <c r="BI332" s="528" t="str">
        <f t="shared" si="344"/>
        <v/>
      </c>
      <c r="BJ332" s="528" t="str">
        <f t="shared" si="344"/>
        <v/>
      </c>
      <c r="BK332" s="528" t="str">
        <f t="shared" si="344"/>
        <v/>
      </c>
      <c r="BL332" s="528" t="str">
        <f t="shared" si="344"/>
        <v/>
      </c>
      <c r="BM332" s="528" t="str">
        <f t="shared" si="344"/>
        <v/>
      </c>
    </row>
    <row r="333" spans="6:65" ht="15.75" customHeight="1" x14ac:dyDescent="0.25">
      <c r="F333" s="197"/>
      <c r="G333" s="197">
        <f t="shared" si="268"/>
        <v>0</v>
      </c>
      <c r="H333" s="197">
        <f t="shared" si="269"/>
        <v>98</v>
      </c>
      <c r="I333" s="523">
        <v>1</v>
      </c>
      <c r="J333" s="533">
        <f>'Monthly DCF'!$I$3</f>
        <v>46418</v>
      </c>
      <c r="K333" s="533">
        <f t="shared" si="270"/>
        <v>46660</v>
      </c>
      <c r="L333" s="536">
        <f t="shared" si="341"/>
        <v>9</v>
      </c>
      <c r="M333" s="20" t="s">
        <v>366</v>
      </c>
      <c r="N333" s="20">
        <f t="shared" si="271"/>
        <v>1.125</v>
      </c>
      <c r="O333" s="537">
        <v>8</v>
      </c>
      <c r="P333" s="528">
        <f t="shared" ref="P333:BM333" si="345">IFERROR(+IF(AND($M333="Flat",P$5&gt;=$J333,P$5&lt;=$K333),$I333/$L333,0)+IF(AND($M333="S-Curve",P$5&gt;=$J333,P$5&lt;=$K333),(_xlfn.NORM.DIST((YEAR(P$5)-YEAR($J333))*12+MONTH(P$5)-MONTH($J333)+1,$L333/2,$N333,TRUE)-_xlfn.NORM.DIST((YEAR(P$5)-YEAR($J333))*12+MONTH(P$5)-MONTH($J333),$L333/2,$N333,TRUE))/(1-2*_xlfn.NORM.DIST(0,$L333/2,$N333,TRUE))*$I333," "),"")</f>
        <v>9.003097535377093E-4</v>
      </c>
      <c r="Q333" s="528">
        <f t="shared" si="345"/>
        <v>1.2202994691498072E-2</v>
      </c>
      <c r="R333" s="528">
        <f t="shared" si="345"/>
        <v>7.8082019943919681E-2</v>
      </c>
      <c r="S333" s="528">
        <f t="shared" si="345"/>
        <v>0.23716444614107321</v>
      </c>
      <c r="T333" s="528">
        <f t="shared" si="345"/>
        <v>0.34330045893994265</v>
      </c>
      <c r="U333" s="528">
        <f t="shared" si="345"/>
        <v>0.23716444614107321</v>
      </c>
      <c r="V333" s="528">
        <f t="shared" si="345"/>
        <v>7.8082019943919681E-2</v>
      </c>
      <c r="W333" s="528">
        <f t="shared" si="345"/>
        <v>1.2202994691498083E-2</v>
      </c>
      <c r="X333" s="528">
        <f t="shared" si="345"/>
        <v>9.0030975353769629E-4</v>
      </c>
      <c r="Y333" s="528" t="str">
        <f t="shared" si="345"/>
        <v/>
      </c>
      <c r="Z333" s="528" t="str">
        <f t="shared" si="345"/>
        <v/>
      </c>
      <c r="AA333" s="528" t="str">
        <f t="shared" si="345"/>
        <v/>
      </c>
      <c r="AB333" s="528" t="str">
        <f t="shared" si="345"/>
        <v/>
      </c>
      <c r="AC333" s="528" t="str">
        <f t="shared" si="345"/>
        <v/>
      </c>
      <c r="AD333" s="528" t="str">
        <f t="shared" si="345"/>
        <v/>
      </c>
      <c r="AE333" s="528" t="str">
        <f t="shared" si="345"/>
        <v/>
      </c>
      <c r="AF333" s="528" t="str">
        <f t="shared" si="345"/>
        <v/>
      </c>
      <c r="AG333" s="528" t="str">
        <f t="shared" si="345"/>
        <v/>
      </c>
      <c r="AH333" s="528" t="str">
        <f t="shared" si="345"/>
        <v/>
      </c>
      <c r="AI333" s="528" t="str">
        <f t="shared" si="345"/>
        <v/>
      </c>
      <c r="AJ333" s="528" t="str">
        <f t="shared" si="345"/>
        <v/>
      </c>
      <c r="AK333" s="528" t="str">
        <f t="shared" si="345"/>
        <v/>
      </c>
      <c r="AL333" s="528" t="str">
        <f t="shared" si="345"/>
        <v/>
      </c>
      <c r="AM333" s="528" t="str">
        <f t="shared" si="345"/>
        <v/>
      </c>
      <c r="AN333" s="528" t="str">
        <f t="shared" si="345"/>
        <v/>
      </c>
      <c r="AO333" s="528" t="str">
        <f t="shared" si="345"/>
        <v/>
      </c>
      <c r="AP333" s="528" t="str">
        <f t="shared" si="345"/>
        <v/>
      </c>
      <c r="AQ333" s="528" t="str">
        <f t="shared" si="345"/>
        <v/>
      </c>
      <c r="AR333" s="528" t="str">
        <f t="shared" si="345"/>
        <v/>
      </c>
      <c r="AS333" s="528" t="str">
        <f t="shared" si="345"/>
        <v/>
      </c>
      <c r="AT333" s="528" t="str">
        <f t="shared" si="345"/>
        <v/>
      </c>
      <c r="AU333" s="528" t="str">
        <f t="shared" si="345"/>
        <v/>
      </c>
      <c r="AV333" s="528" t="str">
        <f t="shared" si="345"/>
        <v/>
      </c>
      <c r="AW333" s="528" t="str">
        <f t="shared" si="345"/>
        <v/>
      </c>
      <c r="AX333" s="528" t="str">
        <f t="shared" si="345"/>
        <v/>
      </c>
      <c r="AY333" s="528" t="str">
        <f t="shared" si="345"/>
        <v/>
      </c>
      <c r="AZ333" s="528" t="str">
        <f t="shared" si="345"/>
        <v/>
      </c>
      <c r="BA333" s="528" t="str">
        <f t="shared" si="345"/>
        <v/>
      </c>
      <c r="BB333" s="528" t="str">
        <f t="shared" si="345"/>
        <v/>
      </c>
      <c r="BC333" s="528" t="str">
        <f t="shared" si="345"/>
        <v/>
      </c>
      <c r="BD333" s="528" t="str">
        <f t="shared" si="345"/>
        <v/>
      </c>
      <c r="BE333" s="528" t="str">
        <f t="shared" si="345"/>
        <v/>
      </c>
      <c r="BF333" s="528" t="str">
        <f t="shared" si="345"/>
        <v/>
      </c>
      <c r="BG333" s="528" t="str">
        <f t="shared" si="345"/>
        <v/>
      </c>
      <c r="BH333" s="528" t="str">
        <f t="shared" si="345"/>
        <v/>
      </c>
      <c r="BI333" s="528" t="str">
        <f t="shared" si="345"/>
        <v/>
      </c>
      <c r="BJ333" s="528" t="str">
        <f t="shared" si="345"/>
        <v/>
      </c>
      <c r="BK333" s="528" t="str">
        <f t="shared" si="345"/>
        <v/>
      </c>
      <c r="BL333" s="528" t="str">
        <f t="shared" si="345"/>
        <v/>
      </c>
      <c r="BM333" s="528" t="str">
        <f t="shared" si="345"/>
        <v/>
      </c>
    </row>
    <row r="334" spans="6:65" ht="15.75" customHeight="1" x14ac:dyDescent="0.25">
      <c r="F334" s="197"/>
      <c r="G334" s="197">
        <f t="shared" si="268"/>
        <v>0</v>
      </c>
      <c r="H334" s="197">
        <f t="shared" si="269"/>
        <v>108</v>
      </c>
      <c r="I334" s="523">
        <v>1</v>
      </c>
      <c r="J334" s="533">
        <f>'Monthly DCF'!$I$3</f>
        <v>46418</v>
      </c>
      <c r="K334" s="533">
        <f t="shared" si="270"/>
        <v>46691</v>
      </c>
      <c r="L334" s="536">
        <f t="shared" si="341"/>
        <v>10</v>
      </c>
      <c r="M334" s="20" t="s">
        <v>366</v>
      </c>
      <c r="N334" s="20">
        <f t="shared" si="271"/>
        <v>1.25</v>
      </c>
      <c r="O334" s="537">
        <v>8</v>
      </c>
      <c r="P334" s="528">
        <f t="shared" ref="P334:BM334" si="346">IFERROR(+IF(AND($M334="Flat",P$5&gt;=$J334,P$5&lt;=$K334),$I334/$L334,0)+IF(AND($M334="S-Curve",P$5&gt;=$J334,P$5&lt;=$K334),(_xlfn.NORM.DIST((YEAR(P$5)-YEAR($J334))*12+MONTH(P$5)-MONTH($J334)+1,$L334/2,$N334,TRUE)-_xlfn.NORM.DIST((YEAR(P$5)-YEAR($J334))*12+MONTH(P$5)-MONTH($J334),$L334/2,$N334,TRUE))/(1-2*_xlfn.NORM.DIST(0,$L334/2,$N334,TRUE))*$I334," "),"")</f>
        <v>6.5550821760129382E-4</v>
      </c>
      <c r="Q334" s="528">
        <f t="shared" si="346"/>
        <v>7.5108737440777373E-3</v>
      </c>
      <c r="R334" s="528">
        <f t="shared" si="346"/>
        <v>4.6604707832906517E-2</v>
      </c>
      <c r="S334" s="528">
        <f t="shared" si="346"/>
        <v>0.15706605583791508</v>
      </c>
      <c r="T334" s="528">
        <f t="shared" si="346"/>
        <v>0.28816285436749933</v>
      </c>
      <c r="U334" s="528">
        <f t="shared" si="346"/>
        <v>0.28816285436749933</v>
      </c>
      <c r="V334" s="528">
        <f t="shared" si="346"/>
        <v>0.15706605583791508</v>
      </c>
      <c r="W334" s="528">
        <f t="shared" si="346"/>
        <v>4.6604707832906517E-2</v>
      </c>
      <c r="X334" s="528">
        <f t="shared" si="346"/>
        <v>7.5108737440777486E-3</v>
      </c>
      <c r="Y334" s="528">
        <f t="shared" si="346"/>
        <v>6.5550821760130694E-4</v>
      </c>
      <c r="Z334" s="528" t="str">
        <f t="shared" si="346"/>
        <v/>
      </c>
      <c r="AA334" s="528" t="str">
        <f t="shared" si="346"/>
        <v/>
      </c>
      <c r="AB334" s="528" t="str">
        <f t="shared" si="346"/>
        <v/>
      </c>
      <c r="AC334" s="528" t="str">
        <f t="shared" si="346"/>
        <v/>
      </c>
      <c r="AD334" s="528" t="str">
        <f t="shared" si="346"/>
        <v/>
      </c>
      <c r="AE334" s="528" t="str">
        <f t="shared" si="346"/>
        <v/>
      </c>
      <c r="AF334" s="528" t="str">
        <f t="shared" si="346"/>
        <v/>
      </c>
      <c r="AG334" s="528" t="str">
        <f t="shared" si="346"/>
        <v/>
      </c>
      <c r="AH334" s="528" t="str">
        <f t="shared" si="346"/>
        <v/>
      </c>
      <c r="AI334" s="528" t="str">
        <f t="shared" si="346"/>
        <v/>
      </c>
      <c r="AJ334" s="528" t="str">
        <f t="shared" si="346"/>
        <v/>
      </c>
      <c r="AK334" s="528" t="str">
        <f t="shared" si="346"/>
        <v/>
      </c>
      <c r="AL334" s="528" t="str">
        <f t="shared" si="346"/>
        <v/>
      </c>
      <c r="AM334" s="528" t="str">
        <f t="shared" si="346"/>
        <v/>
      </c>
      <c r="AN334" s="528" t="str">
        <f t="shared" si="346"/>
        <v/>
      </c>
      <c r="AO334" s="528" t="str">
        <f t="shared" si="346"/>
        <v/>
      </c>
      <c r="AP334" s="528" t="str">
        <f t="shared" si="346"/>
        <v/>
      </c>
      <c r="AQ334" s="528" t="str">
        <f t="shared" si="346"/>
        <v/>
      </c>
      <c r="AR334" s="528" t="str">
        <f t="shared" si="346"/>
        <v/>
      </c>
      <c r="AS334" s="528" t="str">
        <f t="shared" si="346"/>
        <v/>
      </c>
      <c r="AT334" s="528" t="str">
        <f t="shared" si="346"/>
        <v/>
      </c>
      <c r="AU334" s="528" t="str">
        <f t="shared" si="346"/>
        <v/>
      </c>
      <c r="AV334" s="528" t="str">
        <f t="shared" si="346"/>
        <v/>
      </c>
      <c r="AW334" s="528" t="str">
        <f t="shared" si="346"/>
        <v/>
      </c>
      <c r="AX334" s="528" t="str">
        <f t="shared" si="346"/>
        <v/>
      </c>
      <c r="AY334" s="528" t="str">
        <f t="shared" si="346"/>
        <v/>
      </c>
      <c r="AZ334" s="528" t="str">
        <f t="shared" si="346"/>
        <v/>
      </c>
      <c r="BA334" s="528" t="str">
        <f t="shared" si="346"/>
        <v/>
      </c>
      <c r="BB334" s="528" t="str">
        <f t="shared" si="346"/>
        <v/>
      </c>
      <c r="BC334" s="528" t="str">
        <f t="shared" si="346"/>
        <v/>
      </c>
      <c r="BD334" s="528" t="str">
        <f t="shared" si="346"/>
        <v/>
      </c>
      <c r="BE334" s="528" t="str">
        <f t="shared" si="346"/>
        <v/>
      </c>
      <c r="BF334" s="528" t="str">
        <f t="shared" si="346"/>
        <v/>
      </c>
      <c r="BG334" s="528" t="str">
        <f t="shared" si="346"/>
        <v/>
      </c>
      <c r="BH334" s="528" t="str">
        <f t="shared" si="346"/>
        <v/>
      </c>
      <c r="BI334" s="528" t="str">
        <f t="shared" si="346"/>
        <v/>
      </c>
      <c r="BJ334" s="528" t="str">
        <f t="shared" si="346"/>
        <v/>
      </c>
      <c r="BK334" s="528" t="str">
        <f t="shared" si="346"/>
        <v/>
      </c>
      <c r="BL334" s="528" t="str">
        <f t="shared" si="346"/>
        <v/>
      </c>
      <c r="BM334" s="528" t="str">
        <f t="shared" si="346"/>
        <v/>
      </c>
    </row>
    <row r="335" spans="6:65" ht="15.75" customHeight="1" x14ac:dyDescent="0.25">
      <c r="F335" s="197"/>
      <c r="G335" s="197">
        <f t="shared" si="268"/>
        <v>0</v>
      </c>
      <c r="H335" s="197">
        <f t="shared" si="269"/>
        <v>118</v>
      </c>
      <c r="I335" s="523">
        <v>1</v>
      </c>
      <c r="J335" s="533">
        <f>'Monthly DCF'!$I$3</f>
        <v>46418</v>
      </c>
      <c r="K335" s="533">
        <f t="shared" si="270"/>
        <v>46721</v>
      </c>
      <c r="L335" s="536">
        <f t="shared" si="341"/>
        <v>11</v>
      </c>
      <c r="M335" s="20" t="s">
        <v>366</v>
      </c>
      <c r="N335" s="20">
        <f t="shared" si="271"/>
        <v>1.375</v>
      </c>
      <c r="O335" s="537">
        <v>8</v>
      </c>
      <c r="P335" s="528">
        <f t="shared" ref="P335:BM335" si="347">IFERROR(+IF(AND($M335="Flat",P$5&gt;=$J335,P$5&lt;=$K335),$I335/$L335,0)+IF(AND($M335="S-Curve",P$5&gt;=$J335,P$5&lt;=$K335),(_xlfn.NORM.DIST((YEAR(P$5)-YEAR($J335))*12+MONTH(P$5)-MONTH($J335)+1,$L335/2,$N335,TRUE)-_xlfn.NORM.DIST((YEAR(P$5)-YEAR($J335))*12+MONTH(P$5)-MONTH($J335),$L335/2,$N335,TRUE))/(1-2*_xlfn.NORM.DIST(0,$L335/2,$N335,TRUE))*$I335," "),"")</f>
        <v>5.009364900144806E-4</v>
      </c>
      <c r="Q335" s="528">
        <f t="shared" si="347"/>
        <v>4.9245145037510839E-3</v>
      </c>
      <c r="R335" s="528">
        <f t="shared" si="347"/>
        <v>2.9063236360724366E-2</v>
      </c>
      <c r="S335" s="528">
        <f t="shared" si="347"/>
        <v>0.10314480271175468</v>
      </c>
      <c r="T335" s="528">
        <f t="shared" si="347"/>
        <v>0.22042230326294548</v>
      </c>
      <c r="U335" s="528">
        <f t="shared" si="347"/>
        <v>0.28388841334161979</v>
      </c>
      <c r="V335" s="528">
        <f t="shared" si="347"/>
        <v>0.22042230326294551</v>
      </c>
      <c r="W335" s="528">
        <f t="shared" si="347"/>
        <v>0.1031448027117547</v>
      </c>
      <c r="X335" s="528">
        <f t="shared" si="347"/>
        <v>2.9063236360724363E-2</v>
      </c>
      <c r="Y335" s="528">
        <f t="shared" si="347"/>
        <v>4.9245145037510032E-3</v>
      </c>
      <c r="Z335" s="528">
        <f t="shared" si="347"/>
        <v>5.0093649001451681E-4</v>
      </c>
      <c r="AA335" s="528" t="str">
        <f t="shared" si="347"/>
        <v/>
      </c>
      <c r="AB335" s="528" t="str">
        <f t="shared" si="347"/>
        <v/>
      </c>
      <c r="AC335" s="528" t="str">
        <f t="shared" si="347"/>
        <v/>
      </c>
      <c r="AD335" s="528" t="str">
        <f t="shared" si="347"/>
        <v/>
      </c>
      <c r="AE335" s="528" t="str">
        <f t="shared" si="347"/>
        <v/>
      </c>
      <c r="AF335" s="528" t="str">
        <f t="shared" si="347"/>
        <v/>
      </c>
      <c r="AG335" s="528" t="str">
        <f t="shared" si="347"/>
        <v/>
      </c>
      <c r="AH335" s="528" t="str">
        <f t="shared" si="347"/>
        <v/>
      </c>
      <c r="AI335" s="528" t="str">
        <f t="shared" si="347"/>
        <v/>
      </c>
      <c r="AJ335" s="528" t="str">
        <f t="shared" si="347"/>
        <v/>
      </c>
      <c r="AK335" s="528" t="str">
        <f t="shared" si="347"/>
        <v/>
      </c>
      <c r="AL335" s="528" t="str">
        <f t="shared" si="347"/>
        <v/>
      </c>
      <c r="AM335" s="528" t="str">
        <f t="shared" si="347"/>
        <v/>
      </c>
      <c r="AN335" s="528" t="str">
        <f t="shared" si="347"/>
        <v/>
      </c>
      <c r="AO335" s="528" t="str">
        <f t="shared" si="347"/>
        <v/>
      </c>
      <c r="AP335" s="528" t="str">
        <f t="shared" si="347"/>
        <v/>
      </c>
      <c r="AQ335" s="528" t="str">
        <f t="shared" si="347"/>
        <v/>
      </c>
      <c r="AR335" s="528" t="str">
        <f t="shared" si="347"/>
        <v/>
      </c>
      <c r="AS335" s="528" t="str">
        <f t="shared" si="347"/>
        <v/>
      </c>
      <c r="AT335" s="528" t="str">
        <f t="shared" si="347"/>
        <v/>
      </c>
      <c r="AU335" s="528" t="str">
        <f t="shared" si="347"/>
        <v/>
      </c>
      <c r="AV335" s="528" t="str">
        <f t="shared" si="347"/>
        <v/>
      </c>
      <c r="AW335" s="528" t="str">
        <f t="shared" si="347"/>
        <v/>
      </c>
      <c r="AX335" s="528" t="str">
        <f t="shared" si="347"/>
        <v/>
      </c>
      <c r="AY335" s="528" t="str">
        <f t="shared" si="347"/>
        <v/>
      </c>
      <c r="AZ335" s="528" t="str">
        <f t="shared" si="347"/>
        <v/>
      </c>
      <c r="BA335" s="528" t="str">
        <f t="shared" si="347"/>
        <v/>
      </c>
      <c r="BB335" s="528" t="str">
        <f t="shared" si="347"/>
        <v/>
      </c>
      <c r="BC335" s="528" t="str">
        <f t="shared" si="347"/>
        <v/>
      </c>
      <c r="BD335" s="528" t="str">
        <f t="shared" si="347"/>
        <v/>
      </c>
      <c r="BE335" s="528" t="str">
        <f t="shared" si="347"/>
        <v/>
      </c>
      <c r="BF335" s="528" t="str">
        <f t="shared" si="347"/>
        <v/>
      </c>
      <c r="BG335" s="528" t="str">
        <f t="shared" si="347"/>
        <v/>
      </c>
      <c r="BH335" s="528" t="str">
        <f t="shared" si="347"/>
        <v/>
      </c>
      <c r="BI335" s="528" t="str">
        <f t="shared" si="347"/>
        <v/>
      </c>
      <c r="BJ335" s="528" t="str">
        <f t="shared" si="347"/>
        <v/>
      </c>
      <c r="BK335" s="528" t="str">
        <f t="shared" si="347"/>
        <v/>
      </c>
      <c r="BL335" s="528" t="str">
        <f t="shared" si="347"/>
        <v/>
      </c>
      <c r="BM335" s="528" t="str">
        <f t="shared" si="347"/>
        <v/>
      </c>
    </row>
    <row r="336" spans="6:65" ht="15.75" customHeight="1" x14ac:dyDescent="0.25">
      <c r="F336" s="197"/>
      <c r="G336" s="197">
        <f t="shared" si="268"/>
        <v>0</v>
      </c>
      <c r="H336" s="197">
        <f t="shared" si="269"/>
        <v>128</v>
      </c>
      <c r="I336" s="523">
        <v>1</v>
      </c>
      <c r="J336" s="533">
        <f>'Monthly DCF'!$I$3</f>
        <v>46418</v>
      </c>
      <c r="K336" s="533">
        <f t="shared" si="270"/>
        <v>46752</v>
      </c>
      <c r="L336" s="536">
        <f t="shared" si="341"/>
        <v>12</v>
      </c>
      <c r="M336" s="20" t="s">
        <v>366</v>
      </c>
      <c r="N336" s="20">
        <f t="shared" si="271"/>
        <v>1.5</v>
      </c>
      <c r="O336" s="537">
        <v>8</v>
      </c>
      <c r="P336" s="528">
        <f t="shared" ref="P336:BM336" si="348">IFERROR(+IF(AND($M336="Flat",P$5&gt;=$J336,P$5&lt;=$K336),$I336/$L336,0)+IF(AND($M336="S-Curve",P$5&gt;=$J336,P$5&lt;=$K336),(_xlfn.NORM.DIST((YEAR(P$5)-YEAR($J336))*12+MONTH(P$5)-MONTH($J336)+1,$L336/2,$N336,TRUE)-_xlfn.NORM.DIST((YEAR(P$5)-YEAR($J336))*12+MONTH(P$5)-MONTH($J336),$L336/2,$N336,TRUE))/(1-2*_xlfn.NORM.DIST(0,$L336/2,$N336,TRUE))*$I336," "),"")</f>
        <v>3.9741426457027944E-4</v>
      </c>
      <c r="Q336" s="528">
        <f t="shared" si="348"/>
        <v>3.4015356961121694E-3</v>
      </c>
      <c r="R336" s="528">
        <f t="shared" si="348"/>
        <v>1.8920949880548214E-2</v>
      </c>
      <c r="S336" s="528">
        <f t="shared" si="348"/>
        <v>6.8465424547724793E-2</v>
      </c>
      <c r="T336" s="528">
        <f t="shared" si="348"/>
        <v>0.16129153442744001</v>
      </c>
      <c r="U336" s="528">
        <f t="shared" si="348"/>
        <v>0.24752314118360452</v>
      </c>
      <c r="V336" s="528">
        <f t="shared" si="348"/>
        <v>0.24752314118360452</v>
      </c>
      <c r="W336" s="528">
        <f t="shared" si="348"/>
        <v>0.16129153442744001</v>
      </c>
      <c r="X336" s="528">
        <f t="shared" si="348"/>
        <v>6.8465424547724779E-2</v>
      </c>
      <c r="Y336" s="528">
        <f t="shared" si="348"/>
        <v>1.8920949880548193E-2</v>
      </c>
      <c r="Z336" s="528">
        <f t="shared" si="348"/>
        <v>3.4015356961122614E-3</v>
      </c>
      <c r="AA336" s="528">
        <f t="shared" si="348"/>
        <v>3.9741426457022691E-4</v>
      </c>
      <c r="AB336" s="528" t="str">
        <f t="shared" si="348"/>
        <v/>
      </c>
      <c r="AC336" s="528" t="str">
        <f t="shared" si="348"/>
        <v/>
      </c>
      <c r="AD336" s="528" t="str">
        <f t="shared" si="348"/>
        <v/>
      </c>
      <c r="AE336" s="528" t="str">
        <f t="shared" si="348"/>
        <v/>
      </c>
      <c r="AF336" s="528" t="str">
        <f t="shared" si="348"/>
        <v/>
      </c>
      <c r="AG336" s="528" t="str">
        <f t="shared" si="348"/>
        <v/>
      </c>
      <c r="AH336" s="528" t="str">
        <f t="shared" si="348"/>
        <v/>
      </c>
      <c r="AI336" s="528" t="str">
        <f t="shared" si="348"/>
        <v/>
      </c>
      <c r="AJ336" s="528" t="str">
        <f t="shared" si="348"/>
        <v/>
      </c>
      <c r="AK336" s="528" t="str">
        <f t="shared" si="348"/>
        <v/>
      </c>
      <c r="AL336" s="528" t="str">
        <f t="shared" si="348"/>
        <v/>
      </c>
      <c r="AM336" s="528" t="str">
        <f t="shared" si="348"/>
        <v/>
      </c>
      <c r="AN336" s="528" t="str">
        <f t="shared" si="348"/>
        <v/>
      </c>
      <c r="AO336" s="528" t="str">
        <f t="shared" si="348"/>
        <v/>
      </c>
      <c r="AP336" s="528" t="str">
        <f t="shared" si="348"/>
        <v/>
      </c>
      <c r="AQ336" s="528" t="str">
        <f t="shared" si="348"/>
        <v/>
      </c>
      <c r="AR336" s="528" t="str">
        <f t="shared" si="348"/>
        <v/>
      </c>
      <c r="AS336" s="528" t="str">
        <f t="shared" si="348"/>
        <v/>
      </c>
      <c r="AT336" s="528" t="str">
        <f t="shared" si="348"/>
        <v/>
      </c>
      <c r="AU336" s="528" t="str">
        <f t="shared" si="348"/>
        <v/>
      </c>
      <c r="AV336" s="528" t="str">
        <f t="shared" si="348"/>
        <v/>
      </c>
      <c r="AW336" s="528" t="str">
        <f t="shared" si="348"/>
        <v/>
      </c>
      <c r="AX336" s="528" t="str">
        <f t="shared" si="348"/>
        <v/>
      </c>
      <c r="AY336" s="528" t="str">
        <f t="shared" si="348"/>
        <v/>
      </c>
      <c r="AZ336" s="528" t="str">
        <f t="shared" si="348"/>
        <v/>
      </c>
      <c r="BA336" s="528" t="str">
        <f t="shared" si="348"/>
        <v/>
      </c>
      <c r="BB336" s="528" t="str">
        <f t="shared" si="348"/>
        <v/>
      </c>
      <c r="BC336" s="528" t="str">
        <f t="shared" si="348"/>
        <v/>
      </c>
      <c r="BD336" s="528" t="str">
        <f t="shared" si="348"/>
        <v/>
      </c>
      <c r="BE336" s="528" t="str">
        <f t="shared" si="348"/>
        <v/>
      </c>
      <c r="BF336" s="528" t="str">
        <f t="shared" si="348"/>
        <v/>
      </c>
      <c r="BG336" s="528" t="str">
        <f t="shared" si="348"/>
        <v/>
      </c>
      <c r="BH336" s="528" t="str">
        <f t="shared" si="348"/>
        <v/>
      </c>
      <c r="BI336" s="528" t="str">
        <f t="shared" si="348"/>
        <v/>
      </c>
      <c r="BJ336" s="528" t="str">
        <f t="shared" si="348"/>
        <v/>
      </c>
      <c r="BK336" s="528" t="str">
        <f t="shared" si="348"/>
        <v/>
      </c>
      <c r="BL336" s="528" t="str">
        <f t="shared" si="348"/>
        <v/>
      </c>
      <c r="BM336" s="528" t="str">
        <f t="shared" si="348"/>
        <v/>
      </c>
    </row>
    <row r="337" spans="6:65" ht="15.75" customHeight="1" x14ac:dyDescent="0.25">
      <c r="F337" s="197"/>
      <c r="G337" s="197">
        <f t="shared" si="268"/>
        <v>0</v>
      </c>
      <c r="H337" s="197">
        <f t="shared" si="269"/>
        <v>138</v>
      </c>
      <c r="I337" s="523">
        <v>1</v>
      </c>
      <c r="J337" s="533">
        <f>'Monthly DCF'!$I$3</f>
        <v>46418</v>
      </c>
      <c r="K337" s="533">
        <f t="shared" si="270"/>
        <v>46783</v>
      </c>
      <c r="L337" s="536">
        <f t="shared" si="341"/>
        <v>13</v>
      </c>
      <c r="M337" s="20" t="s">
        <v>366</v>
      </c>
      <c r="N337" s="20">
        <f t="shared" si="271"/>
        <v>1.625</v>
      </c>
      <c r="O337" s="537">
        <v>8</v>
      </c>
      <c r="P337" s="528">
        <f t="shared" ref="P337:BM337" si="349">IFERROR(+IF(AND($M337="Flat",P$5&gt;=$J337,P$5&lt;=$K337),$I337/$L337,0)+IF(AND($M337="S-Curve",P$5&gt;=$J337,P$5&lt;=$K337),(_xlfn.NORM.DIST((YEAR(P$5)-YEAR($J337))*12+MONTH(P$5)-MONTH($J337)+1,$L337/2,$N337,TRUE)-_xlfn.NORM.DIST((YEAR(P$5)-YEAR($J337))*12+MONTH(P$5)-MONTH($J337),$L337/2,$N337,TRUE))/(1-2*_xlfn.NORM.DIST(0,$L337/2,$N337,TRUE))*$I337," "),"")</f>
        <v>3.2473959707428438E-4</v>
      </c>
      <c r="Q337" s="528">
        <f t="shared" si="349"/>
        <v>2.4532061974982542E-3</v>
      </c>
      <c r="R337" s="528">
        <f t="shared" si="349"/>
        <v>1.2817490245716393E-2</v>
      </c>
      <c r="S337" s="528">
        <f t="shared" si="349"/>
        <v>4.6344718997507917E-2</v>
      </c>
      <c r="T337" s="528">
        <f t="shared" si="349"/>
        <v>0.11602300621587042</v>
      </c>
      <c r="U337" s="528">
        <f t="shared" si="349"/>
        <v>0.20118742060718336</v>
      </c>
      <c r="V337" s="528">
        <f t="shared" si="349"/>
        <v>0.24169883627829872</v>
      </c>
      <c r="W337" s="528">
        <f t="shared" si="349"/>
        <v>0.20118742060718331</v>
      </c>
      <c r="X337" s="528">
        <f t="shared" si="349"/>
        <v>0.11602300621587046</v>
      </c>
      <c r="Y337" s="528">
        <f t="shared" si="349"/>
        <v>4.6344718997507965E-2</v>
      </c>
      <c r="Z337" s="528">
        <f t="shared" si="349"/>
        <v>1.2817490245716403E-2</v>
      </c>
      <c r="AA337" s="528">
        <f t="shared" si="349"/>
        <v>2.4532061974982585E-3</v>
      </c>
      <c r="AB337" s="528">
        <f t="shared" si="349"/>
        <v>3.2473959707423418E-4</v>
      </c>
      <c r="AC337" s="528" t="str">
        <f t="shared" si="349"/>
        <v/>
      </c>
      <c r="AD337" s="528" t="str">
        <f t="shared" si="349"/>
        <v/>
      </c>
      <c r="AE337" s="528" t="str">
        <f t="shared" si="349"/>
        <v/>
      </c>
      <c r="AF337" s="528" t="str">
        <f t="shared" si="349"/>
        <v/>
      </c>
      <c r="AG337" s="528" t="str">
        <f t="shared" si="349"/>
        <v/>
      </c>
      <c r="AH337" s="528" t="str">
        <f t="shared" si="349"/>
        <v/>
      </c>
      <c r="AI337" s="528" t="str">
        <f t="shared" si="349"/>
        <v/>
      </c>
      <c r="AJ337" s="528" t="str">
        <f t="shared" si="349"/>
        <v/>
      </c>
      <c r="AK337" s="528" t="str">
        <f t="shared" si="349"/>
        <v/>
      </c>
      <c r="AL337" s="528" t="str">
        <f t="shared" si="349"/>
        <v/>
      </c>
      <c r="AM337" s="528" t="str">
        <f t="shared" si="349"/>
        <v/>
      </c>
      <c r="AN337" s="528" t="str">
        <f t="shared" si="349"/>
        <v/>
      </c>
      <c r="AO337" s="528" t="str">
        <f t="shared" si="349"/>
        <v/>
      </c>
      <c r="AP337" s="528" t="str">
        <f t="shared" si="349"/>
        <v/>
      </c>
      <c r="AQ337" s="528" t="str">
        <f t="shared" si="349"/>
        <v/>
      </c>
      <c r="AR337" s="528" t="str">
        <f t="shared" si="349"/>
        <v/>
      </c>
      <c r="AS337" s="528" t="str">
        <f t="shared" si="349"/>
        <v/>
      </c>
      <c r="AT337" s="528" t="str">
        <f t="shared" si="349"/>
        <v/>
      </c>
      <c r="AU337" s="528" t="str">
        <f t="shared" si="349"/>
        <v/>
      </c>
      <c r="AV337" s="528" t="str">
        <f t="shared" si="349"/>
        <v/>
      </c>
      <c r="AW337" s="528" t="str">
        <f t="shared" si="349"/>
        <v/>
      </c>
      <c r="AX337" s="528" t="str">
        <f t="shared" si="349"/>
        <v/>
      </c>
      <c r="AY337" s="528" t="str">
        <f t="shared" si="349"/>
        <v/>
      </c>
      <c r="AZ337" s="528" t="str">
        <f t="shared" si="349"/>
        <v/>
      </c>
      <c r="BA337" s="528" t="str">
        <f t="shared" si="349"/>
        <v/>
      </c>
      <c r="BB337" s="528" t="str">
        <f t="shared" si="349"/>
        <v/>
      </c>
      <c r="BC337" s="528" t="str">
        <f t="shared" si="349"/>
        <v/>
      </c>
      <c r="BD337" s="528" t="str">
        <f t="shared" si="349"/>
        <v/>
      </c>
      <c r="BE337" s="528" t="str">
        <f t="shared" si="349"/>
        <v/>
      </c>
      <c r="BF337" s="528" t="str">
        <f t="shared" si="349"/>
        <v/>
      </c>
      <c r="BG337" s="528" t="str">
        <f t="shared" si="349"/>
        <v/>
      </c>
      <c r="BH337" s="528" t="str">
        <f t="shared" si="349"/>
        <v/>
      </c>
      <c r="BI337" s="528" t="str">
        <f t="shared" si="349"/>
        <v/>
      </c>
      <c r="BJ337" s="528" t="str">
        <f t="shared" si="349"/>
        <v/>
      </c>
      <c r="BK337" s="528" t="str">
        <f t="shared" si="349"/>
        <v/>
      </c>
      <c r="BL337" s="528" t="str">
        <f t="shared" si="349"/>
        <v/>
      </c>
      <c r="BM337" s="528" t="str">
        <f t="shared" si="349"/>
        <v/>
      </c>
    </row>
    <row r="338" spans="6:65" ht="15.75" customHeight="1" x14ac:dyDescent="0.25">
      <c r="F338" s="197"/>
      <c r="G338" s="197">
        <f t="shared" si="268"/>
        <v>0</v>
      </c>
      <c r="H338" s="197">
        <f t="shared" si="269"/>
        <v>148</v>
      </c>
      <c r="I338" s="523">
        <v>1</v>
      </c>
      <c r="J338" s="533">
        <f>'Monthly DCF'!$I$3</f>
        <v>46418</v>
      </c>
      <c r="K338" s="533">
        <f t="shared" si="270"/>
        <v>46812</v>
      </c>
      <c r="L338" s="536">
        <f t="shared" si="341"/>
        <v>14</v>
      </c>
      <c r="M338" s="20" t="s">
        <v>366</v>
      </c>
      <c r="N338" s="20">
        <f t="shared" si="271"/>
        <v>1.75</v>
      </c>
      <c r="O338" s="537">
        <v>8</v>
      </c>
      <c r="P338" s="528">
        <f t="shared" ref="P338:BM338" si="350">IFERROR(+IF(AND($M338="Flat",P$5&gt;=$J338,P$5&lt;=$K338),$I338/$L338,0)+IF(AND($M338="S-Curve",P$5&gt;=$J338,P$5&lt;=$K338),(_xlfn.NORM.DIST((YEAR(P$5)-YEAR($J338))*12+MONTH(P$5)-MONTH($J338)+1,$L338/2,$N338,TRUE)-_xlfn.NORM.DIST((YEAR(P$5)-YEAR($J338))*12+MONTH(P$5)-MONTH($J338),$L338/2,$N338,TRUE))/(1-2*_xlfn.NORM.DIST(0,$L338/2,$N338,TRUE))*$I338," "),"")</f>
        <v>2.7172939299954931E-4</v>
      </c>
      <c r="Q338" s="528">
        <f t="shared" si="350"/>
        <v>1.8340997337006712E-3</v>
      </c>
      <c r="R338" s="528">
        <f t="shared" si="350"/>
        <v>8.998692499062752E-3</v>
      </c>
      <c r="S338" s="528">
        <f t="shared" si="350"/>
        <v>3.2104676857185842E-2</v>
      </c>
      <c r="T338" s="528">
        <f t="shared" si="350"/>
        <v>8.3316099175376149E-2</v>
      </c>
      <c r="U338" s="528">
        <f t="shared" si="350"/>
        <v>0.15731559338552295</v>
      </c>
      <c r="V338" s="528">
        <f t="shared" si="350"/>
        <v>0.21615910895615209</v>
      </c>
      <c r="W338" s="528">
        <f t="shared" si="350"/>
        <v>0.21615910895615209</v>
      </c>
      <c r="X338" s="528">
        <f t="shared" si="350"/>
        <v>0.15731559338552289</v>
      </c>
      <c r="Y338" s="528">
        <f t="shared" si="350"/>
        <v>8.331609917537626E-2</v>
      </c>
      <c r="Z338" s="528">
        <f t="shared" si="350"/>
        <v>3.2104676857185779E-2</v>
      </c>
      <c r="AA338" s="528">
        <f t="shared" si="350"/>
        <v>8.9986924990627763E-3</v>
      </c>
      <c r="AB338" s="528">
        <f t="shared" si="350"/>
        <v>1.8340997337006947E-3</v>
      </c>
      <c r="AC338" s="528">
        <f t="shared" si="350"/>
        <v>2.7172939299951099E-4</v>
      </c>
      <c r="AD338" s="528" t="str">
        <f t="shared" si="350"/>
        <v/>
      </c>
      <c r="AE338" s="528" t="str">
        <f t="shared" si="350"/>
        <v/>
      </c>
      <c r="AF338" s="528" t="str">
        <f t="shared" si="350"/>
        <v/>
      </c>
      <c r="AG338" s="528" t="str">
        <f t="shared" si="350"/>
        <v/>
      </c>
      <c r="AH338" s="528" t="str">
        <f t="shared" si="350"/>
        <v/>
      </c>
      <c r="AI338" s="528" t="str">
        <f t="shared" si="350"/>
        <v/>
      </c>
      <c r="AJ338" s="528" t="str">
        <f t="shared" si="350"/>
        <v/>
      </c>
      <c r="AK338" s="528" t="str">
        <f t="shared" si="350"/>
        <v/>
      </c>
      <c r="AL338" s="528" t="str">
        <f t="shared" si="350"/>
        <v/>
      </c>
      <c r="AM338" s="528" t="str">
        <f t="shared" si="350"/>
        <v/>
      </c>
      <c r="AN338" s="528" t="str">
        <f t="shared" si="350"/>
        <v/>
      </c>
      <c r="AO338" s="528" t="str">
        <f t="shared" si="350"/>
        <v/>
      </c>
      <c r="AP338" s="528" t="str">
        <f t="shared" si="350"/>
        <v/>
      </c>
      <c r="AQ338" s="528" t="str">
        <f t="shared" si="350"/>
        <v/>
      </c>
      <c r="AR338" s="528" t="str">
        <f t="shared" si="350"/>
        <v/>
      </c>
      <c r="AS338" s="528" t="str">
        <f t="shared" si="350"/>
        <v/>
      </c>
      <c r="AT338" s="528" t="str">
        <f t="shared" si="350"/>
        <v/>
      </c>
      <c r="AU338" s="528" t="str">
        <f t="shared" si="350"/>
        <v/>
      </c>
      <c r="AV338" s="528" t="str">
        <f t="shared" si="350"/>
        <v/>
      </c>
      <c r="AW338" s="528" t="str">
        <f t="shared" si="350"/>
        <v/>
      </c>
      <c r="AX338" s="528" t="str">
        <f t="shared" si="350"/>
        <v/>
      </c>
      <c r="AY338" s="528" t="str">
        <f t="shared" si="350"/>
        <v/>
      </c>
      <c r="AZ338" s="528" t="str">
        <f t="shared" si="350"/>
        <v/>
      </c>
      <c r="BA338" s="528" t="str">
        <f t="shared" si="350"/>
        <v/>
      </c>
      <c r="BB338" s="528" t="str">
        <f t="shared" si="350"/>
        <v/>
      </c>
      <c r="BC338" s="528" t="str">
        <f t="shared" si="350"/>
        <v/>
      </c>
      <c r="BD338" s="528" t="str">
        <f t="shared" si="350"/>
        <v/>
      </c>
      <c r="BE338" s="528" t="str">
        <f t="shared" si="350"/>
        <v/>
      </c>
      <c r="BF338" s="528" t="str">
        <f t="shared" si="350"/>
        <v/>
      </c>
      <c r="BG338" s="528" t="str">
        <f t="shared" si="350"/>
        <v/>
      </c>
      <c r="BH338" s="528" t="str">
        <f t="shared" si="350"/>
        <v/>
      </c>
      <c r="BI338" s="528" t="str">
        <f t="shared" si="350"/>
        <v/>
      </c>
      <c r="BJ338" s="528" t="str">
        <f t="shared" si="350"/>
        <v/>
      </c>
      <c r="BK338" s="528" t="str">
        <f t="shared" si="350"/>
        <v/>
      </c>
      <c r="BL338" s="528" t="str">
        <f t="shared" si="350"/>
        <v/>
      </c>
      <c r="BM338" s="528" t="str">
        <f t="shared" si="350"/>
        <v/>
      </c>
    </row>
    <row r="339" spans="6:65" ht="15.75" customHeight="1" x14ac:dyDescent="0.25">
      <c r="F339" s="197"/>
      <c r="G339" s="197">
        <f t="shared" si="268"/>
        <v>0</v>
      </c>
      <c r="H339" s="197">
        <f t="shared" si="269"/>
        <v>158</v>
      </c>
      <c r="I339" s="523">
        <v>1</v>
      </c>
      <c r="J339" s="533">
        <f>'Monthly DCF'!$I$3</f>
        <v>46418</v>
      </c>
      <c r="K339" s="533">
        <f t="shared" si="270"/>
        <v>46843</v>
      </c>
      <c r="L339" s="536">
        <f t="shared" si="341"/>
        <v>15</v>
      </c>
      <c r="M339" s="20" t="s">
        <v>366</v>
      </c>
      <c r="N339" s="20">
        <f t="shared" si="271"/>
        <v>1.875</v>
      </c>
      <c r="O339" s="537">
        <v>8</v>
      </c>
      <c r="P339" s="528">
        <f t="shared" ref="P339:BM339" si="351">IFERROR(+IF(AND($M339="Flat",P$5&gt;=$J339,P$5&lt;=$K339),$I339/$L339,0)+IF(AND($M339="S-Curve",P$5&gt;=$J339,P$5&lt;=$K339),(_xlfn.NORM.DIST((YEAR(P$5)-YEAR($J339))*12+MONTH(P$5)-MONTH($J339)+1,$L339/2,$N339,TRUE)-_xlfn.NORM.DIST((YEAR(P$5)-YEAR($J339))*12+MONTH(P$5)-MONTH($J339),$L339/2,$N339,TRUE))/(1-2*_xlfn.NORM.DIST(0,$L339/2,$N339,TRUE))*$I339," "),"")</f>
        <v>2.318209078742498E-4</v>
      </c>
      <c r="Q339" s="528">
        <f t="shared" si="351"/>
        <v>1.4133302857283984E-3</v>
      </c>
      <c r="R339" s="528">
        <f t="shared" si="351"/>
        <v>6.5212307680763831E-3</v>
      </c>
      <c r="S339" s="528">
        <f t="shared" si="351"/>
        <v>2.2777982596134984E-2</v>
      </c>
      <c r="T339" s="528">
        <f t="shared" si="351"/>
        <v>6.0240959831141444E-2</v>
      </c>
      <c r="U339" s="528">
        <f t="shared" si="351"/>
        <v>0.12065182124354515</v>
      </c>
      <c r="V339" s="528">
        <f t="shared" si="351"/>
        <v>0.18301910476528271</v>
      </c>
      <c r="W339" s="528">
        <f t="shared" si="351"/>
        <v>0.21028749920443335</v>
      </c>
      <c r="X339" s="528">
        <f t="shared" si="351"/>
        <v>0.18301910476528269</v>
      </c>
      <c r="Y339" s="528">
        <f t="shared" si="351"/>
        <v>0.12065182124354518</v>
      </c>
      <c r="Z339" s="528">
        <f t="shared" si="351"/>
        <v>6.0240959831141416E-2</v>
      </c>
      <c r="AA339" s="528">
        <f t="shared" si="351"/>
        <v>2.2777982596134991E-2</v>
      </c>
      <c r="AB339" s="528">
        <f t="shared" si="351"/>
        <v>6.5212307680763935E-3</v>
      </c>
      <c r="AC339" s="528">
        <f t="shared" si="351"/>
        <v>1.4133302857284151E-3</v>
      </c>
      <c r="AD339" s="528">
        <f t="shared" si="351"/>
        <v>2.3182090787424704E-4</v>
      </c>
      <c r="AE339" s="528" t="str">
        <f t="shared" si="351"/>
        <v/>
      </c>
      <c r="AF339" s="528" t="str">
        <f t="shared" si="351"/>
        <v/>
      </c>
      <c r="AG339" s="528" t="str">
        <f t="shared" si="351"/>
        <v/>
      </c>
      <c r="AH339" s="528" t="str">
        <f t="shared" si="351"/>
        <v/>
      </c>
      <c r="AI339" s="528" t="str">
        <f t="shared" si="351"/>
        <v/>
      </c>
      <c r="AJ339" s="528" t="str">
        <f t="shared" si="351"/>
        <v/>
      </c>
      <c r="AK339" s="528" t="str">
        <f t="shared" si="351"/>
        <v/>
      </c>
      <c r="AL339" s="528" t="str">
        <f t="shared" si="351"/>
        <v/>
      </c>
      <c r="AM339" s="528" t="str">
        <f t="shared" si="351"/>
        <v/>
      </c>
      <c r="AN339" s="528" t="str">
        <f t="shared" si="351"/>
        <v/>
      </c>
      <c r="AO339" s="528" t="str">
        <f t="shared" si="351"/>
        <v/>
      </c>
      <c r="AP339" s="528" t="str">
        <f t="shared" si="351"/>
        <v/>
      </c>
      <c r="AQ339" s="528" t="str">
        <f t="shared" si="351"/>
        <v/>
      </c>
      <c r="AR339" s="528" t="str">
        <f t="shared" si="351"/>
        <v/>
      </c>
      <c r="AS339" s="528" t="str">
        <f t="shared" si="351"/>
        <v/>
      </c>
      <c r="AT339" s="528" t="str">
        <f t="shared" si="351"/>
        <v/>
      </c>
      <c r="AU339" s="528" t="str">
        <f t="shared" si="351"/>
        <v/>
      </c>
      <c r="AV339" s="528" t="str">
        <f t="shared" si="351"/>
        <v/>
      </c>
      <c r="AW339" s="528" t="str">
        <f t="shared" si="351"/>
        <v/>
      </c>
      <c r="AX339" s="528" t="str">
        <f t="shared" si="351"/>
        <v/>
      </c>
      <c r="AY339" s="528" t="str">
        <f t="shared" si="351"/>
        <v/>
      </c>
      <c r="AZ339" s="528" t="str">
        <f t="shared" si="351"/>
        <v/>
      </c>
      <c r="BA339" s="528" t="str">
        <f t="shared" si="351"/>
        <v/>
      </c>
      <c r="BB339" s="528" t="str">
        <f t="shared" si="351"/>
        <v/>
      </c>
      <c r="BC339" s="528" t="str">
        <f t="shared" si="351"/>
        <v/>
      </c>
      <c r="BD339" s="528" t="str">
        <f t="shared" si="351"/>
        <v/>
      </c>
      <c r="BE339" s="528" t="str">
        <f t="shared" si="351"/>
        <v/>
      </c>
      <c r="BF339" s="528" t="str">
        <f t="shared" si="351"/>
        <v/>
      </c>
      <c r="BG339" s="528" t="str">
        <f t="shared" si="351"/>
        <v/>
      </c>
      <c r="BH339" s="528" t="str">
        <f t="shared" si="351"/>
        <v/>
      </c>
      <c r="BI339" s="528" t="str">
        <f t="shared" si="351"/>
        <v/>
      </c>
      <c r="BJ339" s="528" t="str">
        <f t="shared" si="351"/>
        <v/>
      </c>
      <c r="BK339" s="528" t="str">
        <f t="shared" si="351"/>
        <v/>
      </c>
      <c r="BL339" s="528" t="str">
        <f t="shared" si="351"/>
        <v/>
      </c>
      <c r="BM339" s="528" t="str">
        <f t="shared" si="351"/>
        <v/>
      </c>
    </row>
    <row r="340" spans="6:65" ht="15.75" customHeight="1" x14ac:dyDescent="0.25">
      <c r="F340" s="197"/>
      <c r="G340" s="197">
        <f t="shared" si="268"/>
        <v>0</v>
      </c>
      <c r="H340" s="197">
        <f t="shared" si="269"/>
        <v>168</v>
      </c>
      <c r="I340" s="523">
        <v>1</v>
      </c>
      <c r="J340" s="533">
        <f>'Monthly DCF'!$I$3</f>
        <v>46418</v>
      </c>
      <c r="K340" s="533">
        <f t="shared" si="270"/>
        <v>46873</v>
      </c>
      <c r="L340" s="536">
        <f t="shared" si="341"/>
        <v>16</v>
      </c>
      <c r="M340" s="20" t="s">
        <v>366</v>
      </c>
      <c r="N340" s="20">
        <f t="shared" si="271"/>
        <v>2</v>
      </c>
      <c r="O340" s="537">
        <v>8</v>
      </c>
      <c r="P340" s="528">
        <f t="shared" ref="P340:BM340" si="352">IFERROR(+IF(AND($M340="Flat",P$5&gt;=$J340,P$5&lt;=$K340),$I340/$L340,0)+IF(AND($M340="S-Curve",P$5&gt;=$J340,P$5&lt;=$K340),(_xlfn.NORM.DIST((YEAR(P$5)-YEAR($J340))*12+MONTH(P$5)-MONTH($J340)+1,$L340/2,$N340,TRUE)-_xlfn.NORM.DIST((YEAR(P$5)-YEAR($J340))*12+MONTH(P$5)-MONTH($J340),$L340/2,$N340,TRUE))/(1-2*_xlfn.NORM.DIST(0,$L340/2,$N340,TRUE))*$I340," "),"")</f>
        <v>2.0097056717727403E-4</v>
      </c>
      <c r="Q340" s="528">
        <f t="shared" si="352"/>
        <v>1.1173397276680176E-3</v>
      </c>
      <c r="R340" s="528">
        <f t="shared" si="352"/>
        <v>4.8600751433764263E-3</v>
      </c>
      <c r="S340" s="528">
        <f t="shared" si="352"/>
        <v>1.6541514403008942E-2</v>
      </c>
      <c r="T340" s="528">
        <f t="shared" si="352"/>
        <v>4.4059860181652755E-2</v>
      </c>
      <c r="U340" s="528">
        <f t="shared" si="352"/>
        <v>9.1853870914917049E-2</v>
      </c>
      <c r="V340" s="528">
        <f t="shared" si="352"/>
        <v>0.14989177931211267</v>
      </c>
      <c r="W340" s="528">
        <f t="shared" si="352"/>
        <v>0.19147458975008685</v>
      </c>
      <c r="X340" s="528">
        <f t="shared" si="352"/>
        <v>0.19147458975008685</v>
      </c>
      <c r="Y340" s="528">
        <f t="shared" si="352"/>
        <v>0.1498917793121127</v>
      </c>
      <c r="Z340" s="528">
        <f t="shared" si="352"/>
        <v>9.1853870914916994E-2</v>
      </c>
      <c r="AA340" s="528">
        <f t="shared" si="352"/>
        <v>4.4059860181652769E-2</v>
      </c>
      <c r="AB340" s="528">
        <f t="shared" si="352"/>
        <v>1.6541514403008935E-2</v>
      </c>
      <c r="AC340" s="528">
        <f t="shared" si="352"/>
        <v>4.860075143376442E-3</v>
      </c>
      <c r="AD340" s="528">
        <f t="shared" si="352"/>
        <v>1.1173397276680128E-3</v>
      </c>
      <c r="AE340" s="528">
        <f t="shared" si="352"/>
        <v>2.0097056717728894E-4</v>
      </c>
      <c r="AF340" s="528" t="str">
        <f t="shared" si="352"/>
        <v/>
      </c>
      <c r="AG340" s="528" t="str">
        <f t="shared" si="352"/>
        <v/>
      </c>
      <c r="AH340" s="528" t="str">
        <f t="shared" si="352"/>
        <v/>
      </c>
      <c r="AI340" s="528" t="str">
        <f t="shared" si="352"/>
        <v/>
      </c>
      <c r="AJ340" s="528" t="str">
        <f t="shared" si="352"/>
        <v/>
      </c>
      <c r="AK340" s="528" t="str">
        <f t="shared" si="352"/>
        <v/>
      </c>
      <c r="AL340" s="528" t="str">
        <f t="shared" si="352"/>
        <v/>
      </c>
      <c r="AM340" s="528" t="str">
        <f t="shared" si="352"/>
        <v/>
      </c>
      <c r="AN340" s="528" t="str">
        <f t="shared" si="352"/>
        <v/>
      </c>
      <c r="AO340" s="528" t="str">
        <f t="shared" si="352"/>
        <v/>
      </c>
      <c r="AP340" s="528" t="str">
        <f t="shared" si="352"/>
        <v/>
      </c>
      <c r="AQ340" s="528" t="str">
        <f t="shared" si="352"/>
        <v/>
      </c>
      <c r="AR340" s="528" t="str">
        <f t="shared" si="352"/>
        <v/>
      </c>
      <c r="AS340" s="528" t="str">
        <f t="shared" si="352"/>
        <v/>
      </c>
      <c r="AT340" s="528" t="str">
        <f t="shared" si="352"/>
        <v/>
      </c>
      <c r="AU340" s="528" t="str">
        <f t="shared" si="352"/>
        <v/>
      </c>
      <c r="AV340" s="528" t="str">
        <f t="shared" si="352"/>
        <v/>
      </c>
      <c r="AW340" s="528" t="str">
        <f t="shared" si="352"/>
        <v/>
      </c>
      <c r="AX340" s="528" t="str">
        <f t="shared" si="352"/>
        <v/>
      </c>
      <c r="AY340" s="528" t="str">
        <f t="shared" si="352"/>
        <v/>
      </c>
      <c r="AZ340" s="528" t="str">
        <f t="shared" si="352"/>
        <v/>
      </c>
      <c r="BA340" s="528" t="str">
        <f t="shared" si="352"/>
        <v/>
      </c>
      <c r="BB340" s="528" t="str">
        <f t="shared" si="352"/>
        <v/>
      </c>
      <c r="BC340" s="528" t="str">
        <f t="shared" si="352"/>
        <v/>
      </c>
      <c r="BD340" s="528" t="str">
        <f t="shared" si="352"/>
        <v/>
      </c>
      <c r="BE340" s="528" t="str">
        <f t="shared" si="352"/>
        <v/>
      </c>
      <c r="BF340" s="528" t="str">
        <f t="shared" si="352"/>
        <v/>
      </c>
      <c r="BG340" s="528" t="str">
        <f t="shared" si="352"/>
        <v/>
      </c>
      <c r="BH340" s="528" t="str">
        <f t="shared" si="352"/>
        <v/>
      </c>
      <c r="BI340" s="528" t="str">
        <f t="shared" si="352"/>
        <v/>
      </c>
      <c r="BJ340" s="528" t="str">
        <f t="shared" si="352"/>
        <v/>
      </c>
      <c r="BK340" s="528" t="str">
        <f t="shared" si="352"/>
        <v/>
      </c>
      <c r="BL340" s="528" t="str">
        <f t="shared" si="352"/>
        <v/>
      </c>
      <c r="BM340" s="528" t="str">
        <f t="shared" si="352"/>
        <v/>
      </c>
    </row>
    <row r="341" spans="6:65" ht="15.75" customHeight="1" x14ac:dyDescent="0.25">
      <c r="F341" s="197"/>
      <c r="G341" s="197">
        <f t="shared" si="268"/>
        <v>0</v>
      </c>
      <c r="H341" s="197">
        <f t="shared" si="269"/>
        <v>178</v>
      </c>
      <c r="I341" s="523">
        <v>1</v>
      </c>
      <c r="J341" s="533">
        <f>'Monthly DCF'!$I$3</f>
        <v>46418</v>
      </c>
      <c r="K341" s="533">
        <f t="shared" si="270"/>
        <v>46904</v>
      </c>
      <c r="L341" s="536">
        <f t="shared" si="341"/>
        <v>17</v>
      </c>
      <c r="M341" s="20" t="s">
        <v>366</v>
      </c>
      <c r="N341" s="20">
        <f t="shared" si="271"/>
        <v>2.125</v>
      </c>
      <c r="O341" s="537">
        <v>8</v>
      </c>
      <c r="P341" s="528">
        <f t="shared" ref="P341:BM341" si="353">IFERROR(+IF(AND($M341="Flat",P$5&gt;=$J341,P$5&lt;=$K341),$I341/$L341,0)+IF(AND($M341="S-Curve",P$5&gt;=$J341,P$5&lt;=$K341),(_xlfn.NORM.DIST((YEAR(P$5)-YEAR($J341))*12+MONTH(P$5)-MONTH($J341)+1,$L341/2,$N341,TRUE)-_xlfn.NORM.DIST((YEAR(P$5)-YEAR($J341))*12+MONTH(P$5)-MONTH($J341),$L341/2,$N341,TRUE))/(1-2*_xlfn.NORM.DIST(0,$L341/2,$N341,TRUE))*$I341," "),"")</f>
        <v>1.7658222388513349E-4</v>
      </c>
      <c r="Q341" s="528">
        <f t="shared" si="353"/>
        <v>9.0285491545477137E-4</v>
      </c>
      <c r="R341" s="528">
        <f t="shared" si="353"/>
        <v>3.712648156728636E-3</v>
      </c>
      <c r="S341" s="528">
        <f t="shared" si="353"/>
        <v>1.2279809627661016E-2</v>
      </c>
      <c r="T341" s="528">
        <f t="shared" si="353"/>
        <v>3.2672562574137733E-2</v>
      </c>
      <c r="U341" s="528">
        <f t="shared" si="353"/>
        <v>6.9934891445899941E-2</v>
      </c>
      <c r="V341" s="528">
        <f t="shared" si="353"/>
        <v>0.12043484062024155</v>
      </c>
      <c r="W341" s="528">
        <f t="shared" si="353"/>
        <v>0.16687014880142245</v>
      </c>
      <c r="X341" s="528">
        <f t="shared" si="353"/>
        <v>0.18603132326913752</v>
      </c>
      <c r="Y341" s="528">
        <f t="shared" si="353"/>
        <v>0.16687014880142245</v>
      </c>
      <c r="Z341" s="528">
        <f t="shared" si="353"/>
        <v>0.12043484062024157</v>
      </c>
      <c r="AA341" s="528">
        <f t="shared" si="353"/>
        <v>6.9934891445899885E-2</v>
      </c>
      <c r="AB341" s="528">
        <f t="shared" si="353"/>
        <v>3.2672562574137795E-2</v>
      </c>
      <c r="AC341" s="528">
        <f t="shared" si="353"/>
        <v>1.2279809627660999E-2</v>
      </c>
      <c r="AD341" s="528">
        <f t="shared" si="353"/>
        <v>3.7126481567286629E-3</v>
      </c>
      <c r="AE341" s="528">
        <f t="shared" si="353"/>
        <v>9.0285491545475597E-4</v>
      </c>
      <c r="AF341" s="528">
        <f t="shared" si="353"/>
        <v>1.7658222388511132E-4</v>
      </c>
      <c r="AG341" s="528" t="str">
        <f t="shared" si="353"/>
        <v/>
      </c>
      <c r="AH341" s="528" t="str">
        <f t="shared" si="353"/>
        <v/>
      </c>
      <c r="AI341" s="528" t="str">
        <f t="shared" si="353"/>
        <v/>
      </c>
      <c r="AJ341" s="528" t="str">
        <f t="shared" si="353"/>
        <v/>
      </c>
      <c r="AK341" s="528" t="str">
        <f t="shared" si="353"/>
        <v/>
      </c>
      <c r="AL341" s="528" t="str">
        <f t="shared" si="353"/>
        <v/>
      </c>
      <c r="AM341" s="528" t="str">
        <f t="shared" si="353"/>
        <v/>
      </c>
      <c r="AN341" s="528" t="str">
        <f t="shared" si="353"/>
        <v/>
      </c>
      <c r="AO341" s="528" t="str">
        <f t="shared" si="353"/>
        <v/>
      </c>
      <c r="AP341" s="528" t="str">
        <f t="shared" si="353"/>
        <v/>
      </c>
      <c r="AQ341" s="528" t="str">
        <f t="shared" si="353"/>
        <v/>
      </c>
      <c r="AR341" s="528" t="str">
        <f t="shared" si="353"/>
        <v/>
      </c>
      <c r="AS341" s="528" t="str">
        <f t="shared" si="353"/>
        <v/>
      </c>
      <c r="AT341" s="528" t="str">
        <f t="shared" si="353"/>
        <v/>
      </c>
      <c r="AU341" s="528" t="str">
        <f t="shared" si="353"/>
        <v/>
      </c>
      <c r="AV341" s="528" t="str">
        <f t="shared" si="353"/>
        <v/>
      </c>
      <c r="AW341" s="528" t="str">
        <f t="shared" si="353"/>
        <v/>
      </c>
      <c r="AX341" s="528" t="str">
        <f t="shared" si="353"/>
        <v/>
      </c>
      <c r="AY341" s="528" t="str">
        <f t="shared" si="353"/>
        <v/>
      </c>
      <c r="AZ341" s="528" t="str">
        <f t="shared" si="353"/>
        <v/>
      </c>
      <c r="BA341" s="528" t="str">
        <f t="shared" si="353"/>
        <v/>
      </c>
      <c r="BB341" s="528" t="str">
        <f t="shared" si="353"/>
        <v/>
      </c>
      <c r="BC341" s="528" t="str">
        <f t="shared" si="353"/>
        <v/>
      </c>
      <c r="BD341" s="528" t="str">
        <f t="shared" si="353"/>
        <v/>
      </c>
      <c r="BE341" s="528" t="str">
        <f t="shared" si="353"/>
        <v/>
      </c>
      <c r="BF341" s="528" t="str">
        <f t="shared" si="353"/>
        <v/>
      </c>
      <c r="BG341" s="528" t="str">
        <f t="shared" si="353"/>
        <v/>
      </c>
      <c r="BH341" s="528" t="str">
        <f t="shared" si="353"/>
        <v/>
      </c>
      <c r="BI341" s="528" t="str">
        <f t="shared" si="353"/>
        <v/>
      </c>
      <c r="BJ341" s="528" t="str">
        <f t="shared" si="353"/>
        <v/>
      </c>
      <c r="BK341" s="528" t="str">
        <f t="shared" si="353"/>
        <v/>
      </c>
      <c r="BL341" s="528" t="str">
        <f t="shared" si="353"/>
        <v/>
      </c>
      <c r="BM341" s="528" t="str">
        <f t="shared" si="353"/>
        <v/>
      </c>
    </row>
    <row r="342" spans="6:65" ht="15.75" customHeight="1" x14ac:dyDescent="0.25">
      <c r="F342" s="197"/>
      <c r="G342" s="197">
        <f t="shared" si="268"/>
        <v>0</v>
      </c>
      <c r="H342" s="197">
        <f t="shared" si="269"/>
        <v>188</v>
      </c>
      <c r="I342" s="523">
        <v>1</v>
      </c>
      <c r="J342" s="533">
        <f>'Monthly DCF'!$I$3</f>
        <v>46418</v>
      </c>
      <c r="K342" s="533">
        <f t="shared" si="270"/>
        <v>46934</v>
      </c>
      <c r="L342" s="536">
        <f t="shared" si="341"/>
        <v>18</v>
      </c>
      <c r="M342" s="20" t="s">
        <v>366</v>
      </c>
      <c r="N342" s="20">
        <f t="shared" si="271"/>
        <v>2.25</v>
      </c>
      <c r="O342" s="537">
        <v>8</v>
      </c>
      <c r="P342" s="528">
        <f t="shared" ref="P342:BM342" si="354">IFERROR(+IF(AND($M342="Flat",P$5&gt;=$J342,P$5&lt;=$K342),$I342/$L342,0)+IF(AND($M342="S-Curve",P$5&gt;=$J342,P$5&lt;=$K342),(_xlfn.NORM.DIST((YEAR(P$5)-YEAR($J342))*12+MONTH(P$5)-MONTH($J342)+1,$L342/2,$N342,TRUE)-_xlfn.NORM.DIST((YEAR(P$5)-YEAR($J342))*12+MONTH(P$5)-MONTH($J342),$L342/2,$N342,TRUE))/(1-2*_xlfn.NORM.DIST(0,$L342/2,$N342,TRUE))*$I342," "),"")</f>
        <v>1.5692931337847867E-4</v>
      </c>
      <c r="Q342" s="528">
        <f t="shared" si="354"/>
        <v>7.4338044015923054E-4</v>
      </c>
      <c r="R342" s="528">
        <f t="shared" si="354"/>
        <v>2.8986402071447398E-3</v>
      </c>
      <c r="S342" s="528">
        <f t="shared" si="354"/>
        <v>9.3043544843533325E-3</v>
      </c>
      <c r="T342" s="528">
        <f t="shared" si="354"/>
        <v>2.4587591561496005E-2</v>
      </c>
      <c r="U342" s="528">
        <f t="shared" si="354"/>
        <v>5.349442838242368E-2</v>
      </c>
      <c r="V342" s="528">
        <f t="shared" si="354"/>
        <v>9.5826248892178625E-2</v>
      </c>
      <c r="W342" s="528">
        <f t="shared" si="354"/>
        <v>0.1413381972488946</v>
      </c>
      <c r="X342" s="528">
        <f t="shared" si="354"/>
        <v>0.17165022946997133</v>
      </c>
      <c r="Y342" s="528">
        <f t="shared" si="354"/>
        <v>0.17165022946997133</v>
      </c>
      <c r="Z342" s="528">
        <f t="shared" si="354"/>
        <v>0.14133819724889457</v>
      </c>
      <c r="AA342" s="528">
        <f t="shared" si="354"/>
        <v>9.5826248892178653E-2</v>
      </c>
      <c r="AB342" s="528">
        <f t="shared" si="354"/>
        <v>5.3494428382423666E-2</v>
      </c>
      <c r="AC342" s="528">
        <f t="shared" si="354"/>
        <v>2.4587591561496019E-2</v>
      </c>
      <c r="AD342" s="528">
        <f t="shared" si="354"/>
        <v>9.3043544843532909E-3</v>
      </c>
      <c r="AE342" s="528">
        <f t="shared" si="354"/>
        <v>2.8986402071447923E-3</v>
      </c>
      <c r="AF342" s="528">
        <f t="shared" si="354"/>
        <v>7.4338044015918718E-4</v>
      </c>
      <c r="AG342" s="528">
        <f t="shared" si="354"/>
        <v>1.5692931337850908E-4</v>
      </c>
      <c r="AH342" s="528" t="str">
        <f t="shared" si="354"/>
        <v/>
      </c>
      <c r="AI342" s="528" t="str">
        <f t="shared" si="354"/>
        <v/>
      </c>
      <c r="AJ342" s="528" t="str">
        <f t="shared" si="354"/>
        <v/>
      </c>
      <c r="AK342" s="528" t="str">
        <f t="shared" si="354"/>
        <v/>
      </c>
      <c r="AL342" s="528" t="str">
        <f t="shared" si="354"/>
        <v/>
      </c>
      <c r="AM342" s="528" t="str">
        <f t="shared" si="354"/>
        <v/>
      </c>
      <c r="AN342" s="528" t="str">
        <f t="shared" si="354"/>
        <v/>
      </c>
      <c r="AO342" s="528" t="str">
        <f t="shared" si="354"/>
        <v/>
      </c>
      <c r="AP342" s="528" t="str">
        <f t="shared" si="354"/>
        <v/>
      </c>
      <c r="AQ342" s="528" t="str">
        <f t="shared" si="354"/>
        <v/>
      </c>
      <c r="AR342" s="528" t="str">
        <f t="shared" si="354"/>
        <v/>
      </c>
      <c r="AS342" s="528" t="str">
        <f t="shared" si="354"/>
        <v/>
      </c>
      <c r="AT342" s="528" t="str">
        <f t="shared" si="354"/>
        <v/>
      </c>
      <c r="AU342" s="528" t="str">
        <f t="shared" si="354"/>
        <v/>
      </c>
      <c r="AV342" s="528" t="str">
        <f t="shared" si="354"/>
        <v/>
      </c>
      <c r="AW342" s="528" t="str">
        <f t="shared" si="354"/>
        <v/>
      </c>
      <c r="AX342" s="528" t="str">
        <f t="shared" si="354"/>
        <v/>
      </c>
      <c r="AY342" s="528" t="str">
        <f t="shared" si="354"/>
        <v/>
      </c>
      <c r="AZ342" s="528" t="str">
        <f t="shared" si="354"/>
        <v/>
      </c>
      <c r="BA342" s="528" t="str">
        <f t="shared" si="354"/>
        <v/>
      </c>
      <c r="BB342" s="528" t="str">
        <f t="shared" si="354"/>
        <v/>
      </c>
      <c r="BC342" s="528" t="str">
        <f t="shared" si="354"/>
        <v/>
      </c>
      <c r="BD342" s="528" t="str">
        <f t="shared" si="354"/>
        <v/>
      </c>
      <c r="BE342" s="528" t="str">
        <f t="shared" si="354"/>
        <v/>
      </c>
      <c r="BF342" s="528" t="str">
        <f t="shared" si="354"/>
        <v/>
      </c>
      <c r="BG342" s="528" t="str">
        <f t="shared" si="354"/>
        <v/>
      </c>
      <c r="BH342" s="528" t="str">
        <f t="shared" si="354"/>
        <v/>
      </c>
      <c r="BI342" s="528" t="str">
        <f t="shared" si="354"/>
        <v/>
      </c>
      <c r="BJ342" s="528" t="str">
        <f t="shared" si="354"/>
        <v/>
      </c>
      <c r="BK342" s="528" t="str">
        <f t="shared" si="354"/>
        <v/>
      </c>
      <c r="BL342" s="528" t="str">
        <f t="shared" si="354"/>
        <v/>
      </c>
      <c r="BM342" s="528" t="str">
        <f t="shared" si="354"/>
        <v/>
      </c>
    </row>
    <row r="343" spans="6:65" ht="15.75" customHeight="1" x14ac:dyDescent="0.25">
      <c r="F343" s="197"/>
      <c r="G343" s="197">
        <f t="shared" si="268"/>
        <v>0</v>
      </c>
      <c r="H343" s="197">
        <f t="shared" si="269"/>
        <v>198</v>
      </c>
      <c r="I343" s="523">
        <v>1</v>
      </c>
      <c r="J343" s="533">
        <f>'Monthly DCF'!$I$3</f>
        <v>46418</v>
      </c>
      <c r="K343" s="533">
        <f t="shared" si="270"/>
        <v>46965</v>
      </c>
      <c r="L343" s="536">
        <f t="shared" si="341"/>
        <v>19</v>
      </c>
      <c r="M343" s="20" t="s">
        <v>366</v>
      </c>
      <c r="N343" s="20">
        <f t="shared" si="271"/>
        <v>2.375</v>
      </c>
      <c r="O343" s="537">
        <v>8</v>
      </c>
      <c r="P343" s="528">
        <f t="shared" ref="P343:BM343" si="355">IFERROR(+IF(AND($M343="Flat",P$5&gt;=$J343,P$5&lt;=$K343),$I343/$L343,0)+IF(AND($M343="S-Curve",P$5&gt;=$J343,P$5&lt;=$K343),(_xlfn.NORM.DIST((YEAR(P$5)-YEAR($J343))*12+MONTH(P$5)-MONTH($J343)+1,$L343/2,$N343,TRUE)-_xlfn.NORM.DIST((YEAR(P$5)-YEAR($J343))*12+MONTH(P$5)-MONTH($J343),$L343/2,$N343,TRUE))/(1-2*_xlfn.NORM.DIST(0,$L343/2,$N343,TRUE))*$I343," "),"")</f>
        <v>1.4082814272740895E-4</v>
      </c>
      <c r="Q343" s="528">
        <f t="shared" si="355"/>
        <v>6.2211358311357607E-4</v>
      </c>
      <c r="R343" s="528">
        <f t="shared" si="355"/>
        <v>2.3071844344593993E-3</v>
      </c>
      <c r="S343" s="528">
        <f t="shared" si="355"/>
        <v>7.1837352300255126E-3</v>
      </c>
      <c r="T343" s="528">
        <f t="shared" si="355"/>
        <v>1.8779943546471643E-2</v>
      </c>
      <c r="U343" s="528">
        <f t="shared" si="355"/>
        <v>4.1222292041401445E-2</v>
      </c>
      <c r="V343" s="528">
        <f t="shared" si="355"/>
        <v>7.5976433603590507E-2</v>
      </c>
      <c r="W343" s="528">
        <f t="shared" si="355"/>
        <v>0.11758353233642556</v>
      </c>
      <c r="X343" s="528">
        <f t="shared" si="355"/>
        <v>0.15280711320194798</v>
      </c>
      <c r="Y343" s="528">
        <f t="shared" si="355"/>
        <v>0.16675364775967397</v>
      </c>
      <c r="Z343" s="528">
        <f t="shared" si="355"/>
        <v>0.15280711320194798</v>
      </c>
      <c r="AA343" s="528">
        <f t="shared" si="355"/>
        <v>0.11758353233642556</v>
      </c>
      <c r="AB343" s="528">
        <f t="shared" si="355"/>
        <v>7.5976433603590479E-2</v>
      </c>
      <c r="AC343" s="528">
        <f t="shared" si="355"/>
        <v>4.1222292041401473E-2</v>
      </c>
      <c r="AD343" s="528">
        <f t="shared" si="355"/>
        <v>1.8779943546471622E-2</v>
      </c>
      <c r="AE343" s="528">
        <f t="shared" si="355"/>
        <v>7.1837352300255413E-3</v>
      </c>
      <c r="AF343" s="528">
        <f t="shared" si="355"/>
        <v>2.307184434459362E-3</v>
      </c>
      <c r="AG343" s="528">
        <f t="shared" si="355"/>
        <v>6.2211358311355992E-4</v>
      </c>
      <c r="AH343" s="528">
        <f t="shared" si="355"/>
        <v>1.4082814272744907E-4</v>
      </c>
      <c r="AI343" s="528" t="str">
        <f t="shared" si="355"/>
        <v/>
      </c>
      <c r="AJ343" s="528" t="str">
        <f t="shared" si="355"/>
        <v/>
      </c>
      <c r="AK343" s="528" t="str">
        <f t="shared" si="355"/>
        <v/>
      </c>
      <c r="AL343" s="528" t="str">
        <f t="shared" si="355"/>
        <v/>
      </c>
      <c r="AM343" s="528" t="str">
        <f t="shared" si="355"/>
        <v/>
      </c>
      <c r="AN343" s="528" t="str">
        <f t="shared" si="355"/>
        <v/>
      </c>
      <c r="AO343" s="528" t="str">
        <f t="shared" si="355"/>
        <v/>
      </c>
      <c r="AP343" s="528" t="str">
        <f t="shared" si="355"/>
        <v/>
      </c>
      <c r="AQ343" s="528" t="str">
        <f t="shared" si="355"/>
        <v/>
      </c>
      <c r="AR343" s="528" t="str">
        <f t="shared" si="355"/>
        <v/>
      </c>
      <c r="AS343" s="528" t="str">
        <f t="shared" si="355"/>
        <v/>
      </c>
      <c r="AT343" s="528" t="str">
        <f t="shared" si="355"/>
        <v/>
      </c>
      <c r="AU343" s="528" t="str">
        <f t="shared" si="355"/>
        <v/>
      </c>
      <c r="AV343" s="528" t="str">
        <f t="shared" si="355"/>
        <v/>
      </c>
      <c r="AW343" s="528" t="str">
        <f t="shared" si="355"/>
        <v/>
      </c>
      <c r="AX343" s="528" t="str">
        <f t="shared" si="355"/>
        <v/>
      </c>
      <c r="AY343" s="528" t="str">
        <f t="shared" si="355"/>
        <v/>
      </c>
      <c r="AZ343" s="528" t="str">
        <f t="shared" si="355"/>
        <v/>
      </c>
      <c r="BA343" s="528" t="str">
        <f t="shared" si="355"/>
        <v/>
      </c>
      <c r="BB343" s="528" t="str">
        <f t="shared" si="355"/>
        <v/>
      </c>
      <c r="BC343" s="528" t="str">
        <f t="shared" si="355"/>
        <v/>
      </c>
      <c r="BD343" s="528" t="str">
        <f t="shared" si="355"/>
        <v/>
      </c>
      <c r="BE343" s="528" t="str">
        <f t="shared" si="355"/>
        <v/>
      </c>
      <c r="BF343" s="528" t="str">
        <f t="shared" si="355"/>
        <v/>
      </c>
      <c r="BG343" s="528" t="str">
        <f t="shared" si="355"/>
        <v/>
      </c>
      <c r="BH343" s="528" t="str">
        <f t="shared" si="355"/>
        <v/>
      </c>
      <c r="BI343" s="528" t="str">
        <f t="shared" si="355"/>
        <v/>
      </c>
      <c r="BJ343" s="528" t="str">
        <f t="shared" si="355"/>
        <v/>
      </c>
      <c r="BK343" s="528" t="str">
        <f t="shared" si="355"/>
        <v/>
      </c>
      <c r="BL343" s="528" t="str">
        <f t="shared" si="355"/>
        <v/>
      </c>
      <c r="BM343" s="528" t="str">
        <f t="shared" si="355"/>
        <v/>
      </c>
    </row>
    <row r="344" spans="6:65" ht="15.75" customHeight="1" x14ac:dyDescent="0.25">
      <c r="F344" s="197"/>
      <c r="G344" s="197">
        <f t="shared" si="268"/>
        <v>0</v>
      </c>
      <c r="H344" s="197">
        <f t="shared" si="269"/>
        <v>208</v>
      </c>
      <c r="I344" s="523">
        <v>1</v>
      </c>
      <c r="J344" s="533">
        <f>'Monthly DCF'!$I$3</f>
        <v>46418</v>
      </c>
      <c r="K344" s="533">
        <f t="shared" si="270"/>
        <v>46996</v>
      </c>
      <c r="L344" s="536">
        <f t="shared" si="341"/>
        <v>20</v>
      </c>
      <c r="M344" s="20" t="s">
        <v>366</v>
      </c>
      <c r="N344" s="20">
        <f t="shared" si="271"/>
        <v>2.5</v>
      </c>
      <c r="O344" s="537">
        <v>8</v>
      </c>
      <c r="P344" s="528">
        <f t="shared" ref="P344:BM344" si="356">IFERROR(+IF(AND($M344="Flat",P$5&gt;=$J344,P$5&lt;=$K344),$I344/$L344,0)+IF(AND($M344="S-Curve",P$5&gt;=$J344,P$5&lt;=$K344),(_xlfn.NORM.DIST((YEAR(P$5)-YEAR($J344))*12+MONTH(P$5)-MONTH($J344)+1,$L344/2,$N344,TRUE)-_xlfn.NORM.DIST((YEAR(P$5)-YEAR($J344))*12+MONTH(P$5)-MONTH($J344),$L344/2,$N344,TRUE))/(1-2*_xlfn.NORM.DIST(0,$L344/2,$N344,TRUE))*$I344," "),"")</f>
        <v>1.2744542103391396E-4</v>
      </c>
      <c r="Q344" s="528">
        <f t="shared" si="356"/>
        <v>5.2806279656737981E-4</v>
      </c>
      <c r="R344" s="528">
        <f t="shared" si="356"/>
        <v>1.8681107232850604E-3</v>
      </c>
      <c r="S344" s="528">
        <f t="shared" si="356"/>
        <v>5.6427630207926778E-3</v>
      </c>
      <c r="T344" s="528">
        <f t="shared" si="356"/>
        <v>1.4553517879551631E-2</v>
      </c>
      <c r="U344" s="528">
        <f t="shared" si="356"/>
        <v>3.2051189953354875E-2</v>
      </c>
      <c r="V344" s="528">
        <f t="shared" si="356"/>
        <v>6.0274196439453767E-2</v>
      </c>
      <c r="W344" s="528">
        <f t="shared" si="356"/>
        <v>9.67918593984613E-2</v>
      </c>
      <c r="X344" s="528">
        <f t="shared" si="356"/>
        <v>0.13273126733441229</v>
      </c>
      <c r="Y344" s="528">
        <f t="shared" si="356"/>
        <v>0.1554315870330871</v>
      </c>
      <c r="Z344" s="528">
        <f t="shared" si="356"/>
        <v>0.15543158703308715</v>
      </c>
      <c r="AA344" s="528">
        <f t="shared" si="356"/>
        <v>0.13273126733441221</v>
      </c>
      <c r="AB344" s="528">
        <f t="shared" si="356"/>
        <v>9.6791859398461383E-2</v>
      </c>
      <c r="AC344" s="528">
        <f t="shared" si="356"/>
        <v>6.0274196439453684E-2</v>
      </c>
      <c r="AD344" s="528">
        <f t="shared" si="356"/>
        <v>3.2051189953354889E-2</v>
      </c>
      <c r="AE344" s="528">
        <f t="shared" si="356"/>
        <v>1.4553517879551624E-2</v>
      </c>
      <c r="AF344" s="528">
        <f t="shared" si="356"/>
        <v>5.6427630207926535E-3</v>
      </c>
      <c r="AG344" s="528">
        <f t="shared" si="356"/>
        <v>1.8681107232850953E-3</v>
      </c>
      <c r="AH344" s="528">
        <f t="shared" si="356"/>
        <v>5.2806279656737384E-4</v>
      </c>
      <c r="AI344" s="528">
        <f t="shared" si="356"/>
        <v>1.2744542103393304E-4</v>
      </c>
      <c r="AJ344" s="528" t="str">
        <f t="shared" si="356"/>
        <v/>
      </c>
      <c r="AK344" s="528" t="str">
        <f t="shared" si="356"/>
        <v/>
      </c>
      <c r="AL344" s="528" t="str">
        <f t="shared" si="356"/>
        <v/>
      </c>
      <c r="AM344" s="528" t="str">
        <f t="shared" si="356"/>
        <v/>
      </c>
      <c r="AN344" s="528" t="str">
        <f t="shared" si="356"/>
        <v/>
      </c>
      <c r="AO344" s="528" t="str">
        <f t="shared" si="356"/>
        <v/>
      </c>
      <c r="AP344" s="528" t="str">
        <f t="shared" si="356"/>
        <v/>
      </c>
      <c r="AQ344" s="528" t="str">
        <f t="shared" si="356"/>
        <v/>
      </c>
      <c r="AR344" s="528" t="str">
        <f t="shared" si="356"/>
        <v/>
      </c>
      <c r="AS344" s="528" t="str">
        <f t="shared" si="356"/>
        <v/>
      </c>
      <c r="AT344" s="528" t="str">
        <f t="shared" si="356"/>
        <v/>
      </c>
      <c r="AU344" s="528" t="str">
        <f t="shared" si="356"/>
        <v/>
      </c>
      <c r="AV344" s="528" t="str">
        <f t="shared" si="356"/>
        <v/>
      </c>
      <c r="AW344" s="528" t="str">
        <f t="shared" si="356"/>
        <v/>
      </c>
      <c r="AX344" s="528" t="str">
        <f t="shared" si="356"/>
        <v/>
      </c>
      <c r="AY344" s="528" t="str">
        <f t="shared" si="356"/>
        <v/>
      </c>
      <c r="AZ344" s="528" t="str">
        <f t="shared" si="356"/>
        <v/>
      </c>
      <c r="BA344" s="528" t="str">
        <f t="shared" si="356"/>
        <v/>
      </c>
      <c r="BB344" s="528" t="str">
        <f t="shared" si="356"/>
        <v/>
      </c>
      <c r="BC344" s="528" t="str">
        <f t="shared" si="356"/>
        <v/>
      </c>
      <c r="BD344" s="528" t="str">
        <f t="shared" si="356"/>
        <v/>
      </c>
      <c r="BE344" s="528" t="str">
        <f t="shared" si="356"/>
        <v/>
      </c>
      <c r="BF344" s="528" t="str">
        <f t="shared" si="356"/>
        <v/>
      </c>
      <c r="BG344" s="528" t="str">
        <f t="shared" si="356"/>
        <v/>
      </c>
      <c r="BH344" s="528" t="str">
        <f t="shared" si="356"/>
        <v/>
      </c>
      <c r="BI344" s="528" t="str">
        <f t="shared" si="356"/>
        <v/>
      </c>
      <c r="BJ344" s="528" t="str">
        <f t="shared" si="356"/>
        <v/>
      </c>
      <c r="BK344" s="528" t="str">
        <f t="shared" si="356"/>
        <v/>
      </c>
      <c r="BL344" s="528" t="str">
        <f t="shared" si="356"/>
        <v/>
      </c>
      <c r="BM344" s="528" t="str">
        <f t="shared" si="356"/>
        <v/>
      </c>
    </row>
    <row r="345" spans="6:65" ht="15.75" customHeight="1" x14ac:dyDescent="0.25">
      <c r="F345" s="197"/>
      <c r="G345" s="197">
        <f t="shared" si="268"/>
        <v>0</v>
      </c>
      <c r="H345" s="197">
        <f t="shared" si="269"/>
        <v>218</v>
      </c>
      <c r="I345" s="523">
        <v>1</v>
      </c>
      <c r="J345" s="533">
        <f>'Monthly DCF'!$I$3</f>
        <v>46418</v>
      </c>
      <c r="K345" s="533">
        <f t="shared" si="270"/>
        <v>47026</v>
      </c>
      <c r="L345" s="536">
        <f t="shared" si="341"/>
        <v>21</v>
      </c>
      <c r="M345" s="20" t="s">
        <v>366</v>
      </c>
      <c r="N345" s="20">
        <f t="shared" si="271"/>
        <v>2.625</v>
      </c>
      <c r="O345" s="537">
        <v>8</v>
      </c>
      <c r="P345" s="528">
        <f t="shared" ref="P345:BM345" si="357">IFERROR(+IF(AND($M345="Flat",P$5&gt;=$J345,P$5&lt;=$K345),$I345/$L345,0)+IF(AND($M345="S-Curve",P$5&gt;=$J345,P$5&lt;=$K345),(_xlfn.NORM.DIST((YEAR(P$5)-YEAR($J345))*12+MONTH(P$5)-MONTH($J345)+1,$L345/2,$N345,TRUE)-_xlfn.NORM.DIST((YEAR(P$5)-YEAR($J345))*12+MONTH(P$5)-MONTH($J345),$L345/2,$N345,TRUE))/(1-2*_xlfn.NORM.DIST(0,$L345/2,$N345,TRUE))*$I345," "),"")</f>
        <v>1.1618073206589373E-4</v>
      </c>
      <c r="Q345" s="528">
        <f t="shared" si="357"/>
        <v>4.5383729750036084E-4</v>
      </c>
      <c r="R345" s="528">
        <f t="shared" si="357"/>
        <v>1.535811097133966E-3</v>
      </c>
      <c r="S345" s="528">
        <f t="shared" si="357"/>
        <v>4.502553810582087E-3</v>
      </c>
      <c r="T345" s="528">
        <f t="shared" si="357"/>
        <v>1.14360049856613E-2</v>
      </c>
      <c r="U345" s="528">
        <f t="shared" si="357"/>
        <v>2.5164810560005212E-2</v>
      </c>
      <c r="V345" s="528">
        <f t="shared" si="357"/>
        <v>4.7976125906006646E-2</v>
      </c>
      <c r="W345" s="528">
        <f t="shared" si="357"/>
        <v>7.9245707858152839E-2</v>
      </c>
      <c r="X345" s="528">
        <f t="shared" si="357"/>
        <v>0.11340985879673962</v>
      </c>
      <c r="Y345" s="528">
        <f t="shared" si="357"/>
        <v>0.14062232370884026</v>
      </c>
      <c r="Z345" s="528">
        <f t="shared" si="357"/>
        <v>0.15107357049462364</v>
      </c>
      <c r="AA345" s="528">
        <f t="shared" si="357"/>
        <v>0.14062232370884026</v>
      </c>
      <c r="AB345" s="528">
        <f t="shared" si="357"/>
        <v>0.11340985879673965</v>
      </c>
      <c r="AC345" s="528">
        <f t="shared" si="357"/>
        <v>7.9245707858152811E-2</v>
      </c>
      <c r="AD345" s="528">
        <f t="shared" si="357"/>
        <v>4.7976125906006702E-2</v>
      </c>
      <c r="AE345" s="528">
        <f t="shared" si="357"/>
        <v>2.5164810560005118E-2</v>
      </c>
      <c r="AF345" s="528">
        <f t="shared" si="357"/>
        <v>1.1436004985661325E-2</v>
      </c>
      <c r="AG345" s="528">
        <f t="shared" si="357"/>
        <v>4.5025538105821165E-3</v>
      </c>
      <c r="AH345" s="528">
        <f t="shared" si="357"/>
        <v>1.5358110971339161E-3</v>
      </c>
      <c r="AI345" s="528">
        <f t="shared" si="357"/>
        <v>4.5383729750045007E-4</v>
      </c>
      <c r="AJ345" s="528">
        <f t="shared" si="357"/>
        <v>1.1618073206583951E-4</v>
      </c>
      <c r="AK345" s="528" t="str">
        <f t="shared" si="357"/>
        <v/>
      </c>
      <c r="AL345" s="528" t="str">
        <f t="shared" si="357"/>
        <v/>
      </c>
      <c r="AM345" s="528" t="str">
        <f t="shared" si="357"/>
        <v/>
      </c>
      <c r="AN345" s="528" t="str">
        <f t="shared" si="357"/>
        <v/>
      </c>
      <c r="AO345" s="528" t="str">
        <f t="shared" si="357"/>
        <v/>
      </c>
      <c r="AP345" s="528" t="str">
        <f t="shared" si="357"/>
        <v/>
      </c>
      <c r="AQ345" s="528" t="str">
        <f t="shared" si="357"/>
        <v/>
      </c>
      <c r="AR345" s="528" t="str">
        <f t="shared" si="357"/>
        <v/>
      </c>
      <c r="AS345" s="528" t="str">
        <f t="shared" si="357"/>
        <v/>
      </c>
      <c r="AT345" s="528" t="str">
        <f t="shared" si="357"/>
        <v/>
      </c>
      <c r="AU345" s="528" t="str">
        <f t="shared" si="357"/>
        <v/>
      </c>
      <c r="AV345" s="528" t="str">
        <f t="shared" si="357"/>
        <v/>
      </c>
      <c r="AW345" s="528" t="str">
        <f t="shared" si="357"/>
        <v/>
      </c>
      <c r="AX345" s="528" t="str">
        <f t="shared" si="357"/>
        <v/>
      </c>
      <c r="AY345" s="528" t="str">
        <f t="shared" si="357"/>
        <v/>
      </c>
      <c r="AZ345" s="528" t="str">
        <f t="shared" si="357"/>
        <v/>
      </c>
      <c r="BA345" s="528" t="str">
        <f t="shared" si="357"/>
        <v/>
      </c>
      <c r="BB345" s="528" t="str">
        <f t="shared" si="357"/>
        <v/>
      </c>
      <c r="BC345" s="528" t="str">
        <f t="shared" si="357"/>
        <v/>
      </c>
      <c r="BD345" s="528" t="str">
        <f t="shared" si="357"/>
        <v/>
      </c>
      <c r="BE345" s="528" t="str">
        <f t="shared" si="357"/>
        <v/>
      </c>
      <c r="BF345" s="528" t="str">
        <f t="shared" si="357"/>
        <v/>
      </c>
      <c r="BG345" s="528" t="str">
        <f t="shared" si="357"/>
        <v/>
      </c>
      <c r="BH345" s="528" t="str">
        <f t="shared" si="357"/>
        <v/>
      </c>
      <c r="BI345" s="528" t="str">
        <f t="shared" si="357"/>
        <v/>
      </c>
      <c r="BJ345" s="528" t="str">
        <f t="shared" si="357"/>
        <v/>
      </c>
      <c r="BK345" s="528" t="str">
        <f t="shared" si="357"/>
        <v/>
      </c>
      <c r="BL345" s="528" t="str">
        <f t="shared" si="357"/>
        <v/>
      </c>
      <c r="BM345" s="528" t="str">
        <f t="shared" si="357"/>
        <v/>
      </c>
    </row>
    <row r="346" spans="6:65" ht="15.75" customHeight="1" x14ac:dyDescent="0.25">
      <c r="F346" s="197"/>
      <c r="G346" s="197">
        <f t="shared" si="268"/>
        <v>0</v>
      </c>
      <c r="H346" s="197">
        <f t="shared" si="269"/>
        <v>228</v>
      </c>
      <c r="I346" s="523">
        <v>1</v>
      </c>
      <c r="J346" s="533">
        <f>'Monthly DCF'!$I$3</f>
        <v>46418</v>
      </c>
      <c r="K346" s="533">
        <f t="shared" si="270"/>
        <v>47057</v>
      </c>
      <c r="L346" s="536">
        <f t="shared" si="341"/>
        <v>22</v>
      </c>
      <c r="M346" s="20" t="s">
        <v>366</v>
      </c>
      <c r="N346" s="20">
        <f t="shared" si="271"/>
        <v>2.75</v>
      </c>
      <c r="O346" s="537">
        <v>8</v>
      </c>
      <c r="P346" s="528">
        <f t="shared" ref="P346:BM346" si="358">IFERROR(+IF(AND($M346="Flat",P$5&gt;=$J346,P$5&lt;=$K346),$I346/$L346,0)+IF(AND($M346="S-Curve",P$5&gt;=$J346,P$5&lt;=$K346),(_xlfn.NORM.DIST((YEAR(P$5)-YEAR($J346))*12+MONTH(P$5)-MONTH($J346)+1,$L346/2,$N346,TRUE)-_xlfn.NORM.DIST((YEAR(P$5)-YEAR($J346))*12+MONTH(P$5)-MONTH($J346),$L346/2,$N346,TRUE))/(1-2*_xlfn.NORM.DIST(0,$L346/2,$N346,TRUE))*$I346," "),"")</f>
        <v>1.0659246781758933E-4</v>
      </c>
      <c r="Q346" s="528">
        <f t="shared" si="358"/>
        <v>3.9434402219689127E-4</v>
      </c>
      <c r="R346" s="528">
        <f t="shared" si="358"/>
        <v>1.2799122641385639E-3</v>
      </c>
      <c r="S346" s="528">
        <f t="shared" si="358"/>
        <v>3.6446022396125202E-3</v>
      </c>
      <c r="T346" s="528">
        <f t="shared" si="358"/>
        <v>9.1052752528837794E-3</v>
      </c>
      <c r="U346" s="528">
        <f t="shared" si="358"/>
        <v>1.9957961107840587E-2</v>
      </c>
      <c r="V346" s="528">
        <f t="shared" si="358"/>
        <v>3.8381827679073222E-2</v>
      </c>
      <c r="W346" s="528">
        <f t="shared" si="358"/>
        <v>6.4762975032681455E-2</v>
      </c>
      <c r="X346" s="528">
        <f t="shared" si="358"/>
        <v>9.5879080815716E-2</v>
      </c>
      <c r="Y346" s="528">
        <f t="shared" si="358"/>
        <v>0.1245432224472295</v>
      </c>
      <c r="Z346" s="528">
        <f t="shared" si="358"/>
        <v>0.1419442066708099</v>
      </c>
      <c r="AA346" s="528">
        <f t="shared" si="358"/>
        <v>0.1419442066708099</v>
      </c>
      <c r="AB346" s="528">
        <f t="shared" si="358"/>
        <v>0.12454322244722947</v>
      </c>
      <c r="AC346" s="528">
        <f t="shared" si="358"/>
        <v>9.5879080815716056E-2</v>
      </c>
      <c r="AD346" s="528">
        <f t="shared" si="358"/>
        <v>6.4762975032681441E-2</v>
      </c>
      <c r="AE346" s="528">
        <f t="shared" si="358"/>
        <v>3.8381827679073256E-2</v>
      </c>
      <c r="AF346" s="528">
        <f t="shared" si="358"/>
        <v>1.995796110784058E-2</v>
      </c>
      <c r="AG346" s="528">
        <f t="shared" si="358"/>
        <v>9.1052752528837828E-3</v>
      </c>
      <c r="AH346" s="528">
        <f t="shared" si="358"/>
        <v>3.6446022396125132E-3</v>
      </c>
      <c r="AI346" s="528">
        <f t="shared" si="358"/>
        <v>1.2799122641384902E-3</v>
      </c>
      <c r="AJ346" s="528">
        <f t="shared" si="358"/>
        <v>3.9434402219688E-4</v>
      </c>
      <c r="AK346" s="528">
        <f t="shared" si="358"/>
        <v>1.0659246781763677E-4</v>
      </c>
      <c r="AL346" s="528" t="str">
        <f t="shared" si="358"/>
        <v/>
      </c>
      <c r="AM346" s="528" t="str">
        <f t="shared" si="358"/>
        <v/>
      </c>
      <c r="AN346" s="528" t="str">
        <f t="shared" si="358"/>
        <v/>
      </c>
      <c r="AO346" s="528" t="str">
        <f t="shared" si="358"/>
        <v/>
      </c>
      <c r="AP346" s="528" t="str">
        <f t="shared" si="358"/>
        <v/>
      </c>
      <c r="AQ346" s="528" t="str">
        <f t="shared" si="358"/>
        <v/>
      </c>
      <c r="AR346" s="528" t="str">
        <f t="shared" si="358"/>
        <v/>
      </c>
      <c r="AS346" s="528" t="str">
        <f t="shared" si="358"/>
        <v/>
      </c>
      <c r="AT346" s="528" t="str">
        <f t="shared" si="358"/>
        <v/>
      </c>
      <c r="AU346" s="528" t="str">
        <f t="shared" si="358"/>
        <v/>
      </c>
      <c r="AV346" s="528" t="str">
        <f t="shared" si="358"/>
        <v/>
      </c>
      <c r="AW346" s="528" t="str">
        <f t="shared" si="358"/>
        <v/>
      </c>
      <c r="AX346" s="528" t="str">
        <f t="shared" si="358"/>
        <v/>
      </c>
      <c r="AY346" s="528" t="str">
        <f t="shared" si="358"/>
        <v/>
      </c>
      <c r="AZ346" s="528" t="str">
        <f t="shared" si="358"/>
        <v/>
      </c>
      <c r="BA346" s="528" t="str">
        <f t="shared" si="358"/>
        <v/>
      </c>
      <c r="BB346" s="528" t="str">
        <f t="shared" si="358"/>
        <v/>
      </c>
      <c r="BC346" s="528" t="str">
        <f t="shared" si="358"/>
        <v/>
      </c>
      <c r="BD346" s="528" t="str">
        <f t="shared" si="358"/>
        <v/>
      </c>
      <c r="BE346" s="528" t="str">
        <f t="shared" si="358"/>
        <v/>
      </c>
      <c r="BF346" s="528" t="str">
        <f t="shared" si="358"/>
        <v/>
      </c>
      <c r="BG346" s="528" t="str">
        <f t="shared" si="358"/>
        <v/>
      </c>
      <c r="BH346" s="528" t="str">
        <f t="shared" si="358"/>
        <v/>
      </c>
      <c r="BI346" s="528" t="str">
        <f t="shared" si="358"/>
        <v/>
      </c>
      <c r="BJ346" s="528" t="str">
        <f t="shared" si="358"/>
        <v/>
      </c>
      <c r="BK346" s="528" t="str">
        <f t="shared" si="358"/>
        <v/>
      </c>
      <c r="BL346" s="528" t="str">
        <f t="shared" si="358"/>
        <v/>
      </c>
      <c r="BM346" s="528" t="str">
        <f t="shared" si="358"/>
        <v/>
      </c>
    </row>
    <row r="347" spans="6:65" ht="15.75" customHeight="1" x14ac:dyDescent="0.25">
      <c r="F347" s="197"/>
      <c r="G347" s="197">
        <f t="shared" si="268"/>
        <v>0</v>
      </c>
      <c r="H347" s="197">
        <f t="shared" si="269"/>
        <v>238</v>
      </c>
      <c r="I347" s="523">
        <v>1</v>
      </c>
      <c r="J347" s="533">
        <f>'Monthly DCF'!$I$3</f>
        <v>46418</v>
      </c>
      <c r="K347" s="533">
        <f t="shared" si="270"/>
        <v>47087</v>
      </c>
      <c r="L347" s="536">
        <f t="shared" si="341"/>
        <v>23</v>
      </c>
      <c r="M347" s="20" t="s">
        <v>366</v>
      </c>
      <c r="N347" s="20">
        <f t="shared" si="271"/>
        <v>2.875</v>
      </c>
      <c r="O347" s="537">
        <v>8</v>
      </c>
      <c r="P347" s="528">
        <f t="shared" ref="P347:BM347" si="359">IFERROR(+IF(AND($M347="Flat",P$5&gt;=$J347,P$5&lt;=$K347),$I347/$L347,0)+IF(AND($M347="S-Curve",P$5&gt;=$J347,P$5&lt;=$K347),(_xlfn.NORM.DIST((YEAR(P$5)-YEAR($J347))*12+MONTH(P$5)-MONTH($J347)+1,$L347/2,$N347,TRUE)-_xlfn.NORM.DIST((YEAR(P$5)-YEAR($J347))*12+MONTH(P$5)-MONTH($J347),$L347/2,$N347,TRUE))/(1-2*_xlfn.NORM.DIST(0,$L347/2,$N347,TRUE))*$I347," "),"")</f>
        <v>9.8349827730812999E-5</v>
      </c>
      <c r="Q347" s="528">
        <f t="shared" si="359"/>
        <v>3.4599528439407772E-4</v>
      </c>
      <c r="R347" s="528">
        <f t="shared" si="359"/>
        <v>1.0797316751301532E-3</v>
      </c>
      <c r="S347" s="528">
        <f t="shared" si="359"/>
        <v>2.9889397300686673E-3</v>
      </c>
      <c r="T347" s="528">
        <f t="shared" si="359"/>
        <v>7.339730653983567E-3</v>
      </c>
      <c r="U347" s="528">
        <f t="shared" si="359"/>
        <v>1.5988588444077943E-2</v>
      </c>
      <c r="V347" s="528">
        <f t="shared" si="359"/>
        <v>3.0896686269650829E-2</v>
      </c>
      <c r="W347" s="528">
        <f t="shared" si="359"/>
        <v>5.2965067394722176E-2</v>
      </c>
      <c r="X347" s="528">
        <f t="shared" si="359"/>
        <v>8.054644353961278E-2</v>
      </c>
      <c r="Y347" s="528">
        <f t="shared" si="359"/>
        <v>0.10866384442475327</v>
      </c>
      <c r="Z347" s="528">
        <f t="shared" si="359"/>
        <v>0.13004915056579966</v>
      </c>
      <c r="AA347" s="528">
        <f t="shared" si="359"/>
        <v>0.13807494438015219</v>
      </c>
      <c r="AB347" s="528">
        <f t="shared" si="359"/>
        <v>0.1300491505657996</v>
      </c>
      <c r="AC347" s="528">
        <f t="shared" si="359"/>
        <v>0.10866384442475327</v>
      </c>
      <c r="AD347" s="528">
        <f t="shared" si="359"/>
        <v>8.0546443539612822E-2</v>
      </c>
      <c r="AE347" s="528">
        <f t="shared" si="359"/>
        <v>5.2965067394722162E-2</v>
      </c>
      <c r="AF347" s="528">
        <f t="shared" si="359"/>
        <v>3.0896686269650846E-2</v>
      </c>
      <c r="AG347" s="528">
        <f t="shared" si="359"/>
        <v>1.5988588444077936E-2</v>
      </c>
      <c r="AH347" s="528">
        <f t="shared" si="359"/>
        <v>7.3397306539835045E-3</v>
      </c>
      <c r="AI347" s="528">
        <f t="shared" si="359"/>
        <v>2.9889397300687094E-3</v>
      </c>
      <c r="AJ347" s="528">
        <f t="shared" si="359"/>
        <v>1.0797316751301768E-3</v>
      </c>
      <c r="AK347" s="528">
        <f t="shared" si="359"/>
        <v>3.4599528439406996E-4</v>
      </c>
      <c r="AL347" s="528">
        <f t="shared" si="359"/>
        <v>9.8349827730777911E-5</v>
      </c>
      <c r="AM347" s="528" t="str">
        <f t="shared" si="359"/>
        <v/>
      </c>
      <c r="AN347" s="528" t="str">
        <f t="shared" si="359"/>
        <v/>
      </c>
      <c r="AO347" s="528" t="str">
        <f t="shared" si="359"/>
        <v/>
      </c>
      <c r="AP347" s="528" t="str">
        <f t="shared" si="359"/>
        <v/>
      </c>
      <c r="AQ347" s="528" t="str">
        <f t="shared" si="359"/>
        <v/>
      </c>
      <c r="AR347" s="528" t="str">
        <f t="shared" si="359"/>
        <v/>
      </c>
      <c r="AS347" s="528" t="str">
        <f t="shared" si="359"/>
        <v/>
      </c>
      <c r="AT347" s="528" t="str">
        <f t="shared" si="359"/>
        <v/>
      </c>
      <c r="AU347" s="528" t="str">
        <f t="shared" si="359"/>
        <v/>
      </c>
      <c r="AV347" s="528" t="str">
        <f t="shared" si="359"/>
        <v/>
      </c>
      <c r="AW347" s="528" t="str">
        <f t="shared" si="359"/>
        <v/>
      </c>
      <c r="AX347" s="528" t="str">
        <f t="shared" si="359"/>
        <v/>
      </c>
      <c r="AY347" s="528" t="str">
        <f t="shared" si="359"/>
        <v/>
      </c>
      <c r="AZ347" s="528" t="str">
        <f t="shared" si="359"/>
        <v/>
      </c>
      <c r="BA347" s="528" t="str">
        <f t="shared" si="359"/>
        <v/>
      </c>
      <c r="BB347" s="528" t="str">
        <f t="shared" si="359"/>
        <v/>
      </c>
      <c r="BC347" s="528" t="str">
        <f t="shared" si="359"/>
        <v/>
      </c>
      <c r="BD347" s="528" t="str">
        <f t="shared" si="359"/>
        <v/>
      </c>
      <c r="BE347" s="528" t="str">
        <f t="shared" si="359"/>
        <v/>
      </c>
      <c r="BF347" s="528" t="str">
        <f t="shared" si="359"/>
        <v/>
      </c>
      <c r="BG347" s="528" t="str">
        <f t="shared" si="359"/>
        <v/>
      </c>
      <c r="BH347" s="528" t="str">
        <f t="shared" si="359"/>
        <v/>
      </c>
      <c r="BI347" s="528" t="str">
        <f t="shared" si="359"/>
        <v/>
      </c>
      <c r="BJ347" s="528" t="str">
        <f t="shared" si="359"/>
        <v/>
      </c>
      <c r="BK347" s="528" t="str">
        <f t="shared" si="359"/>
        <v/>
      </c>
      <c r="BL347" s="528" t="str">
        <f t="shared" si="359"/>
        <v/>
      </c>
      <c r="BM347" s="528" t="str">
        <f t="shared" si="359"/>
        <v/>
      </c>
    </row>
    <row r="348" spans="6:65" ht="15.75" customHeight="1" x14ac:dyDescent="0.25">
      <c r="F348" s="197"/>
      <c r="G348" s="197">
        <f t="shared" si="268"/>
        <v>0</v>
      </c>
      <c r="H348" s="197">
        <f t="shared" si="269"/>
        <v>248</v>
      </c>
      <c r="I348" s="523">
        <v>1</v>
      </c>
      <c r="J348" s="533">
        <f>'Monthly DCF'!$I$3</f>
        <v>46418</v>
      </c>
      <c r="K348" s="533">
        <f t="shared" si="270"/>
        <v>47118</v>
      </c>
      <c r="L348" s="536">
        <f t="shared" si="341"/>
        <v>24</v>
      </c>
      <c r="M348" s="20" t="s">
        <v>366</v>
      </c>
      <c r="N348" s="20">
        <f t="shared" si="271"/>
        <v>3</v>
      </c>
      <c r="O348" s="537">
        <v>8</v>
      </c>
      <c r="P348" s="528">
        <f t="shared" ref="P348:BM348" si="360">IFERROR(+IF(AND($M348="Flat",P$5&gt;=$J348,P$5&lt;=$K348),$I348/$L348,0)+IF(AND($M348="S-Curve",P$5&gt;=$J348,P$5&lt;=$K348),(_xlfn.NORM.DIST((YEAR(P$5)-YEAR($J348))*12+MONTH(P$5)-MONTH($J348)+1,$L348/2,$N348,TRUE)-_xlfn.NORM.DIST((YEAR(P$5)-YEAR($J348))*12+MONTH(P$5)-MONTH($J348),$L348/2,$N348,TRUE))/(1-2*_xlfn.NORM.DIST(0,$L348/2,$N348,TRUE))*$I348," "),"")</f>
        <v>9.1200925025136087E-5</v>
      </c>
      <c r="Q348" s="528">
        <f t="shared" si="360"/>
        <v>3.0621333954514336E-4</v>
      </c>
      <c r="R348" s="528">
        <f t="shared" si="360"/>
        <v>9.2089603027501225E-4</v>
      </c>
      <c r="S348" s="528">
        <f t="shared" si="360"/>
        <v>2.4806396658371573E-3</v>
      </c>
      <c r="T348" s="528">
        <f t="shared" si="360"/>
        <v>5.9853271865451512E-3</v>
      </c>
      <c r="U348" s="528">
        <f t="shared" si="360"/>
        <v>1.2935622694003064E-2</v>
      </c>
      <c r="V348" s="528">
        <f t="shared" si="360"/>
        <v>2.5041806534856919E-2</v>
      </c>
      <c r="W348" s="528">
        <f t="shared" si="360"/>
        <v>4.3423618012867884E-2</v>
      </c>
      <c r="X348" s="528">
        <f t="shared" si="360"/>
        <v>6.7448306548844997E-2</v>
      </c>
      <c r="Y348" s="528">
        <f t="shared" si="360"/>
        <v>9.3843227878595004E-2</v>
      </c>
      <c r="Z348" s="528">
        <f t="shared" si="360"/>
        <v>0.1169562109317213</v>
      </c>
      <c r="AA348" s="528">
        <f t="shared" si="360"/>
        <v>0.13056693025188321</v>
      </c>
      <c r="AB348" s="528">
        <f t="shared" si="360"/>
        <v>0.13056693025188326</v>
      </c>
      <c r="AC348" s="528">
        <f t="shared" si="360"/>
        <v>0.11695621093172125</v>
      </c>
      <c r="AD348" s="528">
        <f t="shared" si="360"/>
        <v>9.3843227878595031E-2</v>
      </c>
      <c r="AE348" s="528">
        <f t="shared" si="360"/>
        <v>6.7448306548844969E-2</v>
      </c>
      <c r="AF348" s="528">
        <f t="shared" si="360"/>
        <v>4.3423618012867891E-2</v>
      </c>
      <c r="AG348" s="528">
        <f t="shared" si="360"/>
        <v>2.5041806534856895E-2</v>
      </c>
      <c r="AH348" s="528">
        <f t="shared" si="360"/>
        <v>1.2935622694003102E-2</v>
      </c>
      <c r="AI348" s="528">
        <f t="shared" si="360"/>
        <v>5.9853271865450905E-3</v>
      </c>
      <c r="AJ348" s="528">
        <f t="shared" si="360"/>
        <v>2.4806396658371868E-3</v>
      </c>
      <c r="AK348" s="528">
        <f t="shared" si="360"/>
        <v>9.2089603027507491E-4</v>
      </c>
      <c r="AL348" s="528">
        <f t="shared" si="360"/>
        <v>3.0621333954507262E-4</v>
      </c>
      <c r="AM348" s="528">
        <f t="shared" si="360"/>
        <v>9.1200925025154288E-5</v>
      </c>
      <c r="AN348" s="528" t="str">
        <f t="shared" si="360"/>
        <v/>
      </c>
      <c r="AO348" s="528" t="str">
        <f t="shared" si="360"/>
        <v/>
      </c>
      <c r="AP348" s="528" t="str">
        <f t="shared" si="360"/>
        <v/>
      </c>
      <c r="AQ348" s="528" t="str">
        <f t="shared" si="360"/>
        <v/>
      </c>
      <c r="AR348" s="528" t="str">
        <f t="shared" si="360"/>
        <v/>
      </c>
      <c r="AS348" s="528" t="str">
        <f t="shared" si="360"/>
        <v/>
      </c>
      <c r="AT348" s="528" t="str">
        <f t="shared" si="360"/>
        <v/>
      </c>
      <c r="AU348" s="528" t="str">
        <f t="shared" si="360"/>
        <v/>
      </c>
      <c r="AV348" s="528" t="str">
        <f t="shared" si="360"/>
        <v/>
      </c>
      <c r="AW348" s="528" t="str">
        <f t="shared" si="360"/>
        <v/>
      </c>
      <c r="AX348" s="528" t="str">
        <f t="shared" si="360"/>
        <v/>
      </c>
      <c r="AY348" s="528" t="str">
        <f t="shared" si="360"/>
        <v/>
      </c>
      <c r="AZ348" s="528" t="str">
        <f t="shared" si="360"/>
        <v/>
      </c>
      <c r="BA348" s="528" t="str">
        <f t="shared" si="360"/>
        <v/>
      </c>
      <c r="BB348" s="528" t="str">
        <f t="shared" si="360"/>
        <v/>
      </c>
      <c r="BC348" s="528" t="str">
        <f t="shared" si="360"/>
        <v/>
      </c>
      <c r="BD348" s="528" t="str">
        <f t="shared" si="360"/>
        <v/>
      </c>
      <c r="BE348" s="528" t="str">
        <f t="shared" si="360"/>
        <v/>
      </c>
      <c r="BF348" s="528" t="str">
        <f t="shared" si="360"/>
        <v/>
      </c>
      <c r="BG348" s="528" t="str">
        <f t="shared" si="360"/>
        <v/>
      </c>
      <c r="BH348" s="528" t="str">
        <f t="shared" si="360"/>
        <v/>
      </c>
      <c r="BI348" s="528" t="str">
        <f t="shared" si="360"/>
        <v/>
      </c>
      <c r="BJ348" s="528" t="str">
        <f t="shared" si="360"/>
        <v/>
      </c>
      <c r="BK348" s="528" t="str">
        <f t="shared" si="360"/>
        <v/>
      </c>
      <c r="BL348" s="528" t="str">
        <f t="shared" si="360"/>
        <v/>
      </c>
      <c r="BM348" s="528" t="str">
        <f t="shared" si="360"/>
        <v/>
      </c>
    </row>
    <row r="349" spans="6:65" ht="15.75" customHeight="1" x14ac:dyDescent="0.25">
      <c r="F349" s="197"/>
      <c r="G349" s="197">
        <f t="shared" si="268"/>
        <v>0</v>
      </c>
      <c r="H349" s="197">
        <f t="shared" si="269"/>
        <v>258</v>
      </c>
      <c r="I349" s="523">
        <v>1</v>
      </c>
      <c r="J349" s="533">
        <f>'Monthly DCF'!$I$3</f>
        <v>46418</v>
      </c>
      <c r="K349" s="533">
        <f t="shared" si="270"/>
        <v>47149</v>
      </c>
      <c r="L349" s="536">
        <f t="shared" si="341"/>
        <v>25</v>
      </c>
      <c r="M349" s="20" t="s">
        <v>366</v>
      </c>
      <c r="N349" s="20">
        <f t="shared" si="271"/>
        <v>3.125</v>
      </c>
      <c r="O349" s="537">
        <v>8</v>
      </c>
      <c r="P349" s="528">
        <f t="shared" ref="P349:BM349" si="361">IFERROR(+IF(AND($M349="Flat",P$5&gt;=$J349,P$5&lt;=$K349),$I349/$L349,0)+IF(AND($M349="S-Curve",P$5&gt;=$J349,P$5&lt;=$K349),(_xlfn.NORM.DIST((YEAR(P$5)-YEAR($J349))*12+MONTH(P$5)-MONTH($J349)+1,$L349/2,$N349,TRUE)-_xlfn.NORM.DIST((YEAR(P$5)-YEAR($J349))*12+MONTH(P$5)-MONTH($J349),$L349/2,$N349,TRUE))/(1-2*_xlfn.NORM.DIST(0,$L349/2,$N349,TRUE))*$I349," "),"")</f>
        <v>8.4951115996925776E-5</v>
      </c>
      <c r="Q349" s="528">
        <f t="shared" si="361"/>
        <v>2.7311268540247755E-4</v>
      </c>
      <c r="R349" s="528">
        <f t="shared" si="361"/>
        <v>7.9322862559363309E-4</v>
      </c>
      <c r="S349" s="528">
        <f t="shared" si="361"/>
        <v>2.0813369098361175E-3</v>
      </c>
      <c r="T349" s="528">
        <f t="shared" si="361"/>
        <v>4.9337526248498772E-3</v>
      </c>
      <c r="U349" s="528">
        <f t="shared" si="361"/>
        <v>1.0565899780675894E-2</v>
      </c>
      <c r="V349" s="528">
        <f t="shared" si="361"/>
        <v>2.0442431726942659E-2</v>
      </c>
      <c r="W349" s="528">
        <f t="shared" si="361"/>
        <v>3.5732059604246254E-2</v>
      </c>
      <c r="X349" s="528">
        <f t="shared" si="361"/>
        <v>5.6426755719256115E-2</v>
      </c>
      <c r="Y349" s="528">
        <f t="shared" si="361"/>
        <v>8.0503616839700656E-2</v>
      </c>
      <c r="Z349" s="528">
        <f t="shared" si="361"/>
        <v>0.1037648706574507</v>
      </c>
      <c r="AA349" s="528">
        <f t="shared" si="361"/>
        <v>0.12083449454934192</v>
      </c>
      <c r="AB349" s="528">
        <f t="shared" si="361"/>
        <v>0.12712697832141356</v>
      </c>
      <c r="AC349" s="528">
        <f t="shared" si="361"/>
        <v>0.12083449454934181</v>
      </c>
      <c r="AD349" s="528">
        <f t="shared" si="361"/>
        <v>0.10376487065745073</v>
      </c>
      <c r="AE349" s="528">
        <f t="shared" si="361"/>
        <v>8.0503616839700684E-2</v>
      </c>
      <c r="AF349" s="528">
        <f t="shared" si="361"/>
        <v>5.6426755719256129E-2</v>
      </c>
      <c r="AG349" s="528">
        <f t="shared" si="361"/>
        <v>3.5732059604246198E-2</v>
      </c>
      <c r="AH349" s="528">
        <f t="shared" si="361"/>
        <v>2.0442431726942656E-2</v>
      </c>
      <c r="AI349" s="528">
        <f t="shared" si="361"/>
        <v>1.0565899780675915E-2</v>
      </c>
      <c r="AJ349" s="528">
        <f t="shared" si="361"/>
        <v>4.9337526248499422E-3</v>
      </c>
      <c r="AK349" s="528">
        <f t="shared" si="361"/>
        <v>2.0813369098360776E-3</v>
      </c>
      <c r="AL349" s="528">
        <f t="shared" si="361"/>
        <v>7.9322862559365716E-4</v>
      </c>
      <c r="AM349" s="528">
        <f t="shared" si="361"/>
        <v>2.7311268540240047E-4</v>
      </c>
      <c r="AN349" s="528">
        <f t="shared" si="361"/>
        <v>8.4951115996977642E-5</v>
      </c>
      <c r="AO349" s="528" t="str">
        <f t="shared" si="361"/>
        <v/>
      </c>
      <c r="AP349" s="528" t="str">
        <f t="shared" si="361"/>
        <v/>
      </c>
      <c r="AQ349" s="528" t="str">
        <f t="shared" si="361"/>
        <v/>
      </c>
      <c r="AR349" s="528" t="str">
        <f t="shared" si="361"/>
        <v/>
      </c>
      <c r="AS349" s="528" t="str">
        <f t="shared" si="361"/>
        <v/>
      </c>
      <c r="AT349" s="528" t="str">
        <f t="shared" si="361"/>
        <v/>
      </c>
      <c r="AU349" s="528" t="str">
        <f t="shared" si="361"/>
        <v/>
      </c>
      <c r="AV349" s="528" t="str">
        <f t="shared" si="361"/>
        <v/>
      </c>
      <c r="AW349" s="528" t="str">
        <f t="shared" si="361"/>
        <v/>
      </c>
      <c r="AX349" s="528" t="str">
        <f t="shared" si="361"/>
        <v/>
      </c>
      <c r="AY349" s="528" t="str">
        <f t="shared" si="361"/>
        <v/>
      </c>
      <c r="AZ349" s="528" t="str">
        <f t="shared" si="361"/>
        <v/>
      </c>
      <c r="BA349" s="528" t="str">
        <f t="shared" si="361"/>
        <v/>
      </c>
      <c r="BB349" s="528" t="str">
        <f t="shared" si="361"/>
        <v/>
      </c>
      <c r="BC349" s="528" t="str">
        <f t="shared" si="361"/>
        <v/>
      </c>
      <c r="BD349" s="528" t="str">
        <f t="shared" si="361"/>
        <v/>
      </c>
      <c r="BE349" s="528" t="str">
        <f t="shared" si="361"/>
        <v/>
      </c>
      <c r="BF349" s="528" t="str">
        <f t="shared" si="361"/>
        <v/>
      </c>
      <c r="BG349" s="528" t="str">
        <f t="shared" si="361"/>
        <v/>
      </c>
      <c r="BH349" s="528" t="str">
        <f t="shared" si="361"/>
        <v/>
      </c>
      <c r="BI349" s="528" t="str">
        <f t="shared" si="361"/>
        <v/>
      </c>
      <c r="BJ349" s="528" t="str">
        <f t="shared" si="361"/>
        <v/>
      </c>
      <c r="BK349" s="528" t="str">
        <f t="shared" si="361"/>
        <v/>
      </c>
      <c r="BL349" s="528" t="str">
        <f t="shared" si="361"/>
        <v/>
      </c>
      <c r="BM349" s="528" t="str">
        <f t="shared" si="361"/>
        <v/>
      </c>
    </row>
    <row r="350" spans="6:65" ht="15.75" customHeight="1" x14ac:dyDescent="0.25">
      <c r="F350" s="197"/>
      <c r="G350" s="197">
        <f t="shared" si="268"/>
        <v>0</v>
      </c>
      <c r="H350" s="197">
        <f t="shared" si="269"/>
        <v>268</v>
      </c>
      <c r="I350" s="523">
        <v>1</v>
      </c>
      <c r="J350" s="533">
        <f>'Monthly DCF'!$I$3</f>
        <v>46418</v>
      </c>
      <c r="K350" s="533">
        <f t="shared" si="270"/>
        <v>47177</v>
      </c>
      <c r="L350" s="536">
        <f t="shared" si="341"/>
        <v>26</v>
      </c>
      <c r="M350" s="20" t="s">
        <v>366</v>
      </c>
      <c r="N350" s="20">
        <f t="shared" si="271"/>
        <v>3.25</v>
      </c>
      <c r="O350" s="537">
        <v>8</v>
      </c>
      <c r="P350" s="528">
        <f t="shared" ref="P350:BM350" si="362">IFERROR(+IF(AND($M350="Flat",P$5&gt;=$J350,P$5&lt;=$K350),$I350/$L350,0)+IF(AND($M350="S-Curve",P$5&gt;=$J350,P$5&lt;=$K350),(_xlfn.NORM.DIST((YEAR(P$5)-YEAR($J350))*12+MONTH(P$5)-MONTH($J350)+1,$L350/2,$N350,TRUE)-_xlfn.NORM.DIST((YEAR(P$5)-YEAR($J350))*12+MONTH(P$5)-MONTH($J350),$L350/2,$N350,TRUE))/(1-2*_xlfn.NORM.DIST(0,$L350/2,$N350,TRUE))*$I350," "),"")</f>
        <v>7.9447975621853216E-5</v>
      </c>
      <c r="Q350" s="528">
        <f t="shared" si="362"/>
        <v>2.4529162145243115E-4</v>
      </c>
      <c r="R350" s="528">
        <f t="shared" si="362"/>
        <v>6.8939972943507738E-4</v>
      </c>
      <c r="S350" s="528">
        <f t="shared" si="362"/>
        <v>1.7638064680631769E-3</v>
      </c>
      <c r="T350" s="528">
        <f t="shared" si="362"/>
        <v>4.1079473260213261E-3</v>
      </c>
      <c r="U350" s="528">
        <f t="shared" si="362"/>
        <v>8.7095429196950638E-3</v>
      </c>
      <c r="V350" s="528">
        <f t="shared" si="362"/>
        <v>1.6809880491090584E-2</v>
      </c>
      <c r="W350" s="528">
        <f t="shared" si="362"/>
        <v>2.9534838506417329E-2</v>
      </c>
      <c r="X350" s="528">
        <f t="shared" si="362"/>
        <v>4.7239682752082741E-2</v>
      </c>
      <c r="Y350" s="528">
        <f t="shared" si="362"/>
        <v>6.8783323463787682E-2</v>
      </c>
      <c r="Z350" s="528">
        <f t="shared" si="362"/>
        <v>9.11725897407724E-2</v>
      </c>
      <c r="AA350" s="528">
        <f t="shared" si="362"/>
        <v>0.11001483086641098</v>
      </c>
      <c r="AB350" s="528">
        <f t="shared" si="362"/>
        <v>0.12084941813914936</v>
      </c>
      <c r="AC350" s="528">
        <f t="shared" si="362"/>
        <v>0.12084941813914936</v>
      </c>
      <c r="AD350" s="528">
        <f t="shared" si="362"/>
        <v>0.11001483086641098</v>
      </c>
      <c r="AE350" s="528">
        <f t="shared" si="362"/>
        <v>9.1172589740772345E-2</v>
      </c>
      <c r="AF350" s="528">
        <f t="shared" si="362"/>
        <v>6.878332346378771E-2</v>
      </c>
      <c r="AG350" s="528">
        <f t="shared" si="362"/>
        <v>4.7239682752082755E-2</v>
      </c>
      <c r="AH350" s="528">
        <f t="shared" si="362"/>
        <v>2.9534838506417364E-2</v>
      </c>
      <c r="AI350" s="528">
        <f t="shared" si="362"/>
        <v>1.6809880491090598E-2</v>
      </c>
      <c r="AJ350" s="528">
        <f t="shared" si="362"/>
        <v>8.709542919694991E-3</v>
      </c>
      <c r="AK350" s="528">
        <f t="shared" si="362"/>
        <v>4.1079473260214111E-3</v>
      </c>
      <c r="AL350" s="528">
        <f t="shared" si="362"/>
        <v>1.763806468063093E-3</v>
      </c>
      <c r="AM350" s="528">
        <f t="shared" si="362"/>
        <v>6.8939972943516542E-4</v>
      </c>
      <c r="AN350" s="528">
        <f t="shared" si="362"/>
        <v>2.4529162145240236E-4</v>
      </c>
      <c r="AO350" s="528">
        <f t="shared" si="362"/>
        <v>7.9447975621831803E-5</v>
      </c>
      <c r="AP350" s="528" t="str">
        <f t="shared" si="362"/>
        <v/>
      </c>
      <c r="AQ350" s="528" t="str">
        <f t="shared" si="362"/>
        <v/>
      </c>
      <c r="AR350" s="528" t="str">
        <f t="shared" si="362"/>
        <v/>
      </c>
      <c r="AS350" s="528" t="str">
        <f t="shared" si="362"/>
        <v/>
      </c>
      <c r="AT350" s="528" t="str">
        <f t="shared" si="362"/>
        <v/>
      </c>
      <c r="AU350" s="528" t="str">
        <f t="shared" si="362"/>
        <v/>
      </c>
      <c r="AV350" s="528" t="str">
        <f t="shared" si="362"/>
        <v/>
      </c>
      <c r="AW350" s="528" t="str">
        <f t="shared" si="362"/>
        <v/>
      </c>
      <c r="AX350" s="528" t="str">
        <f t="shared" si="362"/>
        <v/>
      </c>
      <c r="AY350" s="528" t="str">
        <f t="shared" si="362"/>
        <v/>
      </c>
      <c r="AZ350" s="528" t="str">
        <f t="shared" si="362"/>
        <v/>
      </c>
      <c r="BA350" s="528" t="str">
        <f t="shared" si="362"/>
        <v/>
      </c>
      <c r="BB350" s="528" t="str">
        <f t="shared" si="362"/>
        <v/>
      </c>
      <c r="BC350" s="528" t="str">
        <f t="shared" si="362"/>
        <v/>
      </c>
      <c r="BD350" s="528" t="str">
        <f t="shared" si="362"/>
        <v/>
      </c>
      <c r="BE350" s="528" t="str">
        <f t="shared" si="362"/>
        <v/>
      </c>
      <c r="BF350" s="528" t="str">
        <f t="shared" si="362"/>
        <v/>
      </c>
      <c r="BG350" s="528" t="str">
        <f t="shared" si="362"/>
        <v/>
      </c>
      <c r="BH350" s="528" t="str">
        <f t="shared" si="362"/>
        <v/>
      </c>
      <c r="BI350" s="528" t="str">
        <f t="shared" si="362"/>
        <v/>
      </c>
      <c r="BJ350" s="528" t="str">
        <f t="shared" si="362"/>
        <v/>
      </c>
      <c r="BK350" s="528" t="str">
        <f t="shared" si="362"/>
        <v/>
      </c>
      <c r="BL350" s="528" t="str">
        <f t="shared" si="362"/>
        <v/>
      </c>
      <c r="BM350" s="528" t="str">
        <f t="shared" si="362"/>
        <v/>
      </c>
    </row>
    <row r="351" spans="6:65" ht="15.75" customHeight="1" x14ac:dyDescent="0.25">
      <c r="F351" s="197"/>
      <c r="G351" s="197">
        <f t="shared" si="268"/>
        <v>0</v>
      </c>
      <c r="H351" s="197">
        <f t="shared" si="269"/>
        <v>278</v>
      </c>
      <c r="I351" s="523">
        <v>1</v>
      </c>
      <c r="J351" s="533">
        <f>'Monthly DCF'!$I$3</f>
        <v>46418</v>
      </c>
      <c r="K351" s="533">
        <f t="shared" si="270"/>
        <v>47208</v>
      </c>
      <c r="L351" s="536">
        <f t="shared" si="341"/>
        <v>27</v>
      </c>
      <c r="M351" s="20" t="s">
        <v>366</v>
      </c>
      <c r="N351" s="20">
        <f t="shared" si="271"/>
        <v>3.375</v>
      </c>
      <c r="O351" s="537">
        <v>8</v>
      </c>
      <c r="P351" s="528">
        <f t="shared" ref="P351:BM351" si="363">IFERROR(+IF(AND($M351="Flat",P$5&gt;=$J351,P$5&lt;=$K351),$I351/$L351,0)+IF(AND($M351="S-Curve",P$5&gt;=$J351,P$5&lt;=$K351),(_xlfn.NORM.DIST((YEAR(P$5)-YEAR($J351))*12+MONTH(P$5)-MONTH($J351)+1,$L351/2,$N351,TRUE)-_xlfn.NORM.DIST((YEAR(P$5)-YEAR($J351))*12+MONTH(P$5)-MONTH($J351),$L351/2,$N351,TRUE))/(1-2*_xlfn.NORM.DIST(0,$L351/2,$N351,TRUE))*$I351," "),"")</f>
        <v>7.4570689109351409E-5</v>
      </c>
      <c r="Q351" s="528">
        <f t="shared" si="363"/>
        <v>2.2169261393273232E-4</v>
      </c>
      <c r="R351" s="528">
        <f t="shared" si="363"/>
        <v>6.0404645049562551E-4</v>
      </c>
      <c r="S351" s="528">
        <f t="shared" si="363"/>
        <v>1.5084390183304139E-3</v>
      </c>
      <c r="T351" s="528">
        <f t="shared" si="363"/>
        <v>3.4524355576842085E-3</v>
      </c>
      <c r="U351" s="528">
        <f t="shared" si="363"/>
        <v>7.2421201154834487E-3</v>
      </c>
      <c r="V351" s="528">
        <f t="shared" si="363"/>
        <v>1.3923548109812547E-2</v>
      </c>
      <c r="W351" s="528">
        <f t="shared" si="363"/>
        <v>2.4534641368344566E-2</v>
      </c>
      <c r="X351" s="528">
        <f t="shared" si="363"/>
        <v>3.9623830465762566E-2</v>
      </c>
      <c r="Y351" s="528">
        <f t="shared" si="363"/>
        <v>5.865179373002298E-2</v>
      </c>
      <c r="Z351" s="528">
        <f t="shared" si="363"/>
        <v>7.9571067888197136E-2</v>
      </c>
      <c r="AA351" s="528">
        <f t="shared" si="363"/>
        <v>9.8941584522853107E-2</v>
      </c>
      <c r="AB351" s="528">
        <f t="shared" si="363"/>
        <v>0.11275942514188438</v>
      </c>
      <c r="AC351" s="528">
        <f t="shared" si="363"/>
        <v>0.11778160865617383</v>
      </c>
      <c r="AD351" s="528">
        <f t="shared" si="363"/>
        <v>0.11275942514188443</v>
      </c>
      <c r="AE351" s="528">
        <f t="shared" si="363"/>
        <v>9.8941584522853107E-2</v>
      </c>
      <c r="AF351" s="528">
        <f t="shared" si="363"/>
        <v>7.9571067888197136E-2</v>
      </c>
      <c r="AG351" s="528">
        <f t="shared" si="363"/>
        <v>5.865179373002298E-2</v>
      </c>
      <c r="AH351" s="528">
        <f t="shared" si="363"/>
        <v>3.9623830465762601E-2</v>
      </c>
      <c r="AI351" s="528">
        <f t="shared" si="363"/>
        <v>2.4534641368344583E-2</v>
      </c>
      <c r="AJ351" s="528">
        <f t="shared" si="363"/>
        <v>1.3923548109812497E-2</v>
      </c>
      <c r="AK351" s="528">
        <f t="shared" si="363"/>
        <v>7.2421201154834348E-3</v>
      </c>
      <c r="AL351" s="528">
        <f t="shared" si="363"/>
        <v>3.4524355576841951E-3</v>
      </c>
      <c r="AM351" s="528">
        <f t="shared" si="363"/>
        <v>1.5084390183304525E-3</v>
      </c>
      <c r="AN351" s="528">
        <f t="shared" si="363"/>
        <v>6.0404645049564113E-4</v>
      </c>
      <c r="AO351" s="528">
        <f t="shared" si="363"/>
        <v>2.2169261393267413E-4</v>
      </c>
      <c r="AP351" s="528">
        <f t="shared" si="363"/>
        <v>7.4570689109381021E-5</v>
      </c>
      <c r="AQ351" s="528" t="str">
        <f t="shared" si="363"/>
        <v/>
      </c>
      <c r="AR351" s="528" t="str">
        <f t="shared" si="363"/>
        <v/>
      </c>
      <c r="AS351" s="528" t="str">
        <f t="shared" si="363"/>
        <v/>
      </c>
      <c r="AT351" s="528" t="str">
        <f t="shared" si="363"/>
        <v/>
      </c>
      <c r="AU351" s="528" t="str">
        <f t="shared" si="363"/>
        <v/>
      </c>
      <c r="AV351" s="528" t="str">
        <f t="shared" si="363"/>
        <v/>
      </c>
      <c r="AW351" s="528" t="str">
        <f t="shared" si="363"/>
        <v/>
      </c>
      <c r="AX351" s="528" t="str">
        <f t="shared" si="363"/>
        <v/>
      </c>
      <c r="AY351" s="528" t="str">
        <f t="shared" si="363"/>
        <v/>
      </c>
      <c r="AZ351" s="528" t="str">
        <f t="shared" si="363"/>
        <v/>
      </c>
      <c r="BA351" s="528" t="str">
        <f t="shared" si="363"/>
        <v/>
      </c>
      <c r="BB351" s="528" t="str">
        <f t="shared" si="363"/>
        <v/>
      </c>
      <c r="BC351" s="528" t="str">
        <f t="shared" si="363"/>
        <v/>
      </c>
      <c r="BD351" s="528" t="str">
        <f t="shared" si="363"/>
        <v/>
      </c>
      <c r="BE351" s="528" t="str">
        <f t="shared" si="363"/>
        <v/>
      </c>
      <c r="BF351" s="528" t="str">
        <f t="shared" si="363"/>
        <v/>
      </c>
      <c r="BG351" s="528" t="str">
        <f t="shared" si="363"/>
        <v/>
      </c>
      <c r="BH351" s="528" t="str">
        <f t="shared" si="363"/>
        <v/>
      </c>
      <c r="BI351" s="528" t="str">
        <f t="shared" si="363"/>
        <v/>
      </c>
      <c r="BJ351" s="528" t="str">
        <f t="shared" si="363"/>
        <v/>
      </c>
      <c r="BK351" s="528" t="str">
        <f t="shared" si="363"/>
        <v/>
      </c>
      <c r="BL351" s="528" t="str">
        <f t="shared" si="363"/>
        <v/>
      </c>
      <c r="BM351" s="528" t="str">
        <f t="shared" si="363"/>
        <v/>
      </c>
    </row>
    <row r="352" spans="6:65" ht="15.75" customHeight="1" x14ac:dyDescent="0.25">
      <c r="F352" s="197"/>
      <c r="G352" s="197">
        <f t="shared" si="268"/>
        <v>0</v>
      </c>
      <c r="H352" s="197">
        <f t="shared" si="269"/>
        <v>288</v>
      </c>
      <c r="I352" s="523">
        <v>1</v>
      </c>
      <c r="J352" s="533">
        <f>'Monthly DCF'!$I$3</f>
        <v>46418</v>
      </c>
      <c r="K352" s="533">
        <f t="shared" si="270"/>
        <v>47238</v>
      </c>
      <c r="L352" s="536">
        <f t="shared" si="341"/>
        <v>28</v>
      </c>
      <c r="M352" s="20" t="s">
        <v>366</v>
      </c>
      <c r="N352" s="20">
        <f t="shared" si="271"/>
        <v>3.5</v>
      </c>
      <c r="O352" s="537">
        <v>8</v>
      </c>
      <c r="P352" s="528">
        <f t="shared" ref="P352:BM352" si="364">IFERROR(+IF(AND($M352="Flat",P$5&gt;=$J352,P$5&lt;=$K352),$I352/$L352,0)+IF(AND($M352="S-Curve",P$5&gt;=$J352,P$5&lt;=$K352),(_xlfn.NORM.DIST((YEAR(P$5)-YEAR($J352))*12+MONTH(P$5)-MONTH($J352)+1,$L352/2,$N352,TRUE)-_xlfn.NORM.DIST((YEAR(P$5)-YEAR($J352))*12+MONTH(P$5)-MONTH($J352),$L352/2,$N352,TRUE))/(1-2*_xlfn.NORM.DIST(0,$L352/2,$N352,TRUE))*$I352," "),"")</f>
        <v>7.0222436011141315E-5</v>
      </c>
      <c r="Q352" s="528">
        <f t="shared" si="364"/>
        <v>2.0150695698840801E-4</v>
      </c>
      <c r="R352" s="528">
        <f t="shared" si="364"/>
        <v>5.3318771169204586E-4</v>
      </c>
      <c r="S352" s="528">
        <f t="shared" si="364"/>
        <v>1.3009120220086252E-3</v>
      </c>
      <c r="T352" s="528">
        <f t="shared" si="364"/>
        <v>2.926813686257163E-3</v>
      </c>
      <c r="U352" s="528">
        <f t="shared" si="364"/>
        <v>6.0718788128055904E-3</v>
      </c>
      <c r="V352" s="528">
        <f t="shared" si="364"/>
        <v>1.161537821546769E-2</v>
      </c>
      <c r="W352" s="528">
        <f t="shared" si="364"/>
        <v>2.0489298641718157E-2</v>
      </c>
      <c r="X352" s="528">
        <f t="shared" si="364"/>
        <v>3.3327703822536955E-2</v>
      </c>
      <c r="Y352" s="528">
        <f t="shared" si="364"/>
        <v>4.9988395352839193E-2</v>
      </c>
      <c r="Z352" s="528">
        <f t="shared" si="364"/>
        <v>6.9138394077815732E-2</v>
      </c>
      <c r="AA352" s="528">
        <f t="shared" si="364"/>
        <v>8.8177199307707219E-2</v>
      </c>
      <c r="AB352" s="528">
        <f t="shared" si="364"/>
        <v>0.10370046664443067</v>
      </c>
      <c r="AC352" s="528">
        <f t="shared" si="364"/>
        <v>0.11245864231172142</v>
      </c>
      <c r="AD352" s="528">
        <f t="shared" si="364"/>
        <v>0.11245864231172142</v>
      </c>
      <c r="AE352" s="528">
        <f t="shared" si="364"/>
        <v>0.10370046664443067</v>
      </c>
      <c r="AF352" s="528">
        <f t="shared" si="364"/>
        <v>8.8177199307707246E-2</v>
      </c>
      <c r="AG352" s="528">
        <f t="shared" si="364"/>
        <v>6.9138394077815649E-2</v>
      </c>
      <c r="AH352" s="528">
        <f t="shared" si="364"/>
        <v>4.998839535283929E-2</v>
      </c>
      <c r="AI352" s="528">
        <f t="shared" si="364"/>
        <v>3.3327703822536969E-2</v>
      </c>
      <c r="AJ352" s="528">
        <f t="shared" si="364"/>
        <v>2.0489298641718084E-2</v>
      </c>
      <c r="AK352" s="528">
        <f t="shared" si="364"/>
        <v>1.1615378215467698E-2</v>
      </c>
      <c r="AL352" s="528">
        <f t="shared" si="364"/>
        <v>6.0718788128055591E-3</v>
      </c>
      <c r="AM352" s="528">
        <f t="shared" si="364"/>
        <v>2.9268136862572176E-3</v>
      </c>
      <c r="AN352" s="528">
        <f t="shared" si="364"/>
        <v>1.3009120220086295E-3</v>
      </c>
      <c r="AO352" s="528">
        <f t="shared" si="364"/>
        <v>5.3318771169206516E-4</v>
      </c>
      <c r="AP352" s="528">
        <f t="shared" si="364"/>
        <v>2.015069569884088E-4</v>
      </c>
      <c r="AQ352" s="528">
        <f t="shared" si="364"/>
        <v>7.0222436011102188E-5</v>
      </c>
      <c r="AR352" s="528" t="str">
        <f t="shared" si="364"/>
        <v/>
      </c>
      <c r="AS352" s="528" t="str">
        <f t="shared" si="364"/>
        <v/>
      </c>
      <c r="AT352" s="528" t="str">
        <f t="shared" si="364"/>
        <v/>
      </c>
      <c r="AU352" s="528" t="str">
        <f t="shared" si="364"/>
        <v/>
      </c>
      <c r="AV352" s="528" t="str">
        <f t="shared" si="364"/>
        <v/>
      </c>
      <c r="AW352" s="528" t="str">
        <f t="shared" si="364"/>
        <v/>
      </c>
      <c r="AX352" s="528" t="str">
        <f t="shared" si="364"/>
        <v/>
      </c>
      <c r="AY352" s="528" t="str">
        <f t="shared" si="364"/>
        <v/>
      </c>
      <c r="AZ352" s="528" t="str">
        <f t="shared" si="364"/>
        <v/>
      </c>
      <c r="BA352" s="528" t="str">
        <f t="shared" si="364"/>
        <v/>
      </c>
      <c r="BB352" s="528" t="str">
        <f t="shared" si="364"/>
        <v/>
      </c>
      <c r="BC352" s="528" t="str">
        <f t="shared" si="364"/>
        <v/>
      </c>
      <c r="BD352" s="528" t="str">
        <f t="shared" si="364"/>
        <v/>
      </c>
      <c r="BE352" s="528" t="str">
        <f t="shared" si="364"/>
        <v/>
      </c>
      <c r="BF352" s="528" t="str">
        <f t="shared" si="364"/>
        <v/>
      </c>
      <c r="BG352" s="528" t="str">
        <f t="shared" si="364"/>
        <v/>
      </c>
      <c r="BH352" s="528" t="str">
        <f t="shared" si="364"/>
        <v/>
      </c>
      <c r="BI352" s="528" t="str">
        <f t="shared" si="364"/>
        <v/>
      </c>
      <c r="BJ352" s="528" t="str">
        <f t="shared" si="364"/>
        <v/>
      </c>
      <c r="BK352" s="528" t="str">
        <f t="shared" si="364"/>
        <v/>
      </c>
      <c r="BL352" s="528" t="str">
        <f t="shared" si="364"/>
        <v/>
      </c>
      <c r="BM352" s="528" t="str">
        <f t="shared" si="364"/>
        <v/>
      </c>
    </row>
    <row r="353" spans="6:65" ht="15.75" customHeight="1" x14ac:dyDescent="0.25">
      <c r="F353" s="197"/>
      <c r="G353" s="197">
        <f t="shared" si="268"/>
        <v>0</v>
      </c>
      <c r="H353" s="197">
        <f t="shared" si="269"/>
        <v>298</v>
      </c>
      <c r="I353" s="523">
        <v>1</v>
      </c>
      <c r="J353" s="533">
        <f>'Monthly DCF'!$I$3</f>
        <v>46418</v>
      </c>
      <c r="K353" s="533">
        <f t="shared" si="270"/>
        <v>47269</v>
      </c>
      <c r="L353" s="536">
        <f t="shared" si="341"/>
        <v>29</v>
      </c>
      <c r="M353" s="20" t="s">
        <v>366</v>
      </c>
      <c r="N353" s="20">
        <f t="shared" si="271"/>
        <v>3.625</v>
      </c>
      <c r="O353" s="537">
        <v>8</v>
      </c>
      <c r="P353" s="528">
        <f t="shared" ref="P353:BM353" si="365">IFERROR(+IF(AND($M353="Flat",P$5&gt;=$J353,P$5&lt;=$K353),$I353/$L353,0)+IF(AND($M353="S-Curve",P$5&gt;=$J353,P$5&lt;=$K353),(_xlfn.NORM.DIST((YEAR(P$5)-YEAR($J353))*12+MONTH(P$5)-MONTH($J353)+1,$L353/2,$N353,TRUE)-_xlfn.NORM.DIST((YEAR(P$5)-YEAR($J353))*12+MONTH(P$5)-MONTH($J353),$L353/2,$N353,TRUE))/(1-2*_xlfn.NORM.DIST(0,$L353/2,$N353,TRUE))*$I353," "),"")</f>
        <v>6.6324839128499715E-5</v>
      </c>
      <c r="Q353" s="528">
        <f t="shared" si="365"/>
        <v>1.8410853289632735E-4</v>
      </c>
      <c r="R353" s="528">
        <f t="shared" si="365"/>
        <v>4.7382843583650938E-4</v>
      </c>
      <c r="S353" s="528">
        <f t="shared" si="365"/>
        <v>1.1306266496345849E-3</v>
      </c>
      <c r="T353" s="528">
        <f t="shared" si="365"/>
        <v>2.5013214890322526E-3</v>
      </c>
      <c r="U353" s="528">
        <f t="shared" si="365"/>
        <v>5.1306597264322278E-3</v>
      </c>
      <c r="V353" s="528">
        <f t="shared" si="365"/>
        <v>9.7573393872331833E-3</v>
      </c>
      <c r="W353" s="528">
        <f t="shared" si="365"/>
        <v>1.7204620646940449E-2</v>
      </c>
      <c r="X353" s="528">
        <f t="shared" si="365"/>
        <v>2.8126465665262501E-2</v>
      </c>
      <c r="Y353" s="528">
        <f t="shared" si="365"/>
        <v>4.2632653472224308E-2</v>
      </c>
      <c r="Z353" s="528">
        <f t="shared" si="365"/>
        <v>5.9913868072678497E-2</v>
      </c>
      <c r="AA353" s="528">
        <f t="shared" si="365"/>
        <v>7.8067574027163425E-2</v>
      </c>
      <c r="AB353" s="528">
        <f t="shared" si="365"/>
        <v>9.4313260319893621E-2</v>
      </c>
      <c r="AC353" s="528">
        <f t="shared" si="365"/>
        <v>0.10564133544570214</v>
      </c>
      <c r="AD353" s="528">
        <f t="shared" si="365"/>
        <v>0.10971202657988297</v>
      </c>
      <c r="AE353" s="528">
        <f t="shared" si="365"/>
        <v>0.10564133544570214</v>
      </c>
      <c r="AF353" s="528">
        <f t="shared" si="365"/>
        <v>9.4313260319893621E-2</v>
      </c>
      <c r="AG353" s="528">
        <f t="shared" si="365"/>
        <v>7.8067574027163453E-2</v>
      </c>
      <c r="AH353" s="528">
        <f t="shared" si="365"/>
        <v>5.9913868072678483E-2</v>
      </c>
      <c r="AI353" s="528">
        <f t="shared" si="365"/>
        <v>4.2632653472224238E-2</v>
      </c>
      <c r="AJ353" s="528">
        <f t="shared" si="365"/>
        <v>2.8126465665262508E-2</v>
      </c>
      <c r="AK353" s="528">
        <f t="shared" si="365"/>
        <v>1.7204620646940519E-2</v>
      </c>
      <c r="AL353" s="528">
        <f t="shared" si="365"/>
        <v>9.7573393872332041E-3</v>
      </c>
      <c r="AM353" s="528">
        <f t="shared" si="365"/>
        <v>5.1306597264322209E-3</v>
      </c>
      <c r="AN353" s="528">
        <f t="shared" si="365"/>
        <v>2.501321489032191E-3</v>
      </c>
      <c r="AO353" s="528">
        <f t="shared" si="365"/>
        <v>1.1306266496346642E-3</v>
      </c>
      <c r="AP353" s="528">
        <f t="shared" si="365"/>
        <v>4.7382843583645794E-4</v>
      </c>
      <c r="AQ353" s="528">
        <f t="shared" si="365"/>
        <v>1.8410853289636204E-4</v>
      </c>
      <c r="AR353" s="528">
        <f t="shared" si="365"/>
        <v>6.6324839128464072E-5</v>
      </c>
      <c r="AS353" s="528" t="str">
        <f t="shared" si="365"/>
        <v/>
      </c>
      <c r="AT353" s="528" t="str">
        <f t="shared" si="365"/>
        <v/>
      </c>
      <c r="AU353" s="528" t="str">
        <f t="shared" si="365"/>
        <v/>
      </c>
      <c r="AV353" s="528" t="str">
        <f t="shared" si="365"/>
        <v/>
      </c>
      <c r="AW353" s="528" t="str">
        <f t="shared" si="365"/>
        <v/>
      </c>
      <c r="AX353" s="528" t="str">
        <f t="shared" si="365"/>
        <v/>
      </c>
      <c r="AY353" s="528" t="str">
        <f t="shared" si="365"/>
        <v/>
      </c>
      <c r="AZ353" s="528" t="str">
        <f t="shared" si="365"/>
        <v/>
      </c>
      <c r="BA353" s="528" t="str">
        <f t="shared" si="365"/>
        <v/>
      </c>
      <c r="BB353" s="528" t="str">
        <f t="shared" si="365"/>
        <v/>
      </c>
      <c r="BC353" s="528" t="str">
        <f t="shared" si="365"/>
        <v/>
      </c>
      <c r="BD353" s="528" t="str">
        <f t="shared" si="365"/>
        <v/>
      </c>
      <c r="BE353" s="528" t="str">
        <f t="shared" si="365"/>
        <v/>
      </c>
      <c r="BF353" s="528" t="str">
        <f t="shared" si="365"/>
        <v/>
      </c>
      <c r="BG353" s="528" t="str">
        <f t="shared" si="365"/>
        <v/>
      </c>
      <c r="BH353" s="528" t="str">
        <f t="shared" si="365"/>
        <v/>
      </c>
      <c r="BI353" s="528" t="str">
        <f t="shared" si="365"/>
        <v/>
      </c>
      <c r="BJ353" s="528" t="str">
        <f t="shared" si="365"/>
        <v/>
      </c>
      <c r="BK353" s="528" t="str">
        <f t="shared" si="365"/>
        <v/>
      </c>
      <c r="BL353" s="528" t="str">
        <f t="shared" si="365"/>
        <v/>
      </c>
      <c r="BM353" s="528" t="str">
        <f t="shared" si="365"/>
        <v/>
      </c>
    </row>
    <row r="354" spans="6:65" ht="15.75" customHeight="1" x14ac:dyDescent="0.25">
      <c r="F354" s="197"/>
      <c r="G354" s="197">
        <f t="shared" si="268"/>
        <v>0</v>
      </c>
      <c r="H354" s="197">
        <f t="shared" si="269"/>
        <v>308</v>
      </c>
      <c r="I354" s="523">
        <v>1</v>
      </c>
      <c r="J354" s="533">
        <f>'Monthly DCF'!$I$3</f>
        <v>46418</v>
      </c>
      <c r="K354" s="533">
        <f t="shared" si="270"/>
        <v>47299</v>
      </c>
      <c r="L354" s="536">
        <f t="shared" si="341"/>
        <v>30</v>
      </c>
      <c r="M354" s="20" t="s">
        <v>366</v>
      </c>
      <c r="N354" s="20">
        <f t="shared" si="271"/>
        <v>3.75</v>
      </c>
      <c r="O354" s="537">
        <v>8</v>
      </c>
      <c r="P354" s="528">
        <f t="shared" ref="P354:BM354" si="366">IFERROR(+IF(AND($M354="Flat",P$5&gt;=$J354,P$5&lt;=$K354),$I354/$L354,0)+IF(AND($M354="S-Curve",P$5&gt;=$J354,P$5&lt;=$K354),(_xlfn.NORM.DIST((YEAR(P$5)-YEAR($J354))*12+MONTH(P$5)-MONTH($J354)+1,$L354/2,$N354,TRUE)-_xlfn.NORM.DIST((YEAR(P$5)-YEAR($J354))*12+MONTH(P$5)-MONTH($J354),$L354/2,$N354,TRUE))/(1-2*_xlfn.NORM.DIST(0,$L354/2,$N354,TRUE))*$I354," "),"")</f>
        <v>6.2813861757222584E-5</v>
      </c>
      <c r="Q354" s="528">
        <f t="shared" si="366"/>
        <v>1.6900704611702726E-4</v>
      </c>
      <c r="R354" s="528">
        <f t="shared" si="366"/>
        <v>4.2368730972704399E-4</v>
      </c>
      <c r="S354" s="528">
        <f t="shared" si="366"/>
        <v>9.8964297600135438E-4</v>
      </c>
      <c r="T354" s="528">
        <f t="shared" si="366"/>
        <v>2.1537987670798013E-3</v>
      </c>
      <c r="U354" s="528">
        <f t="shared" si="366"/>
        <v>4.3674320009965822E-3</v>
      </c>
      <c r="V354" s="528">
        <f t="shared" si="366"/>
        <v>8.2516825802182482E-3</v>
      </c>
      <c r="W354" s="528">
        <f t="shared" si="366"/>
        <v>1.4526300015916736E-2</v>
      </c>
      <c r="X354" s="528">
        <f t="shared" si="366"/>
        <v>2.3826725236771529E-2</v>
      </c>
      <c r="Y354" s="528">
        <f t="shared" si="366"/>
        <v>3.6414234594369918E-2</v>
      </c>
      <c r="Z354" s="528">
        <f t="shared" si="366"/>
        <v>5.1853256983724741E-2</v>
      </c>
      <c r="AA354" s="528">
        <f t="shared" si="366"/>
        <v>6.8798564259820408E-2</v>
      </c>
      <c r="AB354" s="528">
        <f t="shared" si="366"/>
        <v>8.5051417388471329E-2</v>
      </c>
      <c r="AC354" s="528">
        <f t="shared" si="366"/>
        <v>9.7967687376811385E-2</v>
      </c>
      <c r="AD354" s="528">
        <f t="shared" si="366"/>
        <v>0.10514374960221667</v>
      </c>
      <c r="AE354" s="528">
        <f t="shared" si="366"/>
        <v>0.10514374960221667</v>
      </c>
      <c r="AF354" s="528">
        <f t="shared" si="366"/>
        <v>9.7967687376811441E-2</v>
      </c>
      <c r="AG354" s="528">
        <f t="shared" si="366"/>
        <v>8.5051417388471245E-2</v>
      </c>
      <c r="AH354" s="528">
        <f t="shared" si="366"/>
        <v>6.8798564259820463E-2</v>
      </c>
      <c r="AI354" s="528">
        <f t="shared" si="366"/>
        <v>5.1853256983724713E-2</v>
      </c>
      <c r="AJ354" s="528">
        <f t="shared" si="366"/>
        <v>3.641423459436989E-2</v>
      </c>
      <c r="AK354" s="528">
        <f t="shared" si="366"/>
        <v>2.3826725236771526E-2</v>
      </c>
      <c r="AL354" s="528">
        <f t="shared" si="366"/>
        <v>1.452630001591676E-2</v>
      </c>
      <c r="AM354" s="528">
        <f t="shared" si="366"/>
        <v>8.2516825802182309E-3</v>
      </c>
      <c r="AN354" s="528">
        <f t="shared" si="366"/>
        <v>4.3674320009965666E-3</v>
      </c>
      <c r="AO354" s="528">
        <f t="shared" si="366"/>
        <v>2.1537987670798265E-3</v>
      </c>
      <c r="AP354" s="528">
        <f t="shared" si="366"/>
        <v>9.8964297600135525E-4</v>
      </c>
      <c r="AQ354" s="528">
        <f t="shared" si="366"/>
        <v>4.2368730972705987E-4</v>
      </c>
      <c r="AR354" s="528">
        <f t="shared" si="366"/>
        <v>1.6900704611698598E-4</v>
      </c>
      <c r="AS354" s="528">
        <f t="shared" si="366"/>
        <v>6.2813861757261046E-5</v>
      </c>
      <c r="AT354" s="528" t="str">
        <f t="shared" si="366"/>
        <v/>
      </c>
      <c r="AU354" s="528" t="str">
        <f t="shared" si="366"/>
        <v/>
      </c>
      <c r="AV354" s="528" t="str">
        <f t="shared" si="366"/>
        <v/>
      </c>
      <c r="AW354" s="528" t="str">
        <f t="shared" si="366"/>
        <v/>
      </c>
      <c r="AX354" s="528" t="str">
        <f t="shared" si="366"/>
        <v/>
      </c>
      <c r="AY354" s="528" t="str">
        <f t="shared" si="366"/>
        <v/>
      </c>
      <c r="AZ354" s="528" t="str">
        <f t="shared" si="366"/>
        <v/>
      </c>
      <c r="BA354" s="528" t="str">
        <f t="shared" si="366"/>
        <v/>
      </c>
      <c r="BB354" s="528" t="str">
        <f t="shared" si="366"/>
        <v/>
      </c>
      <c r="BC354" s="528" t="str">
        <f t="shared" si="366"/>
        <v/>
      </c>
      <c r="BD354" s="528" t="str">
        <f t="shared" si="366"/>
        <v/>
      </c>
      <c r="BE354" s="528" t="str">
        <f t="shared" si="366"/>
        <v/>
      </c>
      <c r="BF354" s="528" t="str">
        <f t="shared" si="366"/>
        <v/>
      </c>
      <c r="BG354" s="528" t="str">
        <f t="shared" si="366"/>
        <v/>
      </c>
      <c r="BH354" s="528" t="str">
        <f t="shared" si="366"/>
        <v/>
      </c>
      <c r="BI354" s="528" t="str">
        <f t="shared" si="366"/>
        <v/>
      </c>
      <c r="BJ354" s="528" t="str">
        <f t="shared" si="366"/>
        <v/>
      </c>
      <c r="BK354" s="528" t="str">
        <f t="shared" si="366"/>
        <v/>
      </c>
      <c r="BL354" s="528" t="str">
        <f t="shared" si="366"/>
        <v/>
      </c>
      <c r="BM354" s="528" t="str">
        <f t="shared" si="366"/>
        <v/>
      </c>
    </row>
    <row r="355" spans="6:65" ht="15.75" customHeight="1" x14ac:dyDescent="0.25">
      <c r="F355" s="197"/>
      <c r="G355" s="197">
        <f t="shared" si="268"/>
        <v>0</v>
      </c>
      <c r="H355" s="197">
        <f t="shared" si="269"/>
        <v>318</v>
      </c>
      <c r="I355" s="523">
        <v>1</v>
      </c>
      <c r="J355" s="533">
        <f>'Monthly DCF'!$I$3</f>
        <v>46418</v>
      </c>
      <c r="K355" s="533">
        <f t="shared" si="270"/>
        <v>47330</v>
      </c>
      <c r="L355" s="536">
        <f t="shared" si="341"/>
        <v>31</v>
      </c>
      <c r="M355" s="20" t="s">
        <v>366</v>
      </c>
      <c r="N355" s="20">
        <f t="shared" si="271"/>
        <v>3.875</v>
      </c>
      <c r="O355" s="537">
        <v>8</v>
      </c>
      <c r="P355" s="528">
        <f t="shared" ref="P355:BM355" si="367">IFERROR(+IF(AND($M355="Flat",P$5&gt;=$J355,P$5&lt;=$K355),$I355/$L355,0)+IF(AND($M355="S-Curve",P$5&gt;=$J355,P$5&lt;=$K355),(_xlfn.NORM.DIST((YEAR(P$5)-YEAR($J355))*12+MONTH(P$5)-MONTH($J355)+1,$L355/2,$N355,TRUE)-_xlfn.NORM.DIST((YEAR(P$5)-YEAR($J355))*12+MONTH(P$5)-MONTH($J355),$L355/2,$N355,TRUE))/(1-2*_xlfn.NORM.DIST(0,$L355/2,$N355,TRUE))*$I355," "),"")</f>
        <v>5.9636736352927909E-5</v>
      </c>
      <c r="Q355" s="528">
        <f t="shared" si="367"/>
        <v>1.5581451448453532E-4</v>
      </c>
      <c r="R355" s="528">
        <f t="shared" si="367"/>
        <v>3.810066611867581E-4</v>
      </c>
      <c r="S355" s="528">
        <f t="shared" si="367"/>
        <v>8.7194429023462023E-4</v>
      </c>
      <c r="T355" s="528">
        <f t="shared" si="367"/>
        <v>1.8675715815737093E-3</v>
      </c>
      <c r="U355" s="528">
        <f t="shared" si="367"/>
        <v>3.7436815676882172E-3</v>
      </c>
      <c r="V355" s="528">
        <f t="shared" si="367"/>
        <v>7.0235129248924829E-3</v>
      </c>
      <c r="W355" s="528">
        <f t="shared" si="367"/>
        <v>1.2332307985411878E-2</v>
      </c>
      <c r="X355" s="528">
        <f t="shared" si="367"/>
        <v>2.0266064290847124E-2</v>
      </c>
      <c r="Y355" s="528">
        <f t="shared" si="367"/>
        <v>3.1169516644700915E-2</v>
      </c>
      <c r="Z355" s="528">
        <f t="shared" si="367"/>
        <v>4.4866972940389535E-2</v>
      </c>
      <c r="AA355" s="528">
        <f t="shared" si="367"/>
        <v>6.0444933972462742E-2</v>
      </c>
      <c r="AB355" s="528">
        <f t="shared" si="367"/>
        <v>7.6213129775876839E-2</v>
      </c>
      <c r="AC355" s="528">
        <f t="shared" si="367"/>
        <v>8.9936645298090978E-2</v>
      </c>
      <c r="AD355" s="528">
        <f t="shared" si="367"/>
        <v>9.9330070959098751E-2</v>
      </c>
      <c r="AE355" s="528">
        <f t="shared" si="367"/>
        <v>0.10267437971341599</v>
      </c>
      <c r="AF355" s="528">
        <f t="shared" si="367"/>
        <v>9.9330070959098751E-2</v>
      </c>
      <c r="AG355" s="528">
        <f t="shared" si="367"/>
        <v>8.9936645298090978E-2</v>
      </c>
      <c r="AH355" s="528">
        <f t="shared" si="367"/>
        <v>7.6213129775876839E-2</v>
      </c>
      <c r="AI355" s="528">
        <f t="shared" si="367"/>
        <v>6.04449339724627E-2</v>
      </c>
      <c r="AJ355" s="528">
        <f t="shared" si="367"/>
        <v>4.4866972940389577E-2</v>
      </c>
      <c r="AK355" s="528">
        <f t="shared" si="367"/>
        <v>3.1169516644700943E-2</v>
      </c>
      <c r="AL355" s="528">
        <f t="shared" si="367"/>
        <v>2.0266064290847062E-2</v>
      </c>
      <c r="AM355" s="528">
        <f t="shared" si="367"/>
        <v>1.2332307985411956E-2</v>
      </c>
      <c r="AN355" s="528">
        <f t="shared" si="367"/>
        <v>7.023512924892404E-3</v>
      </c>
      <c r="AO355" s="528">
        <f t="shared" si="367"/>
        <v>3.7436815676883048E-3</v>
      </c>
      <c r="AP355" s="528">
        <f t="shared" si="367"/>
        <v>1.8675715815737052E-3</v>
      </c>
      <c r="AQ355" s="528">
        <f t="shared" si="367"/>
        <v>8.7194429023457632E-4</v>
      </c>
      <c r="AR355" s="528">
        <f t="shared" si="367"/>
        <v>3.810066611867968E-4</v>
      </c>
      <c r="AS355" s="528">
        <f t="shared" si="367"/>
        <v>1.5581451448447325E-4</v>
      </c>
      <c r="AT355" s="528">
        <f t="shared" si="367"/>
        <v>5.9636736352947153E-5</v>
      </c>
      <c r="AU355" s="528" t="str">
        <f t="shared" si="367"/>
        <v/>
      </c>
      <c r="AV355" s="528" t="str">
        <f t="shared" si="367"/>
        <v/>
      </c>
      <c r="AW355" s="528" t="str">
        <f t="shared" si="367"/>
        <v/>
      </c>
      <c r="AX355" s="528" t="str">
        <f t="shared" si="367"/>
        <v/>
      </c>
      <c r="AY355" s="528" t="str">
        <f t="shared" si="367"/>
        <v/>
      </c>
      <c r="AZ355" s="528" t="str">
        <f t="shared" si="367"/>
        <v/>
      </c>
      <c r="BA355" s="528" t="str">
        <f t="shared" si="367"/>
        <v/>
      </c>
      <c r="BB355" s="528" t="str">
        <f t="shared" si="367"/>
        <v/>
      </c>
      <c r="BC355" s="528" t="str">
        <f t="shared" si="367"/>
        <v/>
      </c>
      <c r="BD355" s="528" t="str">
        <f t="shared" si="367"/>
        <v/>
      </c>
      <c r="BE355" s="528" t="str">
        <f t="shared" si="367"/>
        <v/>
      </c>
      <c r="BF355" s="528" t="str">
        <f t="shared" si="367"/>
        <v/>
      </c>
      <c r="BG355" s="528" t="str">
        <f t="shared" si="367"/>
        <v/>
      </c>
      <c r="BH355" s="528" t="str">
        <f t="shared" si="367"/>
        <v/>
      </c>
      <c r="BI355" s="528" t="str">
        <f t="shared" si="367"/>
        <v/>
      </c>
      <c r="BJ355" s="528" t="str">
        <f t="shared" si="367"/>
        <v/>
      </c>
      <c r="BK355" s="528" t="str">
        <f t="shared" si="367"/>
        <v/>
      </c>
      <c r="BL355" s="528" t="str">
        <f t="shared" si="367"/>
        <v/>
      </c>
      <c r="BM355" s="528" t="str">
        <f t="shared" si="367"/>
        <v/>
      </c>
    </row>
    <row r="356" spans="6:65" ht="15.75" customHeight="1" x14ac:dyDescent="0.25">
      <c r="F356" s="197"/>
      <c r="G356" s="197">
        <f t="shared" si="268"/>
        <v>0</v>
      </c>
      <c r="H356" s="197">
        <f t="shared" si="269"/>
        <v>328</v>
      </c>
      <c r="I356" s="523">
        <v>1</v>
      </c>
      <c r="J356" s="533">
        <f>'Monthly DCF'!$I$3</f>
        <v>46418</v>
      </c>
      <c r="K356" s="533">
        <f t="shared" si="270"/>
        <v>47361</v>
      </c>
      <c r="L356" s="536">
        <f t="shared" si="341"/>
        <v>32</v>
      </c>
      <c r="M356" s="20" t="s">
        <v>366</v>
      </c>
      <c r="N356" s="20">
        <f t="shared" si="271"/>
        <v>4</v>
      </c>
      <c r="O356" s="537">
        <v>8</v>
      </c>
      <c r="P356" s="528">
        <f t="shared" ref="P356:BM356" si="368">IFERROR(+IF(AND($M356="Flat",P$5&gt;=$J356,P$5&lt;=$K356),$I356/$L356,0)+IF(AND($M356="S-Curve",P$5&gt;=$J356,P$5&lt;=$K356),(_xlfn.NORM.DIST((YEAR(P$5)-YEAR($J356))*12+MONTH(P$5)-MONTH($J356)+1,$L356/2,$N356,TRUE)-_xlfn.NORM.DIST((YEAR(P$5)-YEAR($J356))*12+MONTH(P$5)-MONTH($J356),$L356/2,$N356,TRUE))/(1-2*_xlfn.NORM.DIST(0,$L356/2,$N356,TRUE))*$I356," "),"")</f>
        <v>5.6749638030703928E-5</v>
      </c>
      <c r="Q356" s="528">
        <f t="shared" si="368"/>
        <v>1.4422092914657009E-4</v>
      </c>
      <c r="R356" s="528">
        <f t="shared" si="368"/>
        <v>3.4441777963282175E-4</v>
      </c>
      <c r="S356" s="528">
        <f t="shared" si="368"/>
        <v>7.729219480351959E-4</v>
      </c>
      <c r="T356" s="528">
        <f t="shared" si="368"/>
        <v>1.6299684496743619E-3</v>
      </c>
      <c r="U356" s="528">
        <f t="shared" si="368"/>
        <v>3.2301066937020641E-3</v>
      </c>
      <c r="V356" s="528">
        <f t="shared" si="368"/>
        <v>6.0151883462381331E-3</v>
      </c>
      <c r="W356" s="528">
        <f t="shared" si="368"/>
        <v>1.0526326056770813E-2</v>
      </c>
      <c r="X356" s="528">
        <f t="shared" si="368"/>
        <v>1.731012138171879E-2</v>
      </c>
      <c r="Y356" s="528">
        <f t="shared" si="368"/>
        <v>2.6749738799933968E-2</v>
      </c>
      <c r="Z356" s="528">
        <f t="shared" si="368"/>
        <v>3.8845032938861643E-2</v>
      </c>
      <c r="AA356" s="528">
        <f t="shared" si="368"/>
        <v>5.3008837976055399E-2</v>
      </c>
      <c r="AB356" s="528">
        <f t="shared" si="368"/>
        <v>6.7976404239686455E-2</v>
      </c>
      <c r="AC356" s="528">
        <f t="shared" si="368"/>
        <v>8.1915375072426216E-2</v>
      </c>
      <c r="AD356" s="528">
        <f t="shared" si="368"/>
        <v>9.2762011367279296E-2</v>
      </c>
      <c r="AE356" s="528">
        <f t="shared" si="368"/>
        <v>9.8712578382807573E-2</v>
      </c>
      <c r="AF356" s="528">
        <f t="shared" si="368"/>
        <v>9.8712578382807573E-2</v>
      </c>
      <c r="AG356" s="528">
        <f t="shared" si="368"/>
        <v>9.2762011367279296E-2</v>
      </c>
      <c r="AH356" s="528">
        <f t="shared" si="368"/>
        <v>8.1915375072426161E-2</v>
      </c>
      <c r="AI356" s="528">
        <f t="shared" si="368"/>
        <v>6.7976404239686539E-2</v>
      </c>
      <c r="AJ356" s="528">
        <f t="shared" si="368"/>
        <v>5.3008837976055385E-2</v>
      </c>
      <c r="AK356" s="528">
        <f t="shared" si="368"/>
        <v>3.8845032938861601E-2</v>
      </c>
      <c r="AL356" s="528">
        <f t="shared" si="368"/>
        <v>2.6749738799933982E-2</v>
      </c>
      <c r="AM356" s="528">
        <f t="shared" si="368"/>
        <v>1.7310121381718786E-2</v>
      </c>
      <c r="AN356" s="528">
        <f t="shared" si="368"/>
        <v>1.0526326056770854E-2</v>
      </c>
      <c r="AO356" s="528">
        <f t="shared" si="368"/>
        <v>6.0151883462380828E-3</v>
      </c>
      <c r="AP356" s="528">
        <f t="shared" si="368"/>
        <v>3.2301066937020896E-3</v>
      </c>
      <c r="AQ356" s="528">
        <f t="shared" si="368"/>
        <v>1.6299684496743521E-3</v>
      </c>
      <c r="AR356" s="528">
        <f t="shared" si="368"/>
        <v>7.7292194803520577E-4</v>
      </c>
      <c r="AS356" s="528">
        <f t="shared" si="368"/>
        <v>3.4441777963280701E-4</v>
      </c>
      <c r="AT356" s="528">
        <f t="shared" si="368"/>
        <v>1.4422092914657419E-4</v>
      </c>
      <c r="AU356" s="528">
        <f t="shared" si="368"/>
        <v>5.6749638030714757E-5</v>
      </c>
      <c r="AV356" s="528" t="str">
        <f t="shared" si="368"/>
        <v/>
      </c>
      <c r="AW356" s="528" t="str">
        <f t="shared" si="368"/>
        <v/>
      </c>
      <c r="AX356" s="528" t="str">
        <f t="shared" si="368"/>
        <v/>
      </c>
      <c r="AY356" s="528" t="str">
        <f t="shared" si="368"/>
        <v/>
      </c>
      <c r="AZ356" s="528" t="str">
        <f t="shared" si="368"/>
        <v/>
      </c>
      <c r="BA356" s="528" t="str">
        <f t="shared" si="368"/>
        <v/>
      </c>
      <c r="BB356" s="528" t="str">
        <f t="shared" si="368"/>
        <v/>
      </c>
      <c r="BC356" s="528" t="str">
        <f t="shared" si="368"/>
        <v/>
      </c>
      <c r="BD356" s="528" t="str">
        <f t="shared" si="368"/>
        <v/>
      </c>
      <c r="BE356" s="528" t="str">
        <f t="shared" si="368"/>
        <v/>
      </c>
      <c r="BF356" s="528" t="str">
        <f t="shared" si="368"/>
        <v/>
      </c>
      <c r="BG356" s="528" t="str">
        <f t="shared" si="368"/>
        <v/>
      </c>
      <c r="BH356" s="528" t="str">
        <f t="shared" si="368"/>
        <v/>
      </c>
      <c r="BI356" s="528" t="str">
        <f t="shared" si="368"/>
        <v/>
      </c>
      <c r="BJ356" s="528" t="str">
        <f t="shared" si="368"/>
        <v/>
      </c>
      <c r="BK356" s="528" t="str">
        <f t="shared" si="368"/>
        <v/>
      </c>
      <c r="BL356" s="528" t="str">
        <f t="shared" si="368"/>
        <v/>
      </c>
      <c r="BM356" s="528" t="str">
        <f t="shared" si="368"/>
        <v/>
      </c>
    </row>
    <row r="357" spans="6:65" ht="15.75" customHeight="1" x14ac:dyDescent="0.25">
      <c r="F357" s="197"/>
      <c r="G357" s="197">
        <f t="shared" si="268"/>
        <v>0</v>
      </c>
      <c r="H357" s="197">
        <f t="shared" si="269"/>
        <v>338</v>
      </c>
      <c r="I357" s="523">
        <v>1</v>
      </c>
      <c r="J357" s="533">
        <f>'Monthly DCF'!$I$3</f>
        <v>46418</v>
      </c>
      <c r="K357" s="533">
        <f t="shared" si="270"/>
        <v>47391</v>
      </c>
      <c r="L357" s="536">
        <f t="shared" si="341"/>
        <v>33</v>
      </c>
      <c r="M357" s="20" t="s">
        <v>366</v>
      </c>
      <c r="N357" s="20">
        <f t="shared" si="271"/>
        <v>4.125</v>
      </c>
      <c r="O357" s="537">
        <v>8</v>
      </c>
      <c r="P357" s="528">
        <f t="shared" ref="P357:BM357" si="369">IFERROR(+IF(AND($M357="Flat",P$5&gt;=$J357,P$5&lt;=$K357),$I357/$L357,0)+IF(AND($M357="S-Curve",P$5&gt;=$J357,P$5&lt;=$K357),(_xlfn.NORM.DIST((YEAR(P$5)-YEAR($J357))*12+MONTH(P$5)-MONTH($J357)+1,$L357/2,$N357,TRUE)-_xlfn.NORM.DIST((YEAR(P$5)-YEAR($J357))*12+MONTH(P$5)-MONTH($J357),$L357/2,$N357,TRUE))/(1-2*_xlfn.NORM.DIST(0,$L357/2,$N357,TRUE))*$I357," "),"")</f>
        <v>5.4115902922969648E-5</v>
      </c>
      <c r="Q357" s="528">
        <f t="shared" si="369"/>
        <v>1.3397634919144072E-4</v>
      </c>
      <c r="R357" s="528">
        <f t="shared" si="369"/>
        <v>3.1284423790007025E-4</v>
      </c>
      <c r="S357" s="528">
        <f t="shared" si="369"/>
        <v>6.8901005590230047E-4</v>
      </c>
      <c r="T357" s="528">
        <f t="shared" si="369"/>
        <v>1.4312677667938979E-3</v>
      </c>
      <c r="U357" s="528">
        <f t="shared" si="369"/>
        <v>2.804236681054886E-3</v>
      </c>
      <c r="V357" s="528">
        <f t="shared" si="369"/>
        <v>5.1821187621952204E-3</v>
      </c>
      <c r="W357" s="528">
        <f t="shared" si="369"/>
        <v>9.0323220899903162E-3</v>
      </c>
      <c r="X357" s="528">
        <f t="shared" si="369"/>
        <v>1.4848795508538829E-2</v>
      </c>
      <c r="Y357" s="528">
        <f t="shared" si="369"/>
        <v>2.3024125857779063E-2</v>
      </c>
      <c r="Z357" s="528">
        <f t="shared" si="369"/>
        <v>3.3672511176686473E-2</v>
      </c>
      <c r="AA357" s="528">
        <f t="shared" si="369"/>
        <v>4.6448165677289148E-2</v>
      </c>
      <c r="AB357" s="528">
        <f t="shared" si="369"/>
        <v>6.0431388132831297E-2</v>
      </c>
      <c r="AC357" s="528">
        <f t="shared" si="369"/>
        <v>7.4157948310538221E-2</v>
      </c>
      <c r="AD357" s="528">
        <f t="shared" si="369"/>
        <v>8.5832966819575973E-2</v>
      </c>
      <c r="AE357" s="528">
        <f t="shared" si="369"/>
        <v>9.3702662716618604E-2</v>
      </c>
      <c r="AF357" s="528">
        <f t="shared" si="369"/>
        <v>9.6483087908382573E-2</v>
      </c>
      <c r="AG357" s="528">
        <f t="shared" si="369"/>
        <v>9.3702662716618604E-2</v>
      </c>
      <c r="AH357" s="528">
        <f t="shared" si="369"/>
        <v>8.5832966819575973E-2</v>
      </c>
      <c r="AI357" s="528">
        <f t="shared" si="369"/>
        <v>7.4157948310538194E-2</v>
      </c>
      <c r="AJ357" s="528">
        <f t="shared" si="369"/>
        <v>6.0431388132831353E-2</v>
      </c>
      <c r="AK357" s="528">
        <f t="shared" si="369"/>
        <v>4.644816567728912E-2</v>
      </c>
      <c r="AL357" s="528">
        <f t="shared" si="369"/>
        <v>3.3672511176686445E-2</v>
      </c>
      <c r="AM357" s="528">
        <f t="shared" si="369"/>
        <v>2.3024125857779139E-2</v>
      </c>
      <c r="AN357" s="528">
        <f t="shared" si="369"/>
        <v>1.4848795508538763E-2</v>
      </c>
      <c r="AO357" s="528">
        <f t="shared" si="369"/>
        <v>9.0323220899903457E-3</v>
      </c>
      <c r="AP357" s="528">
        <f t="shared" si="369"/>
        <v>5.1821187621952525E-3</v>
      </c>
      <c r="AQ357" s="528">
        <f t="shared" si="369"/>
        <v>2.8042366810548717E-3</v>
      </c>
      <c r="AR357" s="528">
        <f t="shared" si="369"/>
        <v>1.4312677667938194E-3</v>
      </c>
      <c r="AS357" s="528">
        <f t="shared" si="369"/>
        <v>6.8901005590231272E-4</v>
      </c>
      <c r="AT357" s="528">
        <f t="shared" si="369"/>
        <v>3.1284423790013156E-4</v>
      </c>
      <c r="AU357" s="528">
        <f t="shared" si="369"/>
        <v>1.3397634919144589E-4</v>
      </c>
      <c r="AV357" s="528">
        <f t="shared" si="369"/>
        <v>5.4115902922939351E-5</v>
      </c>
      <c r="AW357" s="528" t="str">
        <f t="shared" si="369"/>
        <v/>
      </c>
      <c r="AX357" s="528" t="str">
        <f t="shared" si="369"/>
        <v/>
      </c>
      <c r="AY357" s="528" t="str">
        <f t="shared" si="369"/>
        <v/>
      </c>
      <c r="AZ357" s="528" t="str">
        <f t="shared" si="369"/>
        <v/>
      </c>
      <c r="BA357" s="528" t="str">
        <f t="shared" si="369"/>
        <v/>
      </c>
      <c r="BB357" s="528" t="str">
        <f t="shared" si="369"/>
        <v/>
      </c>
      <c r="BC357" s="528" t="str">
        <f t="shared" si="369"/>
        <v/>
      </c>
      <c r="BD357" s="528" t="str">
        <f t="shared" si="369"/>
        <v/>
      </c>
      <c r="BE357" s="528" t="str">
        <f t="shared" si="369"/>
        <v/>
      </c>
      <c r="BF357" s="528" t="str">
        <f t="shared" si="369"/>
        <v/>
      </c>
      <c r="BG357" s="528" t="str">
        <f t="shared" si="369"/>
        <v/>
      </c>
      <c r="BH357" s="528" t="str">
        <f t="shared" si="369"/>
        <v/>
      </c>
      <c r="BI357" s="528" t="str">
        <f t="shared" si="369"/>
        <v/>
      </c>
      <c r="BJ357" s="528" t="str">
        <f t="shared" si="369"/>
        <v/>
      </c>
      <c r="BK357" s="528" t="str">
        <f t="shared" si="369"/>
        <v/>
      </c>
      <c r="BL357" s="528" t="str">
        <f t="shared" si="369"/>
        <v/>
      </c>
      <c r="BM357" s="528" t="str">
        <f t="shared" si="369"/>
        <v/>
      </c>
    </row>
    <row r="358" spans="6:65" ht="15.75" customHeight="1" x14ac:dyDescent="0.25">
      <c r="F358" s="197"/>
      <c r="G358" s="197">
        <f t="shared" si="268"/>
        <v>0</v>
      </c>
      <c r="H358" s="197">
        <f t="shared" si="269"/>
        <v>348</v>
      </c>
      <c r="I358" s="523">
        <v>1</v>
      </c>
      <c r="J358" s="533">
        <f>'Monthly DCF'!$I$3</f>
        <v>46418</v>
      </c>
      <c r="K358" s="533">
        <f t="shared" si="270"/>
        <v>47422</v>
      </c>
      <c r="L358" s="536">
        <f t="shared" si="341"/>
        <v>34</v>
      </c>
      <c r="M358" s="20" t="s">
        <v>366</v>
      </c>
      <c r="N358" s="20">
        <f t="shared" si="271"/>
        <v>4.25</v>
      </c>
      <c r="O358" s="537">
        <v>8</v>
      </c>
      <c r="P358" s="528">
        <f t="shared" ref="P358:BM358" si="370">IFERROR(+IF(AND($M358="Flat",P$5&gt;=$J358,P$5&lt;=$K358),$I358/$L358,0)+IF(AND($M358="S-Curve",P$5&gt;=$J358,P$5&lt;=$K358),(_xlfn.NORM.DIST((YEAR(P$5)-YEAR($J358))*12+MONTH(P$5)-MONTH($J358)+1,$L358/2,$N358,TRUE)-_xlfn.NORM.DIST((YEAR(P$5)-YEAR($J358))*12+MONTH(P$5)-MONTH($J358),$L358/2,$N358,TRUE))/(1-2*_xlfn.NORM.DIST(0,$L358/2,$N358,TRUE))*$I358," "),"")</f>
        <v>5.1704649902038772E-5</v>
      </c>
      <c r="Q358" s="528">
        <f t="shared" si="370"/>
        <v>1.2487757398309474E-4</v>
      </c>
      <c r="R358" s="528">
        <f t="shared" si="370"/>
        <v>2.8543162776968644E-4</v>
      </c>
      <c r="S358" s="528">
        <f t="shared" si="370"/>
        <v>6.1742328768508504E-4</v>
      </c>
      <c r="T358" s="528">
        <f t="shared" si="370"/>
        <v>1.2639434389823715E-3</v>
      </c>
      <c r="U358" s="528">
        <f t="shared" si="370"/>
        <v>2.4487047177462642E-3</v>
      </c>
      <c r="V358" s="528">
        <f t="shared" si="370"/>
        <v>4.4896215321629318E-3</v>
      </c>
      <c r="W358" s="528">
        <f t="shared" si="370"/>
        <v>7.7901880954980842E-3</v>
      </c>
      <c r="X358" s="528">
        <f t="shared" si="370"/>
        <v>1.279238092507458E-2</v>
      </c>
      <c r="Y358" s="528">
        <f t="shared" si="370"/>
        <v>1.9880181649063154E-2</v>
      </c>
      <c r="Z358" s="528">
        <f t="shared" si="370"/>
        <v>2.9238501160767757E-2</v>
      </c>
      <c r="AA358" s="528">
        <f t="shared" si="370"/>
        <v>4.0696390285132174E-2</v>
      </c>
      <c r="AB358" s="528">
        <f t="shared" si="370"/>
        <v>5.3607172464576802E-2</v>
      </c>
      <c r="AC358" s="528">
        <f t="shared" si="370"/>
        <v>6.6827668155664752E-2</v>
      </c>
      <c r="AD358" s="528">
        <f t="shared" si="370"/>
        <v>7.8841747950898891E-2</v>
      </c>
      <c r="AE358" s="528">
        <f t="shared" si="370"/>
        <v>8.8028400850523561E-2</v>
      </c>
      <c r="AF358" s="528">
        <f t="shared" si="370"/>
        <v>9.3015661634568758E-2</v>
      </c>
      <c r="AG358" s="528">
        <f t="shared" si="370"/>
        <v>9.3015661634568758E-2</v>
      </c>
      <c r="AH358" s="528">
        <f t="shared" si="370"/>
        <v>8.8028400850523561E-2</v>
      </c>
      <c r="AI358" s="528">
        <f t="shared" si="370"/>
        <v>7.8841747950898891E-2</v>
      </c>
      <c r="AJ358" s="528">
        <f t="shared" si="370"/>
        <v>6.6827668155664779E-2</v>
      </c>
      <c r="AK358" s="528">
        <f t="shared" si="370"/>
        <v>5.3607172464576788E-2</v>
      </c>
      <c r="AL358" s="528">
        <f t="shared" si="370"/>
        <v>4.0696390285132188E-2</v>
      </c>
      <c r="AM358" s="528">
        <f t="shared" si="370"/>
        <v>2.9238501160767694E-2</v>
      </c>
      <c r="AN358" s="528">
        <f t="shared" si="370"/>
        <v>1.9880181649063199E-2</v>
      </c>
      <c r="AO358" s="528">
        <f t="shared" si="370"/>
        <v>1.2792380925074598E-2</v>
      </c>
      <c r="AP358" s="528">
        <f t="shared" si="370"/>
        <v>7.7901880954980322E-3</v>
      </c>
      <c r="AQ358" s="528">
        <f t="shared" si="370"/>
        <v>4.4896215321629665E-3</v>
      </c>
      <c r="AR358" s="528">
        <f t="shared" si="370"/>
        <v>2.4487047177462048E-3</v>
      </c>
      <c r="AS358" s="528">
        <f t="shared" si="370"/>
        <v>1.263943438982458E-3</v>
      </c>
      <c r="AT358" s="528">
        <f t="shared" si="370"/>
        <v>6.174232876850137E-4</v>
      </c>
      <c r="AU358" s="528">
        <f t="shared" si="370"/>
        <v>2.8543162776974233E-4</v>
      </c>
      <c r="AV358" s="528">
        <f t="shared" si="370"/>
        <v>1.2487757398301974E-4</v>
      </c>
      <c r="AW358" s="528">
        <f t="shared" si="370"/>
        <v>5.170464990209156E-5</v>
      </c>
      <c r="AX358" s="528" t="str">
        <f t="shared" si="370"/>
        <v/>
      </c>
      <c r="AY358" s="528" t="str">
        <f t="shared" si="370"/>
        <v/>
      </c>
      <c r="AZ358" s="528" t="str">
        <f t="shared" si="370"/>
        <v/>
      </c>
      <c r="BA358" s="528" t="str">
        <f t="shared" si="370"/>
        <v/>
      </c>
      <c r="BB358" s="528" t="str">
        <f t="shared" si="370"/>
        <v/>
      </c>
      <c r="BC358" s="528" t="str">
        <f t="shared" si="370"/>
        <v/>
      </c>
      <c r="BD358" s="528" t="str">
        <f t="shared" si="370"/>
        <v/>
      </c>
      <c r="BE358" s="528" t="str">
        <f t="shared" si="370"/>
        <v/>
      </c>
      <c r="BF358" s="528" t="str">
        <f t="shared" si="370"/>
        <v/>
      </c>
      <c r="BG358" s="528" t="str">
        <f t="shared" si="370"/>
        <v/>
      </c>
      <c r="BH358" s="528" t="str">
        <f t="shared" si="370"/>
        <v/>
      </c>
      <c r="BI358" s="528" t="str">
        <f t="shared" si="370"/>
        <v/>
      </c>
      <c r="BJ358" s="528" t="str">
        <f t="shared" si="370"/>
        <v/>
      </c>
      <c r="BK358" s="528" t="str">
        <f t="shared" si="370"/>
        <v/>
      </c>
      <c r="BL358" s="528" t="str">
        <f t="shared" si="370"/>
        <v/>
      </c>
      <c r="BM358" s="528" t="str">
        <f t="shared" si="370"/>
        <v/>
      </c>
    </row>
    <row r="359" spans="6:65" ht="15.75" customHeight="1" x14ac:dyDescent="0.25">
      <c r="F359" s="197"/>
      <c r="G359" s="197">
        <f t="shared" si="268"/>
        <v>0</v>
      </c>
      <c r="H359" s="197">
        <f t="shared" si="269"/>
        <v>358</v>
      </c>
      <c r="I359" s="523">
        <v>1</v>
      </c>
      <c r="J359" s="533">
        <f>'Monthly DCF'!$I$3</f>
        <v>46418</v>
      </c>
      <c r="K359" s="533">
        <f t="shared" si="270"/>
        <v>47452</v>
      </c>
      <c r="L359" s="536">
        <f t="shared" si="341"/>
        <v>35</v>
      </c>
      <c r="M359" s="20" t="s">
        <v>366</v>
      </c>
      <c r="N359" s="20">
        <f t="shared" si="271"/>
        <v>4.375</v>
      </c>
      <c r="O359" s="537">
        <v>8</v>
      </c>
      <c r="P359" s="528">
        <f t="shared" ref="P359:BM359" si="371">IFERROR(+IF(AND($M359="Flat",P$5&gt;=$J359,P$5&lt;=$K359),$I359/$L359,0)+IF(AND($M359="S-Curve",P$5&gt;=$J359,P$5&lt;=$K359),(_xlfn.NORM.DIST((YEAR(P$5)-YEAR($J359))*12+MONTH(P$5)-MONTH($J359)+1,$L359/2,$N359,TRUE)-_xlfn.NORM.DIST((YEAR(P$5)-YEAR($J359))*12+MONTH(P$5)-MONTH($J359),$L359/2,$N359,TRUE))/(1-2*_xlfn.NORM.DIST(0,$L359/2,$N359,TRUE))*$I359," "),"")</f>
        <v>4.9489704253443553E-5</v>
      </c>
      <c r="Q359" s="528">
        <f t="shared" si="371"/>
        <v>1.1675811359606807E-4</v>
      </c>
      <c r="R359" s="528">
        <f t="shared" si="371"/>
        <v>2.6149589738809264E-4</v>
      </c>
      <c r="S359" s="528">
        <f t="shared" si="371"/>
        <v>5.5596657608250621E-4</v>
      </c>
      <c r="T359" s="528">
        <f t="shared" si="371"/>
        <v>1.1221188353801102E-3</v>
      </c>
      <c r="U359" s="528">
        <f t="shared" si="371"/>
        <v>2.1499865109518347E-3</v>
      </c>
      <c r="V359" s="528">
        <f t="shared" si="371"/>
        <v>3.9105663240269761E-3</v>
      </c>
      <c r="W359" s="528">
        <f t="shared" si="371"/>
        <v>6.752287332825793E-3</v>
      </c>
      <c r="X359" s="528">
        <f t="shared" si="371"/>
        <v>1.1068016205263558E-2</v>
      </c>
      <c r="Y359" s="528">
        <f t="shared" si="371"/>
        <v>1.7222512983180439E-2</v>
      </c>
      <c r="Z359" s="528">
        <f t="shared" si="371"/>
        <v>2.5440833906866474E-2</v>
      </c>
      <c r="AA359" s="528">
        <f t="shared" si="371"/>
        <v>3.5675859965662492E-2</v>
      </c>
      <c r="AB359" s="528">
        <f t="shared" si="371"/>
        <v>4.7492607824716593E-2</v>
      </c>
      <c r="AC359" s="528">
        <f t="shared" si="371"/>
        <v>6.0018645452306237E-2</v>
      </c>
      <c r="AD359" s="528">
        <f t="shared" si="371"/>
        <v>7.2003745411347297E-2</v>
      </c>
      <c r="AE359" s="528">
        <f t="shared" si="371"/>
        <v>8.2003578548087833E-2</v>
      </c>
      <c r="AF359" s="528">
        <f t="shared" si="371"/>
        <v>8.8658301823631172E-2</v>
      </c>
      <c r="AG359" s="528">
        <f t="shared" si="371"/>
        <v>9.0994457168866144E-2</v>
      </c>
      <c r="AH359" s="528">
        <f t="shared" si="371"/>
        <v>8.8658301823631172E-2</v>
      </c>
      <c r="AI359" s="528">
        <f t="shared" si="371"/>
        <v>8.2003578548087833E-2</v>
      </c>
      <c r="AJ359" s="528">
        <f t="shared" si="371"/>
        <v>7.200374541134727E-2</v>
      </c>
      <c r="AK359" s="528">
        <f t="shared" si="371"/>
        <v>6.0018645452306209E-2</v>
      </c>
      <c r="AL359" s="528">
        <f t="shared" si="371"/>
        <v>4.7492607824716621E-2</v>
      </c>
      <c r="AM359" s="528">
        <f t="shared" si="371"/>
        <v>3.5675859965662561E-2</v>
      </c>
      <c r="AN359" s="528">
        <f t="shared" si="371"/>
        <v>2.5440833906866488E-2</v>
      </c>
      <c r="AO359" s="528">
        <f t="shared" si="371"/>
        <v>1.7222512983180397E-2</v>
      </c>
      <c r="AP359" s="528">
        <f t="shared" si="371"/>
        <v>1.1068016205263586E-2</v>
      </c>
      <c r="AQ359" s="528">
        <f t="shared" si="371"/>
        <v>6.7522873328257271E-3</v>
      </c>
      <c r="AR359" s="528">
        <f t="shared" si="371"/>
        <v>3.910566324026957E-3</v>
      </c>
      <c r="AS359" s="528">
        <f t="shared" si="371"/>
        <v>2.1499865109518928E-3</v>
      </c>
      <c r="AT359" s="528">
        <f t="shared" si="371"/>
        <v>1.122118835380066E-3</v>
      </c>
      <c r="AU359" s="528">
        <f t="shared" si="371"/>
        <v>5.5596657608248084E-4</v>
      </c>
      <c r="AV359" s="528">
        <f t="shared" si="371"/>
        <v>2.6149589738816366E-4</v>
      </c>
      <c r="AW359" s="528">
        <f t="shared" si="371"/>
        <v>1.1675811359601725E-4</v>
      </c>
      <c r="AX359" s="528">
        <f t="shared" si="371"/>
        <v>4.9489704253478017E-5</v>
      </c>
      <c r="AY359" s="528" t="str">
        <f t="shared" si="371"/>
        <v/>
      </c>
      <c r="AZ359" s="528" t="str">
        <f t="shared" si="371"/>
        <v/>
      </c>
      <c r="BA359" s="528" t="str">
        <f t="shared" si="371"/>
        <v/>
      </c>
      <c r="BB359" s="528" t="str">
        <f t="shared" si="371"/>
        <v/>
      </c>
      <c r="BC359" s="528" t="str">
        <f t="shared" si="371"/>
        <v/>
      </c>
      <c r="BD359" s="528" t="str">
        <f t="shared" si="371"/>
        <v/>
      </c>
      <c r="BE359" s="528" t="str">
        <f t="shared" si="371"/>
        <v/>
      </c>
      <c r="BF359" s="528" t="str">
        <f t="shared" si="371"/>
        <v/>
      </c>
      <c r="BG359" s="528" t="str">
        <f t="shared" si="371"/>
        <v/>
      </c>
      <c r="BH359" s="528" t="str">
        <f t="shared" si="371"/>
        <v/>
      </c>
      <c r="BI359" s="528" t="str">
        <f t="shared" si="371"/>
        <v/>
      </c>
      <c r="BJ359" s="528" t="str">
        <f t="shared" si="371"/>
        <v/>
      </c>
      <c r="BK359" s="528" t="str">
        <f t="shared" si="371"/>
        <v/>
      </c>
      <c r="BL359" s="528" t="str">
        <f t="shared" si="371"/>
        <v/>
      </c>
      <c r="BM359" s="528" t="str">
        <f t="shared" si="371"/>
        <v/>
      </c>
    </row>
    <row r="360" spans="6:65" ht="15.75" customHeight="1" x14ac:dyDescent="0.25">
      <c r="F360" s="197"/>
      <c r="G360" s="197">
        <f t="shared" si="268"/>
        <v>0</v>
      </c>
      <c r="H360" s="197">
        <f t="shared" si="269"/>
        <v>368</v>
      </c>
      <c r="I360" s="523">
        <v>1</v>
      </c>
      <c r="J360" s="533">
        <f>'Monthly DCF'!$I$3</f>
        <v>46418</v>
      </c>
      <c r="K360" s="533">
        <f t="shared" si="270"/>
        <v>47483</v>
      </c>
      <c r="L360" s="536">
        <f t="shared" si="341"/>
        <v>36</v>
      </c>
      <c r="M360" s="20" t="s">
        <v>366</v>
      </c>
      <c r="N360" s="20">
        <f t="shared" si="271"/>
        <v>4.5</v>
      </c>
      <c r="O360" s="537">
        <v>8</v>
      </c>
      <c r="P360" s="528">
        <f t="shared" ref="P360:BM360" si="372">IFERROR(+IF(AND($M360="Flat",P$5&gt;=$J360,P$5&lt;=$K360),$I360/$L360,0)+IF(AND($M360="S-Curve",P$5&gt;=$J360,P$5&lt;=$K360),(_xlfn.NORM.DIST((YEAR(P$5)-YEAR($J360))*12+MONTH(P$5)-MONTH($J360)+1,$L360/2,$N360,TRUE)-_xlfn.NORM.DIST((YEAR(P$5)-YEAR($J360))*12+MONTH(P$5)-MONTH($J360),$L360/2,$N360,TRUE))/(1-2*_xlfn.NORM.DIST(0,$L360/2,$N360,TRUE))*$I360," "),"")</f>
        <v>4.7448749734617709E-5</v>
      </c>
      <c r="Q360" s="528">
        <f t="shared" si="372"/>
        <v>1.0948056364386097E-4</v>
      </c>
      <c r="R360" s="528">
        <f t="shared" si="372"/>
        <v>2.4048495119180076E-4</v>
      </c>
      <c r="S360" s="528">
        <f t="shared" si="372"/>
        <v>5.0289548896742986E-4</v>
      </c>
      <c r="T360" s="528">
        <f t="shared" si="372"/>
        <v>1.0011677189167905E-3</v>
      </c>
      <c r="U360" s="528">
        <f t="shared" si="372"/>
        <v>1.8974724882279493E-3</v>
      </c>
      <c r="V360" s="528">
        <f t="shared" si="372"/>
        <v>3.4236074170749791E-3</v>
      </c>
      <c r="W360" s="528">
        <f t="shared" si="372"/>
        <v>5.8807470672783517E-3</v>
      </c>
      <c r="X360" s="528">
        <f t="shared" si="372"/>
        <v>9.6165953961948828E-3</v>
      </c>
      <c r="Y360" s="528">
        <f t="shared" si="372"/>
        <v>1.4970996165301119E-2</v>
      </c>
      <c r="Z360" s="528">
        <f t="shared" si="372"/>
        <v>2.2188132740807304E-2</v>
      </c>
      <c r="AA360" s="528">
        <f t="shared" si="372"/>
        <v>3.1306295641616376E-2</v>
      </c>
      <c r="AB360" s="528">
        <f t="shared" si="372"/>
        <v>4.2051706836190958E-2</v>
      </c>
      <c r="AC360" s="528">
        <f t="shared" si="372"/>
        <v>5.3774542055987667E-2</v>
      </c>
      <c r="AD360" s="528">
        <f t="shared" si="372"/>
        <v>6.5465285535261389E-2</v>
      </c>
      <c r="AE360" s="528">
        <f t="shared" si="372"/>
        <v>7.5872911713633209E-2</v>
      </c>
      <c r="AF360" s="528">
        <f t="shared" si="372"/>
        <v>8.3715107311874939E-2</v>
      </c>
      <c r="AG360" s="528">
        <f t="shared" si="372"/>
        <v>8.7935122158096388E-2</v>
      </c>
      <c r="AH360" s="528">
        <f t="shared" si="372"/>
        <v>8.7935122158096388E-2</v>
      </c>
      <c r="AI360" s="528">
        <f t="shared" si="372"/>
        <v>8.3715107311874939E-2</v>
      </c>
      <c r="AJ360" s="528">
        <f t="shared" si="372"/>
        <v>7.5872911713633209E-2</v>
      </c>
      <c r="AK360" s="528">
        <f t="shared" si="372"/>
        <v>6.5465285535261361E-2</v>
      </c>
      <c r="AL360" s="528">
        <f t="shared" si="372"/>
        <v>5.377454205598764E-2</v>
      </c>
      <c r="AM360" s="528">
        <f t="shared" si="372"/>
        <v>4.2051706836191013E-2</v>
      </c>
      <c r="AN360" s="528">
        <f t="shared" si="372"/>
        <v>3.1306295641616404E-2</v>
      </c>
      <c r="AO360" s="528">
        <f t="shared" si="372"/>
        <v>2.2188132740807262E-2</v>
      </c>
      <c r="AP360" s="528">
        <f t="shared" si="372"/>
        <v>1.4970996165301115E-2</v>
      </c>
      <c r="AQ360" s="528">
        <f t="shared" si="372"/>
        <v>9.6165953961949019E-3</v>
      </c>
      <c r="AR360" s="528">
        <f t="shared" si="372"/>
        <v>5.8807470672783664E-3</v>
      </c>
      <c r="AS360" s="528">
        <f t="shared" si="372"/>
        <v>3.4236074170749232E-3</v>
      </c>
      <c r="AT360" s="528">
        <f t="shared" si="372"/>
        <v>1.8974724882279944E-3</v>
      </c>
      <c r="AU360" s="528">
        <f t="shared" si="372"/>
        <v>1.0011677189167979E-3</v>
      </c>
      <c r="AV360" s="528">
        <f t="shared" si="372"/>
        <v>5.0289548896746933E-4</v>
      </c>
      <c r="AW360" s="528">
        <f t="shared" si="372"/>
        <v>2.4048495119171782E-4</v>
      </c>
      <c r="AX360" s="528">
        <f t="shared" si="372"/>
        <v>1.0948056364385018E-4</v>
      </c>
      <c r="AY360" s="528">
        <f t="shared" si="372"/>
        <v>4.7448749734658901E-5</v>
      </c>
      <c r="AZ360" s="528" t="str">
        <f t="shared" si="372"/>
        <v/>
      </c>
      <c r="BA360" s="528" t="str">
        <f t="shared" si="372"/>
        <v/>
      </c>
      <c r="BB360" s="528" t="str">
        <f t="shared" si="372"/>
        <v/>
      </c>
      <c r="BC360" s="528" t="str">
        <f t="shared" si="372"/>
        <v/>
      </c>
      <c r="BD360" s="528" t="str">
        <f t="shared" si="372"/>
        <v/>
      </c>
      <c r="BE360" s="528" t="str">
        <f t="shared" si="372"/>
        <v/>
      </c>
      <c r="BF360" s="528" t="str">
        <f t="shared" si="372"/>
        <v/>
      </c>
      <c r="BG360" s="528" t="str">
        <f t="shared" si="372"/>
        <v/>
      </c>
      <c r="BH360" s="528" t="str">
        <f t="shared" si="372"/>
        <v/>
      </c>
      <c r="BI360" s="528" t="str">
        <f t="shared" si="372"/>
        <v/>
      </c>
      <c r="BJ360" s="528" t="str">
        <f t="shared" si="372"/>
        <v/>
      </c>
      <c r="BK360" s="528" t="str">
        <f t="shared" si="372"/>
        <v/>
      </c>
      <c r="BL360" s="528" t="str">
        <f t="shared" si="372"/>
        <v/>
      </c>
      <c r="BM360" s="528" t="str">
        <f t="shared" si="372"/>
        <v/>
      </c>
    </row>
    <row r="361" spans="6:65" ht="15.75" customHeight="1" x14ac:dyDescent="0.25">
      <c r="F361" s="197"/>
      <c r="G361" s="197">
        <f t="shared" si="268"/>
        <v>0</v>
      </c>
      <c r="H361" s="197">
        <f t="shared" si="269"/>
        <v>378</v>
      </c>
      <c r="I361" s="523">
        <v>1</v>
      </c>
      <c r="J361" s="533">
        <f>'Monthly DCF'!$I$3</f>
        <v>46418</v>
      </c>
      <c r="K361" s="533">
        <f t="shared" si="270"/>
        <v>47514</v>
      </c>
      <c r="L361" s="536">
        <f t="shared" si="341"/>
        <v>37</v>
      </c>
      <c r="M361" s="20" t="s">
        <v>366</v>
      </c>
      <c r="N361" s="20">
        <f t="shared" si="271"/>
        <v>4.625</v>
      </c>
      <c r="O361" s="537">
        <v>8</v>
      </c>
      <c r="P361" s="528">
        <f t="shared" ref="P361:BM361" si="373">IFERROR(+IF(AND($M361="Flat",P$5&gt;=$J361,P$5&lt;=$K361),$I361/$L361,0)+IF(AND($M361="S-Curve",P$5&gt;=$J361,P$5&lt;=$K361),(_xlfn.NORM.DIST((YEAR(P$5)-YEAR($J361))*12+MONTH(P$5)-MONTH($J361)+1,$L361/2,$N361,TRUE)-_xlfn.NORM.DIST((YEAR(P$5)-YEAR($J361))*12+MONTH(P$5)-MONTH($J361),$L361/2,$N361,TRUE))/(1-2*_xlfn.NORM.DIST(0,$L361/2,$N361,TRUE))*$I361," "),"")</f>
        <v>4.5562655053650051E-5</v>
      </c>
      <c r="Q361" s="528">
        <f t="shared" si="373"/>
        <v>1.0293075241428153E-4</v>
      </c>
      <c r="R361" s="528">
        <f t="shared" si="373"/>
        <v>2.2194981535378312E-4</v>
      </c>
      <c r="S361" s="528">
        <f t="shared" si="373"/>
        <v>4.5681274949559391E-4</v>
      </c>
      <c r="T361" s="528">
        <f t="shared" si="373"/>
        <v>8.9741988516311695E-4</v>
      </c>
      <c r="U361" s="528">
        <f t="shared" si="373"/>
        <v>1.6827803994277626E-3</v>
      </c>
      <c r="V361" s="528">
        <f t="shared" si="373"/>
        <v>3.0118525789113297E-3</v>
      </c>
      <c r="W361" s="528">
        <f t="shared" si="373"/>
        <v>5.1453473148626158E-3</v>
      </c>
      <c r="X361" s="528">
        <f t="shared" si="373"/>
        <v>8.3901667486029497E-3</v>
      </c>
      <c r="Y361" s="528">
        <f t="shared" si="373"/>
        <v>1.3058749126367127E-2</v>
      </c>
      <c r="Z361" s="528">
        <f t="shared" si="373"/>
        <v>1.9400271849394329E-2</v>
      </c>
      <c r="AA361" s="528">
        <f t="shared" si="373"/>
        <v>2.7509927602343574E-2</v>
      </c>
      <c r="AB361" s="528">
        <f t="shared" si="373"/>
        <v>3.7234592229145914E-2</v>
      </c>
      <c r="AC361" s="528">
        <f t="shared" si="373"/>
        <v>4.810380058462E-2</v>
      </c>
      <c r="AD361" s="528">
        <f t="shared" si="373"/>
        <v>5.9318192188836459E-2</v>
      </c>
      <c r="AE361" s="528">
        <f t="shared" si="373"/>
        <v>6.9818775566216143E-2</v>
      </c>
      <c r="AF361" s="528">
        <f t="shared" si="373"/>
        <v>7.8439066188353015E-2</v>
      </c>
      <c r="AG361" s="528">
        <f t="shared" si="373"/>
        <v>8.4114043269687341E-2</v>
      </c>
      <c r="AH361" s="528">
        <f t="shared" si="373"/>
        <v>8.6095516991501989E-2</v>
      </c>
      <c r="AI361" s="528">
        <f t="shared" si="373"/>
        <v>8.4114043269687397E-2</v>
      </c>
      <c r="AJ361" s="528">
        <f t="shared" si="373"/>
        <v>7.8439066188353015E-2</v>
      </c>
      <c r="AK361" s="528">
        <f t="shared" si="373"/>
        <v>6.9818775566216143E-2</v>
      </c>
      <c r="AL361" s="528">
        <f t="shared" si="373"/>
        <v>5.9318192188836487E-2</v>
      </c>
      <c r="AM361" s="528">
        <f t="shared" si="373"/>
        <v>4.8103800584620028E-2</v>
      </c>
      <c r="AN361" s="528">
        <f t="shared" si="373"/>
        <v>3.7234592229145859E-2</v>
      </c>
      <c r="AO361" s="528">
        <f t="shared" si="373"/>
        <v>2.7509927602343616E-2</v>
      </c>
      <c r="AP361" s="528">
        <f t="shared" si="373"/>
        <v>1.9400271849394295E-2</v>
      </c>
      <c r="AQ361" s="528">
        <f t="shared" si="373"/>
        <v>1.3058749126367133E-2</v>
      </c>
      <c r="AR361" s="528">
        <f t="shared" si="373"/>
        <v>8.3901667486029115E-3</v>
      </c>
      <c r="AS361" s="528">
        <f t="shared" si="373"/>
        <v>5.1453473148626817E-3</v>
      </c>
      <c r="AT361" s="528">
        <f t="shared" si="373"/>
        <v>3.0118525789112438E-3</v>
      </c>
      <c r="AU361" s="528">
        <f t="shared" si="373"/>
        <v>1.6827803994278157E-3</v>
      </c>
      <c r="AV361" s="528">
        <f t="shared" si="373"/>
        <v>8.9741988516311847E-4</v>
      </c>
      <c r="AW361" s="528">
        <f t="shared" si="373"/>
        <v>4.5681274949563381E-4</v>
      </c>
      <c r="AX361" s="528">
        <f t="shared" si="373"/>
        <v>2.2194981535375523E-4</v>
      </c>
      <c r="AY361" s="528">
        <f t="shared" si="373"/>
        <v>1.02930752414285E-4</v>
      </c>
      <c r="AZ361" s="528">
        <f t="shared" si="373"/>
        <v>4.5562655053624043E-5</v>
      </c>
      <c r="BA361" s="528" t="str">
        <f t="shared" si="373"/>
        <v/>
      </c>
      <c r="BB361" s="528" t="str">
        <f t="shared" si="373"/>
        <v/>
      </c>
      <c r="BC361" s="528" t="str">
        <f t="shared" si="373"/>
        <v/>
      </c>
      <c r="BD361" s="528" t="str">
        <f t="shared" si="373"/>
        <v/>
      </c>
      <c r="BE361" s="528" t="str">
        <f t="shared" si="373"/>
        <v/>
      </c>
      <c r="BF361" s="528" t="str">
        <f t="shared" si="373"/>
        <v/>
      </c>
      <c r="BG361" s="528" t="str">
        <f t="shared" si="373"/>
        <v/>
      </c>
      <c r="BH361" s="528" t="str">
        <f t="shared" si="373"/>
        <v/>
      </c>
      <c r="BI361" s="528" t="str">
        <f t="shared" si="373"/>
        <v/>
      </c>
      <c r="BJ361" s="528" t="str">
        <f t="shared" si="373"/>
        <v/>
      </c>
      <c r="BK361" s="528" t="str">
        <f t="shared" si="373"/>
        <v/>
      </c>
      <c r="BL361" s="528" t="str">
        <f t="shared" si="373"/>
        <v/>
      </c>
      <c r="BM361" s="528" t="str">
        <f t="shared" si="373"/>
        <v/>
      </c>
    </row>
    <row r="362" spans="6:65" ht="15.75" customHeight="1" x14ac:dyDescent="0.25">
      <c r="F362" s="197"/>
      <c r="G362" s="197">
        <f t="shared" si="268"/>
        <v>0</v>
      </c>
      <c r="H362" s="197">
        <f t="shared" si="269"/>
        <v>388</v>
      </c>
      <c r="I362" s="523">
        <v>1</v>
      </c>
      <c r="J362" s="533">
        <f>'Monthly DCF'!$I$3</f>
        <v>46418</v>
      </c>
      <c r="K362" s="533">
        <f t="shared" si="270"/>
        <v>47542</v>
      </c>
      <c r="L362" s="536">
        <f t="shared" si="341"/>
        <v>38</v>
      </c>
      <c r="M362" s="20" t="s">
        <v>366</v>
      </c>
      <c r="N362" s="20">
        <f t="shared" si="271"/>
        <v>4.75</v>
      </c>
      <c r="O362" s="537">
        <v>8</v>
      </c>
      <c r="P362" s="528">
        <f t="shared" ref="P362:BM362" si="374">IFERROR(+IF(AND($M362="Flat",P$5&gt;=$J362,P$5&lt;=$K362),$I362/$L362,0)+IF(AND($M362="S-Curve",P$5&gt;=$J362,P$5&lt;=$K362),(_xlfn.NORM.DIST((YEAR(P$5)-YEAR($J362))*12+MONTH(P$5)-MONTH($J362)+1,$L362/2,$N362,TRUE)-_xlfn.NORM.DIST((YEAR(P$5)-YEAR($J362))*12+MONTH(P$5)-MONTH($J362),$L362/2,$N362,TRUE))/(1-2*_xlfn.NORM.DIST(0,$L362/2,$N362,TRUE))*$I362," "),"")</f>
        <v>4.3814934764051961E-5</v>
      </c>
      <c r="Q362" s="528">
        <f t="shared" si="374"/>
        <v>9.7013207963356985E-5</v>
      </c>
      <c r="R362" s="528">
        <f t="shared" si="374"/>
        <v>2.0552277762665762E-4</v>
      </c>
      <c r="S362" s="528">
        <f t="shared" si="374"/>
        <v>4.1659080548691842E-4</v>
      </c>
      <c r="T362" s="528">
        <f t="shared" si="374"/>
        <v>8.0794209988654768E-4</v>
      </c>
      <c r="U362" s="528">
        <f t="shared" si="374"/>
        <v>1.4992423345728514E-3</v>
      </c>
      <c r="V362" s="528">
        <f t="shared" si="374"/>
        <v>2.6618566538521805E-3</v>
      </c>
      <c r="W362" s="528">
        <f t="shared" si="374"/>
        <v>4.5218785761733321E-3</v>
      </c>
      <c r="X362" s="528">
        <f t="shared" si="374"/>
        <v>7.349786039963108E-3</v>
      </c>
      <c r="Y362" s="528">
        <f t="shared" si="374"/>
        <v>1.1430157506508533E-2</v>
      </c>
      <c r="Z362" s="528">
        <f t="shared" si="374"/>
        <v>1.7007935046476345E-2</v>
      </c>
      <c r="AA362" s="528">
        <f t="shared" si="374"/>
        <v>2.4214356994925097E-2</v>
      </c>
      <c r="AB362" s="528">
        <f t="shared" si="374"/>
        <v>3.298499193419574E-2</v>
      </c>
      <c r="AC362" s="528">
        <f t="shared" si="374"/>
        <v>4.2991441669394767E-2</v>
      </c>
      <c r="AD362" s="528">
        <f t="shared" si="374"/>
        <v>5.3612974637719892E-2</v>
      </c>
      <c r="AE362" s="528">
        <f t="shared" si="374"/>
        <v>6.3970557698705674E-2</v>
      </c>
      <c r="AF362" s="528">
        <f t="shared" si="374"/>
        <v>7.3031927503045005E-2</v>
      </c>
      <c r="AG362" s="528">
        <f t="shared" si="374"/>
        <v>7.9775185698902962E-2</v>
      </c>
      <c r="AH362" s="528">
        <f t="shared" si="374"/>
        <v>8.3376823879836984E-2</v>
      </c>
      <c r="AI362" s="528">
        <f t="shared" si="374"/>
        <v>8.3376823879836984E-2</v>
      </c>
      <c r="AJ362" s="528">
        <f t="shared" si="374"/>
        <v>7.9775185698903017E-2</v>
      </c>
      <c r="AK362" s="528">
        <f t="shared" si="374"/>
        <v>7.3031927503044949E-2</v>
      </c>
      <c r="AL362" s="528">
        <f t="shared" si="374"/>
        <v>6.3970557698705674E-2</v>
      </c>
      <c r="AM362" s="528">
        <f t="shared" si="374"/>
        <v>5.3612974637719892E-2</v>
      </c>
      <c r="AN362" s="528">
        <f t="shared" si="374"/>
        <v>4.2991441669394823E-2</v>
      </c>
      <c r="AO362" s="528">
        <f t="shared" si="374"/>
        <v>3.2984991934195657E-2</v>
      </c>
      <c r="AP362" s="528">
        <f t="shared" si="374"/>
        <v>2.4214356994925131E-2</v>
      </c>
      <c r="AQ362" s="528">
        <f t="shared" si="374"/>
        <v>1.7007935046476342E-2</v>
      </c>
      <c r="AR362" s="528">
        <f t="shared" si="374"/>
        <v>1.1430157506508522E-2</v>
      </c>
      <c r="AS362" s="528">
        <f t="shared" si="374"/>
        <v>7.3497860399630993E-3</v>
      </c>
      <c r="AT362" s="528">
        <f t="shared" si="374"/>
        <v>4.5218785761733382E-3</v>
      </c>
      <c r="AU362" s="528">
        <f t="shared" si="374"/>
        <v>2.6618566538522031E-3</v>
      </c>
      <c r="AV362" s="528">
        <f t="shared" si="374"/>
        <v>1.4992423345728044E-3</v>
      </c>
      <c r="AW362" s="528">
        <f t="shared" si="374"/>
        <v>8.0794209988655765E-4</v>
      </c>
      <c r="AX362" s="528">
        <f t="shared" si="374"/>
        <v>4.1659080548692894E-4</v>
      </c>
      <c r="AY362" s="528">
        <f t="shared" si="374"/>
        <v>2.0552277762663092E-4</v>
      </c>
      <c r="AZ362" s="528">
        <f t="shared" si="374"/>
        <v>9.7013207963370335E-5</v>
      </c>
      <c r="BA362" s="528">
        <f t="shared" si="374"/>
        <v>4.3814934764078741E-5</v>
      </c>
      <c r="BB362" s="528" t="str">
        <f t="shared" si="374"/>
        <v/>
      </c>
      <c r="BC362" s="528" t="str">
        <f t="shared" si="374"/>
        <v/>
      </c>
      <c r="BD362" s="528" t="str">
        <f t="shared" si="374"/>
        <v/>
      </c>
      <c r="BE362" s="528" t="str">
        <f t="shared" si="374"/>
        <v/>
      </c>
      <c r="BF362" s="528" t="str">
        <f t="shared" si="374"/>
        <v/>
      </c>
      <c r="BG362" s="528" t="str">
        <f t="shared" si="374"/>
        <v/>
      </c>
      <c r="BH362" s="528" t="str">
        <f t="shared" si="374"/>
        <v/>
      </c>
      <c r="BI362" s="528" t="str">
        <f t="shared" si="374"/>
        <v/>
      </c>
      <c r="BJ362" s="528" t="str">
        <f t="shared" si="374"/>
        <v/>
      </c>
      <c r="BK362" s="528" t="str">
        <f t="shared" si="374"/>
        <v/>
      </c>
      <c r="BL362" s="528" t="str">
        <f t="shared" si="374"/>
        <v/>
      </c>
      <c r="BM362" s="528" t="str">
        <f t="shared" si="374"/>
        <v/>
      </c>
    </row>
    <row r="363" spans="6:65" ht="15.75" customHeight="1" x14ac:dyDescent="0.25">
      <c r="F363" s="197"/>
      <c r="G363" s="197">
        <f t="shared" si="268"/>
        <v>0</v>
      </c>
      <c r="H363" s="197">
        <f t="shared" si="269"/>
        <v>398</v>
      </c>
      <c r="I363" s="523">
        <v>1</v>
      </c>
      <c r="J363" s="533">
        <f>'Monthly DCF'!$I$3</f>
        <v>46418</v>
      </c>
      <c r="K363" s="533">
        <f t="shared" si="270"/>
        <v>47573</v>
      </c>
      <c r="L363" s="536">
        <f t="shared" si="341"/>
        <v>39</v>
      </c>
      <c r="M363" s="20" t="s">
        <v>366</v>
      </c>
      <c r="N363" s="20">
        <f t="shared" si="271"/>
        <v>4.875</v>
      </c>
      <c r="O363" s="537">
        <v>8</v>
      </c>
      <c r="P363" s="528">
        <f t="shared" ref="P363:BM363" si="375">IFERROR(+IF(AND($M363="Flat",P$5&gt;=$J363,P$5&lt;=$K363),$I363/$L363,0)+IF(AND($M363="S-Curve",P$5&gt;=$J363,P$5&lt;=$K363),(_xlfn.NORM.DIST((YEAR(P$5)-YEAR($J363))*12+MONTH(P$5)-MONTH($J363)+1,$L363/2,$N363,TRUE)-_xlfn.NORM.DIST((YEAR(P$5)-YEAR($J363))*12+MONTH(P$5)-MONTH($J363),$L363/2,$N363,TRUE))/(1-2*_xlfn.NORM.DIST(0,$L363/2,$N363,TRUE))*$I363," "),"")</f>
        <v>4.2191314628401799E-5</v>
      </c>
      <c r="Q363" s="528">
        <f t="shared" si="375"/>
        <v>9.1647617851757087E-5</v>
      </c>
      <c r="R363" s="528">
        <f t="shared" si="375"/>
        <v>1.9090066459412551E-4</v>
      </c>
      <c r="S363" s="528">
        <f t="shared" si="375"/>
        <v>3.8131336274774697E-4</v>
      </c>
      <c r="T363" s="528">
        <f t="shared" si="375"/>
        <v>7.3037368000320401E-4</v>
      </c>
      <c r="U363" s="528">
        <f t="shared" si="375"/>
        <v>1.3415191547473035E-3</v>
      </c>
      <c r="V363" s="528">
        <f t="shared" si="375"/>
        <v>2.3628571963228589E-3</v>
      </c>
      <c r="W363" s="528">
        <f t="shared" si="375"/>
        <v>3.9908651554596197E-3</v>
      </c>
      <c r="X363" s="528">
        <f t="shared" si="375"/>
        <v>6.4637678939339126E-3</v>
      </c>
      <c r="Y363" s="528">
        <f t="shared" si="375"/>
        <v>1.0039075025437971E-2</v>
      </c>
      <c r="Z363" s="528">
        <f t="shared" si="375"/>
        <v>1.4951715035243732E-2</v>
      </c>
      <c r="AA363" s="528">
        <f t="shared" si="375"/>
        <v>2.1353928936826212E-2</v>
      </c>
      <c r="AB363" s="528">
        <f t="shared" si="375"/>
        <v>2.9245169351158617E-2</v>
      </c>
      <c r="AC363" s="528">
        <f t="shared" si="375"/>
        <v>3.8407862460482153E-2</v>
      </c>
      <c r="AD363" s="528">
        <f t="shared" si="375"/>
        <v>4.8369974404229646E-2</v>
      </c>
      <c r="AE363" s="528">
        <f t="shared" si="375"/>
        <v>5.8414593920129827E-2</v>
      </c>
      <c r="AF363" s="528">
        <f t="shared" si="375"/>
        <v>6.7648271080933353E-2</v>
      </c>
      <c r="AG363" s="528">
        <f t="shared" si="375"/>
        <v>7.5124555606120205E-2</v>
      </c>
      <c r="AH363" s="528">
        <f t="shared" si="375"/>
        <v>8.0001297990507772E-2</v>
      </c>
      <c r="AI363" s="528">
        <f t="shared" si="375"/>
        <v>8.1696240297283215E-2</v>
      </c>
      <c r="AJ363" s="528">
        <f t="shared" si="375"/>
        <v>8.0001297990507717E-2</v>
      </c>
      <c r="AK363" s="528">
        <f t="shared" si="375"/>
        <v>7.5124555606120205E-2</v>
      </c>
      <c r="AL363" s="528">
        <f t="shared" si="375"/>
        <v>6.7648271080933298E-2</v>
      </c>
      <c r="AM363" s="528">
        <f t="shared" si="375"/>
        <v>5.8414593920129827E-2</v>
      </c>
      <c r="AN363" s="528">
        <f t="shared" si="375"/>
        <v>4.8369974404229674E-2</v>
      </c>
      <c r="AO363" s="528">
        <f t="shared" si="375"/>
        <v>3.8407862460482181E-2</v>
      </c>
      <c r="AP363" s="528">
        <f t="shared" si="375"/>
        <v>2.9245169351158604E-2</v>
      </c>
      <c r="AQ363" s="528">
        <f t="shared" si="375"/>
        <v>2.1353928936826239E-2</v>
      </c>
      <c r="AR363" s="528">
        <f t="shared" si="375"/>
        <v>1.4951715035243719E-2</v>
      </c>
      <c r="AS363" s="528">
        <f t="shared" si="375"/>
        <v>1.0039075025438006E-2</v>
      </c>
      <c r="AT363" s="528">
        <f t="shared" si="375"/>
        <v>6.4637678939338883E-3</v>
      </c>
      <c r="AU363" s="528">
        <f t="shared" si="375"/>
        <v>3.9908651554595841E-3</v>
      </c>
      <c r="AV363" s="528">
        <f t="shared" si="375"/>
        <v>2.36285719632293E-3</v>
      </c>
      <c r="AW363" s="528">
        <f t="shared" si="375"/>
        <v>1.3415191547472413E-3</v>
      </c>
      <c r="AX363" s="528">
        <f t="shared" si="375"/>
        <v>7.3037368000318254E-4</v>
      </c>
      <c r="AY363" s="528">
        <f t="shared" si="375"/>
        <v>3.8131336274783479E-4</v>
      </c>
      <c r="AZ363" s="528">
        <f t="shared" si="375"/>
        <v>1.909006645940768E-4</v>
      </c>
      <c r="BA363" s="528">
        <f t="shared" si="375"/>
        <v>9.1647617851704137E-5</v>
      </c>
      <c r="BB363" s="528">
        <f t="shared" si="375"/>
        <v>4.2191314628453251E-5</v>
      </c>
      <c r="BC363" s="528" t="str">
        <f t="shared" si="375"/>
        <v/>
      </c>
      <c r="BD363" s="528" t="str">
        <f t="shared" si="375"/>
        <v/>
      </c>
      <c r="BE363" s="528" t="str">
        <f t="shared" si="375"/>
        <v/>
      </c>
      <c r="BF363" s="528" t="str">
        <f t="shared" si="375"/>
        <v/>
      </c>
      <c r="BG363" s="528" t="str">
        <f t="shared" si="375"/>
        <v/>
      </c>
      <c r="BH363" s="528" t="str">
        <f t="shared" si="375"/>
        <v/>
      </c>
      <c r="BI363" s="528" t="str">
        <f t="shared" si="375"/>
        <v/>
      </c>
      <c r="BJ363" s="528" t="str">
        <f t="shared" si="375"/>
        <v/>
      </c>
      <c r="BK363" s="528" t="str">
        <f t="shared" si="375"/>
        <v/>
      </c>
      <c r="BL363" s="528" t="str">
        <f t="shared" si="375"/>
        <v/>
      </c>
      <c r="BM363" s="528" t="str">
        <f t="shared" si="375"/>
        <v/>
      </c>
    </row>
    <row r="364" spans="6:65" ht="15.75" customHeight="1" x14ac:dyDescent="0.25">
      <c r="F364" s="197"/>
      <c r="G364" s="197">
        <f t="shared" si="268"/>
        <v>0</v>
      </c>
      <c r="H364" s="197">
        <f t="shared" si="269"/>
        <v>408</v>
      </c>
      <c r="I364" s="523">
        <v>1</v>
      </c>
      <c r="J364" s="533">
        <f>'Monthly DCF'!$I$3</f>
        <v>46418</v>
      </c>
      <c r="K364" s="533">
        <f t="shared" si="270"/>
        <v>47603</v>
      </c>
      <c r="L364" s="536">
        <f t="shared" si="341"/>
        <v>40</v>
      </c>
      <c r="M364" s="20" t="s">
        <v>366</v>
      </c>
      <c r="N364" s="20">
        <f t="shared" si="271"/>
        <v>5</v>
      </c>
      <c r="O364" s="537">
        <v>8</v>
      </c>
      <c r="P364" s="528">
        <f t="shared" ref="P364:BM364" si="376">IFERROR(+IF(AND($M364="Flat",P$5&gt;=$J364,P$5&lt;=$K364),$I364/$L364,0)+IF(AND($M364="S-Curve",P$5&gt;=$J364,P$5&lt;=$K364),(_xlfn.NORM.DIST((YEAR(P$5)-YEAR($J364))*12+MONTH(P$5)-MONTH($J364)+1,$L364/2,$N364,TRUE)-_xlfn.NORM.DIST((YEAR(P$5)-YEAR($J364))*12+MONTH(P$5)-MONTH($J364),$L364/2,$N364,TRUE))/(1-2*_xlfn.NORM.DIST(0,$L364/2,$N364,TRUE))*$I364," "),"")</f>
        <v>4.0679378824888899E-5</v>
      </c>
      <c r="Q364" s="528">
        <f t="shared" si="376"/>
        <v>8.6766042209025055E-5</v>
      </c>
      <c r="R364" s="528">
        <f t="shared" si="376"/>
        <v>1.7783193983609156E-4</v>
      </c>
      <c r="S364" s="528">
        <f t="shared" si="376"/>
        <v>3.5023085673128833E-4</v>
      </c>
      <c r="T364" s="528">
        <f t="shared" si="376"/>
        <v>6.6280207724399786E-4</v>
      </c>
      <c r="U364" s="528">
        <f t="shared" si="376"/>
        <v>1.2053086460410626E-3</v>
      </c>
      <c r="V364" s="528">
        <f t="shared" si="376"/>
        <v>2.1061911046664616E-3</v>
      </c>
      <c r="W364" s="528">
        <f t="shared" si="376"/>
        <v>3.5365719161262153E-3</v>
      </c>
      <c r="X364" s="528">
        <f t="shared" si="376"/>
        <v>5.7062730384091964E-3</v>
      </c>
      <c r="Y364" s="528">
        <f t="shared" si="376"/>
        <v>8.8472448411424359E-3</v>
      </c>
      <c r="Z364" s="528">
        <f t="shared" si="376"/>
        <v>1.3181022083422622E-2</v>
      </c>
      <c r="AA364" s="528">
        <f t="shared" si="376"/>
        <v>1.8870167869932258E-2</v>
      </c>
      <c r="AB364" s="528">
        <f t="shared" si="376"/>
        <v>2.5959011842496712E-2</v>
      </c>
      <c r="AC364" s="528">
        <f t="shared" si="376"/>
        <v>3.4315184596957059E-2</v>
      </c>
      <c r="AD364" s="528">
        <f t="shared" si="376"/>
        <v>4.3588344703761155E-2</v>
      </c>
      <c r="AE364" s="528">
        <f t="shared" si="376"/>
        <v>5.3203514694700152E-2</v>
      </c>
      <c r="AF364" s="528">
        <f t="shared" si="376"/>
        <v>6.2401671843556439E-2</v>
      </c>
      <c r="AG364" s="528">
        <f t="shared" si="376"/>
        <v>7.0329595490855851E-2</v>
      </c>
      <c r="AH364" s="528">
        <f t="shared" si="376"/>
        <v>7.6166856769101995E-2</v>
      </c>
      <c r="AI364" s="528">
        <f t="shared" si="376"/>
        <v>7.9264730263985103E-2</v>
      </c>
      <c r="AJ364" s="528">
        <f t="shared" si="376"/>
        <v>7.9264730263985048E-2</v>
      </c>
      <c r="AK364" s="528">
        <f t="shared" si="376"/>
        <v>7.6166856769102106E-2</v>
      </c>
      <c r="AL364" s="528">
        <f t="shared" si="376"/>
        <v>7.0329595490855795E-2</v>
      </c>
      <c r="AM364" s="528">
        <f t="shared" si="376"/>
        <v>6.2401671843556411E-2</v>
      </c>
      <c r="AN364" s="528">
        <f t="shared" si="376"/>
        <v>5.3203514694700207E-2</v>
      </c>
      <c r="AO364" s="528">
        <f t="shared" si="376"/>
        <v>4.3588344703761182E-2</v>
      </c>
      <c r="AP364" s="528">
        <f t="shared" si="376"/>
        <v>3.4315184596956989E-2</v>
      </c>
      <c r="AQ364" s="528">
        <f t="shared" si="376"/>
        <v>2.5959011842496698E-2</v>
      </c>
      <c r="AR364" s="528">
        <f t="shared" si="376"/>
        <v>1.8870167869932307E-2</v>
      </c>
      <c r="AS364" s="528">
        <f t="shared" si="376"/>
        <v>1.3181022083422584E-2</v>
      </c>
      <c r="AT364" s="528">
        <f t="shared" si="376"/>
        <v>8.8472448411424601E-3</v>
      </c>
      <c r="AU364" s="528">
        <f t="shared" si="376"/>
        <v>5.7062730384091652E-3</v>
      </c>
      <c r="AV364" s="528">
        <f t="shared" si="376"/>
        <v>3.5365719161262552E-3</v>
      </c>
      <c r="AW364" s="528">
        <f t="shared" si="376"/>
        <v>2.1061911046663978E-3</v>
      </c>
      <c r="AX364" s="528">
        <f t="shared" si="376"/>
        <v>1.2053086460411006E-3</v>
      </c>
      <c r="AY364" s="528">
        <f t="shared" si="376"/>
        <v>6.6280207724399483E-4</v>
      </c>
      <c r="AZ364" s="528">
        <f t="shared" si="376"/>
        <v>3.5023085673132714E-4</v>
      </c>
      <c r="BA364" s="528">
        <f t="shared" si="376"/>
        <v>1.7783193983604675E-4</v>
      </c>
      <c r="BB364" s="528">
        <f t="shared" si="376"/>
        <v>8.6766042209078615E-5</v>
      </c>
      <c r="BC364" s="528">
        <f t="shared" si="376"/>
        <v>4.0679378824854435E-5</v>
      </c>
      <c r="BD364" s="528" t="str">
        <f t="shared" si="376"/>
        <v/>
      </c>
      <c r="BE364" s="528" t="str">
        <f t="shared" si="376"/>
        <v/>
      </c>
      <c r="BF364" s="528" t="str">
        <f t="shared" si="376"/>
        <v/>
      </c>
      <c r="BG364" s="528" t="str">
        <f t="shared" si="376"/>
        <v/>
      </c>
      <c r="BH364" s="528" t="str">
        <f t="shared" si="376"/>
        <v/>
      </c>
      <c r="BI364" s="528" t="str">
        <f t="shared" si="376"/>
        <v/>
      </c>
      <c r="BJ364" s="528" t="str">
        <f t="shared" si="376"/>
        <v/>
      </c>
      <c r="BK364" s="528" t="str">
        <f t="shared" si="376"/>
        <v/>
      </c>
      <c r="BL364" s="528" t="str">
        <f t="shared" si="376"/>
        <v/>
      </c>
      <c r="BM364" s="528" t="str">
        <f t="shared" si="376"/>
        <v/>
      </c>
    </row>
    <row r="365" spans="6:65" ht="15.75" customHeight="1" x14ac:dyDescent="0.25">
      <c r="F365" s="197"/>
      <c r="G365" s="197">
        <f t="shared" si="268"/>
        <v>0</v>
      </c>
      <c r="H365" s="197">
        <f t="shared" si="269"/>
        <v>418</v>
      </c>
      <c r="I365" s="523">
        <v>1</v>
      </c>
      <c r="J365" s="533">
        <f>'Monthly DCF'!$I$3</f>
        <v>46418</v>
      </c>
      <c r="K365" s="533">
        <f t="shared" si="270"/>
        <v>47634</v>
      </c>
      <c r="L365" s="536">
        <f t="shared" si="341"/>
        <v>41</v>
      </c>
      <c r="M365" s="20" t="s">
        <v>366</v>
      </c>
      <c r="N365" s="20">
        <f t="shared" si="271"/>
        <v>5.125</v>
      </c>
      <c r="O365" s="537">
        <v>8</v>
      </c>
      <c r="P365" s="528">
        <f t="shared" ref="P365:BM365" si="377">IFERROR(+IF(AND($M365="Flat",P$5&gt;=$J365,P$5&lt;=$K365),$I365/$L365,0)+IF(AND($M365="S-Curve",P$5&gt;=$J365,P$5&lt;=$K365),(_xlfn.NORM.DIST((YEAR(P$5)-YEAR($J365))*12+MONTH(P$5)-MONTH($J365)+1,$L365/2,$N365,TRUE)-_xlfn.NORM.DIST((YEAR(P$5)-YEAR($J365))*12+MONTH(P$5)-MONTH($J365),$L365/2,$N365,TRUE))/(1-2*_xlfn.NORM.DIST(0,$L365/2,$N365,TRUE))*$I365," "),"")</f>
        <v>3.9268281753397452E-5</v>
      </c>
      <c r="Q365" s="528">
        <f t="shared" si="377"/>
        <v>8.2310703434568871E-5</v>
      </c>
      <c r="R365" s="528">
        <f t="shared" si="377"/>
        <v>1.6610666984945231E-4</v>
      </c>
      <c r="S365" s="528">
        <f t="shared" si="377"/>
        <v>3.2272626214889836E-4</v>
      </c>
      <c r="T365" s="528">
        <f t="shared" si="377"/>
        <v>6.0366799428623744E-4</v>
      </c>
      <c r="U365" s="528">
        <f t="shared" si="377"/>
        <v>1.0871230921794565E-3</v>
      </c>
      <c r="V365" s="528">
        <f t="shared" si="377"/>
        <v>1.8848471308498805E-3</v>
      </c>
      <c r="W365" s="528">
        <f t="shared" si="377"/>
        <v>3.1462301871961838E-3</v>
      </c>
      <c r="X365" s="528">
        <f t="shared" si="377"/>
        <v>5.056172749062126E-3</v>
      </c>
      <c r="Y365" s="528">
        <f t="shared" si="377"/>
        <v>7.8229482204702997E-3</v>
      </c>
      <c r="Z365" s="528">
        <f t="shared" si="377"/>
        <v>1.1652959463511067E-2</v>
      </c>
      <c r="AA365" s="528">
        <f t="shared" si="377"/>
        <v>1.6711649644693752E-2</v>
      </c>
      <c r="AB365" s="528">
        <f t="shared" si="377"/>
        <v>2.3073835198316701E-2</v>
      </c>
      <c r="AC365" s="528">
        <f t="shared" si="377"/>
        <v>3.067168901796849E-2</v>
      </c>
      <c r="AD365" s="528">
        <f t="shared" si="377"/>
        <v>3.925302185161738E-2</v>
      </c>
      <c r="AE365" s="528">
        <f t="shared" si="377"/>
        <v>4.8364427014965426E-2</v>
      </c>
      <c r="AF365" s="528">
        <f t="shared" si="377"/>
        <v>5.737155040733357E-2</v>
      </c>
      <c r="AG365" s="528">
        <f t="shared" si="377"/>
        <v>6.5521638371574958E-2</v>
      </c>
      <c r="AH365" s="528">
        <f t="shared" si="377"/>
        <v>7.2042795996820924E-2</v>
      </c>
      <c r="AI365" s="528">
        <f t="shared" si="377"/>
        <v>7.6263026913960669E-2</v>
      </c>
      <c r="AJ365" s="528">
        <f t="shared" si="377"/>
        <v>7.7724009656013116E-2</v>
      </c>
      <c r="AK365" s="528">
        <f t="shared" si="377"/>
        <v>7.6263026913960724E-2</v>
      </c>
      <c r="AL365" s="528">
        <f t="shared" si="377"/>
        <v>7.2042795996820924E-2</v>
      </c>
      <c r="AM365" s="528">
        <f t="shared" si="377"/>
        <v>6.5521638371574847E-2</v>
      </c>
      <c r="AN365" s="528">
        <f t="shared" si="377"/>
        <v>5.7371550407333625E-2</v>
      </c>
      <c r="AO365" s="528">
        <f t="shared" si="377"/>
        <v>4.8364427014965454E-2</v>
      </c>
      <c r="AP365" s="528">
        <f t="shared" si="377"/>
        <v>3.9253021851617324E-2</v>
      </c>
      <c r="AQ365" s="528">
        <f t="shared" si="377"/>
        <v>3.0671689017968545E-2</v>
      </c>
      <c r="AR365" s="528">
        <f t="shared" si="377"/>
        <v>2.3073835198316659E-2</v>
      </c>
      <c r="AS365" s="528">
        <f t="shared" si="377"/>
        <v>1.6711649644693766E-2</v>
      </c>
      <c r="AT365" s="528">
        <f t="shared" si="377"/>
        <v>1.1652959463511022E-2</v>
      </c>
      <c r="AU365" s="528">
        <f t="shared" si="377"/>
        <v>7.822948220470291E-3</v>
      </c>
      <c r="AV365" s="528">
        <f t="shared" si="377"/>
        <v>5.0561727490621312E-3</v>
      </c>
      <c r="AW365" s="528">
        <f t="shared" si="377"/>
        <v>3.1462301871962761E-3</v>
      </c>
      <c r="AX365" s="528">
        <f t="shared" si="377"/>
        <v>1.8848471308497855E-3</v>
      </c>
      <c r="AY365" s="528">
        <f t="shared" si="377"/>
        <v>1.0871230921794893E-3</v>
      </c>
      <c r="AZ365" s="528">
        <f t="shared" si="377"/>
        <v>6.0366799428629328E-4</v>
      </c>
      <c r="BA365" s="528">
        <f t="shared" si="377"/>
        <v>3.227262621488094E-4</v>
      </c>
      <c r="BB365" s="528">
        <f t="shared" si="377"/>
        <v>1.661066698495017E-4</v>
      </c>
      <c r="BC365" s="528">
        <f t="shared" si="377"/>
        <v>8.2310703434530368E-5</v>
      </c>
      <c r="BD365" s="528">
        <f t="shared" si="377"/>
        <v>3.9268281753438435E-5</v>
      </c>
      <c r="BE365" s="528" t="str">
        <f t="shared" si="377"/>
        <v/>
      </c>
      <c r="BF365" s="528" t="str">
        <f t="shared" si="377"/>
        <v/>
      </c>
      <c r="BG365" s="528" t="str">
        <f t="shared" si="377"/>
        <v/>
      </c>
      <c r="BH365" s="528" t="str">
        <f t="shared" si="377"/>
        <v/>
      </c>
      <c r="BI365" s="528" t="str">
        <f t="shared" si="377"/>
        <v/>
      </c>
      <c r="BJ365" s="528" t="str">
        <f t="shared" si="377"/>
        <v/>
      </c>
      <c r="BK365" s="528" t="str">
        <f t="shared" si="377"/>
        <v/>
      </c>
      <c r="BL365" s="528" t="str">
        <f t="shared" si="377"/>
        <v/>
      </c>
      <c r="BM365" s="528" t="str">
        <f t="shared" si="377"/>
        <v/>
      </c>
    </row>
    <row r="366" spans="6:65" ht="15.75" customHeight="1" x14ac:dyDescent="0.25">
      <c r="F366" s="197"/>
      <c r="G366" s="197">
        <f t="shared" si="268"/>
        <v>0</v>
      </c>
      <c r="H366" s="197">
        <f t="shared" si="269"/>
        <v>428</v>
      </c>
      <c r="I366" s="523">
        <v>1</v>
      </c>
      <c r="J366" s="533">
        <f>'Monthly DCF'!$I$3</f>
        <v>46418</v>
      </c>
      <c r="K366" s="533">
        <f t="shared" si="270"/>
        <v>47664</v>
      </c>
      <c r="L366" s="536">
        <f t="shared" si="341"/>
        <v>42</v>
      </c>
      <c r="M366" s="20" t="s">
        <v>366</v>
      </c>
      <c r="N366" s="20">
        <f t="shared" si="271"/>
        <v>5.25</v>
      </c>
      <c r="O366" s="537">
        <v>8</v>
      </c>
      <c r="P366" s="528">
        <f t="shared" ref="P366:BM366" si="378">IFERROR(+IF(AND($M366="Flat",P$5&gt;=$J366,P$5&lt;=$K366),$I366/$L366,0)+IF(AND($M366="S-Curve",P$5&gt;=$J366,P$5&lt;=$K366),(_xlfn.NORM.DIST((YEAR(P$5)-YEAR($J366))*12+MONTH(P$5)-MONTH($J366)+1,$L366/2,$N366,TRUE)-_xlfn.NORM.DIST((YEAR(P$5)-YEAR($J366))*12+MONTH(P$5)-MONTH($J366),$L366/2,$N366,TRUE))/(1-2*_xlfn.NORM.DIST(0,$L366/2,$N366,TRUE))*$I366," "),"")</f>
        <v>3.7948511192188172E-5</v>
      </c>
      <c r="Q366" s="528">
        <f t="shared" si="378"/>
        <v>7.8232220873705562E-5</v>
      </c>
      <c r="R366" s="528">
        <f t="shared" si="378"/>
        <v>1.5554866093365558E-4</v>
      </c>
      <c r="S366" s="528">
        <f t="shared" si="378"/>
        <v>2.9828863656670529E-4</v>
      </c>
      <c r="T366" s="528">
        <f t="shared" si="378"/>
        <v>5.516924808136144E-4</v>
      </c>
      <c r="U366" s="528">
        <f t="shared" si="378"/>
        <v>9.841186163203515E-4</v>
      </c>
      <c r="V366" s="528">
        <f t="shared" si="378"/>
        <v>1.6931208339822285E-3</v>
      </c>
      <c r="W366" s="528">
        <f t="shared" si="378"/>
        <v>2.8094329765998584E-3</v>
      </c>
      <c r="X366" s="528">
        <f t="shared" si="378"/>
        <v>4.4961386884806659E-3</v>
      </c>
      <c r="Y366" s="528">
        <f t="shared" si="378"/>
        <v>6.9398662971806354E-3</v>
      </c>
      <c r="Z366" s="528">
        <f t="shared" si="378"/>
        <v>1.0331252186107209E-2</v>
      </c>
      <c r="AA366" s="528">
        <f t="shared" si="378"/>
        <v>1.4833558373898003E-2</v>
      </c>
      <c r="AB366" s="528">
        <f t="shared" si="378"/>
        <v>2.0541318281288572E-2</v>
      </c>
      <c r="AC366" s="528">
        <f t="shared" si="378"/>
        <v>2.7434807624718071E-2</v>
      </c>
      <c r="AD366" s="528">
        <f t="shared" si="378"/>
        <v>3.5339973269369503E-2</v>
      </c>
      <c r="AE366" s="528">
        <f t="shared" si="378"/>
        <v>4.3905734588783343E-2</v>
      </c>
      <c r="AF366" s="528">
        <f t="shared" si="378"/>
        <v>5.2609848335035431E-2</v>
      </c>
      <c r="AG366" s="528">
        <f t="shared" si="378"/>
        <v>6.0800010461704183E-2</v>
      </c>
      <c r="AH366" s="528">
        <f t="shared" si="378"/>
        <v>6.7769001257644887E-2</v>
      </c>
      <c r="AI366" s="528">
        <f t="shared" si="378"/>
        <v>7.2853322451195385E-2</v>
      </c>
      <c r="AJ366" s="528">
        <f t="shared" si="378"/>
        <v>7.5536785247311819E-2</v>
      </c>
      <c r="AK366" s="528">
        <f t="shared" si="378"/>
        <v>7.5536785247311819E-2</v>
      </c>
      <c r="AL366" s="528">
        <f t="shared" si="378"/>
        <v>7.2853322451195385E-2</v>
      </c>
      <c r="AM366" s="528">
        <f t="shared" si="378"/>
        <v>6.7769001257644887E-2</v>
      </c>
      <c r="AN366" s="528">
        <f t="shared" si="378"/>
        <v>6.0800010461704183E-2</v>
      </c>
      <c r="AO366" s="528">
        <f t="shared" si="378"/>
        <v>5.2609848335035458E-2</v>
      </c>
      <c r="AP366" s="528">
        <f t="shared" si="378"/>
        <v>4.390573458878326E-2</v>
      </c>
      <c r="AQ366" s="528">
        <f t="shared" si="378"/>
        <v>3.5339973269369558E-2</v>
      </c>
      <c r="AR366" s="528">
        <f t="shared" si="378"/>
        <v>2.7434807624718099E-2</v>
      </c>
      <c r="AS366" s="528">
        <f t="shared" si="378"/>
        <v>2.0541318281288599E-2</v>
      </c>
      <c r="AT366" s="528">
        <f t="shared" si="378"/>
        <v>1.4833558373897965E-2</v>
      </c>
      <c r="AU366" s="528">
        <f t="shared" si="378"/>
        <v>1.0331252186107153E-2</v>
      </c>
      <c r="AV366" s="528">
        <f t="shared" si="378"/>
        <v>6.9398662971806649E-3</v>
      </c>
      <c r="AW366" s="528">
        <f t="shared" si="378"/>
        <v>4.4961386884806599E-3</v>
      </c>
      <c r="AX366" s="528">
        <f t="shared" si="378"/>
        <v>2.8094329765998337E-3</v>
      </c>
      <c r="AY366" s="528">
        <f t="shared" si="378"/>
        <v>1.6931208339822828E-3</v>
      </c>
      <c r="AZ366" s="528">
        <f t="shared" si="378"/>
        <v>9.8411861632029382E-4</v>
      </c>
      <c r="BA366" s="528">
        <f t="shared" si="378"/>
        <v>5.5169248081362221E-4</v>
      </c>
      <c r="BB366" s="528">
        <f t="shared" si="378"/>
        <v>2.9828863656677863E-4</v>
      </c>
      <c r="BC366" s="528">
        <f t="shared" si="378"/>
        <v>1.5554866093367146E-4</v>
      </c>
      <c r="BD366" s="528">
        <f t="shared" si="378"/>
        <v>7.8232220873654062E-5</v>
      </c>
      <c r="BE366" s="528">
        <f t="shared" si="378"/>
        <v>3.7948511192185448E-5</v>
      </c>
      <c r="BF366" s="528" t="str">
        <f t="shared" si="378"/>
        <v/>
      </c>
      <c r="BG366" s="528" t="str">
        <f t="shared" si="378"/>
        <v/>
      </c>
      <c r="BH366" s="528" t="str">
        <f t="shared" si="378"/>
        <v/>
      </c>
      <c r="BI366" s="528" t="str">
        <f t="shared" si="378"/>
        <v/>
      </c>
      <c r="BJ366" s="528" t="str">
        <f t="shared" si="378"/>
        <v/>
      </c>
      <c r="BK366" s="528" t="str">
        <f t="shared" si="378"/>
        <v/>
      </c>
      <c r="BL366" s="528" t="str">
        <f t="shared" si="378"/>
        <v/>
      </c>
      <c r="BM366" s="528" t="str">
        <f t="shared" si="378"/>
        <v/>
      </c>
    </row>
    <row r="367" spans="6:65" ht="15.75" customHeight="1" x14ac:dyDescent="0.25">
      <c r="F367" s="197"/>
      <c r="G367" s="197">
        <f t="shared" si="268"/>
        <v>0</v>
      </c>
      <c r="H367" s="197">
        <f t="shared" si="269"/>
        <v>438</v>
      </c>
      <c r="I367" s="523">
        <v>1</v>
      </c>
      <c r="J367" s="533">
        <f>'Monthly DCF'!$I$3</f>
        <v>46418</v>
      </c>
      <c r="K367" s="533">
        <f t="shared" si="270"/>
        <v>47695</v>
      </c>
      <c r="L367" s="536">
        <f t="shared" si="341"/>
        <v>43</v>
      </c>
      <c r="M367" s="20" t="s">
        <v>366</v>
      </c>
      <c r="N367" s="20">
        <f t="shared" si="271"/>
        <v>5.375</v>
      </c>
      <c r="O367" s="537">
        <v>8</v>
      </c>
      <c r="P367" s="528">
        <f t="shared" ref="P367:BM367" si="379">IFERROR(+IF(AND($M367="Flat",P$5&gt;=$J367,P$5&lt;=$K367),$I367/$L367,0)+IF(AND($M367="S-Curve",P$5&gt;=$J367,P$5&lt;=$K367),(_xlfn.NORM.DIST((YEAR(P$5)-YEAR($J367))*12+MONTH(P$5)-MONTH($J367)+1,$L367/2,$N367,TRUE)-_xlfn.NORM.DIST((YEAR(P$5)-YEAR($J367))*12+MONTH(P$5)-MONTH($J367),$L367/2,$N367,TRUE))/(1-2*_xlfn.NORM.DIST(0,$L367/2,$N367,TRUE))*$I367," "),"")</f>
        <v>3.6711692546635621E-5</v>
      </c>
      <c r="Q367" s="528">
        <f t="shared" si="379"/>
        <v>7.4488191503853528E-5</v>
      </c>
      <c r="R367" s="528">
        <f t="shared" si="379"/>
        <v>1.4600925298770853E-4</v>
      </c>
      <c r="S367" s="528">
        <f t="shared" si="379"/>
        <v>2.7649249756797763E-4</v>
      </c>
      <c r="T367" s="528">
        <f t="shared" si="379"/>
        <v>5.0582051612232959E-4</v>
      </c>
      <c r="U367" s="528">
        <f t="shared" si="379"/>
        <v>8.9396338982533456E-4</v>
      </c>
      <c r="V367" s="528">
        <f t="shared" si="379"/>
        <v>1.5263471305132391E-3</v>
      </c>
      <c r="W367" s="528">
        <f t="shared" si="379"/>
        <v>2.5176610527450787E-3</v>
      </c>
      <c r="X367" s="528">
        <f t="shared" si="379"/>
        <v>4.0119143090020263E-3</v>
      </c>
      <c r="Y367" s="528">
        <f t="shared" si="379"/>
        <v>6.1761316299017779E-3</v>
      </c>
      <c r="Z367" s="528">
        <f t="shared" si="379"/>
        <v>9.1852717725465216E-3</v>
      </c>
      <c r="AA367" s="528">
        <f t="shared" si="379"/>
        <v>1.3197087886639602E-2</v>
      </c>
      <c r="AB367" s="528">
        <f t="shared" si="379"/>
        <v>1.8317866598495249E-2</v>
      </c>
      <c r="AC367" s="528">
        <f t="shared" si="379"/>
        <v>2.4563056569571064E-2</v>
      </c>
      <c r="AD367" s="528">
        <f t="shared" si="379"/>
        <v>3.1820038602889879E-2</v>
      </c>
      <c r="AE367" s="528">
        <f t="shared" si="379"/>
        <v>3.9822618364781272E-2</v>
      </c>
      <c r="AF367" s="528">
        <f t="shared" si="379"/>
        <v>4.8147059756257896E-2</v>
      </c>
      <c r="AG367" s="528">
        <f t="shared" si="379"/>
        <v>5.6236800926899658E-2</v>
      </c>
      <c r="AH367" s="528">
        <f t="shared" si="379"/>
        <v>6.3457410414067286E-2</v>
      </c>
      <c r="AI367" s="528">
        <f t="shared" si="379"/>
        <v>6.9175929320952304E-2</v>
      </c>
      <c r="AJ367" s="528">
        <f t="shared" si="379"/>
        <v>7.2851515593375604E-2</v>
      </c>
      <c r="AK367" s="528">
        <f t="shared" si="379"/>
        <v>7.4119609061615355E-2</v>
      </c>
      <c r="AL367" s="528">
        <f t="shared" si="379"/>
        <v>7.2851515593375604E-2</v>
      </c>
      <c r="AM367" s="528">
        <f t="shared" si="379"/>
        <v>6.9175929320952359E-2</v>
      </c>
      <c r="AN367" s="528">
        <f t="shared" si="379"/>
        <v>6.3457410414067286E-2</v>
      </c>
      <c r="AO367" s="528">
        <f t="shared" si="379"/>
        <v>5.623680092689963E-2</v>
      </c>
      <c r="AP367" s="528">
        <f t="shared" si="379"/>
        <v>4.8147059756257896E-2</v>
      </c>
      <c r="AQ367" s="528">
        <f t="shared" si="379"/>
        <v>3.9822618364781244E-2</v>
      </c>
      <c r="AR367" s="528">
        <f t="shared" si="379"/>
        <v>3.1820038602889962E-2</v>
      </c>
      <c r="AS367" s="528">
        <f t="shared" si="379"/>
        <v>2.4563056569571085E-2</v>
      </c>
      <c r="AT367" s="528">
        <f t="shared" si="379"/>
        <v>1.8317866598495172E-2</v>
      </c>
      <c r="AU367" s="528">
        <f t="shared" si="379"/>
        <v>1.3197087886639609E-2</v>
      </c>
      <c r="AV367" s="528">
        <f t="shared" si="379"/>
        <v>9.1852717725465181E-3</v>
      </c>
      <c r="AW367" s="528">
        <f t="shared" si="379"/>
        <v>6.1761316299017554E-3</v>
      </c>
      <c r="AX367" s="528">
        <f t="shared" si="379"/>
        <v>4.011914309002068E-3</v>
      </c>
      <c r="AY367" s="528">
        <f t="shared" si="379"/>
        <v>2.5176610527450302E-3</v>
      </c>
      <c r="AZ367" s="528">
        <f t="shared" si="379"/>
        <v>1.5263471305133002E-3</v>
      </c>
      <c r="BA367" s="528">
        <f t="shared" si="379"/>
        <v>8.9396338982536579E-4</v>
      </c>
      <c r="BB367" s="528">
        <f t="shared" si="379"/>
        <v>5.0582051612231582E-4</v>
      </c>
      <c r="BC367" s="528">
        <f t="shared" si="379"/>
        <v>2.7649249756793079E-4</v>
      </c>
      <c r="BD367" s="528">
        <f t="shared" si="379"/>
        <v>1.4600925298773867E-4</v>
      </c>
      <c r="BE367" s="528">
        <f t="shared" si="379"/>
        <v>7.4488191503850818E-5</v>
      </c>
      <c r="BF367" s="528">
        <f t="shared" si="379"/>
        <v>3.6711692546630078E-5</v>
      </c>
      <c r="BG367" s="528" t="str">
        <f t="shared" si="379"/>
        <v/>
      </c>
      <c r="BH367" s="528" t="str">
        <f t="shared" si="379"/>
        <v/>
      </c>
      <c r="BI367" s="528" t="str">
        <f t="shared" si="379"/>
        <v/>
      </c>
      <c r="BJ367" s="528" t="str">
        <f t="shared" si="379"/>
        <v/>
      </c>
      <c r="BK367" s="528" t="str">
        <f t="shared" si="379"/>
        <v/>
      </c>
      <c r="BL367" s="528" t="str">
        <f t="shared" si="379"/>
        <v/>
      </c>
      <c r="BM367" s="528" t="str">
        <f t="shared" si="379"/>
        <v/>
      </c>
    </row>
    <row r="368" spans="6:65" ht="15.75" customHeight="1" x14ac:dyDescent="0.25">
      <c r="F368" s="197"/>
      <c r="G368" s="197">
        <f t="shared" si="268"/>
        <v>0</v>
      </c>
      <c r="H368" s="197">
        <f t="shared" si="269"/>
        <v>448</v>
      </c>
      <c r="I368" s="523">
        <v>1</v>
      </c>
      <c r="J368" s="533">
        <f>'Monthly DCF'!$I$3</f>
        <v>46418</v>
      </c>
      <c r="K368" s="533">
        <f t="shared" si="270"/>
        <v>47726</v>
      </c>
      <c r="L368" s="536">
        <f t="shared" si="341"/>
        <v>44</v>
      </c>
      <c r="M368" s="20" t="s">
        <v>366</v>
      </c>
      <c r="N368" s="20">
        <f t="shared" si="271"/>
        <v>5.5</v>
      </c>
      <c r="O368" s="537">
        <v>8</v>
      </c>
      <c r="P368" s="528">
        <f t="shared" ref="P368:BM368" si="380">IFERROR(+IF(AND($M368="Flat",P$5&gt;=$J368,P$5&lt;=$K368),$I368/$L368,0)+IF(AND($M368="S-Curve",P$5&gt;=$J368,P$5&lt;=$K368),(_xlfn.NORM.DIST((YEAR(P$5)-YEAR($J368))*12+MONTH(P$5)-MONTH($J368)+1,$L368/2,$N368,TRUE)-_xlfn.NORM.DIST((YEAR(P$5)-YEAR($J368))*12+MONTH(P$5)-MONTH($J368),$L368/2,$N368,TRUE))/(1-2*_xlfn.NORM.DIST(0,$L368/2,$N368,TRUE))*$I368," "),"")</f>
        <v>3.5550426188894672E-5</v>
      </c>
      <c r="Q368" s="528">
        <f t="shared" si="380"/>
        <v>7.1042041628694661E-5</v>
      </c>
      <c r="R368" s="528">
        <f t="shared" si="380"/>
        <v>1.3736238768039137E-4</v>
      </c>
      <c r="S368" s="528">
        <f t="shared" si="380"/>
        <v>2.5698163451649987E-4</v>
      </c>
      <c r="T368" s="528">
        <f t="shared" si="380"/>
        <v>4.6517705047146836E-4</v>
      </c>
      <c r="U368" s="528">
        <f t="shared" si="380"/>
        <v>8.1473521366709544E-4</v>
      </c>
      <c r="V368" s="528">
        <f t="shared" si="380"/>
        <v>1.3806919052049397E-3</v>
      </c>
      <c r="W368" s="528">
        <f t="shared" si="380"/>
        <v>2.2639103344075807E-3</v>
      </c>
      <c r="X368" s="528">
        <f t="shared" si="380"/>
        <v>3.5917316419906901E-3</v>
      </c>
      <c r="Y368" s="528">
        <f t="shared" si="380"/>
        <v>5.5135436108930879E-3</v>
      </c>
      <c r="Z368" s="528">
        <f t="shared" si="380"/>
        <v>8.1891735945813192E-3</v>
      </c>
      <c r="AA368" s="528">
        <f t="shared" si="380"/>
        <v>1.1768787513259268E-2</v>
      </c>
      <c r="AB368" s="528">
        <f t="shared" si="380"/>
        <v>1.6364615053782935E-2</v>
      </c>
      <c r="AC368" s="528">
        <f t="shared" si="380"/>
        <v>2.2017212625290286E-2</v>
      </c>
      <c r="AD368" s="528">
        <f t="shared" si="380"/>
        <v>2.8661663196510624E-2</v>
      </c>
      <c r="AE368" s="528">
        <f t="shared" si="380"/>
        <v>3.6101311836170838E-2</v>
      </c>
      <c r="AF368" s="528">
        <f t="shared" si="380"/>
        <v>4.3997414087950881E-2</v>
      </c>
      <c r="AG368" s="528">
        <f t="shared" si="380"/>
        <v>5.1881666727765119E-2</v>
      </c>
      <c r="AH368" s="528">
        <f t="shared" si="380"/>
        <v>5.9194765970373375E-2</v>
      </c>
      <c r="AI368" s="528">
        <f t="shared" si="380"/>
        <v>6.5348456476856123E-2</v>
      </c>
      <c r="AJ368" s="528">
        <f t="shared" si="380"/>
        <v>6.9802344686131237E-2</v>
      </c>
      <c r="AK368" s="528">
        <f t="shared" si="380"/>
        <v>7.214186198467866E-2</v>
      </c>
      <c r="AL368" s="528">
        <f t="shared" si="380"/>
        <v>7.214186198467866E-2</v>
      </c>
      <c r="AM368" s="528">
        <f t="shared" si="380"/>
        <v>6.9802344686131237E-2</v>
      </c>
      <c r="AN368" s="528">
        <f t="shared" si="380"/>
        <v>6.5348456476856123E-2</v>
      </c>
      <c r="AO368" s="528">
        <f t="shared" si="380"/>
        <v>5.9194765970373348E-2</v>
      </c>
      <c r="AP368" s="528">
        <f t="shared" si="380"/>
        <v>5.1881666727765119E-2</v>
      </c>
      <c r="AQ368" s="528">
        <f t="shared" si="380"/>
        <v>4.3997414087950937E-2</v>
      </c>
      <c r="AR368" s="528">
        <f t="shared" si="380"/>
        <v>3.6101311836170852E-2</v>
      </c>
      <c r="AS368" s="528">
        <f t="shared" si="380"/>
        <v>2.8661663196510596E-2</v>
      </c>
      <c r="AT368" s="528">
        <f t="shared" si="380"/>
        <v>2.2017212625290217E-2</v>
      </c>
      <c r="AU368" s="528">
        <f t="shared" si="380"/>
        <v>1.636461505378304E-2</v>
      </c>
      <c r="AV368" s="528">
        <f t="shared" si="380"/>
        <v>1.1768787513259202E-2</v>
      </c>
      <c r="AW368" s="528">
        <f t="shared" si="380"/>
        <v>8.1891735945813764E-3</v>
      </c>
      <c r="AX368" s="528">
        <f t="shared" si="380"/>
        <v>5.5135436108930567E-3</v>
      </c>
      <c r="AY368" s="528">
        <f t="shared" si="380"/>
        <v>3.5917316419907257E-3</v>
      </c>
      <c r="AZ368" s="528">
        <f t="shared" si="380"/>
        <v>2.2639103344075156E-3</v>
      </c>
      <c r="BA368" s="528">
        <f t="shared" si="380"/>
        <v>1.3806919052049978E-3</v>
      </c>
      <c r="BB368" s="528">
        <f t="shared" si="380"/>
        <v>8.1473521366705597E-4</v>
      </c>
      <c r="BC368" s="528">
        <f t="shared" si="380"/>
        <v>4.6517705047143421E-4</v>
      </c>
      <c r="BD368" s="528">
        <f t="shared" si="380"/>
        <v>2.5698163451651841E-4</v>
      </c>
      <c r="BE368" s="528">
        <f t="shared" si="380"/>
        <v>1.3736238768036159E-4</v>
      </c>
      <c r="BF368" s="528">
        <f t="shared" si="380"/>
        <v>7.1042041628749508E-5</v>
      </c>
      <c r="BG368" s="528">
        <f t="shared" si="380"/>
        <v>3.5550426188887272E-5</v>
      </c>
      <c r="BH368" s="528" t="str">
        <f t="shared" si="380"/>
        <v/>
      </c>
      <c r="BI368" s="528" t="str">
        <f t="shared" si="380"/>
        <v/>
      </c>
      <c r="BJ368" s="528" t="str">
        <f t="shared" si="380"/>
        <v/>
      </c>
      <c r="BK368" s="528" t="str">
        <f t="shared" si="380"/>
        <v/>
      </c>
      <c r="BL368" s="528" t="str">
        <f t="shared" si="380"/>
        <v/>
      </c>
      <c r="BM368" s="528" t="str">
        <f t="shared" si="380"/>
        <v/>
      </c>
    </row>
    <row r="369" spans="6:65" ht="15.75" customHeight="1" x14ac:dyDescent="0.25">
      <c r="F369" s="197"/>
      <c r="G369" s="197">
        <f t="shared" si="268"/>
        <v>0</v>
      </c>
      <c r="H369" s="197">
        <f t="shared" si="269"/>
        <v>458</v>
      </c>
      <c r="I369" s="523">
        <v>1</v>
      </c>
      <c r="J369" s="533">
        <f>'Monthly DCF'!$I$3</f>
        <v>46418</v>
      </c>
      <c r="K369" s="533">
        <f t="shared" si="270"/>
        <v>47756</v>
      </c>
      <c r="L369" s="536">
        <f t="shared" si="341"/>
        <v>45</v>
      </c>
      <c r="M369" s="20" t="s">
        <v>366</v>
      </c>
      <c r="N369" s="20">
        <f t="shared" si="271"/>
        <v>5.625</v>
      </c>
      <c r="O369" s="537">
        <v>8</v>
      </c>
      <c r="P369" s="528">
        <f t="shared" ref="P369:BM369" si="381">IFERROR(+IF(AND($M369="Flat",P$5&gt;=$J369,P$5&lt;=$K369),$I369/$L369,0)+IF(AND($M369="S-Curve",P$5&gt;=$J369,P$5&lt;=$K369),(_xlfn.NORM.DIST((YEAR(P$5)-YEAR($J369))*12+MONTH(P$5)-MONTH($J369)+1,$L369/2,$N369,TRUE)-_xlfn.NORM.DIST((YEAR(P$5)-YEAR($J369))*12+MONTH(P$5)-MONTH($J369),$L369/2,$N369,TRUE))/(1-2*_xlfn.NORM.DIST(0,$L369/2,$N369,TRUE))*$I369," "),"")</f>
        <v>3.4458151604882234E-5</v>
      </c>
      <c r="Q369" s="528">
        <f t="shared" si="381"/>
        <v>6.7862092294403086E-5</v>
      </c>
      <c r="R369" s="528">
        <f t="shared" si="381"/>
        <v>1.295006639749645E-4</v>
      </c>
      <c r="S369" s="528">
        <f t="shared" si="381"/>
        <v>2.3945631659798153E-4</v>
      </c>
      <c r="T369" s="528">
        <f t="shared" si="381"/>
        <v>4.2903252906547793E-4</v>
      </c>
      <c r="U369" s="528">
        <f t="shared" si="381"/>
        <v>7.4484144006493891E-4</v>
      </c>
      <c r="V369" s="528">
        <f t="shared" si="381"/>
        <v>1.2529887974935467E-3</v>
      </c>
      <c r="W369" s="528">
        <f t="shared" si="381"/>
        <v>2.042397878851862E-3</v>
      </c>
      <c r="X369" s="528">
        <f t="shared" si="381"/>
        <v>3.2258440917309742E-3</v>
      </c>
      <c r="Y369" s="528">
        <f t="shared" si="381"/>
        <v>4.9369224833567494E-3</v>
      </c>
      <c r="Z369" s="528">
        <f t="shared" si="381"/>
        <v>7.3211482691987271E-3</v>
      </c>
      <c r="AA369" s="528">
        <f t="shared" si="381"/>
        <v>1.0519911843579508E-2</v>
      </c>
      <c r="AB369" s="528">
        <f t="shared" si="381"/>
        <v>1.4647214565534018E-2</v>
      </c>
      <c r="AC369" s="528">
        <f t="shared" si="381"/>
        <v>1.9760961364558027E-2</v>
      </c>
      <c r="AD369" s="528">
        <f t="shared" si="381"/>
        <v>2.5832783901049403E-2</v>
      </c>
      <c r="AE369" s="528">
        <f t="shared" si="381"/>
        <v>3.2722351063927547E-2</v>
      </c>
      <c r="AF369" s="528">
        <f t="shared" si="381"/>
        <v>4.0163168021941746E-2</v>
      </c>
      <c r="AG369" s="528">
        <f t="shared" si="381"/>
        <v>4.7766302157675862E-2</v>
      </c>
      <c r="AH369" s="528">
        <f t="shared" si="381"/>
        <v>5.5045966027000563E-2</v>
      </c>
      <c r="AI369" s="528">
        <f t="shared" si="381"/>
        <v>6.1466658870527505E-2</v>
      </c>
      <c r="AJ369" s="528">
        <f t="shared" si="381"/>
        <v>6.6506479867754639E-2</v>
      </c>
      <c r="AK369" s="528">
        <f t="shared" si="381"/>
        <v>6.972661318207192E-2</v>
      </c>
      <c r="AL369" s="528">
        <f t="shared" si="381"/>
        <v>7.0834272840289578E-2</v>
      </c>
      <c r="AM369" s="528">
        <f t="shared" si="381"/>
        <v>6.9726613182071864E-2</v>
      </c>
      <c r="AN369" s="528">
        <f t="shared" si="381"/>
        <v>6.6506479867754639E-2</v>
      </c>
      <c r="AO369" s="528">
        <f t="shared" si="381"/>
        <v>6.1466658870527505E-2</v>
      </c>
      <c r="AP369" s="528">
        <f t="shared" si="381"/>
        <v>5.5045966027000535E-2</v>
      </c>
      <c r="AQ369" s="528">
        <f t="shared" si="381"/>
        <v>4.7766302157675945E-2</v>
      </c>
      <c r="AR369" s="528">
        <f t="shared" si="381"/>
        <v>4.0163168021941691E-2</v>
      </c>
      <c r="AS369" s="528">
        <f t="shared" si="381"/>
        <v>3.2722351063927547E-2</v>
      </c>
      <c r="AT369" s="528">
        <f t="shared" si="381"/>
        <v>2.5832783901049445E-2</v>
      </c>
      <c r="AU369" s="528">
        <f t="shared" si="381"/>
        <v>1.9760961364558027E-2</v>
      </c>
      <c r="AV369" s="528">
        <f t="shared" si="381"/>
        <v>1.4647214565533945E-2</v>
      </c>
      <c r="AW369" s="528">
        <f t="shared" si="381"/>
        <v>1.0519911843579519E-2</v>
      </c>
      <c r="AX369" s="528">
        <f t="shared" si="381"/>
        <v>7.3211482691987496E-3</v>
      </c>
      <c r="AY369" s="528">
        <f t="shared" si="381"/>
        <v>4.9369224833567234E-3</v>
      </c>
      <c r="AZ369" s="528">
        <f t="shared" si="381"/>
        <v>3.2258440917310297E-3</v>
      </c>
      <c r="BA369" s="528">
        <f t="shared" si="381"/>
        <v>2.0423978788518655E-3</v>
      </c>
      <c r="BB369" s="528">
        <f t="shared" si="381"/>
        <v>1.2529887974934979E-3</v>
      </c>
      <c r="BC369" s="528">
        <f t="shared" si="381"/>
        <v>7.4484144006496591E-4</v>
      </c>
      <c r="BD369" s="528">
        <f t="shared" si="381"/>
        <v>4.2903252906551252E-4</v>
      </c>
      <c r="BE369" s="528">
        <f t="shared" si="381"/>
        <v>2.3945631659793668E-4</v>
      </c>
      <c r="BF369" s="528">
        <f t="shared" si="381"/>
        <v>1.295006639749857E-4</v>
      </c>
      <c r="BG369" s="528">
        <f t="shared" si="381"/>
        <v>6.7862092294328032E-5</v>
      </c>
      <c r="BH369" s="528">
        <f t="shared" si="381"/>
        <v>3.445815160493332E-5</v>
      </c>
      <c r="BI369" s="528" t="str">
        <f t="shared" si="381"/>
        <v/>
      </c>
      <c r="BJ369" s="528" t="str">
        <f t="shared" si="381"/>
        <v/>
      </c>
      <c r="BK369" s="528" t="str">
        <f t="shared" si="381"/>
        <v/>
      </c>
      <c r="BL369" s="528" t="str">
        <f t="shared" si="381"/>
        <v/>
      </c>
      <c r="BM369" s="528" t="str">
        <f t="shared" si="381"/>
        <v/>
      </c>
    </row>
    <row r="370" spans="6:65" ht="15.75" customHeight="1" x14ac:dyDescent="0.25">
      <c r="F370" s="197"/>
      <c r="G370" s="197">
        <f t="shared" si="268"/>
        <v>0</v>
      </c>
      <c r="H370" s="197">
        <f t="shared" si="269"/>
        <v>468</v>
      </c>
      <c r="I370" s="523">
        <v>1</v>
      </c>
      <c r="J370" s="533">
        <f>'Monthly DCF'!$I$3</f>
        <v>46418</v>
      </c>
      <c r="K370" s="533">
        <f t="shared" si="270"/>
        <v>47787</v>
      </c>
      <c r="L370" s="536">
        <f t="shared" si="341"/>
        <v>46</v>
      </c>
      <c r="M370" s="20" t="s">
        <v>366</v>
      </c>
      <c r="N370" s="20">
        <f t="shared" si="271"/>
        <v>5.75</v>
      </c>
      <c r="O370" s="537">
        <v>8</v>
      </c>
      <c r="P370" s="528">
        <f t="shared" ref="P370:BM370" si="382">IFERROR(+IF(AND($M370="Flat",P$5&gt;=$J370,P$5&lt;=$K370),$I370/$L370,0)+IF(AND($M370="S-Curve",P$5&gt;=$J370,P$5&lt;=$K370),(_xlfn.NORM.DIST((YEAR(P$5)-YEAR($J370))*12+MONTH(P$5)-MONTH($J370)+1,$L370/2,$N370,TRUE)-_xlfn.NORM.DIST((YEAR(P$5)-YEAR($J370))*12+MONTH(P$5)-MONTH($J370),$L370/2,$N370,TRUE))/(1-2*_xlfn.NORM.DIST(0,$L370/2,$N370,TRUE))*$I370," "),"")</f>
        <v>3.3429033381473056E-5</v>
      </c>
      <c r="Q370" s="528">
        <f t="shared" si="382"/>
        <v>6.4920794349339949E-5</v>
      </c>
      <c r="R370" s="528">
        <f t="shared" si="382"/>
        <v>1.2233216397047371E-4</v>
      </c>
      <c r="S370" s="528">
        <f t="shared" si="382"/>
        <v>2.2366312042360398E-4</v>
      </c>
      <c r="T370" s="528">
        <f t="shared" si="382"/>
        <v>3.9677568324179743E-4</v>
      </c>
      <c r="U370" s="528">
        <f t="shared" si="382"/>
        <v>6.8295599188835569E-4</v>
      </c>
      <c r="V370" s="528">
        <f t="shared" si="382"/>
        <v>1.1406107152971046E-3</v>
      </c>
      <c r="W370" s="528">
        <f t="shared" si="382"/>
        <v>1.848329014771563E-3</v>
      </c>
      <c r="X370" s="528">
        <f t="shared" si="382"/>
        <v>2.9061516205422925E-3</v>
      </c>
      <c r="Y370" s="528">
        <f t="shared" si="382"/>
        <v>4.4335790334412749E-3</v>
      </c>
      <c r="Z370" s="528">
        <f t="shared" si="382"/>
        <v>6.5627805245144829E-3</v>
      </c>
      <c r="AA370" s="528">
        <f t="shared" si="382"/>
        <v>9.425807919563458E-3</v>
      </c>
      <c r="AB370" s="528">
        <f t="shared" si="382"/>
        <v>1.3135499881062372E-2</v>
      </c>
      <c r="AC370" s="528">
        <f t="shared" si="382"/>
        <v>1.7761186388588455E-2</v>
      </c>
      <c r="AD370" s="528">
        <f t="shared" si="382"/>
        <v>2.3302081475584231E-2</v>
      </c>
      <c r="AE370" s="528">
        <f t="shared" si="382"/>
        <v>2.9662985919137949E-2</v>
      </c>
      <c r="AF370" s="528">
        <f t="shared" si="382"/>
        <v>3.6638057795834809E-2</v>
      </c>
      <c r="AG370" s="528">
        <f t="shared" si="382"/>
        <v>4.3908385743777978E-2</v>
      </c>
      <c r="AH370" s="528">
        <f t="shared" si="382"/>
        <v>5.1057549396689092E-2</v>
      </c>
      <c r="AI370" s="528">
        <f t="shared" si="382"/>
        <v>5.7606295028064178E-2</v>
      </c>
      <c r="AJ370" s="528">
        <f t="shared" si="382"/>
        <v>6.3063405188087077E-2</v>
      </c>
      <c r="AK370" s="528">
        <f t="shared" si="382"/>
        <v>6.6985745377712569E-2</v>
      </c>
      <c r="AL370" s="528">
        <f t="shared" si="382"/>
        <v>6.9037472190076069E-2</v>
      </c>
      <c r="AM370" s="528">
        <f t="shared" si="382"/>
        <v>6.9037472190076124E-2</v>
      </c>
      <c r="AN370" s="528">
        <f t="shared" si="382"/>
        <v>6.6985745377712513E-2</v>
      </c>
      <c r="AO370" s="528">
        <f t="shared" si="382"/>
        <v>6.3063405188087077E-2</v>
      </c>
      <c r="AP370" s="528">
        <f t="shared" si="382"/>
        <v>5.7606295028064178E-2</v>
      </c>
      <c r="AQ370" s="528">
        <f t="shared" si="382"/>
        <v>5.1057549396689092E-2</v>
      </c>
      <c r="AR370" s="528">
        <f t="shared" si="382"/>
        <v>4.3908385743777978E-2</v>
      </c>
      <c r="AS370" s="528">
        <f t="shared" si="382"/>
        <v>3.6638057795834851E-2</v>
      </c>
      <c r="AT370" s="528">
        <f t="shared" si="382"/>
        <v>2.966298591913788E-2</v>
      </c>
      <c r="AU370" s="528">
        <f t="shared" si="382"/>
        <v>2.3302081475584286E-2</v>
      </c>
      <c r="AV370" s="528">
        <f t="shared" si="382"/>
        <v>1.7761186388588378E-2</v>
      </c>
      <c r="AW370" s="528">
        <f t="shared" si="382"/>
        <v>1.3135499881062466E-2</v>
      </c>
      <c r="AX370" s="528">
        <f t="shared" si="382"/>
        <v>9.425807919563392E-3</v>
      </c>
      <c r="AY370" s="528">
        <f t="shared" si="382"/>
        <v>6.5627805245145436E-3</v>
      </c>
      <c r="AZ370" s="528">
        <f t="shared" si="382"/>
        <v>4.4335790334412619E-3</v>
      </c>
      <c r="BA370" s="528">
        <f t="shared" si="382"/>
        <v>2.9061516205422431E-3</v>
      </c>
      <c r="BB370" s="528">
        <f t="shared" si="382"/>
        <v>1.8483290147715439E-3</v>
      </c>
      <c r="BC370" s="528">
        <f t="shared" si="382"/>
        <v>1.1406107152971653E-3</v>
      </c>
      <c r="BD370" s="528">
        <f t="shared" si="382"/>
        <v>6.8295599188833824E-4</v>
      </c>
      <c r="BE370" s="528">
        <f t="shared" si="382"/>
        <v>3.9677568324183852E-4</v>
      </c>
      <c r="BF370" s="528">
        <f t="shared" si="382"/>
        <v>2.2366312042360387E-4</v>
      </c>
      <c r="BG370" s="528">
        <f t="shared" si="382"/>
        <v>1.2233216397046606E-4</v>
      </c>
      <c r="BH370" s="528">
        <f t="shared" si="382"/>
        <v>6.4920794349309713E-5</v>
      </c>
      <c r="BI370" s="528">
        <f t="shared" si="382"/>
        <v>3.3429033381468191E-5</v>
      </c>
      <c r="BJ370" s="528" t="str">
        <f t="shared" si="382"/>
        <v/>
      </c>
      <c r="BK370" s="528" t="str">
        <f t="shared" si="382"/>
        <v/>
      </c>
      <c r="BL370" s="528" t="str">
        <f t="shared" si="382"/>
        <v/>
      </c>
      <c r="BM370" s="528" t="str">
        <f t="shared" si="382"/>
        <v/>
      </c>
    </row>
    <row r="371" spans="6:65" ht="15.75" customHeight="1" x14ac:dyDescent="0.25">
      <c r="F371" s="197"/>
      <c r="G371" s="197">
        <f t="shared" si="268"/>
        <v>0</v>
      </c>
      <c r="H371" s="197">
        <f t="shared" si="269"/>
        <v>478</v>
      </c>
      <c r="I371" s="523">
        <v>1</v>
      </c>
      <c r="J371" s="533">
        <f>'Monthly DCF'!$I$3</f>
        <v>46418</v>
      </c>
      <c r="K371" s="533">
        <f t="shared" si="270"/>
        <v>47817</v>
      </c>
      <c r="L371" s="536">
        <f t="shared" si="341"/>
        <v>47</v>
      </c>
      <c r="M371" s="20" t="s">
        <v>366</v>
      </c>
      <c r="N371" s="20">
        <f t="shared" si="271"/>
        <v>5.875</v>
      </c>
      <c r="O371" s="537">
        <v>8</v>
      </c>
      <c r="P371" s="528">
        <f t="shared" ref="P371:BM371" si="383">IFERROR(+IF(AND($M371="Flat",P$5&gt;=$J371,P$5&lt;=$K371),$I371/$L371,0)+IF(AND($M371="S-Curve",P$5&gt;=$J371,P$5&lt;=$K371),(_xlfn.NORM.DIST((YEAR(P$5)-YEAR($J371))*12+MONTH(P$5)-MONTH($J371)+1,$L371/2,$N371,TRUE)-_xlfn.NORM.DIST((YEAR(P$5)-YEAR($J371))*12+MONTH(P$5)-MONTH($J371),$L371/2,$N371,TRUE))/(1-2*_xlfn.NORM.DIST(0,$L371/2,$N371,TRUE))*$I371," "),"")</f>
        <v>3.2457865083063714E-5</v>
      </c>
      <c r="Q371" s="528">
        <f t="shared" si="383"/>
        <v>6.2194098992497123E-5</v>
      </c>
      <c r="R371" s="528">
        <f t="shared" si="383"/>
        <v>1.1577788371711289E-4</v>
      </c>
      <c r="S371" s="528">
        <f t="shared" si="383"/>
        <v>2.0938679181094493E-4</v>
      </c>
      <c r="T371" s="528">
        <f t="shared" si="383"/>
        <v>3.6789192786184657E-4</v>
      </c>
      <c r="U371" s="528">
        <f t="shared" si="383"/>
        <v>6.2796954703645967E-4</v>
      </c>
      <c r="V371" s="528">
        <f t="shared" si="383"/>
        <v>1.0413681783638582E-3</v>
      </c>
      <c r="W371" s="528">
        <f t="shared" si="383"/>
        <v>1.6777121892865921E-3</v>
      </c>
      <c r="X371" s="528">
        <f t="shared" si="383"/>
        <v>2.6258994760115714E-3</v>
      </c>
      <c r="Y371" s="528">
        <f t="shared" si="383"/>
        <v>3.9928799356181589E-3</v>
      </c>
      <c r="Z371" s="528">
        <f t="shared" si="383"/>
        <v>5.8985051185493432E-3</v>
      </c>
      <c r="AA371" s="528">
        <f t="shared" si="383"/>
        <v>8.4653566198374351E-3</v>
      </c>
      <c r="AB371" s="528">
        <f t="shared" si="383"/>
        <v>1.1803102427111304E-2</v>
      </c>
      <c r="AC371" s="528">
        <f t="shared" si="383"/>
        <v>1.5988022191912775E-2</v>
      </c>
      <c r="AD371" s="528">
        <f t="shared" si="383"/>
        <v>2.1039769820622382E-2</v>
      </c>
      <c r="AE371" s="528">
        <f t="shared" si="383"/>
        <v>2.6898925088717673E-2</v>
      </c>
      <c r="AF371" s="528">
        <f t="shared" si="383"/>
        <v>3.3410008610294896E-2</v>
      </c>
      <c r="AG371" s="528">
        <f t="shared" si="383"/>
        <v>4.0314937380588521E-2</v>
      </c>
      <c r="AH371" s="528">
        <f t="shared" si="383"/>
        <v>4.7261026255794397E-2</v>
      </c>
      <c r="AI371" s="528">
        <f t="shared" si="383"/>
        <v>5.3825500478227789E-2</v>
      </c>
      <c r="AJ371" s="528">
        <f t="shared" si="383"/>
        <v>5.955535080080479E-2</v>
      </c>
      <c r="AK371" s="528">
        <f t="shared" si="383"/>
        <v>6.4017880028248403E-2</v>
      </c>
      <c r="AL371" s="528">
        <f t="shared" si="383"/>
        <v>6.6854337023803917E-2</v>
      </c>
      <c r="AM371" s="528">
        <f t="shared" si="383"/>
        <v>6.7827480523408534E-2</v>
      </c>
      <c r="AN371" s="528">
        <f t="shared" si="383"/>
        <v>6.6854337023803917E-2</v>
      </c>
      <c r="AO371" s="528">
        <f t="shared" si="383"/>
        <v>6.4017880028248403E-2</v>
      </c>
      <c r="AP371" s="528">
        <f t="shared" si="383"/>
        <v>5.955535080080479E-2</v>
      </c>
      <c r="AQ371" s="528">
        <f t="shared" si="383"/>
        <v>5.3825500478227789E-2</v>
      </c>
      <c r="AR371" s="528">
        <f t="shared" si="383"/>
        <v>4.7261026255794369E-2</v>
      </c>
      <c r="AS371" s="528">
        <f t="shared" si="383"/>
        <v>4.0314937380588577E-2</v>
      </c>
      <c r="AT371" s="528">
        <f t="shared" si="383"/>
        <v>3.3410008610294868E-2</v>
      </c>
      <c r="AU371" s="528">
        <f t="shared" si="383"/>
        <v>2.68989250887177E-2</v>
      </c>
      <c r="AV371" s="528">
        <f t="shared" si="383"/>
        <v>2.1039769820622369E-2</v>
      </c>
      <c r="AW371" s="528">
        <f t="shared" si="383"/>
        <v>1.5988022191912712E-2</v>
      </c>
      <c r="AX371" s="528">
        <f t="shared" si="383"/>
        <v>1.1803102427111405E-2</v>
      </c>
      <c r="AY371" s="528">
        <f t="shared" si="383"/>
        <v>8.4653566198373276E-3</v>
      </c>
      <c r="AZ371" s="528">
        <f t="shared" si="383"/>
        <v>5.8985051185493501E-3</v>
      </c>
      <c r="BA371" s="528">
        <f t="shared" si="383"/>
        <v>3.9928799356182265E-3</v>
      </c>
      <c r="BB371" s="528">
        <f t="shared" si="383"/>
        <v>2.6258994760115749E-3</v>
      </c>
      <c r="BC371" s="528">
        <f t="shared" si="383"/>
        <v>1.6777121892865409E-3</v>
      </c>
      <c r="BD371" s="528">
        <f t="shared" si="383"/>
        <v>1.0413681783638434E-3</v>
      </c>
      <c r="BE371" s="528">
        <f t="shared" si="383"/>
        <v>6.2796954703645837E-4</v>
      </c>
      <c r="BF371" s="528">
        <f t="shared" si="383"/>
        <v>3.6789192786184906E-4</v>
      </c>
      <c r="BG371" s="528">
        <f t="shared" si="383"/>
        <v>2.0938679181095593E-4</v>
      </c>
      <c r="BH371" s="528">
        <f t="shared" si="383"/>
        <v>1.1577788371711102E-4</v>
      </c>
      <c r="BI371" s="528">
        <f t="shared" si="383"/>
        <v>6.2194098992548108E-5</v>
      </c>
      <c r="BJ371" s="528">
        <f t="shared" si="383"/>
        <v>3.2457865083045649E-5</v>
      </c>
      <c r="BK371" s="528" t="str">
        <f t="shared" si="383"/>
        <v/>
      </c>
      <c r="BL371" s="528" t="str">
        <f t="shared" si="383"/>
        <v/>
      </c>
      <c r="BM371" s="528" t="str">
        <f t="shared" si="383"/>
        <v/>
      </c>
    </row>
    <row r="372" spans="6:65" ht="15.75" customHeight="1" x14ac:dyDescent="0.25">
      <c r="F372" s="197"/>
      <c r="G372" s="197">
        <f t="shared" si="268"/>
        <v>0</v>
      </c>
      <c r="H372" s="197">
        <f t="shared" si="269"/>
        <v>488</v>
      </c>
      <c r="I372" s="523">
        <v>1</v>
      </c>
      <c r="J372" s="533">
        <f>'Monthly DCF'!$I$3</f>
        <v>46418</v>
      </c>
      <c r="K372" s="533">
        <f t="shared" si="270"/>
        <v>47848</v>
      </c>
      <c r="L372" s="536">
        <f t="shared" si="341"/>
        <v>48</v>
      </c>
      <c r="M372" s="20" t="s">
        <v>366</v>
      </c>
      <c r="N372" s="20">
        <f t="shared" si="271"/>
        <v>6</v>
      </c>
      <c r="O372" s="537">
        <v>8</v>
      </c>
      <c r="P372" s="528">
        <f t="shared" ref="P372:BM372" si="384">IFERROR(+IF(AND($M372="Flat",P$5&gt;=$J372,P$5&lt;=$K372),$I372/$L372,0)+IF(AND($M372="S-Curve",P$5&gt;=$J372,P$5&lt;=$K372),(_xlfn.NORM.DIST((YEAR(P$5)-YEAR($J372))*12+MONTH(P$5)-MONTH($J372)+1,$L372/2,$N372,TRUE)-_xlfn.NORM.DIST((YEAR(P$5)-YEAR($J372))*12+MONTH(P$5)-MONTH($J372),$L372/2,$N372,TRUE))/(1-2*_xlfn.NORM.DIST(0,$L372/2,$N372,TRUE))*$I372," "),"")</f>
        <v>3.1539987856448326E-5</v>
      </c>
      <c r="Q372" s="528">
        <f t="shared" si="384"/>
        <v>5.9660937168687761E-5</v>
      </c>
      <c r="R372" s="528">
        <f t="shared" si="384"/>
        <v>1.0976964215213791E-4</v>
      </c>
      <c r="S372" s="528">
        <f t="shared" si="384"/>
        <v>1.9644369739300543E-4</v>
      </c>
      <c r="T372" s="528">
        <f t="shared" si="384"/>
        <v>3.4194611098908862E-4</v>
      </c>
      <c r="U372" s="528">
        <f t="shared" si="384"/>
        <v>5.7894991928592369E-4</v>
      </c>
      <c r="V372" s="528">
        <f t="shared" si="384"/>
        <v>9.5342849259450791E-4</v>
      </c>
      <c r="W372" s="528">
        <f t="shared" si="384"/>
        <v>1.5272111732426495E-3</v>
      </c>
      <c r="X372" s="528">
        <f t="shared" si="384"/>
        <v>2.3794354775392686E-3</v>
      </c>
      <c r="Y372" s="528">
        <f t="shared" si="384"/>
        <v>3.6058917090058822E-3</v>
      </c>
      <c r="Z372" s="528">
        <f t="shared" si="384"/>
        <v>5.3151480562694167E-3</v>
      </c>
      <c r="AA372" s="528">
        <f t="shared" si="384"/>
        <v>7.6204746377336466E-3</v>
      </c>
      <c r="AB372" s="528">
        <f t="shared" si="384"/>
        <v>1.0627048780301846E-2</v>
      </c>
      <c r="AC372" s="528">
        <f t="shared" si="384"/>
        <v>1.4414757754555073E-2</v>
      </c>
      <c r="AD372" s="528">
        <f t="shared" si="384"/>
        <v>1.9018053646795839E-2</v>
      </c>
      <c r="AE372" s="528">
        <f t="shared" si="384"/>
        <v>2.4405564366072042E-2</v>
      </c>
      <c r="AF372" s="528">
        <f t="shared" si="384"/>
        <v>3.0463214464177994E-2</v>
      </c>
      <c r="AG372" s="528">
        <f t="shared" si="384"/>
        <v>3.6985092084667007E-2</v>
      </c>
      <c r="AH372" s="528">
        <f t="shared" si="384"/>
        <v>4.3675893571761215E-2</v>
      </c>
      <c r="AI372" s="528">
        <f t="shared" si="384"/>
        <v>5.0167334306833795E-2</v>
      </c>
      <c r="AJ372" s="528">
        <f t="shared" si="384"/>
        <v>5.6048551433517661E-2</v>
      </c>
      <c r="AK372" s="528">
        <f t="shared" si="384"/>
        <v>6.0907659498203641E-2</v>
      </c>
      <c r="AL372" s="528">
        <f t="shared" si="384"/>
        <v>6.4378905127079195E-2</v>
      </c>
      <c r="AM372" s="528">
        <f t="shared" si="384"/>
        <v>6.6188025124804026E-2</v>
      </c>
      <c r="AN372" s="528">
        <f t="shared" si="384"/>
        <v>6.6188025124804026E-2</v>
      </c>
      <c r="AO372" s="528">
        <f t="shared" si="384"/>
        <v>6.437890512707925E-2</v>
      </c>
      <c r="AP372" s="528">
        <f t="shared" si="384"/>
        <v>6.0907659498203585E-2</v>
      </c>
      <c r="AQ372" s="528">
        <f t="shared" si="384"/>
        <v>5.6048551433517661E-2</v>
      </c>
      <c r="AR372" s="528">
        <f t="shared" si="384"/>
        <v>5.0167334306833795E-2</v>
      </c>
      <c r="AS372" s="528">
        <f t="shared" si="384"/>
        <v>4.3675893571761243E-2</v>
      </c>
      <c r="AT372" s="528">
        <f t="shared" si="384"/>
        <v>3.6985092084666951E-2</v>
      </c>
      <c r="AU372" s="528">
        <f t="shared" si="384"/>
        <v>3.0463214464178021E-2</v>
      </c>
      <c r="AV372" s="528">
        <f t="shared" si="384"/>
        <v>2.4405564366072014E-2</v>
      </c>
      <c r="AW372" s="528">
        <f t="shared" si="384"/>
        <v>1.9018053646795874E-2</v>
      </c>
      <c r="AX372" s="528">
        <f t="shared" si="384"/>
        <v>1.4414757754555066E-2</v>
      </c>
      <c r="AY372" s="528">
        <f t="shared" si="384"/>
        <v>1.0627048780301828E-2</v>
      </c>
      <c r="AZ372" s="528">
        <f t="shared" si="384"/>
        <v>7.6204746377336518E-3</v>
      </c>
      <c r="BA372" s="528">
        <f t="shared" si="384"/>
        <v>5.3151480562694496E-3</v>
      </c>
      <c r="BB372" s="528">
        <f t="shared" si="384"/>
        <v>3.6058917090058353E-3</v>
      </c>
      <c r="BC372" s="528">
        <f t="shared" si="384"/>
        <v>2.3794354775392552E-3</v>
      </c>
      <c r="BD372" s="528">
        <f t="shared" si="384"/>
        <v>1.5272111732427241E-3</v>
      </c>
      <c r="BE372" s="528">
        <f t="shared" si="384"/>
        <v>9.534284925944626E-4</v>
      </c>
      <c r="BF372" s="528">
        <f t="shared" si="384"/>
        <v>5.789499192858904E-4</v>
      </c>
      <c r="BG372" s="528">
        <f t="shared" si="384"/>
        <v>3.4194611098918451E-4</v>
      </c>
      <c r="BH372" s="528">
        <f t="shared" si="384"/>
        <v>1.9644369739293797E-4</v>
      </c>
      <c r="BI372" s="528">
        <f t="shared" si="384"/>
        <v>1.0976964215213463E-4</v>
      </c>
      <c r="BJ372" s="528">
        <f t="shared" si="384"/>
        <v>5.9660937168686772E-5</v>
      </c>
      <c r="BK372" s="528">
        <f t="shared" si="384"/>
        <v>3.1539987856467523E-5</v>
      </c>
      <c r="BL372" s="528" t="str">
        <f t="shared" si="384"/>
        <v/>
      </c>
      <c r="BM372" s="528" t="str">
        <f t="shared" si="384"/>
        <v/>
      </c>
    </row>
    <row r="373" spans="6:65" ht="15.75" customHeight="1" x14ac:dyDescent="0.25">
      <c r="F373" s="197"/>
      <c r="G373" s="197">
        <f t="shared" si="268"/>
        <v>0</v>
      </c>
      <c r="H373" s="197">
        <f t="shared" si="269"/>
        <v>498</v>
      </c>
      <c r="I373" s="523">
        <v>1</v>
      </c>
      <c r="J373" s="533">
        <f>'Monthly DCF'!$I$3</f>
        <v>46418</v>
      </c>
      <c r="K373" s="533">
        <f t="shared" si="270"/>
        <v>47879</v>
      </c>
      <c r="L373" s="536">
        <f t="shared" si="341"/>
        <v>49</v>
      </c>
      <c r="M373" s="20" t="s">
        <v>366</v>
      </c>
      <c r="N373" s="20">
        <f t="shared" si="271"/>
        <v>6.125</v>
      </c>
      <c r="O373" s="537">
        <v>8</v>
      </c>
      <c r="P373" s="528">
        <f t="shared" ref="P373:BM373" si="385">IFERROR(+IF(AND($M373="Flat",P$5&gt;=$J373,P$5&lt;=$K373),$I373/$L373,0)+IF(AND($M373="S-Curve",P$5&gt;=$J373,P$5&lt;=$K373),(_xlfn.NORM.DIST((YEAR(P$5)-YEAR($J373))*12+MONTH(P$5)-MONTH($J373)+1,$L373/2,$N373,TRUE)-_xlfn.NORM.DIST((YEAR(P$5)-YEAR($J373))*12+MONTH(P$5)-MONTH($J373),$L373/2,$N373,TRUE))/(1-2*_xlfn.NORM.DIST(0,$L373/2,$N373,TRUE))*$I373," "),"")</f>
        <v>3.0671221220621362E-5</v>
      </c>
      <c r="Q373" s="528">
        <f t="shared" si="385"/>
        <v>5.7302786896575414E-5</v>
      </c>
      <c r="R373" s="528">
        <f t="shared" si="385"/>
        <v>1.0424837017473792E-4</v>
      </c>
      <c r="S373" s="528">
        <f t="shared" si="385"/>
        <v>1.8467652645011773E-4</v>
      </c>
      <c r="T373" s="528">
        <f t="shared" si="385"/>
        <v>3.1856866297294594E-4</v>
      </c>
      <c r="U373" s="528">
        <f t="shared" si="385"/>
        <v>5.3511038148087151E-4</v>
      </c>
      <c r="V373" s="528">
        <f t="shared" si="385"/>
        <v>8.7525117750435069E-4</v>
      </c>
      <c r="W373" s="528">
        <f t="shared" si="385"/>
        <v>1.3940266201170543E-3</v>
      </c>
      <c r="X373" s="528">
        <f t="shared" si="385"/>
        <v>2.162013980963857E-3</v>
      </c>
      <c r="Y373" s="528">
        <f t="shared" si="385"/>
        <v>3.2650890187471706E-3</v>
      </c>
      <c r="Z373" s="528">
        <f t="shared" si="385"/>
        <v>4.8015414204141786E-3</v>
      </c>
      <c r="AA373" s="528">
        <f t="shared" si="385"/>
        <v>6.8756772799055278E-3</v>
      </c>
      <c r="AB373" s="528">
        <f t="shared" si="385"/>
        <v>9.5873694752974092E-3</v>
      </c>
      <c r="AC373" s="528">
        <f t="shared" si="385"/>
        <v>1.3017651560803402E-2</v>
      </c>
      <c r="AD373" s="528">
        <f t="shared" si="385"/>
        <v>1.7211354113271994E-2</v>
      </c>
      <c r="AE373" s="528">
        <f t="shared" si="385"/>
        <v>2.215882233018155E-2</v>
      </c>
      <c r="AF373" s="528">
        <f t="shared" si="385"/>
        <v>2.7779700923302751E-2</v>
      </c>
      <c r="AG373" s="528">
        <f t="shared" si="385"/>
        <v>3.3912337592589818E-2</v>
      </c>
      <c r="AH373" s="528">
        <f t="shared" si="385"/>
        <v>4.0312262403397865E-2</v>
      </c>
      <c r="AI373" s="528">
        <f t="shared" si="385"/>
        <v>4.666227552894537E-2</v>
      </c>
      <c r="AJ373" s="528">
        <f t="shared" si="385"/>
        <v>5.2594939669209757E-2</v>
      </c>
      <c r="AK373" s="528">
        <f t="shared" si="385"/>
        <v>5.7725981131195286E-2</v>
      </c>
      <c r="AL373" s="528">
        <f t="shared" si="385"/>
        <v>6.1694721134455822E-2</v>
      </c>
      <c r="AM373" s="528">
        <f t="shared" si="385"/>
        <v>6.4205763268109728E-2</v>
      </c>
      <c r="AN373" s="528">
        <f t="shared" si="385"/>
        <v>6.5065286844782438E-2</v>
      </c>
      <c r="AO373" s="528">
        <f t="shared" si="385"/>
        <v>6.4205763268109783E-2</v>
      </c>
      <c r="AP373" s="528">
        <f t="shared" si="385"/>
        <v>6.1694721134455822E-2</v>
      </c>
      <c r="AQ373" s="528">
        <f t="shared" si="385"/>
        <v>5.7725981131195286E-2</v>
      </c>
      <c r="AR373" s="528">
        <f t="shared" si="385"/>
        <v>5.2594939669209702E-2</v>
      </c>
      <c r="AS373" s="528">
        <f t="shared" si="385"/>
        <v>4.6662275528945397E-2</v>
      </c>
      <c r="AT373" s="528">
        <f t="shared" si="385"/>
        <v>4.0312262403397921E-2</v>
      </c>
      <c r="AU373" s="528">
        <f t="shared" si="385"/>
        <v>3.391233759258979E-2</v>
      </c>
      <c r="AV373" s="528">
        <f t="shared" si="385"/>
        <v>2.7779700923302765E-2</v>
      </c>
      <c r="AW373" s="528">
        <f t="shared" si="385"/>
        <v>2.2158822330181564E-2</v>
      </c>
      <c r="AX373" s="528">
        <f t="shared" si="385"/>
        <v>1.7211354113272022E-2</v>
      </c>
      <c r="AY373" s="528">
        <f t="shared" si="385"/>
        <v>1.3017651560803312E-2</v>
      </c>
      <c r="AZ373" s="528">
        <f t="shared" si="385"/>
        <v>9.5873694752974855E-3</v>
      </c>
      <c r="BA373" s="528">
        <f t="shared" si="385"/>
        <v>6.8756772799055035E-3</v>
      </c>
      <c r="BB373" s="528">
        <f t="shared" si="385"/>
        <v>4.8015414204141699E-3</v>
      </c>
      <c r="BC373" s="528">
        <f t="shared" si="385"/>
        <v>3.2650890187471272E-3</v>
      </c>
      <c r="BD373" s="528">
        <f t="shared" si="385"/>
        <v>2.1620139809638539E-3</v>
      </c>
      <c r="BE373" s="528">
        <f t="shared" si="385"/>
        <v>1.3940266201171068E-3</v>
      </c>
      <c r="BF373" s="528">
        <f t="shared" si="385"/>
        <v>8.7525117750437888E-4</v>
      </c>
      <c r="BG373" s="528">
        <f t="shared" si="385"/>
        <v>5.3511038148087607E-4</v>
      </c>
      <c r="BH373" s="528">
        <f t="shared" si="385"/>
        <v>3.185686629728888E-4</v>
      </c>
      <c r="BI373" s="528">
        <f t="shared" si="385"/>
        <v>1.8467652645012123E-4</v>
      </c>
      <c r="BJ373" s="528">
        <f t="shared" si="385"/>
        <v>1.0424837017479416E-4</v>
      </c>
      <c r="BK373" s="528">
        <f t="shared" si="385"/>
        <v>5.7302786896499059E-5</v>
      </c>
      <c r="BL373" s="528">
        <f t="shared" si="385"/>
        <v>3.0671221220647518E-5</v>
      </c>
      <c r="BM373" s="528" t="str">
        <f t="shared" si="385"/>
        <v/>
      </c>
    </row>
    <row r="374" spans="6:65" ht="15.75" customHeight="1" x14ac:dyDescent="0.25">
      <c r="F374" s="197"/>
      <c r="G374" s="197">
        <f t="shared" si="268"/>
        <v>0</v>
      </c>
      <c r="H374" s="197">
        <f t="shared" si="269"/>
        <v>508</v>
      </c>
      <c r="I374" s="523">
        <v>1</v>
      </c>
      <c r="J374" s="533">
        <f>'Monthly DCF'!$I$3</f>
        <v>46418</v>
      </c>
      <c r="K374" s="533">
        <f t="shared" si="270"/>
        <v>47907</v>
      </c>
      <c r="L374" s="536">
        <f t="shared" si="341"/>
        <v>50</v>
      </c>
      <c r="M374" s="20" t="s">
        <v>366</v>
      </c>
      <c r="N374" s="20">
        <f t="shared" si="271"/>
        <v>6.25</v>
      </c>
      <c r="O374" s="537">
        <v>8</v>
      </c>
      <c r="P374" s="528">
        <f t="shared" ref="P374:BM374" si="386">IFERROR(+IF(AND($M374="Flat",P$5&gt;=$J374,P$5&lt;=$K374),$I374/$L374,0)+IF(AND($M374="S-Curve",P$5&gt;=$J374,P$5&lt;=$K374),(_xlfn.NORM.DIST((YEAR(P$5)-YEAR($J374))*12+MONTH(P$5)-MONTH($J374)+1,$L374/2,$N374,TRUE)-_xlfn.NORM.DIST((YEAR(P$5)-YEAR($J374))*12+MONTH(P$5)-MONTH($J374),$L374/2,$N374,TRUE))/(1-2*_xlfn.NORM.DIST(0,$L374/2,$N374,TRUE))*$I374," "),"")</f>
        <v>2.9847803984171688E-5</v>
      </c>
      <c r="Q374" s="528">
        <f t="shared" si="386"/>
        <v>5.5103312012754091E-5</v>
      </c>
      <c r="R374" s="528">
        <f t="shared" si="386"/>
        <v>9.9162703691288071E-5</v>
      </c>
      <c r="S374" s="528">
        <f t="shared" si="386"/>
        <v>1.7394998171118948E-4</v>
      </c>
      <c r="T374" s="528">
        <f t="shared" si="386"/>
        <v>2.974444162018905E-4</v>
      </c>
      <c r="U374" s="528">
        <f t="shared" si="386"/>
        <v>4.9578420939174264E-4</v>
      </c>
      <c r="V374" s="528">
        <f t="shared" si="386"/>
        <v>8.055361364494864E-4</v>
      </c>
      <c r="W374" s="528">
        <f t="shared" si="386"/>
        <v>1.2758007733866311E-3</v>
      </c>
      <c r="X374" s="528">
        <f t="shared" si="386"/>
        <v>1.9696371093709036E-3</v>
      </c>
      <c r="Y374" s="528">
        <f t="shared" si="386"/>
        <v>2.9641155154789735E-3</v>
      </c>
      <c r="Z374" s="528">
        <f t="shared" si="386"/>
        <v>4.348200937197272E-3</v>
      </c>
      <c r="AA374" s="528">
        <f t="shared" si="386"/>
        <v>6.2176988434786227E-3</v>
      </c>
      <c r="AB374" s="528">
        <f t="shared" si="386"/>
        <v>8.6667322412444913E-3</v>
      </c>
      <c r="AC374" s="528">
        <f t="shared" si="386"/>
        <v>1.177569948569817E-2</v>
      </c>
      <c r="AD374" s="528">
        <f t="shared" si="386"/>
        <v>1.5596376325287957E-2</v>
      </c>
      <c r="AE374" s="528">
        <f t="shared" si="386"/>
        <v>2.0135683278958299E-2</v>
      </c>
      <c r="AF374" s="528">
        <f t="shared" si="386"/>
        <v>2.5340473548646835E-2</v>
      </c>
      <c r="AG374" s="528">
        <f t="shared" si="386"/>
        <v>3.108628217060928E-2</v>
      </c>
      <c r="AH374" s="528">
        <f t="shared" si="386"/>
        <v>3.7173081059386923E-2</v>
      </c>
      <c r="AI374" s="528">
        <f t="shared" si="386"/>
        <v>4.3330535780313734E-2</v>
      </c>
      <c r="AJ374" s="528">
        <f t="shared" si="386"/>
        <v>4.9234019714554496E-2</v>
      </c>
      <c r="AK374" s="528">
        <f t="shared" si="386"/>
        <v>5.4530850942896211E-2</v>
      </c>
      <c r="AL374" s="528">
        <f t="shared" si="386"/>
        <v>5.8874197998382449E-2</v>
      </c>
      <c r="AM374" s="528">
        <f t="shared" si="386"/>
        <v>6.1960296550959471E-2</v>
      </c>
      <c r="AN374" s="528">
        <f t="shared" si="386"/>
        <v>6.3563489160706754E-2</v>
      </c>
      <c r="AO374" s="528">
        <f t="shared" si="386"/>
        <v>6.356348916070681E-2</v>
      </c>
      <c r="AP374" s="528">
        <f t="shared" si="386"/>
        <v>6.1960296550959415E-2</v>
      </c>
      <c r="AQ374" s="528">
        <f t="shared" si="386"/>
        <v>5.8874197998382394E-2</v>
      </c>
      <c r="AR374" s="528">
        <f t="shared" si="386"/>
        <v>5.4530850942896211E-2</v>
      </c>
      <c r="AS374" s="528">
        <f t="shared" si="386"/>
        <v>4.9234019714554524E-2</v>
      </c>
      <c r="AT374" s="528">
        <f t="shared" si="386"/>
        <v>4.3330535780313734E-2</v>
      </c>
      <c r="AU374" s="528">
        <f t="shared" si="386"/>
        <v>3.717308105938695E-2</v>
      </c>
      <c r="AV374" s="528">
        <f t="shared" si="386"/>
        <v>3.1086282170609266E-2</v>
      </c>
      <c r="AW374" s="528">
        <f t="shared" si="386"/>
        <v>2.5340473548646863E-2</v>
      </c>
      <c r="AX374" s="528">
        <f t="shared" si="386"/>
        <v>2.0135683278958257E-2</v>
      </c>
      <c r="AY374" s="528">
        <f t="shared" si="386"/>
        <v>1.5596376325287943E-2</v>
      </c>
      <c r="AZ374" s="528">
        <f t="shared" si="386"/>
        <v>1.1775699485698218E-2</v>
      </c>
      <c r="BA374" s="528">
        <f t="shared" si="386"/>
        <v>8.6667322412444393E-3</v>
      </c>
      <c r="BB374" s="528">
        <f t="shared" si="386"/>
        <v>6.2176988434786366E-3</v>
      </c>
      <c r="BC374" s="528">
        <f t="shared" si="386"/>
        <v>4.348200937197279E-3</v>
      </c>
      <c r="BD374" s="528">
        <f t="shared" si="386"/>
        <v>2.9641155154789987E-3</v>
      </c>
      <c r="BE374" s="528">
        <f t="shared" si="386"/>
        <v>1.9696371093709435E-3</v>
      </c>
      <c r="BF374" s="528">
        <f t="shared" si="386"/>
        <v>1.2758007733866068E-3</v>
      </c>
      <c r="BG374" s="528">
        <f t="shared" si="386"/>
        <v>8.0553613644947101E-4</v>
      </c>
      <c r="BH374" s="528">
        <f t="shared" si="386"/>
        <v>4.9578420939172833E-4</v>
      </c>
      <c r="BI374" s="528">
        <f t="shared" si="386"/>
        <v>2.9744441620192883E-4</v>
      </c>
      <c r="BJ374" s="528">
        <f t="shared" si="386"/>
        <v>1.7394998171119867E-4</v>
      </c>
      <c r="BK374" s="528">
        <f t="shared" si="386"/>
        <v>9.9162703691201795E-5</v>
      </c>
      <c r="BL374" s="528">
        <f t="shared" si="386"/>
        <v>5.5103312012850741E-5</v>
      </c>
      <c r="BM374" s="528">
        <f t="shared" si="386"/>
        <v>2.9847803984126908E-5</v>
      </c>
    </row>
    <row r="375" spans="6:65" ht="15.75" customHeight="1" x14ac:dyDescent="0.25">
      <c r="F375" s="197"/>
      <c r="G375" s="197">
        <f t="shared" si="268"/>
        <v>0</v>
      </c>
      <c r="H375" s="197">
        <f t="shared" si="269"/>
        <v>59</v>
      </c>
      <c r="I375" s="523">
        <v>1</v>
      </c>
      <c r="J375" s="533">
        <f>'Monthly DCF'!$I$3</f>
        <v>46418</v>
      </c>
      <c r="K375" s="533">
        <f t="shared" si="270"/>
        <v>46538</v>
      </c>
      <c r="L375" s="536">
        <v>5</v>
      </c>
      <c r="M375" s="20" t="s">
        <v>366</v>
      </c>
      <c r="N375" s="20">
        <f t="shared" si="271"/>
        <v>0.55555555555555558</v>
      </c>
      <c r="O375" s="537">
        <v>9</v>
      </c>
      <c r="P375" s="528">
        <f t="shared" ref="P375:BM375" si="387">IFERROR(+IF(AND($M375="Flat",P$5&gt;=$J375,P$5&lt;=$K375),$I375/$L375,0)+IF(AND($M375="S-Curve",P$5&gt;=$J375,P$5&lt;=$K375),(_xlfn.NORM.DIST((YEAR(P$5)-YEAR($J375))*12+MONTH(P$5)-MONTH($J375)+1,$L375/2,$N375,TRUE)-_xlfn.NORM.DIST((YEAR(P$5)-YEAR($J375))*12+MONTH(P$5)-MONTH($J375),$L375/2,$N375,TRUE))/(1-2*_xlfn.NORM.DIST(0,$L375/2,$N375,TRUE))*$I375," "),"")</f>
        <v>3.4635996662749397E-3</v>
      </c>
      <c r="Q375" s="528">
        <f t="shared" si="387"/>
        <v>0.1805943787450531</v>
      </c>
      <c r="R375" s="528">
        <f t="shared" si="387"/>
        <v>0.63188404317734381</v>
      </c>
      <c r="S375" s="528">
        <f t="shared" si="387"/>
        <v>0.18059437874505319</v>
      </c>
      <c r="T375" s="528">
        <f t="shared" si="387"/>
        <v>3.4635996662748816E-3</v>
      </c>
      <c r="U375" s="528" t="str">
        <f t="shared" si="387"/>
        <v/>
      </c>
      <c r="V375" s="528" t="str">
        <f t="shared" si="387"/>
        <v/>
      </c>
      <c r="W375" s="528" t="str">
        <f t="shared" si="387"/>
        <v/>
      </c>
      <c r="X375" s="528" t="str">
        <f t="shared" si="387"/>
        <v/>
      </c>
      <c r="Y375" s="528" t="str">
        <f t="shared" si="387"/>
        <v/>
      </c>
      <c r="Z375" s="528" t="str">
        <f t="shared" si="387"/>
        <v/>
      </c>
      <c r="AA375" s="528" t="str">
        <f t="shared" si="387"/>
        <v/>
      </c>
      <c r="AB375" s="528" t="str">
        <f t="shared" si="387"/>
        <v/>
      </c>
      <c r="AC375" s="528" t="str">
        <f t="shared" si="387"/>
        <v/>
      </c>
      <c r="AD375" s="528" t="str">
        <f t="shared" si="387"/>
        <v/>
      </c>
      <c r="AE375" s="528" t="str">
        <f t="shared" si="387"/>
        <v/>
      </c>
      <c r="AF375" s="528" t="str">
        <f t="shared" si="387"/>
        <v/>
      </c>
      <c r="AG375" s="528" t="str">
        <f t="shared" si="387"/>
        <v/>
      </c>
      <c r="AH375" s="528" t="str">
        <f t="shared" si="387"/>
        <v/>
      </c>
      <c r="AI375" s="528" t="str">
        <f t="shared" si="387"/>
        <v/>
      </c>
      <c r="AJ375" s="528" t="str">
        <f t="shared" si="387"/>
        <v/>
      </c>
      <c r="AK375" s="528" t="str">
        <f t="shared" si="387"/>
        <v/>
      </c>
      <c r="AL375" s="528" t="str">
        <f t="shared" si="387"/>
        <v/>
      </c>
      <c r="AM375" s="528" t="str">
        <f t="shared" si="387"/>
        <v/>
      </c>
      <c r="AN375" s="528" t="str">
        <f t="shared" si="387"/>
        <v/>
      </c>
      <c r="AO375" s="528" t="str">
        <f t="shared" si="387"/>
        <v/>
      </c>
      <c r="AP375" s="528" t="str">
        <f t="shared" si="387"/>
        <v/>
      </c>
      <c r="AQ375" s="528" t="str">
        <f t="shared" si="387"/>
        <v/>
      </c>
      <c r="AR375" s="528" t="str">
        <f t="shared" si="387"/>
        <v/>
      </c>
      <c r="AS375" s="528" t="str">
        <f t="shared" si="387"/>
        <v/>
      </c>
      <c r="AT375" s="528" t="str">
        <f t="shared" si="387"/>
        <v/>
      </c>
      <c r="AU375" s="528" t="str">
        <f t="shared" si="387"/>
        <v/>
      </c>
      <c r="AV375" s="528" t="str">
        <f t="shared" si="387"/>
        <v/>
      </c>
      <c r="AW375" s="528" t="str">
        <f t="shared" si="387"/>
        <v/>
      </c>
      <c r="AX375" s="528" t="str">
        <f t="shared" si="387"/>
        <v/>
      </c>
      <c r="AY375" s="528" t="str">
        <f t="shared" si="387"/>
        <v/>
      </c>
      <c r="AZ375" s="528" t="str">
        <f t="shared" si="387"/>
        <v/>
      </c>
      <c r="BA375" s="528" t="str">
        <f t="shared" si="387"/>
        <v/>
      </c>
      <c r="BB375" s="528" t="str">
        <f t="shared" si="387"/>
        <v/>
      </c>
      <c r="BC375" s="528" t="str">
        <f t="shared" si="387"/>
        <v/>
      </c>
      <c r="BD375" s="528" t="str">
        <f t="shared" si="387"/>
        <v/>
      </c>
      <c r="BE375" s="528" t="str">
        <f t="shared" si="387"/>
        <v/>
      </c>
      <c r="BF375" s="528" t="str">
        <f t="shared" si="387"/>
        <v/>
      </c>
      <c r="BG375" s="528" t="str">
        <f t="shared" si="387"/>
        <v/>
      </c>
      <c r="BH375" s="528" t="str">
        <f t="shared" si="387"/>
        <v/>
      </c>
      <c r="BI375" s="528" t="str">
        <f t="shared" si="387"/>
        <v/>
      </c>
      <c r="BJ375" s="528" t="str">
        <f t="shared" si="387"/>
        <v/>
      </c>
      <c r="BK375" s="528" t="str">
        <f t="shared" si="387"/>
        <v/>
      </c>
      <c r="BL375" s="528" t="str">
        <f t="shared" si="387"/>
        <v/>
      </c>
      <c r="BM375" s="528" t="str">
        <f t="shared" si="387"/>
        <v/>
      </c>
    </row>
    <row r="376" spans="6:65" ht="15.75" customHeight="1" x14ac:dyDescent="0.25">
      <c r="F376" s="197"/>
      <c r="G376" s="197">
        <f t="shared" si="268"/>
        <v>0</v>
      </c>
      <c r="H376" s="197">
        <f t="shared" si="269"/>
        <v>69</v>
      </c>
      <c r="I376" s="523">
        <v>1</v>
      </c>
      <c r="J376" s="533">
        <f>'Monthly DCF'!$I$3</f>
        <v>46418</v>
      </c>
      <c r="K376" s="533">
        <f t="shared" si="270"/>
        <v>46568</v>
      </c>
      <c r="L376" s="536">
        <f t="shared" ref="L376:L420" si="388">L375+1</f>
        <v>6</v>
      </c>
      <c r="M376" s="20" t="s">
        <v>366</v>
      </c>
      <c r="N376" s="20">
        <f t="shared" si="271"/>
        <v>0.66666666666666663</v>
      </c>
      <c r="O376" s="537">
        <v>9</v>
      </c>
      <c r="P376" s="528">
        <f t="shared" ref="P376:BM376" si="389">IFERROR(+IF(AND($M376="Flat",P$5&gt;=$J376,P$5&lt;=$K376),$I376/$L376,0)+IF(AND($M376="S-Curve",P$5&gt;=$J376,P$5&lt;=$K376),(_xlfn.NORM.DIST((YEAR(P$5)-YEAR($J376))*12+MONTH(P$5)-MONTH($J376)+1,$L376/2,$N376,TRUE)-_xlfn.NORM.DIST((YEAR(P$5)-YEAR($J376))*12+MONTH(P$5)-MONTH($J376),$L376/2,$N376,TRUE))/(1-2*_xlfn.NORM.DIST(0,$L376/2,$N376,TRUE))*$I376," "),"")</f>
        <v>1.3465095085037017E-3</v>
      </c>
      <c r="Q376" s="528">
        <f t="shared" si="389"/>
        <v>6.5457748045290642E-2</v>
      </c>
      <c r="R376" s="528">
        <f t="shared" si="389"/>
        <v>0.43319574244620562</v>
      </c>
      <c r="S376" s="528">
        <f t="shared" si="389"/>
        <v>0.43319574244620562</v>
      </c>
      <c r="T376" s="528">
        <f t="shared" si="389"/>
        <v>6.5457748045290656E-2</v>
      </c>
      <c r="U376" s="528">
        <f t="shared" si="389"/>
        <v>1.3465095085037032E-3</v>
      </c>
      <c r="V376" s="528" t="str">
        <f t="shared" si="389"/>
        <v/>
      </c>
      <c r="W376" s="528" t="str">
        <f t="shared" si="389"/>
        <v/>
      </c>
      <c r="X376" s="528" t="str">
        <f t="shared" si="389"/>
        <v/>
      </c>
      <c r="Y376" s="528" t="str">
        <f t="shared" si="389"/>
        <v/>
      </c>
      <c r="Z376" s="528" t="str">
        <f t="shared" si="389"/>
        <v/>
      </c>
      <c r="AA376" s="528" t="str">
        <f t="shared" si="389"/>
        <v/>
      </c>
      <c r="AB376" s="528" t="str">
        <f t="shared" si="389"/>
        <v/>
      </c>
      <c r="AC376" s="528" t="str">
        <f t="shared" si="389"/>
        <v/>
      </c>
      <c r="AD376" s="528" t="str">
        <f t="shared" si="389"/>
        <v/>
      </c>
      <c r="AE376" s="528" t="str">
        <f t="shared" si="389"/>
        <v/>
      </c>
      <c r="AF376" s="528" t="str">
        <f t="shared" si="389"/>
        <v/>
      </c>
      <c r="AG376" s="528" t="str">
        <f t="shared" si="389"/>
        <v/>
      </c>
      <c r="AH376" s="528" t="str">
        <f t="shared" si="389"/>
        <v/>
      </c>
      <c r="AI376" s="528" t="str">
        <f t="shared" si="389"/>
        <v/>
      </c>
      <c r="AJ376" s="528" t="str">
        <f t="shared" si="389"/>
        <v/>
      </c>
      <c r="AK376" s="528" t="str">
        <f t="shared" si="389"/>
        <v/>
      </c>
      <c r="AL376" s="528" t="str">
        <f t="shared" si="389"/>
        <v/>
      </c>
      <c r="AM376" s="528" t="str">
        <f t="shared" si="389"/>
        <v/>
      </c>
      <c r="AN376" s="528" t="str">
        <f t="shared" si="389"/>
        <v/>
      </c>
      <c r="AO376" s="528" t="str">
        <f t="shared" si="389"/>
        <v/>
      </c>
      <c r="AP376" s="528" t="str">
        <f t="shared" si="389"/>
        <v/>
      </c>
      <c r="AQ376" s="528" t="str">
        <f t="shared" si="389"/>
        <v/>
      </c>
      <c r="AR376" s="528" t="str">
        <f t="shared" si="389"/>
        <v/>
      </c>
      <c r="AS376" s="528" t="str">
        <f t="shared" si="389"/>
        <v/>
      </c>
      <c r="AT376" s="528" t="str">
        <f t="shared" si="389"/>
        <v/>
      </c>
      <c r="AU376" s="528" t="str">
        <f t="shared" si="389"/>
        <v/>
      </c>
      <c r="AV376" s="528" t="str">
        <f t="shared" si="389"/>
        <v/>
      </c>
      <c r="AW376" s="528" t="str">
        <f t="shared" si="389"/>
        <v/>
      </c>
      <c r="AX376" s="528" t="str">
        <f t="shared" si="389"/>
        <v/>
      </c>
      <c r="AY376" s="528" t="str">
        <f t="shared" si="389"/>
        <v/>
      </c>
      <c r="AZ376" s="528" t="str">
        <f t="shared" si="389"/>
        <v/>
      </c>
      <c r="BA376" s="528" t="str">
        <f t="shared" si="389"/>
        <v/>
      </c>
      <c r="BB376" s="528" t="str">
        <f t="shared" si="389"/>
        <v/>
      </c>
      <c r="BC376" s="528" t="str">
        <f t="shared" si="389"/>
        <v/>
      </c>
      <c r="BD376" s="528" t="str">
        <f t="shared" si="389"/>
        <v/>
      </c>
      <c r="BE376" s="528" t="str">
        <f t="shared" si="389"/>
        <v/>
      </c>
      <c r="BF376" s="528" t="str">
        <f t="shared" si="389"/>
        <v/>
      </c>
      <c r="BG376" s="528" t="str">
        <f t="shared" si="389"/>
        <v/>
      </c>
      <c r="BH376" s="528" t="str">
        <f t="shared" si="389"/>
        <v/>
      </c>
      <c r="BI376" s="528" t="str">
        <f t="shared" si="389"/>
        <v/>
      </c>
      <c r="BJ376" s="528" t="str">
        <f t="shared" si="389"/>
        <v/>
      </c>
      <c r="BK376" s="528" t="str">
        <f t="shared" si="389"/>
        <v/>
      </c>
      <c r="BL376" s="528" t="str">
        <f t="shared" si="389"/>
        <v/>
      </c>
      <c r="BM376" s="528" t="str">
        <f t="shared" si="389"/>
        <v/>
      </c>
    </row>
    <row r="377" spans="6:65" ht="15.75" customHeight="1" x14ac:dyDescent="0.25">
      <c r="F377" s="197"/>
      <c r="G377" s="197">
        <f t="shared" si="268"/>
        <v>0</v>
      </c>
      <c r="H377" s="197">
        <f t="shared" si="269"/>
        <v>79</v>
      </c>
      <c r="I377" s="523">
        <v>1</v>
      </c>
      <c r="J377" s="533">
        <f>'Monthly DCF'!$I$3</f>
        <v>46418</v>
      </c>
      <c r="K377" s="533">
        <f t="shared" si="270"/>
        <v>46599</v>
      </c>
      <c r="L377" s="536">
        <f t="shared" si="388"/>
        <v>7</v>
      </c>
      <c r="M377" s="20" t="s">
        <v>366</v>
      </c>
      <c r="N377" s="20">
        <f t="shared" si="271"/>
        <v>0.77777777777777779</v>
      </c>
      <c r="O377" s="537">
        <v>9</v>
      </c>
      <c r="P377" s="528">
        <f t="shared" ref="P377:BM377" si="390">IFERROR(+IF(AND($M377="Flat",P$5&gt;=$J377,P$5&lt;=$K377),$I377/$L377,0)+IF(AND($M377="S-Curve",P$5&gt;=$J377,P$5&lt;=$K377),(_xlfn.NORM.DIST((YEAR(P$5)-YEAR($J377))*12+MONTH(P$5)-MONTH($J377)+1,$L377/2,$N377,TRUE)-_xlfn.NORM.DIST((YEAR(P$5)-YEAR($J377))*12+MONTH(P$5)-MONTH($J377),$L377/2,$N377,TRUE))/(1-2*_xlfn.NORM.DIST(0,$L377/2,$N377,TRUE))*$I377," "),"")</f>
        <v>6.5045415099108136E-4</v>
      </c>
      <c r="Q377" s="528">
        <f t="shared" si="390"/>
        <v>2.6238375325989872E-2</v>
      </c>
      <c r="R377" s="528">
        <f t="shared" si="390"/>
        <v>0.23326794095891196</v>
      </c>
      <c r="S377" s="528">
        <f t="shared" si="390"/>
        <v>0.47968645912821417</v>
      </c>
      <c r="T377" s="528">
        <f t="shared" si="390"/>
        <v>0.23326794095891196</v>
      </c>
      <c r="U377" s="528">
        <f t="shared" si="390"/>
        <v>2.6238375325989948E-2</v>
      </c>
      <c r="V377" s="528">
        <f t="shared" si="390"/>
        <v>6.5045415099104493E-4</v>
      </c>
      <c r="W377" s="528" t="str">
        <f t="shared" si="390"/>
        <v/>
      </c>
      <c r="X377" s="528" t="str">
        <f t="shared" si="390"/>
        <v/>
      </c>
      <c r="Y377" s="528" t="str">
        <f t="shared" si="390"/>
        <v/>
      </c>
      <c r="Z377" s="528" t="str">
        <f t="shared" si="390"/>
        <v/>
      </c>
      <c r="AA377" s="528" t="str">
        <f t="shared" si="390"/>
        <v/>
      </c>
      <c r="AB377" s="528" t="str">
        <f t="shared" si="390"/>
        <v/>
      </c>
      <c r="AC377" s="528" t="str">
        <f t="shared" si="390"/>
        <v/>
      </c>
      <c r="AD377" s="528" t="str">
        <f t="shared" si="390"/>
        <v/>
      </c>
      <c r="AE377" s="528" t="str">
        <f t="shared" si="390"/>
        <v/>
      </c>
      <c r="AF377" s="528" t="str">
        <f t="shared" si="390"/>
        <v/>
      </c>
      <c r="AG377" s="528" t="str">
        <f t="shared" si="390"/>
        <v/>
      </c>
      <c r="AH377" s="528" t="str">
        <f t="shared" si="390"/>
        <v/>
      </c>
      <c r="AI377" s="528" t="str">
        <f t="shared" si="390"/>
        <v/>
      </c>
      <c r="AJ377" s="528" t="str">
        <f t="shared" si="390"/>
        <v/>
      </c>
      <c r="AK377" s="528" t="str">
        <f t="shared" si="390"/>
        <v/>
      </c>
      <c r="AL377" s="528" t="str">
        <f t="shared" si="390"/>
        <v/>
      </c>
      <c r="AM377" s="528" t="str">
        <f t="shared" si="390"/>
        <v/>
      </c>
      <c r="AN377" s="528" t="str">
        <f t="shared" si="390"/>
        <v/>
      </c>
      <c r="AO377" s="528" t="str">
        <f t="shared" si="390"/>
        <v/>
      </c>
      <c r="AP377" s="528" t="str">
        <f t="shared" si="390"/>
        <v/>
      </c>
      <c r="AQ377" s="528" t="str">
        <f t="shared" si="390"/>
        <v/>
      </c>
      <c r="AR377" s="528" t="str">
        <f t="shared" si="390"/>
        <v/>
      </c>
      <c r="AS377" s="528" t="str">
        <f t="shared" si="390"/>
        <v/>
      </c>
      <c r="AT377" s="528" t="str">
        <f t="shared" si="390"/>
        <v/>
      </c>
      <c r="AU377" s="528" t="str">
        <f t="shared" si="390"/>
        <v/>
      </c>
      <c r="AV377" s="528" t="str">
        <f t="shared" si="390"/>
        <v/>
      </c>
      <c r="AW377" s="528" t="str">
        <f t="shared" si="390"/>
        <v/>
      </c>
      <c r="AX377" s="528" t="str">
        <f t="shared" si="390"/>
        <v/>
      </c>
      <c r="AY377" s="528" t="str">
        <f t="shared" si="390"/>
        <v/>
      </c>
      <c r="AZ377" s="528" t="str">
        <f t="shared" si="390"/>
        <v/>
      </c>
      <c r="BA377" s="528" t="str">
        <f t="shared" si="390"/>
        <v/>
      </c>
      <c r="BB377" s="528" t="str">
        <f t="shared" si="390"/>
        <v/>
      </c>
      <c r="BC377" s="528" t="str">
        <f t="shared" si="390"/>
        <v/>
      </c>
      <c r="BD377" s="528" t="str">
        <f t="shared" si="390"/>
        <v/>
      </c>
      <c r="BE377" s="528" t="str">
        <f t="shared" si="390"/>
        <v/>
      </c>
      <c r="BF377" s="528" t="str">
        <f t="shared" si="390"/>
        <v/>
      </c>
      <c r="BG377" s="528" t="str">
        <f t="shared" si="390"/>
        <v/>
      </c>
      <c r="BH377" s="528" t="str">
        <f t="shared" si="390"/>
        <v/>
      </c>
      <c r="BI377" s="528" t="str">
        <f t="shared" si="390"/>
        <v/>
      </c>
      <c r="BJ377" s="528" t="str">
        <f t="shared" si="390"/>
        <v/>
      </c>
      <c r="BK377" s="528" t="str">
        <f t="shared" si="390"/>
        <v/>
      </c>
      <c r="BL377" s="528" t="str">
        <f t="shared" si="390"/>
        <v/>
      </c>
      <c r="BM377" s="528" t="str">
        <f t="shared" si="390"/>
        <v/>
      </c>
    </row>
    <row r="378" spans="6:65" ht="15.75" customHeight="1" x14ac:dyDescent="0.25">
      <c r="F378" s="197"/>
      <c r="G378" s="197">
        <f t="shared" si="268"/>
        <v>0</v>
      </c>
      <c r="H378" s="197">
        <f t="shared" si="269"/>
        <v>89</v>
      </c>
      <c r="I378" s="523">
        <v>1</v>
      </c>
      <c r="J378" s="533">
        <f>'Monthly DCF'!$I$3</f>
        <v>46418</v>
      </c>
      <c r="K378" s="533">
        <f t="shared" si="270"/>
        <v>46630</v>
      </c>
      <c r="L378" s="536">
        <f t="shared" si="388"/>
        <v>8</v>
      </c>
      <c r="M378" s="20" t="s">
        <v>366</v>
      </c>
      <c r="N378" s="20">
        <f t="shared" si="271"/>
        <v>0.88888888888888884</v>
      </c>
      <c r="O378" s="537">
        <v>9</v>
      </c>
      <c r="P378" s="528">
        <f t="shared" ref="P378:BM378" si="391">IFERROR(+IF(AND($M378="Flat",P$5&gt;=$J378,P$5&lt;=$K378),$I378/$L378,0)+IF(AND($M378="S-Curve",P$5&gt;=$J378,P$5&lt;=$K378),(_xlfn.NORM.DIST((YEAR(P$5)-YEAR($J378))*12+MONTH(P$5)-MONTH($J378)+1,$L378/2,$N378,TRUE)-_xlfn.NORM.DIST((YEAR(P$5)-YEAR($J378))*12+MONTH(P$5)-MONTH($J378),$L378/2,$N378,TRUE))/(1-2*_xlfn.NORM.DIST(0,$L378/2,$N378,TRUE))*$I378," "),"")</f>
        <v>3.6568326609474758E-4</v>
      </c>
      <c r="Q378" s="528">
        <f t="shared" si="391"/>
        <v>1.1855474762825594E-2</v>
      </c>
      <c r="R378" s="528">
        <f t="shared" si="391"/>
        <v>0.11807084681405018</v>
      </c>
      <c r="S378" s="528">
        <f t="shared" si="391"/>
        <v>0.36970799515702946</v>
      </c>
      <c r="T378" s="528">
        <f t="shared" si="391"/>
        <v>0.36970799515702946</v>
      </c>
      <c r="U378" s="528">
        <f t="shared" si="391"/>
        <v>0.11807084681405024</v>
      </c>
      <c r="V378" s="528">
        <f t="shared" si="391"/>
        <v>1.1855474762825608E-2</v>
      </c>
      <c r="W378" s="528">
        <f t="shared" si="391"/>
        <v>3.6568326609470123E-4</v>
      </c>
      <c r="X378" s="528" t="str">
        <f t="shared" si="391"/>
        <v/>
      </c>
      <c r="Y378" s="528" t="str">
        <f t="shared" si="391"/>
        <v/>
      </c>
      <c r="Z378" s="528" t="str">
        <f t="shared" si="391"/>
        <v/>
      </c>
      <c r="AA378" s="528" t="str">
        <f t="shared" si="391"/>
        <v/>
      </c>
      <c r="AB378" s="528" t="str">
        <f t="shared" si="391"/>
        <v/>
      </c>
      <c r="AC378" s="528" t="str">
        <f t="shared" si="391"/>
        <v/>
      </c>
      <c r="AD378" s="528" t="str">
        <f t="shared" si="391"/>
        <v/>
      </c>
      <c r="AE378" s="528" t="str">
        <f t="shared" si="391"/>
        <v/>
      </c>
      <c r="AF378" s="528" t="str">
        <f t="shared" si="391"/>
        <v/>
      </c>
      <c r="AG378" s="528" t="str">
        <f t="shared" si="391"/>
        <v/>
      </c>
      <c r="AH378" s="528" t="str">
        <f t="shared" si="391"/>
        <v/>
      </c>
      <c r="AI378" s="528" t="str">
        <f t="shared" si="391"/>
        <v/>
      </c>
      <c r="AJ378" s="528" t="str">
        <f t="shared" si="391"/>
        <v/>
      </c>
      <c r="AK378" s="528" t="str">
        <f t="shared" si="391"/>
        <v/>
      </c>
      <c r="AL378" s="528" t="str">
        <f t="shared" si="391"/>
        <v/>
      </c>
      <c r="AM378" s="528" t="str">
        <f t="shared" si="391"/>
        <v/>
      </c>
      <c r="AN378" s="528" t="str">
        <f t="shared" si="391"/>
        <v/>
      </c>
      <c r="AO378" s="528" t="str">
        <f t="shared" si="391"/>
        <v/>
      </c>
      <c r="AP378" s="528" t="str">
        <f t="shared" si="391"/>
        <v/>
      </c>
      <c r="AQ378" s="528" t="str">
        <f t="shared" si="391"/>
        <v/>
      </c>
      <c r="AR378" s="528" t="str">
        <f t="shared" si="391"/>
        <v/>
      </c>
      <c r="AS378" s="528" t="str">
        <f t="shared" si="391"/>
        <v/>
      </c>
      <c r="AT378" s="528" t="str">
        <f t="shared" si="391"/>
        <v/>
      </c>
      <c r="AU378" s="528" t="str">
        <f t="shared" si="391"/>
        <v/>
      </c>
      <c r="AV378" s="528" t="str">
        <f t="shared" si="391"/>
        <v/>
      </c>
      <c r="AW378" s="528" t="str">
        <f t="shared" si="391"/>
        <v/>
      </c>
      <c r="AX378" s="528" t="str">
        <f t="shared" si="391"/>
        <v/>
      </c>
      <c r="AY378" s="528" t="str">
        <f t="shared" si="391"/>
        <v/>
      </c>
      <c r="AZ378" s="528" t="str">
        <f t="shared" si="391"/>
        <v/>
      </c>
      <c r="BA378" s="528" t="str">
        <f t="shared" si="391"/>
        <v/>
      </c>
      <c r="BB378" s="528" t="str">
        <f t="shared" si="391"/>
        <v/>
      </c>
      <c r="BC378" s="528" t="str">
        <f t="shared" si="391"/>
        <v/>
      </c>
      <c r="BD378" s="528" t="str">
        <f t="shared" si="391"/>
        <v/>
      </c>
      <c r="BE378" s="528" t="str">
        <f t="shared" si="391"/>
        <v/>
      </c>
      <c r="BF378" s="528" t="str">
        <f t="shared" si="391"/>
        <v/>
      </c>
      <c r="BG378" s="528" t="str">
        <f t="shared" si="391"/>
        <v/>
      </c>
      <c r="BH378" s="528" t="str">
        <f t="shared" si="391"/>
        <v/>
      </c>
      <c r="BI378" s="528" t="str">
        <f t="shared" si="391"/>
        <v/>
      </c>
      <c r="BJ378" s="528" t="str">
        <f t="shared" si="391"/>
        <v/>
      </c>
      <c r="BK378" s="528" t="str">
        <f t="shared" si="391"/>
        <v/>
      </c>
      <c r="BL378" s="528" t="str">
        <f t="shared" si="391"/>
        <v/>
      </c>
      <c r="BM378" s="528" t="str">
        <f t="shared" si="391"/>
        <v/>
      </c>
    </row>
    <row r="379" spans="6:65" ht="15.75" customHeight="1" x14ac:dyDescent="0.25">
      <c r="F379" s="197"/>
      <c r="G379" s="197">
        <f t="shared" si="268"/>
        <v>0</v>
      </c>
      <c r="H379" s="197">
        <f t="shared" si="269"/>
        <v>99</v>
      </c>
      <c r="I379" s="523">
        <v>1</v>
      </c>
      <c r="J379" s="533">
        <f>'Monthly DCF'!$I$3</f>
        <v>46418</v>
      </c>
      <c r="K379" s="533">
        <f t="shared" si="270"/>
        <v>46660</v>
      </c>
      <c r="L379" s="536">
        <f t="shared" si="388"/>
        <v>9</v>
      </c>
      <c r="M379" s="20" t="s">
        <v>366</v>
      </c>
      <c r="N379" s="20">
        <f t="shared" si="271"/>
        <v>1</v>
      </c>
      <c r="O379" s="537">
        <v>9</v>
      </c>
      <c r="P379" s="528">
        <f t="shared" ref="P379:BM379" si="392">IFERROR(+IF(AND($M379="Flat",P$5&gt;=$J379,P$5&lt;=$K379),$I379/$L379,0)+IF(AND($M379="S-Curve",P$5&gt;=$J379,P$5&lt;=$K379),(_xlfn.NORM.DIST((YEAR(P$5)-YEAR($J379))*12+MONTH(P$5)-MONTH($J379)+1,$L379/2,$N379,TRUE)-_xlfn.NORM.DIST((YEAR(P$5)-YEAR($J379))*12+MONTH(P$5)-MONTH($J379),$L379/2,$N379,TRUE))/(1-2*_xlfn.NORM.DIST(0,$L379/2,$N379,TRUE))*$I379," "),"")</f>
        <v>2.2923296362815462E-4</v>
      </c>
      <c r="Q379" s="528">
        <f t="shared" si="392"/>
        <v>5.9770768630474517E-3</v>
      </c>
      <c r="R379" s="528">
        <f t="shared" si="392"/>
        <v>6.0597947727118739E-2</v>
      </c>
      <c r="S379" s="528">
        <f t="shared" si="392"/>
        <v>0.24173198010963323</v>
      </c>
      <c r="T379" s="528">
        <f t="shared" si="392"/>
        <v>0.38292752467314484</v>
      </c>
      <c r="U379" s="528">
        <f t="shared" si="392"/>
        <v>0.2417319801096332</v>
      </c>
      <c r="V379" s="528">
        <f t="shared" si="392"/>
        <v>6.0597947727118739E-2</v>
      </c>
      <c r="W379" s="528">
        <f t="shared" si="392"/>
        <v>5.9770768630474629E-3</v>
      </c>
      <c r="X379" s="528">
        <f t="shared" si="392"/>
        <v>2.2923296362816102E-4</v>
      </c>
      <c r="Y379" s="528" t="str">
        <f t="shared" si="392"/>
        <v/>
      </c>
      <c r="Z379" s="528" t="str">
        <f t="shared" si="392"/>
        <v/>
      </c>
      <c r="AA379" s="528" t="str">
        <f t="shared" si="392"/>
        <v/>
      </c>
      <c r="AB379" s="528" t="str">
        <f t="shared" si="392"/>
        <v/>
      </c>
      <c r="AC379" s="528" t="str">
        <f t="shared" si="392"/>
        <v/>
      </c>
      <c r="AD379" s="528" t="str">
        <f t="shared" si="392"/>
        <v/>
      </c>
      <c r="AE379" s="528" t="str">
        <f t="shared" si="392"/>
        <v/>
      </c>
      <c r="AF379" s="528" t="str">
        <f t="shared" si="392"/>
        <v/>
      </c>
      <c r="AG379" s="528" t="str">
        <f t="shared" si="392"/>
        <v/>
      </c>
      <c r="AH379" s="528" t="str">
        <f t="shared" si="392"/>
        <v/>
      </c>
      <c r="AI379" s="528" t="str">
        <f t="shared" si="392"/>
        <v/>
      </c>
      <c r="AJ379" s="528" t="str">
        <f t="shared" si="392"/>
        <v/>
      </c>
      <c r="AK379" s="528" t="str">
        <f t="shared" si="392"/>
        <v/>
      </c>
      <c r="AL379" s="528" t="str">
        <f t="shared" si="392"/>
        <v/>
      </c>
      <c r="AM379" s="528" t="str">
        <f t="shared" si="392"/>
        <v/>
      </c>
      <c r="AN379" s="528" t="str">
        <f t="shared" si="392"/>
        <v/>
      </c>
      <c r="AO379" s="528" t="str">
        <f t="shared" si="392"/>
        <v/>
      </c>
      <c r="AP379" s="528" t="str">
        <f t="shared" si="392"/>
        <v/>
      </c>
      <c r="AQ379" s="528" t="str">
        <f t="shared" si="392"/>
        <v/>
      </c>
      <c r="AR379" s="528" t="str">
        <f t="shared" si="392"/>
        <v/>
      </c>
      <c r="AS379" s="528" t="str">
        <f t="shared" si="392"/>
        <v/>
      </c>
      <c r="AT379" s="528" t="str">
        <f t="shared" si="392"/>
        <v/>
      </c>
      <c r="AU379" s="528" t="str">
        <f t="shared" si="392"/>
        <v/>
      </c>
      <c r="AV379" s="528" t="str">
        <f t="shared" si="392"/>
        <v/>
      </c>
      <c r="AW379" s="528" t="str">
        <f t="shared" si="392"/>
        <v/>
      </c>
      <c r="AX379" s="528" t="str">
        <f t="shared" si="392"/>
        <v/>
      </c>
      <c r="AY379" s="528" t="str">
        <f t="shared" si="392"/>
        <v/>
      </c>
      <c r="AZ379" s="528" t="str">
        <f t="shared" si="392"/>
        <v/>
      </c>
      <c r="BA379" s="528" t="str">
        <f t="shared" si="392"/>
        <v/>
      </c>
      <c r="BB379" s="528" t="str">
        <f t="shared" si="392"/>
        <v/>
      </c>
      <c r="BC379" s="528" t="str">
        <f t="shared" si="392"/>
        <v/>
      </c>
      <c r="BD379" s="528" t="str">
        <f t="shared" si="392"/>
        <v/>
      </c>
      <c r="BE379" s="528" t="str">
        <f t="shared" si="392"/>
        <v/>
      </c>
      <c r="BF379" s="528" t="str">
        <f t="shared" si="392"/>
        <v/>
      </c>
      <c r="BG379" s="528" t="str">
        <f t="shared" si="392"/>
        <v/>
      </c>
      <c r="BH379" s="528" t="str">
        <f t="shared" si="392"/>
        <v/>
      </c>
      <c r="BI379" s="528" t="str">
        <f t="shared" si="392"/>
        <v/>
      </c>
      <c r="BJ379" s="528" t="str">
        <f t="shared" si="392"/>
        <v/>
      </c>
      <c r="BK379" s="528" t="str">
        <f t="shared" si="392"/>
        <v/>
      </c>
      <c r="BL379" s="528" t="str">
        <f t="shared" si="392"/>
        <v/>
      </c>
      <c r="BM379" s="528" t="str">
        <f t="shared" si="392"/>
        <v/>
      </c>
    </row>
    <row r="380" spans="6:65" ht="15.75" customHeight="1" x14ac:dyDescent="0.25">
      <c r="F380" s="197"/>
      <c r="G380" s="197">
        <f t="shared" si="268"/>
        <v>0</v>
      </c>
      <c r="H380" s="197">
        <f t="shared" si="269"/>
        <v>109</v>
      </c>
      <c r="I380" s="523">
        <v>1</v>
      </c>
      <c r="J380" s="533">
        <f>'Monthly DCF'!$I$3</f>
        <v>46418</v>
      </c>
      <c r="K380" s="533">
        <f t="shared" si="270"/>
        <v>46691</v>
      </c>
      <c r="L380" s="536">
        <f t="shared" si="388"/>
        <v>10</v>
      </c>
      <c r="M380" s="20" t="s">
        <v>366</v>
      </c>
      <c r="N380" s="20">
        <f t="shared" si="271"/>
        <v>1.1111111111111112</v>
      </c>
      <c r="O380" s="537">
        <v>9</v>
      </c>
      <c r="P380" s="528">
        <f t="shared" ref="P380:BM380" si="393">IFERROR(+IF(AND($M380="Flat",P$5&gt;=$J380,P$5&lt;=$K380),$I380/$L380,0)+IF(AND($M380="S-Curve",P$5&gt;=$J380,P$5&lt;=$K380),(_xlfn.NORM.DIST((YEAR(P$5)-YEAR($J380))*12+MONTH(P$5)-MONTH($J380)+1,$L380/2,$N380,TRUE)-_xlfn.NORM.DIST((YEAR(P$5)-YEAR($J380))*12+MONTH(P$5)-MONTH($J380),$L380/2,$N380,TRUE))/(1-2*_xlfn.NORM.DIST(0,$L380/2,$N380,TRUE))*$I380," "),"")</f>
        <v>1.5571197514959023E-4</v>
      </c>
      <c r="Q380" s="528">
        <f t="shared" si="393"/>
        <v>3.3078876911253495E-3</v>
      </c>
      <c r="R380" s="528">
        <f t="shared" si="393"/>
        <v>3.2463565911056001E-2</v>
      </c>
      <c r="S380" s="528">
        <f t="shared" si="393"/>
        <v>0.14813081283399712</v>
      </c>
      <c r="T380" s="528">
        <f t="shared" si="393"/>
        <v>0.31594202158867191</v>
      </c>
      <c r="U380" s="528">
        <f t="shared" si="393"/>
        <v>0.31594202158867191</v>
      </c>
      <c r="V380" s="528">
        <f t="shared" si="393"/>
        <v>0.14813081283399718</v>
      </c>
      <c r="W380" s="528">
        <f t="shared" si="393"/>
        <v>3.2463565911056008E-2</v>
      </c>
      <c r="X380" s="528">
        <f t="shared" si="393"/>
        <v>3.3078876911252809E-3</v>
      </c>
      <c r="Y380" s="528">
        <f t="shared" si="393"/>
        <v>1.5571197514960047E-4</v>
      </c>
      <c r="Z380" s="528" t="str">
        <f t="shared" si="393"/>
        <v/>
      </c>
      <c r="AA380" s="528" t="str">
        <f t="shared" si="393"/>
        <v/>
      </c>
      <c r="AB380" s="528" t="str">
        <f t="shared" si="393"/>
        <v/>
      </c>
      <c r="AC380" s="528" t="str">
        <f t="shared" si="393"/>
        <v/>
      </c>
      <c r="AD380" s="528" t="str">
        <f t="shared" si="393"/>
        <v/>
      </c>
      <c r="AE380" s="528" t="str">
        <f t="shared" si="393"/>
        <v/>
      </c>
      <c r="AF380" s="528" t="str">
        <f t="shared" si="393"/>
        <v/>
      </c>
      <c r="AG380" s="528" t="str">
        <f t="shared" si="393"/>
        <v/>
      </c>
      <c r="AH380" s="528" t="str">
        <f t="shared" si="393"/>
        <v/>
      </c>
      <c r="AI380" s="528" t="str">
        <f t="shared" si="393"/>
        <v/>
      </c>
      <c r="AJ380" s="528" t="str">
        <f t="shared" si="393"/>
        <v/>
      </c>
      <c r="AK380" s="528" t="str">
        <f t="shared" si="393"/>
        <v/>
      </c>
      <c r="AL380" s="528" t="str">
        <f t="shared" si="393"/>
        <v/>
      </c>
      <c r="AM380" s="528" t="str">
        <f t="shared" si="393"/>
        <v/>
      </c>
      <c r="AN380" s="528" t="str">
        <f t="shared" si="393"/>
        <v/>
      </c>
      <c r="AO380" s="528" t="str">
        <f t="shared" si="393"/>
        <v/>
      </c>
      <c r="AP380" s="528" t="str">
        <f t="shared" si="393"/>
        <v/>
      </c>
      <c r="AQ380" s="528" t="str">
        <f t="shared" si="393"/>
        <v/>
      </c>
      <c r="AR380" s="528" t="str">
        <f t="shared" si="393"/>
        <v/>
      </c>
      <c r="AS380" s="528" t="str">
        <f t="shared" si="393"/>
        <v/>
      </c>
      <c r="AT380" s="528" t="str">
        <f t="shared" si="393"/>
        <v/>
      </c>
      <c r="AU380" s="528" t="str">
        <f t="shared" si="393"/>
        <v/>
      </c>
      <c r="AV380" s="528" t="str">
        <f t="shared" si="393"/>
        <v/>
      </c>
      <c r="AW380" s="528" t="str">
        <f t="shared" si="393"/>
        <v/>
      </c>
      <c r="AX380" s="528" t="str">
        <f t="shared" si="393"/>
        <v/>
      </c>
      <c r="AY380" s="528" t="str">
        <f t="shared" si="393"/>
        <v/>
      </c>
      <c r="AZ380" s="528" t="str">
        <f t="shared" si="393"/>
        <v/>
      </c>
      <c r="BA380" s="528" t="str">
        <f t="shared" si="393"/>
        <v/>
      </c>
      <c r="BB380" s="528" t="str">
        <f t="shared" si="393"/>
        <v/>
      </c>
      <c r="BC380" s="528" t="str">
        <f t="shared" si="393"/>
        <v/>
      </c>
      <c r="BD380" s="528" t="str">
        <f t="shared" si="393"/>
        <v/>
      </c>
      <c r="BE380" s="528" t="str">
        <f t="shared" si="393"/>
        <v/>
      </c>
      <c r="BF380" s="528" t="str">
        <f t="shared" si="393"/>
        <v/>
      </c>
      <c r="BG380" s="528" t="str">
        <f t="shared" si="393"/>
        <v/>
      </c>
      <c r="BH380" s="528" t="str">
        <f t="shared" si="393"/>
        <v/>
      </c>
      <c r="BI380" s="528" t="str">
        <f t="shared" si="393"/>
        <v/>
      </c>
      <c r="BJ380" s="528" t="str">
        <f t="shared" si="393"/>
        <v/>
      </c>
      <c r="BK380" s="528" t="str">
        <f t="shared" si="393"/>
        <v/>
      </c>
      <c r="BL380" s="528" t="str">
        <f t="shared" si="393"/>
        <v/>
      </c>
      <c r="BM380" s="528" t="str">
        <f t="shared" si="393"/>
        <v/>
      </c>
    </row>
    <row r="381" spans="6:65" ht="15.75" customHeight="1" x14ac:dyDescent="0.25">
      <c r="F381" s="197"/>
      <c r="G381" s="197">
        <f t="shared" si="268"/>
        <v>0</v>
      </c>
      <c r="H381" s="197">
        <f t="shared" si="269"/>
        <v>119</v>
      </c>
      <c r="I381" s="523">
        <v>1</v>
      </c>
      <c r="J381" s="533">
        <f>'Monthly DCF'!$I$3</f>
        <v>46418</v>
      </c>
      <c r="K381" s="533">
        <f t="shared" si="270"/>
        <v>46721</v>
      </c>
      <c r="L381" s="536">
        <f t="shared" si="388"/>
        <v>11</v>
      </c>
      <c r="M381" s="20" t="s">
        <v>366</v>
      </c>
      <c r="N381" s="20">
        <f t="shared" si="271"/>
        <v>1.2222222222222223</v>
      </c>
      <c r="O381" s="537">
        <v>9</v>
      </c>
      <c r="P381" s="528">
        <f t="shared" ref="P381:BM381" si="394">IFERROR(+IF(AND($M381="Flat",P$5&gt;=$J381,P$5&lt;=$K381),$I381/$L381,0)+IF(AND($M381="S-Curve",P$5&gt;=$J381,P$5&lt;=$K381),(_xlfn.NORM.DIST((YEAR(P$5)-YEAR($J381))*12+MONTH(P$5)-MONTH($J381)+1,$L381/2,$N381,TRUE)-_xlfn.NORM.DIST((YEAR(P$5)-YEAR($J381))*12+MONTH(P$5)-MONTH($J381),$L381/2,$N381,TRUE))/(1-2*_xlfn.NORM.DIST(0,$L381/2,$N381,TRUE))*$I381," "),"")</f>
        <v>1.1239136189443586E-4</v>
      </c>
      <c r="Q381" s="528">
        <f t="shared" si="394"/>
        <v>1.9782676785251793E-3</v>
      </c>
      <c r="R381" s="528">
        <f t="shared" si="394"/>
        <v>1.8311114981880396E-2</v>
      </c>
      <c r="S381" s="528">
        <f t="shared" si="394"/>
        <v>8.9455626108768213E-2</v>
      </c>
      <c r="T381" s="528">
        <f t="shared" si="394"/>
        <v>0.23137799475820869</v>
      </c>
      <c r="U381" s="528">
        <f t="shared" si="394"/>
        <v>0.31752921022144609</v>
      </c>
      <c r="V381" s="528">
        <f t="shared" si="394"/>
        <v>0.23137799475820875</v>
      </c>
      <c r="W381" s="528">
        <f t="shared" si="394"/>
        <v>8.9455626108768269E-2</v>
      </c>
      <c r="X381" s="528">
        <f t="shared" si="394"/>
        <v>1.8311114981880379E-2</v>
      </c>
      <c r="Y381" s="528">
        <f t="shared" si="394"/>
        <v>1.9782676785251949E-3</v>
      </c>
      <c r="Z381" s="528">
        <f t="shared" si="394"/>
        <v>1.12391361894373E-4</v>
      </c>
      <c r="AA381" s="528" t="str">
        <f t="shared" si="394"/>
        <v/>
      </c>
      <c r="AB381" s="528" t="str">
        <f t="shared" si="394"/>
        <v/>
      </c>
      <c r="AC381" s="528" t="str">
        <f t="shared" si="394"/>
        <v/>
      </c>
      <c r="AD381" s="528" t="str">
        <f t="shared" si="394"/>
        <v/>
      </c>
      <c r="AE381" s="528" t="str">
        <f t="shared" si="394"/>
        <v/>
      </c>
      <c r="AF381" s="528" t="str">
        <f t="shared" si="394"/>
        <v/>
      </c>
      <c r="AG381" s="528" t="str">
        <f t="shared" si="394"/>
        <v/>
      </c>
      <c r="AH381" s="528" t="str">
        <f t="shared" si="394"/>
        <v/>
      </c>
      <c r="AI381" s="528" t="str">
        <f t="shared" si="394"/>
        <v/>
      </c>
      <c r="AJ381" s="528" t="str">
        <f t="shared" si="394"/>
        <v/>
      </c>
      <c r="AK381" s="528" t="str">
        <f t="shared" si="394"/>
        <v/>
      </c>
      <c r="AL381" s="528" t="str">
        <f t="shared" si="394"/>
        <v/>
      </c>
      <c r="AM381" s="528" t="str">
        <f t="shared" si="394"/>
        <v/>
      </c>
      <c r="AN381" s="528" t="str">
        <f t="shared" si="394"/>
        <v/>
      </c>
      <c r="AO381" s="528" t="str">
        <f t="shared" si="394"/>
        <v/>
      </c>
      <c r="AP381" s="528" t="str">
        <f t="shared" si="394"/>
        <v/>
      </c>
      <c r="AQ381" s="528" t="str">
        <f t="shared" si="394"/>
        <v/>
      </c>
      <c r="AR381" s="528" t="str">
        <f t="shared" si="394"/>
        <v/>
      </c>
      <c r="AS381" s="528" t="str">
        <f t="shared" si="394"/>
        <v/>
      </c>
      <c r="AT381" s="528" t="str">
        <f t="shared" si="394"/>
        <v/>
      </c>
      <c r="AU381" s="528" t="str">
        <f t="shared" si="394"/>
        <v/>
      </c>
      <c r="AV381" s="528" t="str">
        <f t="shared" si="394"/>
        <v/>
      </c>
      <c r="AW381" s="528" t="str">
        <f t="shared" si="394"/>
        <v/>
      </c>
      <c r="AX381" s="528" t="str">
        <f t="shared" si="394"/>
        <v/>
      </c>
      <c r="AY381" s="528" t="str">
        <f t="shared" si="394"/>
        <v/>
      </c>
      <c r="AZ381" s="528" t="str">
        <f t="shared" si="394"/>
        <v/>
      </c>
      <c r="BA381" s="528" t="str">
        <f t="shared" si="394"/>
        <v/>
      </c>
      <c r="BB381" s="528" t="str">
        <f t="shared" si="394"/>
        <v/>
      </c>
      <c r="BC381" s="528" t="str">
        <f t="shared" si="394"/>
        <v/>
      </c>
      <c r="BD381" s="528" t="str">
        <f t="shared" si="394"/>
        <v/>
      </c>
      <c r="BE381" s="528" t="str">
        <f t="shared" si="394"/>
        <v/>
      </c>
      <c r="BF381" s="528" t="str">
        <f t="shared" si="394"/>
        <v/>
      </c>
      <c r="BG381" s="528" t="str">
        <f t="shared" si="394"/>
        <v/>
      </c>
      <c r="BH381" s="528" t="str">
        <f t="shared" si="394"/>
        <v/>
      </c>
      <c r="BI381" s="528" t="str">
        <f t="shared" si="394"/>
        <v/>
      </c>
      <c r="BJ381" s="528" t="str">
        <f t="shared" si="394"/>
        <v/>
      </c>
      <c r="BK381" s="528" t="str">
        <f t="shared" si="394"/>
        <v/>
      </c>
      <c r="BL381" s="528" t="str">
        <f t="shared" si="394"/>
        <v/>
      </c>
      <c r="BM381" s="528" t="str">
        <f t="shared" si="394"/>
        <v/>
      </c>
    </row>
    <row r="382" spans="6:65" ht="15.75" customHeight="1" x14ac:dyDescent="0.25">
      <c r="F382" s="197"/>
      <c r="G382" s="197">
        <f t="shared" si="268"/>
        <v>0</v>
      </c>
      <c r="H382" s="197">
        <f t="shared" si="269"/>
        <v>129</v>
      </c>
      <c r="I382" s="523">
        <v>1</v>
      </c>
      <c r="J382" s="533">
        <f>'Monthly DCF'!$I$3</f>
        <v>46418</v>
      </c>
      <c r="K382" s="533">
        <f t="shared" si="270"/>
        <v>46752</v>
      </c>
      <c r="L382" s="536">
        <f t="shared" si="388"/>
        <v>12</v>
      </c>
      <c r="M382" s="20" t="s">
        <v>366</v>
      </c>
      <c r="N382" s="20">
        <f t="shared" si="271"/>
        <v>1.3333333333333333</v>
      </c>
      <c r="O382" s="537">
        <v>9</v>
      </c>
      <c r="P382" s="528">
        <f t="shared" ref="P382:BM382" si="395">IFERROR(+IF(AND($M382="Flat",P$5&gt;=$J382,P$5&lt;=$K382),$I382/$L382,0)+IF(AND($M382="S-Curve",P$5&gt;=$J382,P$5&lt;=$K382),(_xlfn.NORM.DIST((YEAR(P$5)-YEAR($J382))*12+MONTH(P$5)-MONTH($J382)+1,$L382/2,$N382,TRUE)-_xlfn.NORM.DIST((YEAR(P$5)-YEAR($J382))*12+MONTH(P$5)-MONTH($J382),$L382/2,$N382,TRUE))/(1-2*_xlfn.NORM.DIST(0,$L382/2,$N382,TRUE))*$I382," "),"")</f>
        <v>8.5020189817701714E-5</v>
      </c>
      <c r="Q382" s="528">
        <f t="shared" si="395"/>
        <v>1.2614893186860001E-3</v>
      </c>
      <c r="R382" s="528">
        <f t="shared" si="395"/>
        <v>1.0874648520416641E-2</v>
      </c>
      <c r="S382" s="528">
        <f t="shared" si="395"/>
        <v>5.4583099524874001E-2</v>
      </c>
      <c r="T382" s="528">
        <f t="shared" si="395"/>
        <v>0.15982123714865459</v>
      </c>
      <c r="U382" s="528">
        <f t="shared" si="395"/>
        <v>0.27337450529755108</v>
      </c>
      <c r="V382" s="528">
        <f t="shared" si="395"/>
        <v>0.27337450529755103</v>
      </c>
      <c r="W382" s="528">
        <f t="shared" si="395"/>
        <v>0.15982123714865462</v>
      </c>
      <c r="X382" s="528">
        <f t="shared" si="395"/>
        <v>5.4583099524874057E-2</v>
      </c>
      <c r="Y382" s="528">
        <f t="shared" si="395"/>
        <v>1.0874648520416606E-2</v>
      </c>
      <c r="Z382" s="528">
        <f t="shared" si="395"/>
        <v>1.2614893186859992E-3</v>
      </c>
      <c r="AA382" s="528">
        <f t="shared" si="395"/>
        <v>8.5020189817704004E-5</v>
      </c>
      <c r="AB382" s="528" t="str">
        <f t="shared" si="395"/>
        <v/>
      </c>
      <c r="AC382" s="528" t="str">
        <f t="shared" si="395"/>
        <v/>
      </c>
      <c r="AD382" s="528" t="str">
        <f t="shared" si="395"/>
        <v/>
      </c>
      <c r="AE382" s="528" t="str">
        <f t="shared" si="395"/>
        <v/>
      </c>
      <c r="AF382" s="528" t="str">
        <f t="shared" si="395"/>
        <v/>
      </c>
      <c r="AG382" s="528" t="str">
        <f t="shared" si="395"/>
        <v/>
      </c>
      <c r="AH382" s="528" t="str">
        <f t="shared" si="395"/>
        <v/>
      </c>
      <c r="AI382" s="528" t="str">
        <f t="shared" si="395"/>
        <v/>
      </c>
      <c r="AJ382" s="528" t="str">
        <f t="shared" si="395"/>
        <v/>
      </c>
      <c r="AK382" s="528" t="str">
        <f t="shared" si="395"/>
        <v/>
      </c>
      <c r="AL382" s="528" t="str">
        <f t="shared" si="395"/>
        <v/>
      </c>
      <c r="AM382" s="528" t="str">
        <f t="shared" si="395"/>
        <v/>
      </c>
      <c r="AN382" s="528" t="str">
        <f t="shared" si="395"/>
        <v/>
      </c>
      <c r="AO382" s="528" t="str">
        <f t="shared" si="395"/>
        <v/>
      </c>
      <c r="AP382" s="528" t="str">
        <f t="shared" si="395"/>
        <v/>
      </c>
      <c r="AQ382" s="528" t="str">
        <f t="shared" si="395"/>
        <v/>
      </c>
      <c r="AR382" s="528" t="str">
        <f t="shared" si="395"/>
        <v/>
      </c>
      <c r="AS382" s="528" t="str">
        <f t="shared" si="395"/>
        <v/>
      </c>
      <c r="AT382" s="528" t="str">
        <f t="shared" si="395"/>
        <v/>
      </c>
      <c r="AU382" s="528" t="str">
        <f t="shared" si="395"/>
        <v/>
      </c>
      <c r="AV382" s="528" t="str">
        <f t="shared" si="395"/>
        <v/>
      </c>
      <c r="AW382" s="528" t="str">
        <f t="shared" si="395"/>
        <v/>
      </c>
      <c r="AX382" s="528" t="str">
        <f t="shared" si="395"/>
        <v/>
      </c>
      <c r="AY382" s="528" t="str">
        <f t="shared" si="395"/>
        <v/>
      </c>
      <c r="AZ382" s="528" t="str">
        <f t="shared" si="395"/>
        <v/>
      </c>
      <c r="BA382" s="528" t="str">
        <f t="shared" si="395"/>
        <v/>
      </c>
      <c r="BB382" s="528" t="str">
        <f t="shared" si="395"/>
        <v/>
      </c>
      <c r="BC382" s="528" t="str">
        <f t="shared" si="395"/>
        <v/>
      </c>
      <c r="BD382" s="528" t="str">
        <f t="shared" si="395"/>
        <v/>
      </c>
      <c r="BE382" s="528" t="str">
        <f t="shared" si="395"/>
        <v/>
      </c>
      <c r="BF382" s="528" t="str">
        <f t="shared" si="395"/>
        <v/>
      </c>
      <c r="BG382" s="528" t="str">
        <f t="shared" si="395"/>
        <v/>
      </c>
      <c r="BH382" s="528" t="str">
        <f t="shared" si="395"/>
        <v/>
      </c>
      <c r="BI382" s="528" t="str">
        <f t="shared" si="395"/>
        <v/>
      </c>
      <c r="BJ382" s="528" t="str">
        <f t="shared" si="395"/>
        <v/>
      </c>
      <c r="BK382" s="528" t="str">
        <f t="shared" si="395"/>
        <v/>
      </c>
      <c r="BL382" s="528" t="str">
        <f t="shared" si="395"/>
        <v/>
      </c>
      <c r="BM382" s="528" t="str">
        <f t="shared" si="395"/>
        <v/>
      </c>
    </row>
    <row r="383" spans="6:65" ht="15.75" customHeight="1" x14ac:dyDescent="0.25">
      <c r="F383" s="197"/>
      <c r="G383" s="197">
        <f t="shared" si="268"/>
        <v>0</v>
      </c>
      <c r="H383" s="197">
        <f t="shared" si="269"/>
        <v>139</v>
      </c>
      <c r="I383" s="523">
        <v>1</v>
      </c>
      <c r="J383" s="533">
        <f>'Monthly DCF'!$I$3</f>
        <v>46418</v>
      </c>
      <c r="K383" s="533">
        <f t="shared" si="270"/>
        <v>46783</v>
      </c>
      <c r="L383" s="536">
        <f t="shared" si="388"/>
        <v>13</v>
      </c>
      <c r="M383" s="20" t="s">
        <v>366</v>
      </c>
      <c r="N383" s="20">
        <f t="shared" si="271"/>
        <v>1.4444444444444444</v>
      </c>
      <c r="O383" s="537">
        <v>9</v>
      </c>
      <c r="P383" s="528">
        <f t="shared" ref="P383:BM383" si="396">IFERROR(+IF(AND($M383="Flat",P$5&gt;=$J383,P$5&lt;=$K383),$I383/$L383,0)+IF(AND($M383="S-Curve",P$5&gt;=$J383,P$5&lt;=$K383),(_xlfn.NORM.DIST((YEAR(P$5)-YEAR($J383))*12+MONTH(P$5)-MONTH($J383)+1,$L383/2,$N383,TRUE)-_xlfn.NORM.DIST((YEAR(P$5)-YEAR($J383))*12+MONTH(P$5)-MONTH($J383),$L383/2,$N383,TRUE))/(1-2*_xlfn.NORM.DIST(0,$L383/2,$N383,TRUE))*$I383," "),"")</f>
        <v>6.6737605340370517E-5</v>
      </c>
      <c r="Q383" s="528">
        <f t="shared" si="396"/>
        <v>8.4839696193145394E-4</v>
      </c>
      <c r="R383" s="528">
        <f t="shared" si="396"/>
        <v>6.7763538068506797E-3</v>
      </c>
      <c r="S383" s="528">
        <f t="shared" si="396"/>
        <v>3.4051863534191637E-2</v>
      </c>
      <c r="T383" s="528">
        <f t="shared" si="396"/>
        <v>0.107781882747984</v>
      </c>
      <c r="U383" s="528">
        <f t="shared" si="396"/>
        <v>0.21508739454795367</v>
      </c>
      <c r="V383" s="528">
        <f t="shared" si="396"/>
        <v>0.27077474159149634</v>
      </c>
      <c r="W383" s="528">
        <f t="shared" si="396"/>
        <v>0.2150873945479537</v>
      </c>
      <c r="X383" s="528">
        <f t="shared" si="396"/>
        <v>0.10778188274798405</v>
      </c>
      <c r="Y383" s="528">
        <f t="shared" si="396"/>
        <v>3.4051863534191672E-2</v>
      </c>
      <c r="Z383" s="528">
        <f t="shared" si="396"/>
        <v>6.7763538068506823E-3</v>
      </c>
      <c r="AA383" s="528">
        <f t="shared" si="396"/>
        <v>8.4839696193137598E-4</v>
      </c>
      <c r="AB383" s="528">
        <f t="shared" si="396"/>
        <v>6.6737605340386129E-5</v>
      </c>
      <c r="AC383" s="528" t="str">
        <f t="shared" si="396"/>
        <v/>
      </c>
      <c r="AD383" s="528" t="str">
        <f t="shared" si="396"/>
        <v/>
      </c>
      <c r="AE383" s="528" t="str">
        <f t="shared" si="396"/>
        <v/>
      </c>
      <c r="AF383" s="528" t="str">
        <f t="shared" si="396"/>
        <v/>
      </c>
      <c r="AG383" s="528" t="str">
        <f t="shared" si="396"/>
        <v/>
      </c>
      <c r="AH383" s="528" t="str">
        <f t="shared" si="396"/>
        <v/>
      </c>
      <c r="AI383" s="528" t="str">
        <f t="shared" si="396"/>
        <v/>
      </c>
      <c r="AJ383" s="528" t="str">
        <f t="shared" si="396"/>
        <v/>
      </c>
      <c r="AK383" s="528" t="str">
        <f t="shared" si="396"/>
        <v/>
      </c>
      <c r="AL383" s="528" t="str">
        <f t="shared" si="396"/>
        <v/>
      </c>
      <c r="AM383" s="528" t="str">
        <f t="shared" si="396"/>
        <v/>
      </c>
      <c r="AN383" s="528" t="str">
        <f t="shared" si="396"/>
        <v/>
      </c>
      <c r="AO383" s="528" t="str">
        <f t="shared" si="396"/>
        <v/>
      </c>
      <c r="AP383" s="528" t="str">
        <f t="shared" si="396"/>
        <v/>
      </c>
      <c r="AQ383" s="528" t="str">
        <f t="shared" si="396"/>
        <v/>
      </c>
      <c r="AR383" s="528" t="str">
        <f t="shared" si="396"/>
        <v/>
      </c>
      <c r="AS383" s="528" t="str">
        <f t="shared" si="396"/>
        <v/>
      </c>
      <c r="AT383" s="528" t="str">
        <f t="shared" si="396"/>
        <v/>
      </c>
      <c r="AU383" s="528" t="str">
        <f t="shared" si="396"/>
        <v/>
      </c>
      <c r="AV383" s="528" t="str">
        <f t="shared" si="396"/>
        <v/>
      </c>
      <c r="AW383" s="528" t="str">
        <f t="shared" si="396"/>
        <v/>
      </c>
      <c r="AX383" s="528" t="str">
        <f t="shared" si="396"/>
        <v/>
      </c>
      <c r="AY383" s="528" t="str">
        <f t="shared" si="396"/>
        <v/>
      </c>
      <c r="AZ383" s="528" t="str">
        <f t="shared" si="396"/>
        <v/>
      </c>
      <c r="BA383" s="528" t="str">
        <f t="shared" si="396"/>
        <v/>
      </c>
      <c r="BB383" s="528" t="str">
        <f t="shared" si="396"/>
        <v/>
      </c>
      <c r="BC383" s="528" t="str">
        <f t="shared" si="396"/>
        <v/>
      </c>
      <c r="BD383" s="528" t="str">
        <f t="shared" si="396"/>
        <v/>
      </c>
      <c r="BE383" s="528" t="str">
        <f t="shared" si="396"/>
        <v/>
      </c>
      <c r="BF383" s="528" t="str">
        <f t="shared" si="396"/>
        <v/>
      </c>
      <c r="BG383" s="528" t="str">
        <f t="shared" si="396"/>
        <v/>
      </c>
      <c r="BH383" s="528" t="str">
        <f t="shared" si="396"/>
        <v/>
      </c>
      <c r="BI383" s="528" t="str">
        <f t="shared" si="396"/>
        <v/>
      </c>
      <c r="BJ383" s="528" t="str">
        <f t="shared" si="396"/>
        <v/>
      </c>
      <c r="BK383" s="528" t="str">
        <f t="shared" si="396"/>
        <v/>
      </c>
      <c r="BL383" s="528" t="str">
        <f t="shared" si="396"/>
        <v/>
      </c>
      <c r="BM383" s="528" t="str">
        <f t="shared" si="396"/>
        <v/>
      </c>
    </row>
    <row r="384" spans="6:65" ht="15.75" customHeight="1" x14ac:dyDescent="0.25">
      <c r="F384" s="197"/>
      <c r="G384" s="197">
        <f t="shared" si="268"/>
        <v>0</v>
      </c>
      <c r="H384" s="197">
        <f t="shared" si="269"/>
        <v>149</v>
      </c>
      <c r="I384" s="523">
        <v>1</v>
      </c>
      <c r="J384" s="533">
        <f>'Monthly DCF'!$I$3</f>
        <v>46418</v>
      </c>
      <c r="K384" s="533">
        <f t="shared" si="270"/>
        <v>46812</v>
      </c>
      <c r="L384" s="536">
        <f t="shared" si="388"/>
        <v>14</v>
      </c>
      <c r="M384" s="20" t="s">
        <v>366</v>
      </c>
      <c r="N384" s="20">
        <f t="shared" si="271"/>
        <v>1.5555555555555556</v>
      </c>
      <c r="O384" s="537">
        <v>9</v>
      </c>
      <c r="P384" s="528">
        <f t="shared" ref="P384:BM384" si="397">IFERROR(+IF(AND($M384="Flat",P$5&gt;=$J384,P$5&lt;=$K384),$I384/$L384,0)+IF(AND($M384="S-Curve",P$5&gt;=$J384,P$5&lt;=$K384),(_xlfn.NORM.DIST((YEAR(P$5)-YEAR($J384))*12+MONTH(P$5)-MONTH($J384)+1,$L384/2,$N384,TRUE)-_xlfn.NORM.DIST((YEAR(P$5)-YEAR($J384))*12+MONTH(P$5)-MONTH($J384),$L384/2,$N384,TRUE))/(1-2*_xlfn.NORM.DIST(0,$L384/2,$N384,TRUE))*$I384," "),"")</f>
        <v>5.3962754094148768E-5</v>
      </c>
      <c r="Q384" s="528">
        <f t="shared" si="397"/>
        <v>5.9649139689693263E-4</v>
      </c>
      <c r="R384" s="528">
        <f t="shared" si="397"/>
        <v>4.4101778393261385E-3</v>
      </c>
      <c r="S384" s="528">
        <f t="shared" si="397"/>
        <v>2.1828197486663731E-2</v>
      </c>
      <c r="T384" s="528">
        <f t="shared" si="397"/>
        <v>7.2379844258235085E-2</v>
      </c>
      <c r="U384" s="528">
        <f t="shared" si="397"/>
        <v>0.16088809670067686</v>
      </c>
      <c r="V384" s="528">
        <f t="shared" si="397"/>
        <v>0.23984322956410711</v>
      </c>
      <c r="W384" s="528">
        <f t="shared" si="397"/>
        <v>0.23984322956410706</v>
      </c>
      <c r="X384" s="528">
        <f t="shared" si="397"/>
        <v>0.16088809670067694</v>
      </c>
      <c r="Y384" s="528">
        <f t="shared" si="397"/>
        <v>7.2379844258235002E-2</v>
      </c>
      <c r="Z384" s="528">
        <f t="shared" si="397"/>
        <v>2.1828197486663748E-2</v>
      </c>
      <c r="AA384" s="528">
        <f t="shared" si="397"/>
        <v>4.4101778393261975E-3</v>
      </c>
      <c r="AB384" s="528">
        <f t="shared" si="397"/>
        <v>5.9649139689692569E-4</v>
      </c>
      <c r="AC384" s="528">
        <f t="shared" si="397"/>
        <v>5.3962754094119305E-5</v>
      </c>
      <c r="AD384" s="528" t="str">
        <f t="shared" si="397"/>
        <v/>
      </c>
      <c r="AE384" s="528" t="str">
        <f t="shared" si="397"/>
        <v/>
      </c>
      <c r="AF384" s="528" t="str">
        <f t="shared" si="397"/>
        <v/>
      </c>
      <c r="AG384" s="528" t="str">
        <f t="shared" si="397"/>
        <v/>
      </c>
      <c r="AH384" s="528" t="str">
        <f t="shared" si="397"/>
        <v/>
      </c>
      <c r="AI384" s="528" t="str">
        <f t="shared" si="397"/>
        <v/>
      </c>
      <c r="AJ384" s="528" t="str">
        <f t="shared" si="397"/>
        <v/>
      </c>
      <c r="AK384" s="528" t="str">
        <f t="shared" si="397"/>
        <v/>
      </c>
      <c r="AL384" s="528" t="str">
        <f t="shared" si="397"/>
        <v/>
      </c>
      <c r="AM384" s="528" t="str">
        <f t="shared" si="397"/>
        <v/>
      </c>
      <c r="AN384" s="528" t="str">
        <f t="shared" si="397"/>
        <v/>
      </c>
      <c r="AO384" s="528" t="str">
        <f t="shared" si="397"/>
        <v/>
      </c>
      <c r="AP384" s="528" t="str">
        <f t="shared" si="397"/>
        <v/>
      </c>
      <c r="AQ384" s="528" t="str">
        <f t="shared" si="397"/>
        <v/>
      </c>
      <c r="AR384" s="528" t="str">
        <f t="shared" si="397"/>
        <v/>
      </c>
      <c r="AS384" s="528" t="str">
        <f t="shared" si="397"/>
        <v/>
      </c>
      <c r="AT384" s="528" t="str">
        <f t="shared" si="397"/>
        <v/>
      </c>
      <c r="AU384" s="528" t="str">
        <f t="shared" si="397"/>
        <v/>
      </c>
      <c r="AV384" s="528" t="str">
        <f t="shared" si="397"/>
        <v/>
      </c>
      <c r="AW384" s="528" t="str">
        <f t="shared" si="397"/>
        <v/>
      </c>
      <c r="AX384" s="528" t="str">
        <f t="shared" si="397"/>
        <v/>
      </c>
      <c r="AY384" s="528" t="str">
        <f t="shared" si="397"/>
        <v/>
      </c>
      <c r="AZ384" s="528" t="str">
        <f t="shared" si="397"/>
        <v/>
      </c>
      <c r="BA384" s="528" t="str">
        <f t="shared" si="397"/>
        <v/>
      </c>
      <c r="BB384" s="528" t="str">
        <f t="shared" si="397"/>
        <v/>
      </c>
      <c r="BC384" s="528" t="str">
        <f t="shared" si="397"/>
        <v/>
      </c>
      <c r="BD384" s="528" t="str">
        <f t="shared" si="397"/>
        <v/>
      </c>
      <c r="BE384" s="528" t="str">
        <f t="shared" si="397"/>
        <v/>
      </c>
      <c r="BF384" s="528" t="str">
        <f t="shared" si="397"/>
        <v/>
      </c>
      <c r="BG384" s="528" t="str">
        <f t="shared" si="397"/>
        <v/>
      </c>
      <c r="BH384" s="528" t="str">
        <f t="shared" si="397"/>
        <v/>
      </c>
      <c r="BI384" s="528" t="str">
        <f t="shared" si="397"/>
        <v/>
      </c>
      <c r="BJ384" s="528" t="str">
        <f t="shared" si="397"/>
        <v/>
      </c>
      <c r="BK384" s="528" t="str">
        <f t="shared" si="397"/>
        <v/>
      </c>
      <c r="BL384" s="528" t="str">
        <f t="shared" si="397"/>
        <v/>
      </c>
      <c r="BM384" s="528" t="str">
        <f t="shared" si="397"/>
        <v/>
      </c>
    </row>
    <row r="385" spans="6:65" ht="15.75" customHeight="1" x14ac:dyDescent="0.25">
      <c r="F385" s="197"/>
      <c r="G385" s="197">
        <f t="shared" si="268"/>
        <v>0</v>
      </c>
      <c r="H385" s="197">
        <f t="shared" si="269"/>
        <v>159</v>
      </c>
      <c r="I385" s="523">
        <v>1</v>
      </c>
      <c r="J385" s="533">
        <f>'Monthly DCF'!$I$3</f>
        <v>46418</v>
      </c>
      <c r="K385" s="533">
        <f t="shared" si="270"/>
        <v>46843</v>
      </c>
      <c r="L385" s="536">
        <f t="shared" si="388"/>
        <v>15</v>
      </c>
      <c r="M385" s="20" t="s">
        <v>366</v>
      </c>
      <c r="N385" s="20">
        <f t="shared" si="271"/>
        <v>1.6666666666666667</v>
      </c>
      <c r="O385" s="537">
        <v>9</v>
      </c>
      <c r="P385" s="528">
        <f t="shared" ref="P385:BM385" si="398">IFERROR(+IF(AND($M385="Flat",P$5&gt;=$J385,P$5&lt;=$K385),$I385/$L385,0)+IF(AND($M385="S-Curve",P$5&gt;=$J385,P$5&lt;=$K385),(_xlfn.NORM.DIST((YEAR(P$5)-YEAR($J385))*12+MONTH(P$5)-MONTH($J385)+1,$L385/2,$N385,TRUE)-_xlfn.NORM.DIST((YEAR(P$5)-YEAR($J385))*12+MONTH(P$5)-MONTH($J385),$L385/2,$N385,TRUE))/(1-2*_xlfn.NORM.DIST(0,$L385/2,$N385,TRUE))*$I385," "),"")</f>
        <v>4.4698974637882219E-5</v>
      </c>
      <c r="Q385" s="528">
        <f t="shared" si="398"/>
        <v>4.3533075658939887E-4</v>
      </c>
      <c r="R385" s="528">
        <f t="shared" si="398"/>
        <v>2.9835699350476584E-3</v>
      </c>
      <c r="S385" s="528">
        <f t="shared" si="398"/>
        <v>1.4397544596076551E-2</v>
      </c>
      <c r="T385" s="528">
        <f t="shared" si="398"/>
        <v>4.8943113291442852E-2</v>
      </c>
      <c r="U385" s="528">
        <f t="shared" si="398"/>
        <v>0.11725372085753372</v>
      </c>
      <c r="V385" s="528">
        <f t="shared" si="398"/>
        <v>0.19802979814533395</v>
      </c>
      <c r="W385" s="528">
        <f t="shared" si="398"/>
        <v>0.23582444688667603</v>
      </c>
      <c r="X385" s="528">
        <f t="shared" si="398"/>
        <v>0.19802979814533392</v>
      </c>
      <c r="Y385" s="528">
        <f t="shared" si="398"/>
        <v>0.11725372085753372</v>
      </c>
      <c r="Z385" s="528">
        <f t="shared" si="398"/>
        <v>4.8943113291442866E-2</v>
      </c>
      <c r="AA385" s="528">
        <f t="shared" si="398"/>
        <v>1.4397544596076617E-2</v>
      </c>
      <c r="AB385" s="528">
        <f t="shared" si="398"/>
        <v>2.983569935047605E-3</v>
      </c>
      <c r="AC385" s="528">
        <f t="shared" si="398"/>
        <v>4.353307565894159E-4</v>
      </c>
      <c r="AD385" s="528">
        <f t="shared" si="398"/>
        <v>4.4698974637860616E-5</v>
      </c>
      <c r="AE385" s="528" t="str">
        <f t="shared" si="398"/>
        <v/>
      </c>
      <c r="AF385" s="528" t="str">
        <f t="shared" si="398"/>
        <v/>
      </c>
      <c r="AG385" s="528" t="str">
        <f t="shared" si="398"/>
        <v/>
      </c>
      <c r="AH385" s="528" t="str">
        <f t="shared" si="398"/>
        <v/>
      </c>
      <c r="AI385" s="528" t="str">
        <f t="shared" si="398"/>
        <v/>
      </c>
      <c r="AJ385" s="528" t="str">
        <f t="shared" si="398"/>
        <v/>
      </c>
      <c r="AK385" s="528" t="str">
        <f t="shared" si="398"/>
        <v/>
      </c>
      <c r="AL385" s="528" t="str">
        <f t="shared" si="398"/>
        <v/>
      </c>
      <c r="AM385" s="528" t="str">
        <f t="shared" si="398"/>
        <v/>
      </c>
      <c r="AN385" s="528" t="str">
        <f t="shared" si="398"/>
        <v/>
      </c>
      <c r="AO385" s="528" t="str">
        <f t="shared" si="398"/>
        <v/>
      </c>
      <c r="AP385" s="528" t="str">
        <f t="shared" si="398"/>
        <v/>
      </c>
      <c r="AQ385" s="528" t="str">
        <f t="shared" si="398"/>
        <v/>
      </c>
      <c r="AR385" s="528" t="str">
        <f t="shared" si="398"/>
        <v/>
      </c>
      <c r="AS385" s="528" t="str">
        <f t="shared" si="398"/>
        <v/>
      </c>
      <c r="AT385" s="528" t="str">
        <f t="shared" si="398"/>
        <v/>
      </c>
      <c r="AU385" s="528" t="str">
        <f t="shared" si="398"/>
        <v/>
      </c>
      <c r="AV385" s="528" t="str">
        <f t="shared" si="398"/>
        <v/>
      </c>
      <c r="AW385" s="528" t="str">
        <f t="shared" si="398"/>
        <v/>
      </c>
      <c r="AX385" s="528" t="str">
        <f t="shared" si="398"/>
        <v/>
      </c>
      <c r="AY385" s="528" t="str">
        <f t="shared" si="398"/>
        <v/>
      </c>
      <c r="AZ385" s="528" t="str">
        <f t="shared" si="398"/>
        <v/>
      </c>
      <c r="BA385" s="528" t="str">
        <f t="shared" si="398"/>
        <v/>
      </c>
      <c r="BB385" s="528" t="str">
        <f t="shared" si="398"/>
        <v/>
      </c>
      <c r="BC385" s="528" t="str">
        <f t="shared" si="398"/>
        <v/>
      </c>
      <c r="BD385" s="528" t="str">
        <f t="shared" si="398"/>
        <v/>
      </c>
      <c r="BE385" s="528" t="str">
        <f t="shared" si="398"/>
        <v/>
      </c>
      <c r="BF385" s="528" t="str">
        <f t="shared" si="398"/>
        <v/>
      </c>
      <c r="BG385" s="528" t="str">
        <f t="shared" si="398"/>
        <v/>
      </c>
      <c r="BH385" s="528" t="str">
        <f t="shared" si="398"/>
        <v/>
      </c>
      <c r="BI385" s="528" t="str">
        <f t="shared" si="398"/>
        <v/>
      </c>
      <c r="BJ385" s="528" t="str">
        <f t="shared" si="398"/>
        <v/>
      </c>
      <c r="BK385" s="528" t="str">
        <f t="shared" si="398"/>
        <v/>
      </c>
      <c r="BL385" s="528" t="str">
        <f t="shared" si="398"/>
        <v/>
      </c>
      <c r="BM385" s="528" t="str">
        <f t="shared" si="398"/>
        <v/>
      </c>
    </row>
    <row r="386" spans="6:65" ht="15.75" customHeight="1" x14ac:dyDescent="0.25">
      <c r="F386" s="197"/>
      <c r="G386" s="197">
        <f t="shared" si="268"/>
        <v>0</v>
      </c>
      <c r="H386" s="197">
        <f t="shared" si="269"/>
        <v>169</v>
      </c>
      <c r="I386" s="523">
        <v>1</v>
      </c>
      <c r="J386" s="533">
        <f>'Monthly DCF'!$I$3</f>
        <v>46418</v>
      </c>
      <c r="K386" s="533">
        <f t="shared" si="270"/>
        <v>46873</v>
      </c>
      <c r="L386" s="536">
        <f t="shared" si="388"/>
        <v>16</v>
      </c>
      <c r="M386" s="20" t="s">
        <v>366</v>
      </c>
      <c r="N386" s="20">
        <f t="shared" si="271"/>
        <v>1.7777777777777777</v>
      </c>
      <c r="O386" s="537">
        <v>9</v>
      </c>
      <c r="P386" s="528">
        <f t="shared" ref="P386:BM386" si="399">IFERROR(+IF(AND($M386="Flat",P$5&gt;=$J386,P$5&lt;=$K386),$I386/$L386,0)+IF(AND($M386="S-Curve",P$5&gt;=$J386,P$5&lt;=$K386),(_xlfn.NORM.DIST((YEAR(P$5)-YEAR($J386))*12+MONTH(P$5)-MONTH($J386)+1,$L386/2,$N386,TRUE)-_xlfn.NORM.DIST((YEAR(P$5)-YEAR($J386))*12+MONTH(P$5)-MONTH($J386),$L386/2,$N386,TRUE))/(1-2*_xlfn.NORM.DIST(0,$L386/2,$N386,TRUE))*$I386," "),"")</f>
        <v>3.7770049507433471E-5</v>
      </c>
      <c r="Q386" s="528">
        <f t="shared" si="399"/>
        <v>3.279132165873141E-4</v>
      </c>
      <c r="R386" s="528">
        <f t="shared" si="399"/>
        <v>2.088836915291718E-3</v>
      </c>
      <c r="S386" s="528">
        <f t="shared" si="399"/>
        <v>9.7666378475338763E-3</v>
      </c>
      <c r="T386" s="528">
        <f t="shared" si="399"/>
        <v>3.3529380150444051E-2</v>
      </c>
      <c r="U386" s="528">
        <f t="shared" si="399"/>
        <v>8.4541466663606138E-2</v>
      </c>
      <c r="V386" s="528">
        <f t="shared" si="399"/>
        <v>0.15659424879169753</v>
      </c>
      <c r="W386" s="528">
        <f t="shared" si="399"/>
        <v>0.21311374636533195</v>
      </c>
      <c r="X386" s="528">
        <f t="shared" si="399"/>
        <v>0.21311374636533195</v>
      </c>
      <c r="Y386" s="528">
        <f t="shared" si="399"/>
        <v>0.1565942487916975</v>
      </c>
      <c r="Z386" s="528">
        <f t="shared" si="399"/>
        <v>8.4541466663606193E-2</v>
      </c>
      <c r="AA386" s="528">
        <f t="shared" si="399"/>
        <v>3.3529380150444051E-2</v>
      </c>
      <c r="AB386" s="528">
        <f t="shared" si="399"/>
        <v>9.7666378475338086E-3</v>
      </c>
      <c r="AC386" s="528">
        <f t="shared" si="399"/>
        <v>2.0888369152917995E-3</v>
      </c>
      <c r="AD386" s="528">
        <f t="shared" si="399"/>
        <v>3.2791321658727241E-4</v>
      </c>
      <c r="AE386" s="528">
        <f t="shared" si="399"/>
        <v>3.7770049507428809E-5</v>
      </c>
      <c r="AF386" s="528" t="str">
        <f t="shared" si="399"/>
        <v/>
      </c>
      <c r="AG386" s="528" t="str">
        <f t="shared" si="399"/>
        <v/>
      </c>
      <c r="AH386" s="528" t="str">
        <f t="shared" si="399"/>
        <v/>
      </c>
      <c r="AI386" s="528" t="str">
        <f t="shared" si="399"/>
        <v/>
      </c>
      <c r="AJ386" s="528" t="str">
        <f t="shared" si="399"/>
        <v/>
      </c>
      <c r="AK386" s="528" t="str">
        <f t="shared" si="399"/>
        <v/>
      </c>
      <c r="AL386" s="528" t="str">
        <f t="shared" si="399"/>
        <v/>
      </c>
      <c r="AM386" s="528" t="str">
        <f t="shared" si="399"/>
        <v/>
      </c>
      <c r="AN386" s="528" t="str">
        <f t="shared" si="399"/>
        <v/>
      </c>
      <c r="AO386" s="528" t="str">
        <f t="shared" si="399"/>
        <v/>
      </c>
      <c r="AP386" s="528" t="str">
        <f t="shared" si="399"/>
        <v/>
      </c>
      <c r="AQ386" s="528" t="str">
        <f t="shared" si="399"/>
        <v/>
      </c>
      <c r="AR386" s="528" t="str">
        <f t="shared" si="399"/>
        <v/>
      </c>
      <c r="AS386" s="528" t="str">
        <f t="shared" si="399"/>
        <v/>
      </c>
      <c r="AT386" s="528" t="str">
        <f t="shared" si="399"/>
        <v/>
      </c>
      <c r="AU386" s="528" t="str">
        <f t="shared" si="399"/>
        <v/>
      </c>
      <c r="AV386" s="528" t="str">
        <f t="shared" si="399"/>
        <v/>
      </c>
      <c r="AW386" s="528" t="str">
        <f t="shared" si="399"/>
        <v/>
      </c>
      <c r="AX386" s="528" t="str">
        <f t="shared" si="399"/>
        <v/>
      </c>
      <c r="AY386" s="528" t="str">
        <f t="shared" si="399"/>
        <v/>
      </c>
      <c r="AZ386" s="528" t="str">
        <f t="shared" si="399"/>
        <v/>
      </c>
      <c r="BA386" s="528" t="str">
        <f t="shared" si="399"/>
        <v/>
      </c>
      <c r="BB386" s="528" t="str">
        <f t="shared" si="399"/>
        <v/>
      </c>
      <c r="BC386" s="528" t="str">
        <f t="shared" si="399"/>
        <v/>
      </c>
      <c r="BD386" s="528" t="str">
        <f t="shared" si="399"/>
        <v/>
      </c>
      <c r="BE386" s="528" t="str">
        <f t="shared" si="399"/>
        <v/>
      </c>
      <c r="BF386" s="528" t="str">
        <f t="shared" si="399"/>
        <v/>
      </c>
      <c r="BG386" s="528" t="str">
        <f t="shared" si="399"/>
        <v/>
      </c>
      <c r="BH386" s="528" t="str">
        <f t="shared" si="399"/>
        <v/>
      </c>
      <c r="BI386" s="528" t="str">
        <f t="shared" si="399"/>
        <v/>
      </c>
      <c r="BJ386" s="528" t="str">
        <f t="shared" si="399"/>
        <v/>
      </c>
      <c r="BK386" s="528" t="str">
        <f t="shared" si="399"/>
        <v/>
      </c>
      <c r="BL386" s="528" t="str">
        <f t="shared" si="399"/>
        <v/>
      </c>
      <c r="BM386" s="528" t="str">
        <f t="shared" si="399"/>
        <v/>
      </c>
    </row>
    <row r="387" spans="6:65" ht="15.75" customHeight="1" x14ac:dyDescent="0.25">
      <c r="F387" s="197"/>
      <c r="G387" s="197">
        <f t="shared" si="268"/>
        <v>0</v>
      </c>
      <c r="H387" s="197">
        <f t="shared" si="269"/>
        <v>179</v>
      </c>
      <c r="I387" s="523">
        <v>1</v>
      </c>
      <c r="J387" s="533">
        <f>'Monthly DCF'!$I$3</f>
        <v>46418</v>
      </c>
      <c r="K387" s="533">
        <f t="shared" si="270"/>
        <v>46904</v>
      </c>
      <c r="L387" s="536">
        <f t="shared" si="388"/>
        <v>17</v>
      </c>
      <c r="M387" s="20" t="s">
        <v>366</v>
      </c>
      <c r="N387" s="20">
        <f t="shared" si="271"/>
        <v>1.8888888888888888</v>
      </c>
      <c r="O387" s="537">
        <v>9</v>
      </c>
      <c r="P387" s="528">
        <f t="shared" ref="P387:BM387" si="400">IFERROR(+IF(AND($M387="Flat",P$5&gt;=$J387,P$5&lt;=$K387),$I387/$L387,0)+IF(AND($M387="S-Curve",P$5&gt;=$J387,P$5&lt;=$K387),(_xlfn.NORM.DIST((YEAR(P$5)-YEAR($J387))*12+MONTH(P$5)-MONTH($J387)+1,$L387/2,$N387,TRUE)-_xlfn.NORM.DIST((YEAR(P$5)-YEAR($J387))*12+MONTH(P$5)-MONTH($J387),$L387/2,$N387,TRUE))/(1-2*_xlfn.NORM.DIST(0,$L387/2,$N387,TRUE))*$I387," "),"")</f>
        <v>3.2450246059844445E-5</v>
      </c>
      <c r="Q387" s="528">
        <f t="shared" si="400"/>
        <v>2.5374935258972147E-4</v>
      </c>
      <c r="R387" s="528">
        <f t="shared" si="400"/>
        <v>1.5073811531146294E-3</v>
      </c>
      <c r="S387" s="528">
        <f t="shared" si="400"/>
        <v>6.8042806457851704E-3</v>
      </c>
      <c r="T387" s="528">
        <f t="shared" si="400"/>
        <v>2.3344353174159001E-2</v>
      </c>
      <c r="U387" s="528">
        <f t="shared" si="400"/>
        <v>6.0884709535816497E-2</v>
      </c>
      <c r="V387" s="528">
        <f t="shared" si="400"/>
        <v>0.12073460199119752</v>
      </c>
      <c r="W387" s="528">
        <f t="shared" si="400"/>
        <v>0.18205578740318348</v>
      </c>
      <c r="X387" s="528">
        <f t="shared" si="400"/>
        <v>0.20876537299618825</v>
      </c>
      <c r="Y387" s="528">
        <f t="shared" si="400"/>
        <v>0.18205578740318354</v>
      </c>
      <c r="Z387" s="528">
        <f t="shared" si="400"/>
        <v>0.12073460199119752</v>
      </c>
      <c r="AA387" s="528">
        <f t="shared" si="400"/>
        <v>6.0884709535816407E-2</v>
      </c>
      <c r="AB387" s="528">
        <f t="shared" si="400"/>
        <v>2.3344353174159085E-2</v>
      </c>
      <c r="AC387" s="528">
        <f t="shared" si="400"/>
        <v>6.8042806457850689E-3</v>
      </c>
      <c r="AD387" s="528">
        <f t="shared" si="400"/>
        <v>1.507381153114665E-3</v>
      </c>
      <c r="AE387" s="528">
        <f t="shared" si="400"/>
        <v>2.5374935258972537E-4</v>
      </c>
      <c r="AF387" s="528">
        <f t="shared" si="400"/>
        <v>3.2450246059848931E-5</v>
      </c>
      <c r="AG387" s="528" t="str">
        <f t="shared" si="400"/>
        <v/>
      </c>
      <c r="AH387" s="528" t="str">
        <f t="shared" si="400"/>
        <v/>
      </c>
      <c r="AI387" s="528" t="str">
        <f t="shared" si="400"/>
        <v/>
      </c>
      <c r="AJ387" s="528" t="str">
        <f t="shared" si="400"/>
        <v/>
      </c>
      <c r="AK387" s="528" t="str">
        <f t="shared" si="400"/>
        <v/>
      </c>
      <c r="AL387" s="528" t="str">
        <f t="shared" si="400"/>
        <v/>
      </c>
      <c r="AM387" s="528" t="str">
        <f t="shared" si="400"/>
        <v/>
      </c>
      <c r="AN387" s="528" t="str">
        <f t="shared" si="400"/>
        <v/>
      </c>
      <c r="AO387" s="528" t="str">
        <f t="shared" si="400"/>
        <v/>
      </c>
      <c r="AP387" s="528" t="str">
        <f t="shared" si="400"/>
        <v/>
      </c>
      <c r="AQ387" s="528" t="str">
        <f t="shared" si="400"/>
        <v/>
      </c>
      <c r="AR387" s="528" t="str">
        <f t="shared" si="400"/>
        <v/>
      </c>
      <c r="AS387" s="528" t="str">
        <f t="shared" si="400"/>
        <v/>
      </c>
      <c r="AT387" s="528" t="str">
        <f t="shared" si="400"/>
        <v/>
      </c>
      <c r="AU387" s="528" t="str">
        <f t="shared" si="400"/>
        <v/>
      </c>
      <c r="AV387" s="528" t="str">
        <f t="shared" si="400"/>
        <v/>
      </c>
      <c r="AW387" s="528" t="str">
        <f t="shared" si="400"/>
        <v/>
      </c>
      <c r="AX387" s="528" t="str">
        <f t="shared" si="400"/>
        <v/>
      </c>
      <c r="AY387" s="528" t="str">
        <f t="shared" si="400"/>
        <v/>
      </c>
      <c r="AZ387" s="528" t="str">
        <f t="shared" si="400"/>
        <v/>
      </c>
      <c r="BA387" s="528" t="str">
        <f t="shared" si="400"/>
        <v/>
      </c>
      <c r="BB387" s="528" t="str">
        <f t="shared" si="400"/>
        <v/>
      </c>
      <c r="BC387" s="528" t="str">
        <f t="shared" si="400"/>
        <v/>
      </c>
      <c r="BD387" s="528" t="str">
        <f t="shared" si="400"/>
        <v/>
      </c>
      <c r="BE387" s="528" t="str">
        <f t="shared" si="400"/>
        <v/>
      </c>
      <c r="BF387" s="528" t="str">
        <f t="shared" si="400"/>
        <v/>
      </c>
      <c r="BG387" s="528" t="str">
        <f t="shared" si="400"/>
        <v/>
      </c>
      <c r="BH387" s="528" t="str">
        <f t="shared" si="400"/>
        <v/>
      </c>
      <c r="BI387" s="528" t="str">
        <f t="shared" si="400"/>
        <v/>
      </c>
      <c r="BJ387" s="528" t="str">
        <f t="shared" si="400"/>
        <v/>
      </c>
      <c r="BK387" s="528" t="str">
        <f t="shared" si="400"/>
        <v/>
      </c>
      <c r="BL387" s="528" t="str">
        <f t="shared" si="400"/>
        <v/>
      </c>
      <c r="BM387" s="528" t="str">
        <f t="shared" si="400"/>
        <v/>
      </c>
    </row>
    <row r="388" spans="6:65" ht="15.75" customHeight="1" x14ac:dyDescent="0.25">
      <c r="F388" s="197"/>
      <c r="G388" s="197">
        <f t="shared" si="268"/>
        <v>0</v>
      </c>
      <c r="H388" s="197">
        <f t="shared" si="269"/>
        <v>189</v>
      </c>
      <c r="I388" s="523">
        <v>1</v>
      </c>
      <c r="J388" s="533">
        <f>'Monthly DCF'!$I$3</f>
        <v>46418</v>
      </c>
      <c r="K388" s="533">
        <f t="shared" si="270"/>
        <v>46934</v>
      </c>
      <c r="L388" s="536">
        <f t="shared" si="388"/>
        <v>18</v>
      </c>
      <c r="M388" s="20" t="s">
        <v>366</v>
      </c>
      <c r="N388" s="20">
        <f t="shared" si="271"/>
        <v>2</v>
      </c>
      <c r="O388" s="537">
        <v>9</v>
      </c>
      <c r="P388" s="528">
        <f t="shared" ref="P388:BM388" si="401">IFERROR(+IF(AND($M388="Flat",P$5&gt;=$J388,P$5&lt;=$K388),$I388/$L388,0)+IF(AND($M388="S-Curve",P$5&gt;=$J388,P$5&lt;=$K388),(_xlfn.NORM.DIST((YEAR(P$5)-YEAR($J388))*12+MONTH(P$5)-MONTH($J388)+1,$L388/2,$N388,TRUE)-_xlfn.NORM.DIST((YEAR(P$5)-YEAR($J388))*12+MONTH(P$5)-MONTH($J388),$L388/2,$N388,TRUE))/(1-2*_xlfn.NORM.DIST(0,$L388/2,$N388,TRUE))*$I388," "),"")</f>
        <v>2.8273760838384474E-5</v>
      </c>
      <c r="Q388" s="528">
        <f t="shared" si="401"/>
        <v>2.0095920278977018E-4</v>
      </c>
      <c r="R388" s="528">
        <f t="shared" si="401"/>
        <v>1.117276544875547E-3</v>
      </c>
      <c r="S388" s="528">
        <f t="shared" si="401"/>
        <v>4.8598003181719055E-3</v>
      </c>
      <c r="T388" s="528">
        <f t="shared" si="401"/>
        <v>1.6540579021364674E-2</v>
      </c>
      <c r="U388" s="528">
        <f t="shared" si="401"/>
        <v>4.4057368705754059E-2</v>
      </c>
      <c r="V388" s="528">
        <f t="shared" si="401"/>
        <v>9.1848676806160393E-2</v>
      </c>
      <c r="W388" s="528">
        <f t="shared" si="401"/>
        <v>0.14988330330347285</v>
      </c>
      <c r="X388" s="528">
        <f t="shared" si="401"/>
        <v>0.19146376233657242</v>
      </c>
      <c r="Y388" s="528">
        <f t="shared" si="401"/>
        <v>0.19146376233657242</v>
      </c>
      <c r="Z388" s="528">
        <f t="shared" si="401"/>
        <v>0.14988330330347288</v>
      </c>
      <c r="AA388" s="528">
        <f t="shared" si="401"/>
        <v>9.1848676806160337E-2</v>
      </c>
      <c r="AB388" s="528">
        <f t="shared" si="401"/>
        <v>4.4057368705754073E-2</v>
      </c>
      <c r="AC388" s="528">
        <f t="shared" si="401"/>
        <v>1.6540579021364667E-2</v>
      </c>
      <c r="AD388" s="528">
        <f t="shared" si="401"/>
        <v>4.8598003181719212E-3</v>
      </c>
      <c r="AE388" s="528">
        <f t="shared" si="401"/>
        <v>1.1172765448755422E-3</v>
      </c>
      <c r="AF388" s="528">
        <f t="shared" si="401"/>
        <v>2.0095920278978508E-4</v>
      </c>
      <c r="AG388" s="528">
        <f t="shared" si="401"/>
        <v>2.8273760838375939E-5</v>
      </c>
      <c r="AH388" s="528" t="str">
        <f t="shared" si="401"/>
        <v/>
      </c>
      <c r="AI388" s="528" t="str">
        <f t="shared" si="401"/>
        <v/>
      </c>
      <c r="AJ388" s="528" t="str">
        <f t="shared" si="401"/>
        <v/>
      </c>
      <c r="AK388" s="528" t="str">
        <f t="shared" si="401"/>
        <v/>
      </c>
      <c r="AL388" s="528" t="str">
        <f t="shared" si="401"/>
        <v/>
      </c>
      <c r="AM388" s="528" t="str">
        <f t="shared" si="401"/>
        <v/>
      </c>
      <c r="AN388" s="528" t="str">
        <f t="shared" si="401"/>
        <v/>
      </c>
      <c r="AO388" s="528" t="str">
        <f t="shared" si="401"/>
        <v/>
      </c>
      <c r="AP388" s="528" t="str">
        <f t="shared" si="401"/>
        <v/>
      </c>
      <c r="AQ388" s="528" t="str">
        <f t="shared" si="401"/>
        <v/>
      </c>
      <c r="AR388" s="528" t="str">
        <f t="shared" si="401"/>
        <v/>
      </c>
      <c r="AS388" s="528" t="str">
        <f t="shared" si="401"/>
        <v/>
      </c>
      <c r="AT388" s="528" t="str">
        <f t="shared" si="401"/>
        <v/>
      </c>
      <c r="AU388" s="528" t="str">
        <f t="shared" si="401"/>
        <v/>
      </c>
      <c r="AV388" s="528" t="str">
        <f t="shared" si="401"/>
        <v/>
      </c>
      <c r="AW388" s="528" t="str">
        <f t="shared" si="401"/>
        <v/>
      </c>
      <c r="AX388" s="528" t="str">
        <f t="shared" si="401"/>
        <v/>
      </c>
      <c r="AY388" s="528" t="str">
        <f t="shared" si="401"/>
        <v/>
      </c>
      <c r="AZ388" s="528" t="str">
        <f t="shared" si="401"/>
        <v/>
      </c>
      <c r="BA388" s="528" t="str">
        <f t="shared" si="401"/>
        <v/>
      </c>
      <c r="BB388" s="528" t="str">
        <f t="shared" si="401"/>
        <v/>
      </c>
      <c r="BC388" s="528" t="str">
        <f t="shared" si="401"/>
        <v/>
      </c>
      <c r="BD388" s="528" t="str">
        <f t="shared" si="401"/>
        <v/>
      </c>
      <c r="BE388" s="528" t="str">
        <f t="shared" si="401"/>
        <v/>
      </c>
      <c r="BF388" s="528" t="str">
        <f t="shared" si="401"/>
        <v/>
      </c>
      <c r="BG388" s="528" t="str">
        <f t="shared" si="401"/>
        <v/>
      </c>
      <c r="BH388" s="528" t="str">
        <f t="shared" si="401"/>
        <v/>
      </c>
      <c r="BI388" s="528" t="str">
        <f t="shared" si="401"/>
        <v/>
      </c>
      <c r="BJ388" s="528" t="str">
        <f t="shared" si="401"/>
        <v/>
      </c>
      <c r="BK388" s="528" t="str">
        <f t="shared" si="401"/>
        <v/>
      </c>
      <c r="BL388" s="528" t="str">
        <f t="shared" si="401"/>
        <v/>
      </c>
      <c r="BM388" s="528" t="str">
        <f t="shared" si="401"/>
        <v/>
      </c>
    </row>
    <row r="389" spans="6:65" ht="15.75" customHeight="1" x14ac:dyDescent="0.25">
      <c r="F389" s="197"/>
      <c r="G389" s="197">
        <f t="shared" si="268"/>
        <v>0</v>
      </c>
      <c r="H389" s="197">
        <f t="shared" si="269"/>
        <v>199</v>
      </c>
      <c r="I389" s="523">
        <v>1</v>
      </c>
      <c r="J389" s="533">
        <f>'Monthly DCF'!$I$3</f>
        <v>46418</v>
      </c>
      <c r="K389" s="533">
        <f t="shared" si="270"/>
        <v>46965</v>
      </c>
      <c r="L389" s="536">
        <f t="shared" si="388"/>
        <v>19</v>
      </c>
      <c r="M389" s="20" t="s">
        <v>366</v>
      </c>
      <c r="N389" s="20">
        <f t="shared" si="271"/>
        <v>2.1111111111111112</v>
      </c>
      <c r="O389" s="537">
        <v>9</v>
      </c>
      <c r="P389" s="528">
        <f t="shared" ref="P389:BM389" si="402">IFERROR(+IF(AND($M389="Flat",P$5&gt;=$J389,P$5&lt;=$K389),$I389/$L389,0)+IF(AND($M389="S-Curve",P$5&gt;=$J389,P$5&lt;=$K389),(_xlfn.NORM.DIST((YEAR(P$5)-YEAR($J389))*12+MONTH(P$5)-MONTH($J389)+1,$L389/2,$N389,TRUE)-_xlfn.NORM.DIST((YEAR(P$5)-YEAR($J389))*12+MONTH(P$5)-MONTH($J389),$L389/2,$N389,TRUE))/(1-2*_xlfn.NORM.DIST(0,$L389/2,$N389,TRUE))*$I389," "),"")</f>
        <v>2.4931289915872138E-5</v>
      </c>
      <c r="Q389" s="528">
        <f t="shared" si="402"/>
        <v>1.6237142064792258E-4</v>
      </c>
      <c r="R389" s="528">
        <f t="shared" si="402"/>
        <v>8.4797353787037012E-4</v>
      </c>
      <c r="S389" s="528">
        <f t="shared" si="402"/>
        <v>3.5515431999671521E-3</v>
      </c>
      <c r="T389" s="528">
        <f t="shared" si="402"/>
        <v>1.1930633104498257E-2</v>
      </c>
      <c r="U389" s="528">
        <f t="shared" si="402"/>
        <v>3.2148837819308336E-2</v>
      </c>
      <c r="V389" s="528">
        <f t="shared" si="402"/>
        <v>6.9495983065428132E-2</v>
      </c>
      <c r="W389" s="528">
        <f t="shared" si="402"/>
        <v>0.12052485981177236</v>
      </c>
      <c r="X389" s="528">
        <f t="shared" si="402"/>
        <v>0.16770187333557621</v>
      </c>
      <c r="Y389" s="528">
        <f t="shared" si="402"/>
        <v>0.1872219868300308</v>
      </c>
      <c r="Z389" s="528">
        <f t="shared" si="402"/>
        <v>0.16770187333557621</v>
      </c>
      <c r="AA389" s="528">
        <f t="shared" si="402"/>
        <v>0.12052485981177231</v>
      </c>
      <c r="AB389" s="528">
        <f t="shared" si="402"/>
        <v>6.9495983065428216E-2</v>
      </c>
      <c r="AC389" s="528">
        <f t="shared" si="402"/>
        <v>3.214883781930828E-2</v>
      </c>
      <c r="AD389" s="528">
        <f t="shared" si="402"/>
        <v>1.1930633104498257E-2</v>
      </c>
      <c r="AE389" s="528">
        <f t="shared" si="402"/>
        <v>3.5515431999671378E-3</v>
      </c>
      <c r="AF389" s="528">
        <f t="shared" si="402"/>
        <v>8.4797353787039224E-4</v>
      </c>
      <c r="AG389" s="528">
        <f t="shared" si="402"/>
        <v>1.6237142064797326E-4</v>
      </c>
      <c r="AH389" s="528">
        <f t="shared" si="402"/>
        <v>2.493128991580841E-5</v>
      </c>
      <c r="AI389" s="528" t="str">
        <f t="shared" si="402"/>
        <v/>
      </c>
      <c r="AJ389" s="528" t="str">
        <f t="shared" si="402"/>
        <v/>
      </c>
      <c r="AK389" s="528" t="str">
        <f t="shared" si="402"/>
        <v/>
      </c>
      <c r="AL389" s="528" t="str">
        <f t="shared" si="402"/>
        <v/>
      </c>
      <c r="AM389" s="528" t="str">
        <f t="shared" si="402"/>
        <v/>
      </c>
      <c r="AN389" s="528" t="str">
        <f t="shared" si="402"/>
        <v/>
      </c>
      <c r="AO389" s="528" t="str">
        <f t="shared" si="402"/>
        <v/>
      </c>
      <c r="AP389" s="528" t="str">
        <f t="shared" si="402"/>
        <v/>
      </c>
      <c r="AQ389" s="528" t="str">
        <f t="shared" si="402"/>
        <v/>
      </c>
      <c r="AR389" s="528" t="str">
        <f t="shared" si="402"/>
        <v/>
      </c>
      <c r="AS389" s="528" t="str">
        <f t="shared" si="402"/>
        <v/>
      </c>
      <c r="AT389" s="528" t="str">
        <f t="shared" si="402"/>
        <v/>
      </c>
      <c r="AU389" s="528" t="str">
        <f t="shared" si="402"/>
        <v/>
      </c>
      <c r="AV389" s="528" t="str">
        <f t="shared" si="402"/>
        <v/>
      </c>
      <c r="AW389" s="528" t="str">
        <f t="shared" si="402"/>
        <v/>
      </c>
      <c r="AX389" s="528" t="str">
        <f t="shared" si="402"/>
        <v/>
      </c>
      <c r="AY389" s="528" t="str">
        <f t="shared" si="402"/>
        <v/>
      </c>
      <c r="AZ389" s="528" t="str">
        <f t="shared" si="402"/>
        <v/>
      </c>
      <c r="BA389" s="528" t="str">
        <f t="shared" si="402"/>
        <v/>
      </c>
      <c r="BB389" s="528" t="str">
        <f t="shared" si="402"/>
        <v/>
      </c>
      <c r="BC389" s="528" t="str">
        <f t="shared" si="402"/>
        <v/>
      </c>
      <c r="BD389" s="528" t="str">
        <f t="shared" si="402"/>
        <v/>
      </c>
      <c r="BE389" s="528" t="str">
        <f t="shared" si="402"/>
        <v/>
      </c>
      <c r="BF389" s="528" t="str">
        <f t="shared" si="402"/>
        <v/>
      </c>
      <c r="BG389" s="528" t="str">
        <f t="shared" si="402"/>
        <v/>
      </c>
      <c r="BH389" s="528" t="str">
        <f t="shared" si="402"/>
        <v/>
      </c>
      <c r="BI389" s="528" t="str">
        <f t="shared" si="402"/>
        <v/>
      </c>
      <c r="BJ389" s="528" t="str">
        <f t="shared" si="402"/>
        <v/>
      </c>
      <c r="BK389" s="528" t="str">
        <f t="shared" si="402"/>
        <v/>
      </c>
      <c r="BL389" s="528" t="str">
        <f t="shared" si="402"/>
        <v/>
      </c>
      <c r="BM389" s="528" t="str">
        <f t="shared" si="402"/>
        <v/>
      </c>
    </row>
    <row r="390" spans="6:65" ht="15.75" customHeight="1" x14ac:dyDescent="0.25">
      <c r="F390" s="197"/>
      <c r="G390" s="197">
        <f t="shared" si="268"/>
        <v>0</v>
      </c>
      <c r="H390" s="197">
        <f t="shared" si="269"/>
        <v>209</v>
      </c>
      <c r="I390" s="523">
        <v>1</v>
      </c>
      <c r="J390" s="533">
        <f>'Monthly DCF'!$I$3</f>
        <v>46418</v>
      </c>
      <c r="K390" s="533">
        <f t="shared" si="270"/>
        <v>46996</v>
      </c>
      <c r="L390" s="536">
        <f t="shared" si="388"/>
        <v>20</v>
      </c>
      <c r="M390" s="20" t="s">
        <v>366</v>
      </c>
      <c r="N390" s="20">
        <f t="shared" si="271"/>
        <v>2.2222222222222223</v>
      </c>
      <c r="O390" s="537">
        <v>9</v>
      </c>
      <c r="P390" s="528">
        <f t="shared" ref="P390:BM390" si="403">IFERROR(+IF(AND($M390="Flat",P$5&gt;=$J390,P$5&lt;=$K390),$I390/$L390,0)+IF(AND($M390="S-Curve",P$5&gt;=$J390,P$5&lt;=$K390),(_xlfn.NORM.DIST((YEAR(P$5)-YEAR($J390))*12+MONTH(P$5)-MONTH($J390)+1,$L390/2,$N390,TRUE)-_xlfn.NORM.DIST((YEAR(P$5)-YEAR($J390))*12+MONTH(P$5)-MONTH($J390),$L390/2,$N390,TRUE))/(1-2*_xlfn.NORM.DIST(0,$L390/2,$N390,TRUE))*$I390," "),"")</f>
        <v>2.2211294282746732E-5</v>
      </c>
      <c r="Q390" s="528">
        <f t="shared" si="403"/>
        <v>1.335006808668435E-4</v>
      </c>
      <c r="R390" s="528">
        <f t="shared" si="403"/>
        <v>6.572481889000431E-4</v>
      </c>
      <c r="S390" s="528">
        <f t="shared" si="403"/>
        <v>2.6506395022253058E-3</v>
      </c>
      <c r="T390" s="528">
        <f t="shared" si="403"/>
        <v>8.7575583626454036E-3</v>
      </c>
      <c r="U390" s="528">
        <f t="shared" si="403"/>
        <v>2.3706007548410599E-2</v>
      </c>
      <c r="V390" s="528">
        <f t="shared" si="403"/>
        <v>5.2578029610392533E-2</v>
      </c>
      <c r="W390" s="528">
        <f t="shared" si="403"/>
        <v>9.5552783223604582E-2</v>
      </c>
      <c r="X390" s="528">
        <f t="shared" si="403"/>
        <v>0.14229606189217101</v>
      </c>
      <c r="Y390" s="528">
        <f t="shared" si="403"/>
        <v>0.17364595969650093</v>
      </c>
      <c r="Z390" s="528">
        <f t="shared" si="403"/>
        <v>0.17364595969650087</v>
      </c>
      <c r="AA390" s="528">
        <f t="shared" si="403"/>
        <v>0.14229606189217103</v>
      </c>
      <c r="AB390" s="528">
        <f t="shared" si="403"/>
        <v>9.5552783223604568E-2</v>
      </c>
      <c r="AC390" s="528">
        <f t="shared" si="403"/>
        <v>5.2578029610392617E-2</v>
      </c>
      <c r="AD390" s="528">
        <f t="shared" si="403"/>
        <v>2.3706007548410582E-2</v>
      </c>
      <c r="AE390" s="528">
        <f t="shared" si="403"/>
        <v>8.7575583626454279E-3</v>
      </c>
      <c r="AF390" s="528">
        <f t="shared" si="403"/>
        <v>2.6506395022252017E-3</v>
      </c>
      <c r="AG390" s="528">
        <f t="shared" si="403"/>
        <v>6.572481889000791E-4</v>
      </c>
      <c r="AH390" s="528">
        <f t="shared" si="403"/>
        <v>1.3350068086683857E-4</v>
      </c>
      <c r="AI390" s="528">
        <f t="shared" si="403"/>
        <v>2.2211294282761911E-5</v>
      </c>
      <c r="AJ390" s="528" t="str">
        <f t="shared" si="403"/>
        <v/>
      </c>
      <c r="AK390" s="528" t="str">
        <f t="shared" si="403"/>
        <v/>
      </c>
      <c r="AL390" s="528" t="str">
        <f t="shared" si="403"/>
        <v/>
      </c>
      <c r="AM390" s="528" t="str">
        <f t="shared" si="403"/>
        <v/>
      </c>
      <c r="AN390" s="528" t="str">
        <f t="shared" si="403"/>
        <v/>
      </c>
      <c r="AO390" s="528" t="str">
        <f t="shared" si="403"/>
        <v/>
      </c>
      <c r="AP390" s="528" t="str">
        <f t="shared" si="403"/>
        <v/>
      </c>
      <c r="AQ390" s="528" t="str">
        <f t="shared" si="403"/>
        <v/>
      </c>
      <c r="AR390" s="528" t="str">
        <f t="shared" si="403"/>
        <v/>
      </c>
      <c r="AS390" s="528" t="str">
        <f t="shared" si="403"/>
        <v/>
      </c>
      <c r="AT390" s="528" t="str">
        <f t="shared" si="403"/>
        <v/>
      </c>
      <c r="AU390" s="528" t="str">
        <f t="shared" si="403"/>
        <v/>
      </c>
      <c r="AV390" s="528" t="str">
        <f t="shared" si="403"/>
        <v/>
      </c>
      <c r="AW390" s="528" t="str">
        <f t="shared" si="403"/>
        <v/>
      </c>
      <c r="AX390" s="528" t="str">
        <f t="shared" si="403"/>
        <v/>
      </c>
      <c r="AY390" s="528" t="str">
        <f t="shared" si="403"/>
        <v/>
      </c>
      <c r="AZ390" s="528" t="str">
        <f t="shared" si="403"/>
        <v/>
      </c>
      <c r="BA390" s="528" t="str">
        <f t="shared" si="403"/>
        <v/>
      </c>
      <c r="BB390" s="528" t="str">
        <f t="shared" si="403"/>
        <v/>
      </c>
      <c r="BC390" s="528" t="str">
        <f t="shared" si="403"/>
        <v/>
      </c>
      <c r="BD390" s="528" t="str">
        <f t="shared" si="403"/>
        <v/>
      </c>
      <c r="BE390" s="528" t="str">
        <f t="shared" si="403"/>
        <v/>
      </c>
      <c r="BF390" s="528" t="str">
        <f t="shared" si="403"/>
        <v/>
      </c>
      <c r="BG390" s="528" t="str">
        <f t="shared" si="403"/>
        <v/>
      </c>
      <c r="BH390" s="528" t="str">
        <f t="shared" si="403"/>
        <v/>
      </c>
      <c r="BI390" s="528" t="str">
        <f t="shared" si="403"/>
        <v/>
      </c>
      <c r="BJ390" s="528" t="str">
        <f t="shared" si="403"/>
        <v/>
      </c>
      <c r="BK390" s="528" t="str">
        <f t="shared" si="403"/>
        <v/>
      </c>
      <c r="BL390" s="528" t="str">
        <f t="shared" si="403"/>
        <v/>
      </c>
      <c r="BM390" s="528" t="str">
        <f t="shared" si="403"/>
        <v/>
      </c>
    </row>
    <row r="391" spans="6:65" ht="15.75" customHeight="1" x14ac:dyDescent="0.25">
      <c r="F391" s="197"/>
      <c r="G391" s="197">
        <f t="shared" si="268"/>
        <v>0</v>
      </c>
      <c r="H391" s="197">
        <f t="shared" si="269"/>
        <v>219</v>
      </c>
      <c r="I391" s="523">
        <v>1</v>
      </c>
      <c r="J391" s="533">
        <f>'Monthly DCF'!$I$3</f>
        <v>46418</v>
      </c>
      <c r="K391" s="533">
        <f t="shared" si="270"/>
        <v>47026</v>
      </c>
      <c r="L391" s="536">
        <f t="shared" si="388"/>
        <v>21</v>
      </c>
      <c r="M391" s="20" t="s">
        <v>366</v>
      </c>
      <c r="N391" s="20">
        <f t="shared" si="271"/>
        <v>2.3333333333333335</v>
      </c>
      <c r="O391" s="537">
        <v>9</v>
      </c>
      <c r="P391" s="528">
        <f t="shared" ref="P391:BM391" si="404">IFERROR(+IF(AND($M391="Flat",P$5&gt;=$J391,P$5&lt;=$K391),$I391/$L391,0)+IF(AND($M391="S-Curve",P$5&gt;=$J391,P$5&lt;=$K391),(_xlfn.NORM.DIST((YEAR(P$5)-YEAR($J391))*12+MONTH(P$5)-MONTH($J391)+1,$L391/2,$N391,TRUE)-_xlfn.NORM.DIST((YEAR(P$5)-YEAR($J391))*12+MONTH(P$5)-MONTH($J391),$L391/2,$N391,TRUE))/(1-2*_xlfn.NORM.DIST(0,$L391/2,$N391,TRUE))*$I391," "),"")</f>
        <v>1.9965307975421298E-5</v>
      </c>
      <c r="Q391" s="528">
        <f t="shared" si="404"/>
        <v>1.1145215942751099E-4</v>
      </c>
      <c r="R391" s="528">
        <f t="shared" si="404"/>
        <v>5.190366835881511E-4</v>
      </c>
      <c r="S391" s="528">
        <f t="shared" si="404"/>
        <v>2.0166625623993435E-3</v>
      </c>
      <c r="T391" s="528">
        <f t="shared" si="404"/>
        <v>6.5376284510673555E-3</v>
      </c>
      <c r="U391" s="528">
        <f t="shared" si="404"/>
        <v>1.768408431252317E-2</v>
      </c>
      <c r="V391" s="528">
        <f t="shared" si="404"/>
        <v>3.9915428076813392E-2</v>
      </c>
      <c r="W391" s="528">
        <f t="shared" si="404"/>
        <v>7.5181695492250303E-2</v>
      </c>
      <c r="X391" s="528">
        <f t="shared" si="404"/>
        <v>0.11817081738984825</v>
      </c>
      <c r="Y391" s="528">
        <f t="shared" si="404"/>
        <v>0.15500478188537747</v>
      </c>
      <c r="Z391" s="528">
        <f t="shared" si="404"/>
        <v>0.16967689535745928</v>
      </c>
      <c r="AA391" s="528">
        <f t="shared" si="404"/>
        <v>0.15500478188537742</v>
      </c>
      <c r="AB391" s="528">
        <f t="shared" si="404"/>
        <v>0.11817081738984836</v>
      </c>
      <c r="AC391" s="528">
        <f t="shared" si="404"/>
        <v>7.518169549225022E-2</v>
      </c>
      <c r="AD391" s="528">
        <f t="shared" si="404"/>
        <v>3.9915428076813371E-2</v>
      </c>
      <c r="AE391" s="528">
        <f t="shared" si="404"/>
        <v>1.7684084312523191E-2</v>
      </c>
      <c r="AF391" s="528">
        <f t="shared" si="404"/>
        <v>6.5376284510674128E-3</v>
      </c>
      <c r="AG391" s="528">
        <f t="shared" si="404"/>
        <v>2.0166625623993443E-3</v>
      </c>
      <c r="AH391" s="528">
        <f t="shared" si="404"/>
        <v>5.1903668358808627E-4</v>
      </c>
      <c r="AI391" s="528">
        <f t="shared" si="404"/>
        <v>1.1145215942759644E-4</v>
      </c>
      <c r="AJ391" s="528">
        <f t="shared" si="404"/>
        <v>1.996530797536227E-5</v>
      </c>
      <c r="AK391" s="528" t="str">
        <f t="shared" si="404"/>
        <v/>
      </c>
      <c r="AL391" s="528" t="str">
        <f t="shared" si="404"/>
        <v/>
      </c>
      <c r="AM391" s="528" t="str">
        <f t="shared" si="404"/>
        <v/>
      </c>
      <c r="AN391" s="528" t="str">
        <f t="shared" si="404"/>
        <v/>
      </c>
      <c r="AO391" s="528" t="str">
        <f t="shared" si="404"/>
        <v/>
      </c>
      <c r="AP391" s="528" t="str">
        <f t="shared" si="404"/>
        <v/>
      </c>
      <c r="AQ391" s="528" t="str">
        <f t="shared" si="404"/>
        <v/>
      </c>
      <c r="AR391" s="528" t="str">
        <f t="shared" si="404"/>
        <v/>
      </c>
      <c r="AS391" s="528" t="str">
        <f t="shared" si="404"/>
        <v/>
      </c>
      <c r="AT391" s="528" t="str">
        <f t="shared" si="404"/>
        <v/>
      </c>
      <c r="AU391" s="528" t="str">
        <f t="shared" si="404"/>
        <v/>
      </c>
      <c r="AV391" s="528" t="str">
        <f t="shared" si="404"/>
        <v/>
      </c>
      <c r="AW391" s="528" t="str">
        <f t="shared" si="404"/>
        <v/>
      </c>
      <c r="AX391" s="528" t="str">
        <f t="shared" si="404"/>
        <v/>
      </c>
      <c r="AY391" s="528" t="str">
        <f t="shared" si="404"/>
        <v/>
      </c>
      <c r="AZ391" s="528" t="str">
        <f t="shared" si="404"/>
        <v/>
      </c>
      <c r="BA391" s="528" t="str">
        <f t="shared" si="404"/>
        <v/>
      </c>
      <c r="BB391" s="528" t="str">
        <f t="shared" si="404"/>
        <v/>
      </c>
      <c r="BC391" s="528" t="str">
        <f t="shared" si="404"/>
        <v/>
      </c>
      <c r="BD391" s="528" t="str">
        <f t="shared" si="404"/>
        <v/>
      </c>
      <c r="BE391" s="528" t="str">
        <f t="shared" si="404"/>
        <v/>
      </c>
      <c r="BF391" s="528" t="str">
        <f t="shared" si="404"/>
        <v/>
      </c>
      <c r="BG391" s="528" t="str">
        <f t="shared" si="404"/>
        <v/>
      </c>
      <c r="BH391" s="528" t="str">
        <f t="shared" si="404"/>
        <v/>
      </c>
      <c r="BI391" s="528" t="str">
        <f t="shared" si="404"/>
        <v/>
      </c>
      <c r="BJ391" s="528" t="str">
        <f t="shared" si="404"/>
        <v/>
      </c>
      <c r="BK391" s="528" t="str">
        <f t="shared" si="404"/>
        <v/>
      </c>
      <c r="BL391" s="528" t="str">
        <f t="shared" si="404"/>
        <v/>
      </c>
      <c r="BM391" s="528" t="str">
        <f t="shared" si="404"/>
        <v/>
      </c>
    </row>
    <row r="392" spans="6:65" ht="15.75" customHeight="1" x14ac:dyDescent="0.25">
      <c r="F392" s="197"/>
      <c r="G392" s="197">
        <f t="shared" si="268"/>
        <v>0</v>
      </c>
      <c r="H392" s="197">
        <f t="shared" si="269"/>
        <v>229</v>
      </c>
      <c r="I392" s="523">
        <v>1</v>
      </c>
      <c r="J392" s="533">
        <f>'Monthly DCF'!$I$3</f>
        <v>46418</v>
      </c>
      <c r="K392" s="533">
        <f t="shared" si="270"/>
        <v>47057</v>
      </c>
      <c r="L392" s="536">
        <f t="shared" si="388"/>
        <v>22</v>
      </c>
      <c r="M392" s="20" t="s">
        <v>366</v>
      </c>
      <c r="N392" s="20">
        <f t="shared" si="271"/>
        <v>2.4444444444444446</v>
      </c>
      <c r="O392" s="537">
        <v>9</v>
      </c>
      <c r="P392" s="528">
        <f t="shared" ref="P392:BM392" si="405">IFERROR(+IF(AND($M392="Flat",P$5&gt;=$J392,P$5&lt;=$K392),$I392/$L392,0)+IF(AND($M392="S-Curve",P$5&gt;=$J392,P$5&lt;=$K392),(_xlfn.NORM.DIST((YEAR(P$5)-YEAR($J392))*12+MONTH(P$5)-MONTH($J392)+1,$L392/2,$N392,TRUE)-_xlfn.NORM.DIST((YEAR(P$5)-YEAR($J392))*12+MONTH(P$5)-MONTH($J392),$L392/2,$N392,TRUE))/(1-2*_xlfn.NORM.DIST(0,$L392/2,$N392,TRUE))*$I392," "),"")</f>
        <v>1.8086727306339584E-5</v>
      </c>
      <c r="Q392" s="528">
        <f t="shared" si="405"/>
        <v>9.4304634588096274E-5</v>
      </c>
      <c r="R392" s="528">
        <f t="shared" si="405"/>
        <v>4.1679056224140144E-4</v>
      </c>
      <c r="S392" s="528">
        <f t="shared" si="405"/>
        <v>1.5614771162837781E-3</v>
      </c>
      <c r="T392" s="528">
        <f t="shared" si="405"/>
        <v>4.9591326659210655E-3</v>
      </c>
      <c r="U392" s="528">
        <f t="shared" si="405"/>
        <v>1.3351982315959328E-2</v>
      </c>
      <c r="V392" s="528">
        <f t="shared" si="405"/>
        <v>3.0476926518590977E-2</v>
      </c>
      <c r="W392" s="528">
        <f t="shared" si="405"/>
        <v>5.8978699590177236E-2</v>
      </c>
      <c r="X392" s="528">
        <f t="shared" si="405"/>
        <v>9.6767294028967804E-2</v>
      </c>
      <c r="Y392" s="528">
        <f t="shared" si="405"/>
        <v>0.13461070072924089</v>
      </c>
      <c r="Z392" s="528">
        <f t="shared" si="405"/>
        <v>0.15876460511072307</v>
      </c>
      <c r="AA392" s="528">
        <f t="shared" si="405"/>
        <v>0.15876460511072302</v>
      </c>
      <c r="AB392" s="528">
        <f t="shared" si="405"/>
        <v>0.13461070072924095</v>
      </c>
      <c r="AC392" s="528">
        <f t="shared" si="405"/>
        <v>9.6767294028967804E-2</v>
      </c>
      <c r="AD392" s="528">
        <f t="shared" si="405"/>
        <v>5.897869959017718E-2</v>
      </c>
      <c r="AE392" s="528">
        <f t="shared" si="405"/>
        <v>3.0476926518591088E-2</v>
      </c>
      <c r="AF392" s="528">
        <f t="shared" si="405"/>
        <v>1.3351982315959314E-2</v>
      </c>
      <c r="AG392" s="528">
        <f t="shared" si="405"/>
        <v>4.9591326659210637E-3</v>
      </c>
      <c r="AH392" s="528">
        <f t="shared" si="405"/>
        <v>1.5614771162837031E-3</v>
      </c>
      <c r="AI392" s="528">
        <f t="shared" si="405"/>
        <v>4.1679056224149197E-4</v>
      </c>
      <c r="AJ392" s="528">
        <f t="shared" si="405"/>
        <v>9.4304634588074035E-5</v>
      </c>
      <c r="AK392" s="528">
        <f t="shared" si="405"/>
        <v>1.808672730629897E-5</v>
      </c>
      <c r="AL392" s="528" t="str">
        <f t="shared" si="405"/>
        <v/>
      </c>
      <c r="AM392" s="528" t="str">
        <f t="shared" si="405"/>
        <v/>
      </c>
      <c r="AN392" s="528" t="str">
        <f t="shared" si="405"/>
        <v/>
      </c>
      <c r="AO392" s="528" t="str">
        <f t="shared" si="405"/>
        <v/>
      </c>
      <c r="AP392" s="528" t="str">
        <f t="shared" si="405"/>
        <v/>
      </c>
      <c r="AQ392" s="528" t="str">
        <f t="shared" si="405"/>
        <v/>
      </c>
      <c r="AR392" s="528" t="str">
        <f t="shared" si="405"/>
        <v/>
      </c>
      <c r="AS392" s="528" t="str">
        <f t="shared" si="405"/>
        <v/>
      </c>
      <c r="AT392" s="528" t="str">
        <f t="shared" si="405"/>
        <v/>
      </c>
      <c r="AU392" s="528" t="str">
        <f t="shared" si="405"/>
        <v/>
      </c>
      <c r="AV392" s="528" t="str">
        <f t="shared" si="405"/>
        <v/>
      </c>
      <c r="AW392" s="528" t="str">
        <f t="shared" si="405"/>
        <v/>
      </c>
      <c r="AX392" s="528" t="str">
        <f t="shared" si="405"/>
        <v/>
      </c>
      <c r="AY392" s="528" t="str">
        <f t="shared" si="405"/>
        <v/>
      </c>
      <c r="AZ392" s="528" t="str">
        <f t="shared" si="405"/>
        <v/>
      </c>
      <c r="BA392" s="528" t="str">
        <f t="shared" si="405"/>
        <v/>
      </c>
      <c r="BB392" s="528" t="str">
        <f t="shared" si="405"/>
        <v/>
      </c>
      <c r="BC392" s="528" t="str">
        <f t="shared" si="405"/>
        <v/>
      </c>
      <c r="BD392" s="528" t="str">
        <f t="shared" si="405"/>
        <v/>
      </c>
      <c r="BE392" s="528" t="str">
        <f t="shared" si="405"/>
        <v/>
      </c>
      <c r="BF392" s="528" t="str">
        <f t="shared" si="405"/>
        <v/>
      </c>
      <c r="BG392" s="528" t="str">
        <f t="shared" si="405"/>
        <v/>
      </c>
      <c r="BH392" s="528" t="str">
        <f t="shared" si="405"/>
        <v/>
      </c>
      <c r="BI392" s="528" t="str">
        <f t="shared" si="405"/>
        <v/>
      </c>
      <c r="BJ392" s="528" t="str">
        <f t="shared" si="405"/>
        <v/>
      </c>
      <c r="BK392" s="528" t="str">
        <f t="shared" si="405"/>
        <v/>
      </c>
      <c r="BL392" s="528" t="str">
        <f t="shared" si="405"/>
        <v/>
      </c>
      <c r="BM392" s="528" t="str">
        <f t="shared" si="405"/>
        <v/>
      </c>
    </row>
    <row r="393" spans="6:65" ht="15.75" customHeight="1" x14ac:dyDescent="0.25">
      <c r="F393" s="197"/>
      <c r="G393" s="197">
        <f t="shared" si="268"/>
        <v>0</v>
      </c>
      <c r="H393" s="197">
        <f t="shared" si="269"/>
        <v>239</v>
      </c>
      <c r="I393" s="523">
        <v>1</v>
      </c>
      <c r="J393" s="533">
        <f>'Monthly DCF'!$I$3</f>
        <v>46418</v>
      </c>
      <c r="K393" s="533">
        <f t="shared" si="270"/>
        <v>47087</v>
      </c>
      <c r="L393" s="536">
        <f t="shared" si="388"/>
        <v>23</v>
      </c>
      <c r="M393" s="20" t="s">
        <v>366</v>
      </c>
      <c r="N393" s="20">
        <f t="shared" si="271"/>
        <v>2.5555555555555554</v>
      </c>
      <c r="O393" s="537">
        <v>9</v>
      </c>
      <c r="P393" s="528">
        <f t="shared" ref="P393:BM393" si="406">IFERROR(+IF(AND($M393="Flat",P$5&gt;=$J393,P$5&lt;=$K393),$I393/$L393,0)+IF(AND($M393="S-Curve",P$5&gt;=$J393,P$5&lt;=$K393),(_xlfn.NORM.DIST((YEAR(P$5)-YEAR($J393))*12+MONTH(P$5)-MONTH($J393)+1,$L393/2,$N393,TRUE)-_xlfn.NORM.DIST((YEAR(P$5)-YEAR($J393))*12+MONTH(P$5)-MONTH($J393),$L393/2,$N393,TRUE))/(1-2*_xlfn.NORM.DIST(0,$L393/2,$N393,TRUE))*$I393," "),"")</f>
        <v>1.6497440517382712E-5</v>
      </c>
      <c r="Q393" s="528">
        <f t="shared" si="406"/>
        <v>8.0750819620244177E-5</v>
      </c>
      <c r="R393" s="528">
        <f t="shared" si="406"/>
        <v>3.3972927291500536E-4</v>
      </c>
      <c r="S393" s="528">
        <f t="shared" si="406"/>
        <v>1.2285433390259563E-3</v>
      </c>
      <c r="T393" s="528">
        <f t="shared" si="406"/>
        <v>3.8188630425884324E-3</v>
      </c>
      <c r="U393" s="528">
        <f t="shared" si="406"/>
        <v>1.0204154743548365E-2</v>
      </c>
      <c r="V393" s="528">
        <f t="shared" si="406"/>
        <v>2.3438570654596279E-2</v>
      </c>
      <c r="W393" s="528">
        <f t="shared" si="406"/>
        <v>4.6281405166231589E-2</v>
      </c>
      <c r="X393" s="528">
        <f t="shared" si="406"/>
        <v>7.8561861080812007E-2</v>
      </c>
      <c r="Y393" s="528">
        <f t="shared" si="406"/>
        <v>0.1146445738371355</v>
      </c>
      <c r="Z393" s="528">
        <f t="shared" si="406"/>
        <v>0.14382573381284447</v>
      </c>
      <c r="AA393" s="528">
        <f t="shared" si="406"/>
        <v>0.15511863358032957</v>
      </c>
      <c r="AB393" s="528">
        <f t="shared" si="406"/>
        <v>0.14382573381284447</v>
      </c>
      <c r="AC393" s="528">
        <f t="shared" si="406"/>
        <v>0.11464457383713544</v>
      </c>
      <c r="AD393" s="528">
        <f t="shared" si="406"/>
        <v>7.8561861080812076E-2</v>
      </c>
      <c r="AE393" s="528">
        <f t="shared" si="406"/>
        <v>4.628140516623154E-2</v>
      </c>
      <c r="AF393" s="528">
        <f t="shared" si="406"/>
        <v>2.3438570654596324E-2</v>
      </c>
      <c r="AG393" s="528">
        <f t="shared" si="406"/>
        <v>1.020415474354839E-2</v>
      </c>
      <c r="AH393" s="528">
        <f t="shared" si="406"/>
        <v>3.8188630425883964E-3</v>
      </c>
      <c r="AI393" s="528">
        <f t="shared" si="406"/>
        <v>1.2285433390259377E-3</v>
      </c>
      <c r="AJ393" s="528">
        <f t="shared" si="406"/>
        <v>3.3972927291507984E-4</v>
      </c>
      <c r="AK393" s="528">
        <f t="shared" si="406"/>
        <v>8.0750819620163254E-5</v>
      </c>
      <c r="AL393" s="528">
        <f t="shared" si="406"/>
        <v>1.6497440517400462E-5</v>
      </c>
      <c r="AM393" s="528" t="str">
        <f t="shared" si="406"/>
        <v/>
      </c>
      <c r="AN393" s="528" t="str">
        <f t="shared" si="406"/>
        <v/>
      </c>
      <c r="AO393" s="528" t="str">
        <f t="shared" si="406"/>
        <v/>
      </c>
      <c r="AP393" s="528" t="str">
        <f t="shared" si="406"/>
        <v/>
      </c>
      <c r="AQ393" s="528" t="str">
        <f t="shared" si="406"/>
        <v/>
      </c>
      <c r="AR393" s="528" t="str">
        <f t="shared" si="406"/>
        <v/>
      </c>
      <c r="AS393" s="528" t="str">
        <f t="shared" si="406"/>
        <v/>
      </c>
      <c r="AT393" s="528" t="str">
        <f t="shared" si="406"/>
        <v/>
      </c>
      <c r="AU393" s="528" t="str">
        <f t="shared" si="406"/>
        <v/>
      </c>
      <c r="AV393" s="528" t="str">
        <f t="shared" si="406"/>
        <v/>
      </c>
      <c r="AW393" s="528" t="str">
        <f t="shared" si="406"/>
        <v/>
      </c>
      <c r="AX393" s="528" t="str">
        <f t="shared" si="406"/>
        <v/>
      </c>
      <c r="AY393" s="528" t="str">
        <f t="shared" si="406"/>
        <v/>
      </c>
      <c r="AZ393" s="528" t="str">
        <f t="shared" si="406"/>
        <v/>
      </c>
      <c r="BA393" s="528" t="str">
        <f t="shared" si="406"/>
        <v/>
      </c>
      <c r="BB393" s="528" t="str">
        <f t="shared" si="406"/>
        <v/>
      </c>
      <c r="BC393" s="528" t="str">
        <f t="shared" si="406"/>
        <v/>
      </c>
      <c r="BD393" s="528" t="str">
        <f t="shared" si="406"/>
        <v/>
      </c>
      <c r="BE393" s="528" t="str">
        <f t="shared" si="406"/>
        <v/>
      </c>
      <c r="BF393" s="528" t="str">
        <f t="shared" si="406"/>
        <v/>
      </c>
      <c r="BG393" s="528" t="str">
        <f t="shared" si="406"/>
        <v/>
      </c>
      <c r="BH393" s="528" t="str">
        <f t="shared" si="406"/>
        <v/>
      </c>
      <c r="BI393" s="528" t="str">
        <f t="shared" si="406"/>
        <v/>
      </c>
      <c r="BJ393" s="528" t="str">
        <f t="shared" si="406"/>
        <v/>
      </c>
      <c r="BK393" s="528" t="str">
        <f t="shared" si="406"/>
        <v/>
      </c>
      <c r="BL393" s="528" t="str">
        <f t="shared" si="406"/>
        <v/>
      </c>
      <c r="BM393" s="528" t="str">
        <f t="shared" si="406"/>
        <v/>
      </c>
    </row>
    <row r="394" spans="6:65" ht="15.75" customHeight="1" x14ac:dyDescent="0.25">
      <c r="F394" s="197"/>
      <c r="G394" s="197">
        <f t="shared" si="268"/>
        <v>0</v>
      </c>
      <c r="H394" s="197">
        <f t="shared" si="269"/>
        <v>249</v>
      </c>
      <c r="I394" s="523">
        <v>1</v>
      </c>
      <c r="J394" s="533">
        <f>'Monthly DCF'!$I$3</f>
        <v>46418</v>
      </c>
      <c r="K394" s="533">
        <f t="shared" si="270"/>
        <v>47118</v>
      </c>
      <c r="L394" s="536">
        <f t="shared" si="388"/>
        <v>24</v>
      </c>
      <c r="M394" s="20" t="s">
        <v>366</v>
      </c>
      <c r="N394" s="20">
        <f t="shared" si="271"/>
        <v>2.6666666666666665</v>
      </c>
      <c r="O394" s="537">
        <v>9</v>
      </c>
      <c r="P394" s="528">
        <f t="shared" ref="P394:BM394" si="407">IFERROR(+IF(AND($M394="Flat",P$5&gt;=$J394,P$5&lt;=$K394),$I394/$L394,0)+IF(AND($M394="S-Curve",P$5&gt;=$J394,P$5&lt;=$K394),(_xlfn.NORM.DIST((YEAR(P$5)-YEAR($J394))*12+MONTH(P$5)-MONTH($J394)+1,$L394/2,$N394,TRUE)-_xlfn.NORM.DIST((YEAR(P$5)-YEAR($J394))*12+MONTH(P$5)-MONTH($J394),$L394/2,$N394,TRUE))/(1-2*_xlfn.NORM.DIST(0,$L394/2,$N394,TRUE))*$I394," "),"")</f>
        <v>1.5139167597357688E-5</v>
      </c>
      <c r="Q394" s="528">
        <f t="shared" si="407"/>
        <v>6.9881022220344031E-5</v>
      </c>
      <c r="R394" s="528">
        <f t="shared" si="407"/>
        <v>2.8066307627704583E-4</v>
      </c>
      <c r="S394" s="528">
        <f t="shared" si="407"/>
        <v>9.808262424089542E-4</v>
      </c>
      <c r="T394" s="528">
        <f t="shared" si="407"/>
        <v>2.9825705989823962E-3</v>
      </c>
      <c r="U394" s="528">
        <f t="shared" si="407"/>
        <v>7.8920779214342422E-3</v>
      </c>
      <c r="V394" s="528">
        <f t="shared" si="407"/>
        <v>1.8172012595334307E-2</v>
      </c>
      <c r="W394" s="528">
        <f t="shared" si="407"/>
        <v>3.6411086929539697E-2</v>
      </c>
      <c r="X394" s="528">
        <f t="shared" si="407"/>
        <v>6.348774728917618E-2</v>
      </c>
      <c r="Y394" s="528">
        <f t="shared" si="407"/>
        <v>9.6333489859478413E-2</v>
      </c>
      <c r="Z394" s="528">
        <f t="shared" si="407"/>
        <v>0.12720374534390178</v>
      </c>
      <c r="AA394" s="528">
        <f t="shared" si="407"/>
        <v>0.14617075995364928</v>
      </c>
      <c r="AB394" s="528">
        <f t="shared" si="407"/>
        <v>0.14617075995364928</v>
      </c>
      <c r="AC394" s="528">
        <f t="shared" si="407"/>
        <v>0.12720374534390172</v>
      </c>
      <c r="AD394" s="528">
        <f t="shared" si="407"/>
        <v>9.6333489859478441E-2</v>
      </c>
      <c r="AE394" s="528">
        <f t="shared" si="407"/>
        <v>6.348774728917618E-2</v>
      </c>
      <c r="AF394" s="528">
        <f t="shared" si="407"/>
        <v>3.6411086929539697E-2</v>
      </c>
      <c r="AG394" s="528">
        <f t="shared" si="407"/>
        <v>1.8172012595334356E-2</v>
      </c>
      <c r="AH394" s="528">
        <f t="shared" si="407"/>
        <v>7.8920779214341659E-3</v>
      </c>
      <c r="AI394" s="528">
        <f t="shared" si="407"/>
        <v>2.9825705989824387E-3</v>
      </c>
      <c r="AJ394" s="528">
        <f t="shared" si="407"/>
        <v>9.8082624240900212E-4</v>
      </c>
      <c r="AK394" s="528">
        <f t="shared" si="407"/>
        <v>2.806630762769972E-4</v>
      </c>
      <c r="AL394" s="528">
        <f t="shared" si="407"/>
        <v>6.9881022220314975E-5</v>
      </c>
      <c r="AM394" s="528">
        <f t="shared" si="407"/>
        <v>1.5139167597389035E-5</v>
      </c>
      <c r="AN394" s="528" t="str">
        <f t="shared" si="407"/>
        <v/>
      </c>
      <c r="AO394" s="528" t="str">
        <f t="shared" si="407"/>
        <v/>
      </c>
      <c r="AP394" s="528" t="str">
        <f t="shared" si="407"/>
        <v/>
      </c>
      <c r="AQ394" s="528" t="str">
        <f t="shared" si="407"/>
        <v/>
      </c>
      <c r="AR394" s="528" t="str">
        <f t="shared" si="407"/>
        <v/>
      </c>
      <c r="AS394" s="528" t="str">
        <f t="shared" si="407"/>
        <v/>
      </c>
      <c r="AT394" s="528" t="str">
        <f t="shared" si="407"/>
        <v/>
      </c>
      <c r="AU394" s="528" t="str">
        <f t="shared" si="407"/>
        <v/>
      </c>
      <c r="AV394" s="528" t="str">
        <f t="shared" si="407"/>
        <v/>
      </c>
      <c r="AW394" s="528" t="str">
        <f t="shared" si="407"/>
        <v/>
      </c>
      <c r="AX394" s="528" t="str">
        <f t="shared" si="407"/>
        <v/>
      </c>
      <c r="AY394" s="528" t="str">
        <f t="shared" si="407"/>
        <v/>
      </c>
      <c r="AZ394" s="528" t="str">
        <f t="shared" si="407"/>
        <v/>
      </c>
      <c r="BA394" s="528" t="str">
        <f t="shared" si="407"/>
        <v/>
      </c>
      <c r="BB394" s="528" t="str">
        <f t="shared" si="407"/>
        <v/>
      </c>
      <c r="BC394" s="528" t="str">
        <f t="shared" si="407"/>
        <v/>
      </c>
      <c r="BD394" s="528" t="str">
        <f t="shared" si="407"/>
        <v/>
      </c>
      <c r="BE394" s="528" t="str">
        <f t="shared" si="407"/>
        <v/>
      </c>
      <c r="BF394" s="528" t="str">
        <f t="shared" si="407"/>
        <v/>
      </c>
      <c r="BG394" s="528" t="str">
        <f t="shared" si="407"/>
        <v/>
      </c>
      <c r="BH394" s="528" t="str">
        <f t="shared" si="407"/>
        <v/>
      </c>
      <c r="BI394" s="528" t="str">
        <f t="shared" si="407"/>
        <v/>
      </c>
      <c r="BJ394" s="528" t="str">
        <f t="shared" si="407"/>
        <v/>
      </c>
      <c r="BK394" s="528" t="str">
        <f t="shared" si="407"/>
        <v/>
      </c>
      <c r="BL394" s="528" t="str">
        <f t="shared" si="407"/>
        <v/>
      </c>
      <c r="BM394" s="528" t="str">
        <f t="shared" si="407"/>
        <v/>
      </c>
    </row>
    <row r="395" spans="6:65" ht="15.75" customHeight="1" x14ac:dyDescent="0.25">
      <c r="F395" s="197"/>
      <c r="G395" s="197">
        <f t="shared" si="268"/>
        <v>0</v>
      </c>
      <c r="H395" s="197">
        <f t="shared" si="269"/>
        <v>259</v>
      </c>
      <c r="I395" s="523">
        <v>1</v>
      </c>
      <c r="J395" s="533">
        <f>'Monthly DCF'!$I$3</f>
        <v>46418</v>
      </c>
      <c r="K395" s="533">
        <f t="shared" si="270"/>
        <v>47149</v>
      </c>
      <c r="L395" s="536">
        <f t="shared" si="388"/>
        <v>25</v>
      </c>
      <c r="M395" s="20" t="s">
        <v>366</v>
      </c>
      <c r="N395" s="20">
        <f t="shared" si="271"/>
        <v>2.7777777777777777</v>
      </c>
      <c r="O395" s="537">
        <v>9</v>
      </c>
      <c r="P395" s="528">
        <f t="shared" ref="P395:BM395" si="408">IFERROR(+IF(AND($M395="Flat",P$5&gt;=$J395,P$5&lt;=$K395),$I395/$L395,0)+IF(AND($M395="S-Curve",P$5&gt;=$J395,P$5&lt;=$K395),(_xlfn.NORM.DIST((YEAR(P$5)-YEAR($J395))*12+MONTH(P$5)-MONTH($J395)+1,$L395/2,$N395,TRUE)-_xlfn.NORM.DIST((YEAR(P$5)-YEAR($J395))*12+MONTH(P$5)-MONTH($J395),$L395/2,$N395,TRUE))/(1-2*_xlfn.NORM.DIST(0,$L395/2,$N395,TRUE))*$I395," "),"")</f>
        <v>1.3967712864319138E-5</v>
      </c>
      <c r="Q395" s="528">
        <f t="shared" si="408"/>
        <v>6.1049303161134154E-5</v>
      </c>
      <c r="R395" s="528">
        <f t="shared" si="408"/>
        <v>2.3469309401845094E-4</v>
      </c>
      <c r="S395" s="528">
        <f t="shared" si="408"/>
        <v>7.9358467151066842E-4</v>
      </c>
      <c r="T395" s="528">
        <f t="shared" si="408"/>
        <v>2.3603048847203635E-3</v>
      </c>
      <c r="U395" s="528">
        <f t="shared" si="408"/>
        <v>6.1749381031601398E-3</v>
      </c>
      <c r="V395" s="528">
        <f t="shared" si="408"/>
        <v>1.420999095795895E-2</v>
      </c>
      <c r="W395" s="528">
        <f t="shared" si="408"/>
        <v>2.8764569577953539E-2</v>
      </c>
      <c r="X395" s="528">
        <f t="shared" si="408"/>
        <v>5.1218890717145256E-2</v>
      </c>
      <c r="Y395" s="528">
        <f t="shared" si="408"/>
        <v>8.0225989388835239E-2</v>
      </c>
      <c r="Z395" s="528">
        <f t="shared" si="408"/>
        <v>0.11053914202068264</v>
      </c>
      <c r="AA395" s="528">
        <f t="shared" si="408"/>
        <v>0.13397867831491048</v>
      </c>
      <c r="AB395" s="528">
        <f t="shared" si="408"/>
        <v>0.14284840250615774</v>
      </c>
      <c r="AC395" s="528">
        <f t="shared" si="408"/>
        <v>0.13397867831491042</v>
      </c>
      <c r="AD395" s="528">
        <f t="shared" si="408"/>
        <v>0.11053914202068262</v>
      </c>
      <c r="AE395" s="528">
        <f t="shared" si="408"/>
        <v>8.0225989388835295E-2</v>
      </c>
      <c r="AF395" s="528">
        <f t="shared" si="408"/>
        <v>5.1218890717145221E-2</v>
      </c>
      <c r="AG395" s="528">
        <f t="shared" si="408"/>
        <v>2.8764569577953574E-2</v>
      </c>
      <c r="AH395" s="528">
        <f t="shared" si="408"/>
        <v>1.420999095795893E-2</v>
      </c>
      <c r="AI395" s="528">
        <f t="shared" si="408"/>
        <v>6.1749381031601788E-3</v>
      </c>
      <c r="AJ395" s="528">
        <f t="shared" si="408"/>
        <v>2.3603048847202768E-3</v>
      </c>
      <c r="AK395" s="528">
        <f t="shared" si="408"/>
        <v>7.9358467151068165E-4</v>
      </c>
      <c r="AL395" s="528">
        <f t="shared" si="408"/>
        <v>2.3469309401847298E-4</v>
      </c>
      <c r="AM395" s="528">
        <f t="shared" si="408"/>
        <v>6.1049303161086869E-5</v>
      </c>
      <c r="AN395" s="528">
        <f t="shared" si="408"/>
        <v>1.3967712864363104E-5</v>
      </c>
      <c r="AO395" s="528" t="str">
        <f t="shared" si="408"/>
        <v/>
      </c>
      <c r="AP395" s="528" t="str">
        <f t="shared" si="408"/>
        <v/>
      </c>
      <c r="AQ395" s="528" t="str">
        <f t="shared" si="408"/>
        <v/>
      </c>
      <c r="AR395" s="528" t="str">
        <f t="shared" si="408"/>
        <v/>
      </c>
      <c r="AS395" s="528" t="str">
        <f t="shared" si="408"/>
        <v/>
      </c>
      <c r="AT395" s="528" t="str">
        <f t="shared" si="408"/>
        <v/>
      </c>
      <c r="AU395" s="528" t="str">
        <f t="shared" si="408"/>
        <v/>
      </c>
      <c r="AV395" s="528" t="str">
        <f t="shared" si="408"/>
        <v/>
      </c>
      <c r="AW395" s="528" t="str">
        <f t="shared" si="408"/>
        <v/>
      </c>
      <c r="AX395" s="528" t="str">
        <f t="shared" si="408"/>
        <v/>
      </c>
      <c r="AY395" s="528" t="str">
        <f t="shared" si="408"/>
        <v/>
      </c>
      <c r="AZ395" s="528" t="str">
        <f t="shared" si="408"/>
        <v/>
      </c>
      <c r="BA395" s="528" t="str">
        <f t="shared" si="408"/>
        <v/>
      </c>
      <c r="BB395" s="528" t="str">
        <f t="shared" si="408"/>
        <v/>
      </c>
      <c r="BC395" s="528" t="str">
        <f t="shared" si="408"/>
        <v/>
      </c>
      <c r="BD395" s="528" t="str">
        <f t="shared" si="408"/>
        <v/>
      </c>
      <c r="BE395" s="528" t="str">
        <f t="shared" si="408"/>
        <v/>
      </c>
      <c r="BF395" s="528" t="str">
        <f t="shared" si="408"/>
        <v/>
      </c>
      <c r="BG395" s="528" t="str">
        <f t="shared" si="408"/>
        <v/>
      </c>
      <c r="BH395" s="528" t="str">
        <f t="shared" si="408"/>
        <v/>
      </c>
      <c r="BI395" s="528" t="str">
        <f t="shared" si="408"/>
        <v/>
      </c>
      <c r="BJ395" s="528" t="str">
        <f t="shared" si="408"/>
        <v/>
      </c>
      <c r="BK395" s="528" t="str">
        <f t="shared" si="408"/>
        <v/>
      </c>
      <c r="BL395" s="528" t="str">
        <f t="shared" si="408"/>
        <v/>
      </c>
      <c r="BM395" s="528" t="str">
        <f t="shared" si="408"/>
        <v/>
      </c>
    </row>
    <row r="396" spans="6:65" ht="15.75" customHeight="1" x14ac:dyDescent="0.25">
      <c r="F396" s="197"/>
      <c r="G396" s="197">
        <f t="shared" si="268"/>
        <v>0</v>
      </c>
      <c r="H396" s="197">
        <f t="shared" si="269"/>
        <v>269</v>
      </c>
      <c r="I396" s="523">
        <v>1</v>
      </c>
      <c r="J396" s="533">
        <f>'Monthly DCF'!$I$3</f>
        <v>46418</v>
      </c>
      <c r="K396" s="533">
        <f t="shared" si="270"/>
        <v>47177</v>
      </c>
      <c r="L396" s="536">
        <f t="shared" si="388"/>
        <v>26</v>
      </c>
      <c r="M396" s="20" t="s">
        <v>366</v>
      </c>
      <c r="N396" s="20">
        <f t="shared" si="271"/>
        <v>2.8888888888888888</v>
      </c>
      <c r="O396" s="537">
        <v>9</v>
      </c>
      <c r="P396" s="528">
        <f t="shared" ref="P396:BM396" si="409">IFERROR(+IF(AND($M396="Flat",P$5&gt;=$J396,P$5&lt;=$K396),$I396/$L396,0)+IF(AND($M396="S-Curve",P$5&gt;=$J396,P$5&lt;=$K396),(_xlfn.NORM.DIST((YEAR(P$5)-YEAR($J396))*12+MONTH(P$5)-MONTH($J396)+1,$L396/2,$N396,TRUE)-_xlfn.NORM.DIST((YEAR(P$5)-YEAR($J396))*12+MONTH(P$5)-MONTH($J396),$L396/2,$N396,TRUE))/(1-2*_xlfn.NORM.DIST(0,$L396/2,$N396,TRUE))*$I396," "),"")</f>
        <v>1.2949066236215507E-5</v>
      </c>
      <c r="Q396" s="528">
        <f t="shared" si="409"/>
        <v>5.3788539104155002E-5</v>
      </c>
      <c r="R396" s="528">
        <f t="shared" si="409"/>
        <v>1.9841520798452163E-4</v>
      </c>
      <c r="S396" s="528">
        <f t="shared" si="409"/>
        <v>6.4998175394693223E-4</v>
      </c>
      <c r="T396" s="528">
        <f t="shared" si="409"/>
        <v>1.8909279021890632E-3</v>
      </c>
      <c r="U396" s="528">
        <f t="shared" si="409"/>
        <v>4.8854259046616161E-3</v>
      </c>
      <c r="V396" s="528">
        <f t="shared" si="409"/>
        <v>1.1209572127194065E-2</v>
      </c>
      <c r="W396" s="528">
        <f t="shared" si="409"/>
        <v>2.2842291406997572E-2</v>
      </c>
      <c r="X396" s="528">
        <f t="shared" si="409"/>
        <v>4.1338867332446065E-2</v>
      </c>
      <c r="Y396" s="528">
        <f t="shared" si="409"/>
        <v>6.6443015415537945E-2</v>
      </c>
      <c r="Z396" s="528">
        <f t="shared" si="409"/>
        <v>9.4845088444789213E-2</v>
      </c>
      <c r="AA396" s="528">
        <f t="shared" si="409"/>
        <v>0.12024230610316446</v>
      </c>
      <c r="AB396" s="528">
        <f t="shared" si="409"/>
        <v>0.1353873707957482</v>
      </c>
      <c r="AC396" s="528">
        <f t="shared" si="409"/>
        <v>0.13538737079574814</v>
      </c>
      <c r="AD396" s="528">
        <f t="shared" si="409"/>
        <v>0.12024230610316451</v>
      </c>
      <c r="AE396" s="528">
        <f t="shared" si="409"/>
        <v>9.4845088444789186E-2</v>
      </c>
      <c r="AF396" s="528">
        <f t="shared" si="409"/>
        <v>6.6443015415537959E-2</v>
      </c>
      <c r="AG396" s="528">
        <f t="shared" si="409"/>
        <v>4.1338867332446093E-2</v>
      </c>
      <c r="AH396" s="528">
        <f t="shared" si="409"/>
        <v>2.284229140699753E-2</v>
      </c>
      <c r="AI396" s="528">
        <f t="shared" si="409"/>
        <v>1.1209572127194145E-2</v>
      </c>
      <c r="AJ396" s="528">
        <f t="shared" si="409"/>
        <v>4.8854259046616109E-3</v>
      </c>
      <c r="AK396" s="528">
        <f t="shared" si="409"/>
        <v>1.890927902189071E-3</v>
      </c>
      <c r="AL396" s="528">
        <f t="shared" si="409"/>
        <v>6.4998175394689341E-4</v>
      </c>
      <c r="AM396" s="528">
        <f t="shared" si="409"/>
        <v>1.9841520798448255E-4</v>
      </c>
      <c r="AN396" s="528">
        <f t="shared" si="409"/>
        <v>5.3788539104220257E-5</v>
      </c>
      <c r="AO396" s="528">
        <f t="shared" si="409"/>
        <v>1.2949066236165869E-5</v>
      </c>
      <c r="AP396" s="528" t="str">
        <f t="shared" si="409"/>
        <v/>
      </c>
      <c r="AQ396" s="528" t="str">
        <f t="shared" si="409"/>
        <v/>
      </c>
      <c r="AR396" s="528" t="str">
        <f t="shared" si="409"/>
        <v/>
      </c>
      <c r="AS396" s="528" t="str">
        <f t="shared" si="409"/>
        <v/>
      </c>
      <c r="AT396" s="528" t="str">
        <f t="shared" si="409"/>
        <v/>
      </c>
      <c r="AU396" s="528" t="str">
        <f t="shared" si="409"/>
        <v/>
      </c>
      <c r="AV396" s="528" t="str">
        <f t="shared" si="409"/>
        <v/>
      </c>
      <c r="AW396" s="528" t="str">
        <f t="shared" si="409"/>
        <v/>
      </c>
      <c r="AX396" s="528" t="str">
        <f t="shared" si="409"/>
        <v/>
      </c>
      <c r="AY396" s="528" t="str">
        <f t="shared" si="409"/>
        <v/>
      </c>
      <c r="AZ396" s="528" t="str">
        <f t="shared" si="409"/>
        <v/>
      </c>
      <c r="BA396" s="528" t="str">
        <f t="shared" si="409"/>
        <v/>
      </c>
      <c r="BB396" s="528" t="str">
        <f t="shared" si="409"/>
        <v/>
      </c>
      <c r="BC396" s="528" t="str">
        <f t="shared" si="409"/>
        <v/>
      </c>
      <c r="BD396" s="528" t="str">
        <f t="shared" si="409"/>
        <v/>
      </c>
      <c r="BE396" s="528" t="str">
        <f t="shared" si="409"/>
        <v/>
      </c>
      <c r="BF396" s="528" t="str">
        <f t="shared" si="409"/>
        <v/>
      </c>
      <c r="BG396" s="528" t="str">
        <f t="shared" si="409"/>
        <v/>
      </c>
      <c r="BH396" s="528" t="str">
        <f t="shared" si="409"/>
        <v/>
      </c>
      <c r="BI396" s="528" t="str">
        <f t="shared" si="409"/>
        <v/>
      </c>
      <c r="BJ396" s="528" t="str">
        <f t="shared" si="409"/>
        <v/>
      </c>
      <c r="BK396" s="528" t="str">
        <f t="shared" si="409"/>
        <v/>
      </c>
      <c r="BL396" s="528" t="str">
        <f t="shared" si="409"/>
        <v/>
      </c>
      <c r="BM396" s="528" t="str">
        <f t="shared" si="409"/>
        <v/>
      </c>
    </row>
    <row r="397" spans="6:65" ht="15.75" customHeight="1" x14ac:dyDescent="0.25">
      <c r="F397" s="197"/>
      <c r="G397" s="197">
        <f t="shared" si="268"/>
        <v>0</v>
      </c>
      <c r="H397" s="197">
        <f t="shared" si="269"/>
        <v>279</v>
      </c>
      <c r="I397" s="523">
        <v>1</v>
      </c>
      <c r="J397" s="533">
        <f>'Monthly DCF'!$I$3</f>
        <v>46418</v>
      </c>
      <c r="K397" s="533">
        <f t="shared" si="270"/>
        <v>47208</v>
      </c>
      <c r="L397" s="536">
        <f t="shared" si="388"/>
        <v>27</v>
      </c>
      <c r="M397" s="20" t="s">
        <v>366</v>
      </c>
      <c r="N397" s="20">
        <f t="shared" si="271"/>
        <v>3</v>
      </c>
      <c r="O397" s="537">
        <v>9</v>
      </c>
      <c r="P397" s="528">
        <f t="shared" ref="P397:BM397" si="410">IFERROR(+IF(AND($M397="Flat",P$5&gt;=$J397,P$5&lt;=$K397),$I397/$L397,0)+IF(AND($M397="S-Curve",P$5&gt;=$J397,P$5&lt;=$K397),(_xlfn.NORM.DIST((YEAR(P$5)-YEAR($J397))*12+MONTH(P$5)-MONTH($J397)+1,$L397/2,$N397,TRUE)-_xlfn.NORM.DIST((YEAR(P$5)-YEAR($J397))*12+MONTH(P$5)-MONTH($J397),$L397/2,$N397,TRUE))/(1-2*_xlfn.NORM.DIST(0,$L397/2,$N397,TRUE))*$I397," "),"")</f>
        <v>1.2056705687055679E-5</v>
      </c>
      <c r="Q397" s="528">
        <f t="shared" si="410"/>
        <v>4.775525949963013E-5</v>
      </c>
      <c r="R397" s="528">
        <f t="shared" si="410"/>
        <v>1.6942099844146884E-4</v>
      </c>
      <c r="S397" s="528">
        <f t="shared" si="410"/>
        <v>5.3835936377273402E-4</v>
      </c>
      <c r="T397" s="528">
        <f t="shared" si="410"/>
        <v>1.5322917596789687E-3</v>
      </c>
      <c r="U397" s="528">
        <f t="shared" si="410"/>
        <v>3.9064257395957499E-3</v>
      </c>
      <c r="V397" s="528">
        <f t="shared" si="410"/>
        <v>8.9205353025857935E-3</v>
      </c>
      <c r="W397" s="528">
        <f t="shared" si="410"/>
        <v>1.8246491565809465E-2</v>
      </c>
      <c r="X397" s="528">
        <f t="shared" si="410"/>
        <v>3.3430920858723484E-2</v>
      </c>
      <c r="Y397" s="528">
        <f t="shared" si="410"/>
        <v>5.4865676136789755E-2</v>
      </c>
      <c r="Z397" s="528">
        <f t="shared" si="410"/>
        <v>8.0656424477593344E-2</v>
      </c>
      <c r="AA397" s="528">
        <f t="shared" si="410"/>
        <v>0.10620987949525014</v>
      </c>
      <c r="AB397" s="528">
        <f t="shared" si="410"/>
        <v>0.12527947998055389</v>
      </c>
      <c r="AC397" s="528">
        <f t="shared" si="410"/>
        <v>0.13236856471203709</v>
      </c>
      <c r="AD397" s="528">
        <f t="shared" si="410"/>
        <v>0.12527947998055389</v>
      </c>
      <c r="AE397" s="528">
        <f t="shared" si="410"/>
        <v>0.10620987949525014</v>
      </c>
      <c r="AF397" s="528">
        <f t="shared" si="410"/>
        <v>8.0656424477593316E-2</v>
      </c>
      <c r="AG397" s="528">
        <f t="shared" si="410"/>
        <v>5.4865676136789755E-2</v>
      </c>
      <c r="AH397" s="528">
        <f t="shared" si="410"/>
        <v>3.3430920858723512E-2</v>
      </c>
      <c r="AI397" s="528">
        <f t="shared" si="410"/>
        <v>1.8246491565809451E-2</v>
      </c>
      <c r="AJ397" s="528">
        <f t="shared" si="410"/>
        <v>8.9205353025857796E-3</v>
      </c>
      <c r="AK397" s="528">
        <f t="shared" si="410"/>
        <v>3.9064257395958106E-3</v>
      </c>
      <c r="AL397" s="528">
        <f t="shared" si="410"/>
        <v>1.5322917596788902E-3</v>
      </c>
      <c r="AM397" s="528">
        <f t="shared" si="410"/>
        <v>5.3835936377276243E-4</v>
      </c>
      <c r="AN397" s="528">
        <f t="shared" si="410"/>
        <v>1.6942099844146456E-4</v>
      </c>
      <c r="AO397" s="528">
        <f t="shared" si="410"/>
        <v>4.7755259499623042E-5</v>
      </c>
      <c r="AP397" s="528">
        <f t="shared" si="410"/>
        <v>1.2056705687073423E-5</v>
      </c>
      <c r="AQ397" s="528" t="str">
        <f t="shared" si="410"/>
        <v/>
      </c>
      <c r="AR397" s="528" t="str">
        <f t="shared" si="410"/>
        <v/>
      </c>
      <c r="AS397" s="528" t="str">
        <f t="shared" si="410"/>
        <v/>
      </c>
      <c r="AT397" s="528" t="str">
        <f t="shared" si="410"/>
        <v/>
      </c>
      <c r="AU397" s="528" t="str">
        <f t="shared" si="410"/>
        <v/>
      </c>
      <c r="AV397" s="528" t="str">
        <f t="shared" si="410"/>
        <v/>
      </c>
      <c r="AW397" s="528" t="str">
        <f t="shared" si="410"/>
        <v/>
      </c>
      <c r="AX397" s="528" t="str">
        <f t="shared" si="410"/>
        <v/>
      </c>
      <c r="AY397" s="528" t="str">
        <f t="shared" si="410"/>
        <v/>
      </c>
      <c r="AZ397" s="528" t="str">
        <f t="shared" si="410"/>
        <v/>
      </c>
      <c r="BA397" s="528" t="str">
        <f t="shared" si="410"/>
        <v/>
      </c>
      <c r="BB397" s="528" t="str">
        <f t="shared" si="410"/>
        <v/>
      </c>
      <c r="BC397" s="528" t="str">
        <f t="shared" si="410"/>
        <v/>
      </c>
      <c r="BD397" s="528" t="str">
        <f t="shared" si="410"/>
        <v/>
      </c>
      <c r="BE397" s="528" t="str">
        <f t="shared" si="410"/>
        <v/>
      </c>
      <c r="BF397" s="528" t="str">
        <f t="shared" si="410"/>
        <v/>
      </c>
      <c r="BG397" s="528" t="str">
        <f t="shared" si="410"/>
        <v/>
      </c>
      <c r="BH397" s="528" t="str">
        <f t="shared" si="410"/>
        <v/>
      </c>
      <c r="BI397" s="528" t="str">
        <f t="shared" si="410"/>
        <v/>
      </c>
      <c r="BJ397" s="528" t="str">
        <f t="shared" si="410"/>
        <v/>
      </c>
      <c r="BK397" s="528" t="str">
        <f t="shared" si="410"/>
        <v/>
      </c>
      <c r="BL397" s="528" t="str">
        <f t="shared" si="410"/>
        <v/>
      </c>
      <c r="BM397" s="528" t="str">
        <f t="shared" si="410"/>
        <v/>
      </c>
    </row>
    <row r="398" spans="6:65" ht="15.75" customHeight="1" x14ac:dyDescent="0.25">
      <c r="F398" s="197"/>
      <c r="G398" s="197">
        <f t="shared" si="268"/>
        <v>0</v>
      </c>
      <c r="H398" s="197">
        <f t="shared" si="269"/>
        <v>289</v>
      </c>
      <c r="I398" s="523">
        <v>1</v>
      </c>
      <c r="J398" s="533">
        <f>'Monthly DCF'!$I$3</f>
        <v>46418</v>
      </c>
      <c r="K398" s="533">
        <f t="shared" si="270"/>
        <v>47238</v>
      </c>
      <c r="L398" s="536">
        <f t="shared" si="388"/>
        <v>28</v>
      </c>
      <c r="M398" s="20" t="s">
        <v>366</v>
      </c>
      <c r="N398" s="20">
        <f t="shared" si="271"/>
        <v>3.1111111111111112</v>
      </c>
      <c r="O398" s="537">
        <v>9</v>
      </c>
      <c r="P398" s="528">
        <f t="shared" ref="P398:BM398" si="411">IFERROR(+IF(AND($M398="Flat",P$5&gt;=$J398,P$5&lt;=$K398),$I398/$L398,0)+IF(AND($M398="S-Curve",P$5&gt;=$J398,P$5&lt;=$K398),(_xlfn.NORM.DIST((YEAR(P$5)-YEAR($J398))*12+MONTH(P$5)-MONTH($J398)+1,$L398/2,$N398,TRUE)-_xlfn.NORM.DIST((YEAR(P$5)-YEAR($J398))*12+MONTH(P$5)-MONTH($J398),$L398/2,$N398,TRUE))/(1-2*_xlfn.NORM.DIST(0,$L398/2,$N398,TRUE))*$I398," "),"")</f>
        <v>1.1269696952283229E-5</v>
      </c>
      <c r="Q398" s="528">
        <f t="shared" si="411"/>
        <v>4.2693057141865539E-5</v>
      </c>
      <c r="R398" s="528">
        <f t="shared" si="411"/>
        <v>1.4597806681420096E-4</v>
      </c>
      <c r="S398" s="528">
        <f t="shared" si="411"/>
        <v>4.505133300827317E-4</v>
      </c>
      <c r="T398" s="528">
        <f t="shared" si="411"/>
        <v>1.2549355679066765E-3</v>
      </c>
      <c r="U398" s="528">
        <f t="shared" si="411"/>
        <v>3.1552422714194615E-3</v>
      </c>
      <c r="V398" s="528">
        <f t="shared" si="411"/>
        <v>7.160526038603122E-3</v>
      </c>
      <c r="W398" s="528">
        <f t="shared" si="411"/>
        <v>1.466767144806061E-2</v>
      </c>
      <c r="X398" s="528">
        <f t="shared" si="411"/>
        <v>2.711965674218049E-2</v>
      </c>
      <c r="Y398" s="528">
        <f t="shared" si="411"/>
        <v>4.5260187516054588E-2</v>
      </c>
      <c r="Z398" s="528">
        <f t="shared" si="411"/>
        <v>6.8180417015946723E-2</v>
      </c>
      <c r="AA398" s="528">
        <f t="shared" si="411"/>
        <v>9.2707679684730135E-2</v>
      </c>
      <c r="AB398" s="528">
        <f t="shared" si="411"/>
        <v>0.11378518998286596</v>
      </c>
      <c r="AC398" s="528">
        <f t="shared" si="411"/>
        <v>0.12605803958124115</v>
      </c>
      <c r="AD398" s="528">
        <f t="shared" si="411"/>
        <v>0.12605803958124115</v>
      </c>
      <c r="AE398" s="528">
        <f t="shared" si="411"/>
        <v>0.11378518998286591</v>
      </c>
      <c r="AF398" s="528">
        <f t="shared" si="411"/>
        <v>9.2707679684730163E-2</v>
      </c>
      <c r="AG398" s="528">
        <f t="shared" si="411"/>
        <v>6.8180417015946779E-2</v>
      </c>
      <c r="AH398" s="528">
        <f t="shared" si="411"/>
        <v>4.5260187516054588E-2</v>
      </c>
      <c r="AI398" s="528">
        <f t="shared" si="411"/>
        <v>2.7119656742180413E-2</v>
      </c>
      <c r="AJ398" s="528">
        <f t="shared" si="411"/>
        <v>1.4667671448060682E-2</v>
      </c>
      <c r="AK398" s="528">
        <f t="shared" si="411"/>
        <v>7.1605260386030664E-3</v>
      </c>
      <c r="AL398" s="528">
        <f t="shared" si="411"/>
        <v>3.1552422714194537E-3</v>
      </c>
      <c r="AM398" s="528">
        <f t="shared" si="411"/>
        <v>1.2549355679067435E-3</v>
      </c>
      <c r="AN398" s="528">
        <f t="shared" si="411"/>
        <v>4.5051333008265439E-4</v>
      </c>
      <c r="AO398" s="528">
        <f t="shared" si="411"/>
        <v>1.459780668142713E-4</v>
      </c>
      <c r="AP398" s="528">
        <f t="shared" si="411"/>
        <v>4.2693057141835676E-5</v>
      </c>
      <c r="AQ398" s="528">
        <f t="shared" si="411"/>
        <v>1.1269696952283629E-5</v>
      </c>
      <c r="AR398" s="528" t="str">
        <f t="shared" si="411"/>
        <v/>
      </c>
      <c r="AS398" s="528" t="str">
        <f t="shared" si="411"/>
        <v/>
      </c>
      <c r="AT398" s="528" t="str">
        <f t="shared" si="411"/>
        <v/>
      </c>
      <c r="AU398" s="528" t="str">
        <f t="shared" si="411"/>
        <v/>
      </c>
      <c r="AV398" s="528" t="str">
        <f t="shared" si="411"/>
        <v/>
      </c>
      <c r="AW398" s="528" t="str">
        <f t="shared" si="411"/>
        <v/>
      </c>
      <c r="AX398" s="528" t="str">
        <f t="shared" si="411"/>
        <v/>
      </c>
      <c r="AY398" s="528" t="str">
        <f t="shared" si="411"/>
        <v/>
      </c>
      <c r="AZ398" s="528" t="str">
        <f t="shared" si="411"/>
        <v/>
      </c>
      <c r="BA398" s="528" t="str">
        <f t="shared" si="411"/>
        <v/>
      </c>
      <c r="BB398" s="528" t="str">
        <f t="shared" si="411"/>
        <v/>
      </c>
      <c r="BC398" s="528" t="str">
        <f t="shared" si="411"/>
        <v/>
      </c>
      <c r="BD398" s="528" t="str">
        <f t="shared" si="411"/>
        <v/>
      </c>
      <c r="BE398" s="528" t="str">
        <f t="shared" si="411"/>
        <v/>
      </c>
      <c r="BF398" s="528" t="str">
        <f t="shared" si="411"/>
        <v/>
      </c>
      <c r="BG398" s="528" t="str">
        <f t="shared" si="411"/>
        <v/>
      </c>
      <c r="BH398" s="528" t="str">
        <f t="shared" si="411"/>
        <v/>
      </c>
      <c r="BI398" s="528" t="str">
        <f t="shared" si="411"/>
        <v/>
      </c>
      <c r="BJ398" s="528" t="str">
        <f t="shared" si="411"/>
        <v/>
      </c>
      <c r="BK398" s="528" t="str">
        <f t="shared" si="411"/>
        <v/>
      </c>
      <c r="BL398" s="528" t="str">
        <f t="shared" si="411"/>
        <v/>
      </c>
      <c r="BM398" s="528" t="str">
        <f t="shared" si="411"/>
        <v/>
      </c>
    </row>
    <row r="399" spans="6:65" ht="15.75" customHeight="1" x14ac:dyDescent="0.25">
      <c r="F399" s="197"/>
      <c r="G399" s="197">
        <f t="shared" si="268"/>
        <v>0</v>
      </c>
      <c r="H399" s="197">
        <f t="shared" si="269"/>
        <v>299</v>
      </c>
      <c r="I399" s="523">
        <v>1</v>
      </c>
      <c r="J399" s="533">
        <f>'Monthly DCF'!$I$3</f>
        <v>46418</v>
      </c>
      <c r="K399" s="533">
        <f t="shared" si="270"/>
        <v>47269</v>
      </c>
      <c r="L399" s="536">
        <f t="shared" si="388"/>
        <v>29</v>
      </c>
      <c r="M399" s="20" t="s">
        <v>366</v>
      </c>
      <c r="N399" s="20">
        <f t="shared" si="271"/>
        <v>3.2222222222222223</v>
      </c>
      <c r="O399" s="537">
        <v>9</v>
      </c>
      <c r="P399" s="528">
        <f t="shared" ref="P399:BM399" si="412">IFERROR(+IF(AND($M399="Flat",P$5&gt;=$J399,P$5&lt;=$K399),$I399/$L399,0)+IF(AND($M399="S-Curve",P$5&gt;=$J399,P$5&lt;=$K399),(_xlfn.NORM.DIST((YEAR(P$5)-YEAR($J399))*12+MONTH(P$5)-MONTH($J399)+1,$L399/2,$N399,TRUE)-_xlfn.NORM.DIST((YEAR(P$5)-YEAR($J399))*12+MONTH(P$5)-MONTH($J399),$L399/2,$N399,TRUE))/(1-2*_xlfn.NORM.DIST(0,$L399/2,$N399,TRUE))*$I399," "),"")</f>
        <v>1.0571332731869835E-5</v>
      </c>
      <c r="Q399" s="528">
        <f t="shared" si="412"/>
        <v>3.8407845935765163E-5</v>
      </c>
      <c r="R399" s="528">
        <f t="shared" si="412"/>
        <v>1.2682113698749098E-4</v>
      </c>
      <c r="S399" s="528">
        <f t="shared" si="412"/>
        <v>3.8058201640504119E-4</v>
      </c>
      <c r="T399" s="528">
        <f t="shared" si="412"/>
        <v>1.0379896813768341E-3</v>
      </c>
      <c r="U399" s="528">
        <f t="shared" si="412"/>
        <v>2.572935820109248E-3</v>
      </c>
      <c r="V399" s="528">
        <f t="shared" si="412"/>
        <v>5.7964054788128576E-3</v>
      </c>
      <c r="W399" s="528">
        <f t="shared" si="412"/>
        <v>1.1868202260529431E-2</v>
      </c>
      <c r="X399" s="528">
        <f t="shared" si="412"/>
        <v>2.2085626123379293E-2</v>
      </c>
      <c r="Y399" s="528">
        <f t="shared" si="412"/>
        <v>3.7353820963298381E-2</v>
      </c>
      <c r="Z399" s="528">
        <f t="shared" si="412"/>
        <v>5.7419915513876749E-2</v>
      </c>
      <c r="AA399" s="528">
        <f t="shared" si="412"/>
        <v>8.0222027179291791E-2</v>
      </c>
      <c r="AB399" s="528">
        <f t="shared" si="412"/>
        <v>0.1018660232277132</v>
      </c>
      <c r="AC399" s="528">
        <f t="shared" si="412"/>
        <v>0.11756295015809941</v>
      </c>
      <c r="AD399" s="528">
        <f t="shared" si="412"/>
        <v>0.1233154425229053</v>
      </c>
      <c r="AE399" s="528">
        <f t="shared" si="412"/>
        <v>0.11756295015809941</v>
      </c>
      <c r="AF399" s="528">
        <f t="shared" si="412"/>
        <v>0.10186602322771325</v>
      </c>
      <c r="AG399" s="528">
        <f t="shared" si="412"/>
        <v>8.0222027179291708E-2</v>
      </c>
      <c r="AH399" s="528">
        <f t="shared" si="412"/>
        <v>5.7419915513876832E-2</v>
      </c>
      <c r="AI399" s="528">
        <f t="shared" si="412"/>
        <v>3.7353820963298305E-2</v>
      </c>
      <c r="AJ399" s="528">
        <f t="shared" si="412"/>
        <v>2.2085626123379297E-2</v>
      </c>
      <c r="AK399" s="528">
        <f t="shared" si="412"/>
        <v>1.1868202260529414E-2</v>
      </c>
      <c r="AL399" s="528">
        <f t="shared" si="412"/>
        <v>5.79640547881294E-3</v>
      </c>
      <c r="AM399" s="528">
        <f t="shared" si="412"/>
        <v>2.5729358201091652E-3</v>
      </c>
      <c r="AN399" s="528">
        <f t="shared" si="412"/>
        <v>1.0379896813768644E-3</v>
      </c>
      <c r="AO399" s="528">
        <f t="shared" si="412"/>
        <v>3.8058201640509725E-4</v>
      </c>
      <c r="AP399" s="528">
        <f t="shared" si="412"/>
        <v>1.2682113698748824E-4</v>
      </c>
      <c r="AQ399" s="528">
        <f t="shared" si="412"/>
        <v>3.8407845935725454E-5</v>
      </c>
      <c r="AR399" s="528">
        <f t="shared" si="412"/>
        <v>1.0571332731852488E-5</v>
      </c>
      <c r="AS399" s="528" t="str">
        <f t="shared" si="412"/>
        <v/>
      </c>
      <c r="AT399" s="528" t="str">
        <f t="shared" si="412"/>
        <v/>
      </c>
      <c r="AU399" s="528" t="str">
        <f t="shared" si="412"/>
        <v/>
      </c>
      <c r="AV399" s="528" t="str">
        <f t="shared" si="412"/>
        <v/>
      </c>
      <c r="AW399" s="528" t="str">
        <f t="shared" si="412"/>
        <v/>
      </c>
      <c r="AX399" s="528" t="str">
        <f t="shared" si="412"/>
        <v/>
      </c>
      <c r="AY399" s="528" t="str">
        <f t="shared" si="412"/>
        <v/>
      </c>
      <c r="AZ399" s="528" t="str">
        <f t="shared" si="412"/>
        <v/>
      </c>
      <c r="BA399" s="528" t="str">
        <f t="shared" si="412"/>
        <v/>
      </c>
      <c r="BB399" s="528" t="str">
        <f t="shared" si="412"/>
        <v/>
      </c>
      <c r="BC399" s="528" t="str">
        <f t="shared" si="412"/>
        <v/>
      </c>
      <c r="BD399" s="528" t="str">
        <f t="shared" si="412"/>
        <v/>
      </c>
      <c r="BE399" s="528" t="str">
        <f t="shared" si="412"/>
        <v/>
      </c>
      <c r="BF399" s="528" t="str">
        <f t="shared" si="412"/>
        <v/>
      </c>
      <c r="BG399" s="528" t="str">
        <f t="shared" si="412"/>
        <v/>
      </c>
      <c r="BH399" s="528" t="str">
        <f t="shared" si="412"/>
        <v/>
      </c>
      <c r="BI399" s="528" t="str">
        <f t="shared" si="412"/>
        <v/>
      </c>
      <c r="BJ399" s="528" t="str">
        <f t="shared" si="412"/>
        <v/>
      </c>
      <c r="BK399" s="528" t="str">
        <f t="shared" si="412"/>
        <v/>
      </c>
      <c r="BL399" s="528" t="str">
        <f t="shared" si="412"/>
        <v/>
      </c>
      <c r="BM399" s="528" t="str">
        <f t="shared" si="412"/>
        <v/>
      </c>
    </row>
    <row r="400" spans="6:65" ht="15.75" customHeight="1" x14ac:dyDescent="0.25">
      <c r="F400" s="197"/>
      <c r="G400" s="197">
        <f t="shared" si="268"/>
        <v>0</v>
      </c>
      <c r="H400" s="197">
        <f t="shared" si="269"/>
        <v>309</v>
      </c>
      <c r="I400" s="523">
        <v>1</v>
      </c>
      <c r="J400" s="533">
        <f>'Monthly DCF'!$I$3</f>
        <v>46418</v>
      </c>
      <c r="K400" s="533">
        <f t="shared" si="270"/>
        <v>47299</v>
      </c>
      <c r="L400" s="536">
        <f t="shared" si="388"/>
        <v>30</v>
      </c>
      <c r="M400" s="20" t="s">
        <v>366</v>
      </c>
      <c r="N400" s="20">
        <f t="shared" si="271"/>
        <v>3.3333333333333335</v>
      </c>
      <c r="O400" s="537">
        <v>9</v>
      </c>
      <c r="P400" s="528">
        <f t="shared" ref="P400:BM400" si="413">IFERROR(+IF(AND($M400="Flat",P$5&gt;=$J400,P$5&lt;=$K400),$I400/$L400,0)+IF(AND($M400="S-Curve",P$5&gt;=$J400,P$5&lt;=$K400),(_xlfn.NORM.DIST((YEAR(P$5)-YEAR($J400))*12+MONTH(P$5)-MONTH($J400)+1,$L400/2,$N400,TRUE)-_xlfn.NORM.DIST((YEAR(P$5)-YEAR($J400))*12+MONTH(P$5)-MONTH($J400),$L400/2,$N400,TRUE))/(1-2*_xlfn.NORM.DIST(0,$L400/2,$N400,TRUE))*$I400," "),"")</f>
        <v>9.9481434922558246E-6</v>
      </c>
      <c r="Q400" s="528">
        <f t="shared" si="413"/>
        <v>3.4750831145626401E-5</v>
      </c>
      <c r="R400" s="528">
        <f t="shared" si="413"/>
        <v>1.1101300051170802E-4</v>
      </c>
      <c r="S400" s="528">
        <f t="shared" si="413"/>
        <v>3.2431775607769093E-4</v>
      </c>
      <c r="T400" s="528">
        <f t="shared" si="413"/>
        <v>8.664797772764206E-4</v>
      </c>
      <c r="U400" s="528">
        <f t="shared" si="413"/>
        <v>2.1170901577712382E-3</v>
      </c>
      <c r="V400" s="528">
        <f t="shared" si="413"/>
        <v>4.7305942675814772E-3</v>
      </c>
      <c r="W400" s="528">
        <f t="shared" si="413"/>
        <v>9.6669503284950737E-3</v>
      </c>
      <c r="X400" s="528">
        <f t="shared" si="413"/>
        <v>1.806602131497945E-2</v>
      </c>
      <c r="Y400" s="528">
        <f t="shared" si="413"/>
        <v>3.0877091976463406E-2</v>
      </c>
      <c r="Z400" s="528">
        <f t="shared" si="413"/>
        <v>4.8262796915266228E-2</v>
      </c>
      <c r="AA400" s="528">
        <f t="shared" si="413"/>
        <v>6.8990923942267482E-2</v>
      </c>
      <c r="AB400" s="528">
        <f t="shared" si="413"/>
        <v>9.0193605300091545E-2</v>
      </c>
      <c r="AC400" s="528">
        <f t="shared" si="413"/>
        <v>0.10783619284524239</v>
      </c>
      <c r="AD400" s="528">
        <f t="shared" si="413"/>
        <v>0.11791222344333802</v>
      </c>
      <c r="AE400" s="528">
        <f t="shared" si="413"/>
        <v>0.11791222344333802</v>
      </c>
      <c r="AF400" s="528">
        <f t="shared" si="413"/>
        <v>0.10783619284524239</v>
      </c>
      <c r="AG400" s="528">
        <f t="shared" si="413"/>
        <v>9.0193605300091517E-2</v>
      </c>
      <c r="AH400" s="528">
        <f t="shared" si="413"/>
        <v>6.8990923942267565E-2</v>
      </c>
      <c r="AI400" s="528">
        <f t="shared" si="413"/>
        <v>4.8262796915266144E-2</v>
      </c>
      <c r="AJ400" s="528">
        <f t="shared" si="413"/>
        <v>3.0877091976463475E-2</v>
      </c>
      <c r="AK400" s="528">
        <f t="shared" si="413"/>
        <v>1.8066021314979391E-2</v>
      </c>
      <c r="AL400" s="528">
        <f t="shared" si="413"/>
        <v>9.6669503284950668E-3</v>
      </c>
      <c r="AM400" s="528">
        <f t="shared" si="413"/>
        <v>4.730594267581551E-3</v>
      </c>
      <c r="AN400" s="528">
        <f t="shared" si="413"/>
        <v>2.1170901577711784E-3</v>
      </c>
      <c r="AO400" s="528">
        <f t="shared" si="413"/>
        <v>8.6647977727642668E-4</v>
      </c>
      <c r="AP400" s="528">
        <f t="shared" si="413"/>
        <v>3.2431775607767607E-4</v>
      </c>
      <c r="AQ400" s="528">
        <f t="shared" si="413"/>
        <v>1.1101300051173986E-4</v>
      </c>
      <c r="AR400" s="528">
        <f t="shared" si="413"/>
        <v>3.4750831145616962E-5</v>
      </c>
      <c r="AS400" s="528">
        <f t="shared" si="413"/>
        <v>9.9481434922436561E-6</v>
      </c>
      <c r="AT400" s="528" t="str">
        <f t="shared" si="413"/>
        <v/>
      </c>
      <c r="AU400" s="528" t="str">
        <f t="shared" si="413"/>
        <v/>
      </c>
      <c r="AV400" s="528" t="str">
        <f t="shared" si="413"/>
        <v/>
      </c>
      <c r="AW400" s="528" t="str">
        <f t="shared" si="413"/>
        <v/>
      </c>
      <c r="AX400" s="528" t="str">
        <f t="shared" si="413"/>
        <v/>
      </c>
      <c r="AY400" s="528" t="str">
        <f t="shared" si="413"/>
        <v/>
      </c>
      <c r="AZ400" s="528" t="str">
        <f t="shared" si="413"/>
        <v/>
      </c>
      <c r="BA400" s="528" t="str">
        <f t="shared" si="413"/>
        <v/>
      </c>
      <c r="BB400" s="528" t="str">
        <f t="shared" si="413"/>
        <v/>
      </c>
      <c r="BC400" s="528" t="str">
        <f t="shared" si="413"/>
        <v/>
      </c>
      <c r="BD400" s="528" t="str">
        <f t="shared" si="413"/>
        <v/>
      </c>
      <c r="BE400" s="528" t="str">
        <f t="shared" si="413"/>
        <v/>
      </c>
      <c r="BF400" s="528" t="str">
        <f t="shared" si="413"/>
        <v/>
      </c>
      <c r="BG400" s="528" t="str">
        <f t="shared" si="413"/>
        <v/>
      </c>
      <c r="BH400" s="528" t="str">
        <f t="shared" si="413"/>
        <v/>
      </c>
      <c r="BI400" s="528" t="str">
        <f t="shared" si="413"/>
        <v/>
      </c>
      <c r="BJ400" s="528" t="str">
        <f t="shared" si="413"/>
        <v/>
      </c>
      <c r="BK400" s="528" t="str">
        <f t="shared" si="413"/>
        <v/>
      </c>
      <c r="BL400" s="528" t="str">
        <f t="shared" si="413"/>
        <v/>
      </c>
      <c r="BM400" s="528" t="str">
        <f t="shared" si="413"/>
        <v/>
      </c>
    </row>
    <row r="401" spans="6:65" ht="15.75" customHeight="1" x14ac:dyDescent="0.25">
      <c r="F401" s="197"/>
      <c r="G401" s="197">
        <f t="shared" si="268"/>
        <v>0</v>
      </c>
      <c r="H401" s="197">
        <f t="shared" si="269"/>
        <v>319</v>
      </c>
      <c r="I401" s="523">
        <v>1</v>
      </c>
      <c r="J401" s="533">
        <f>'Monthly DCF'!$I$3</f>
        <v>46418</v>
      </c>
      <c r="K401" s="533">
        <f t="shared" si="270"/>
        <v>47330</v>
      </c>
      <c r="L401" s="536">
        <f t="shared" si="388"/>
        <v>31</v>
      </c>
      <c r="M401" s="20" t="s">
        <v>366</v>
      </c>
      <c r="N401" s="20">
        <f t="shared" si="271"/>
        <v>3.4444444444444446</v>
      </c>
      <c r="O401" s="537">
        <v>9</v>
      </c>
      <c r="P401" s="528">
        <f t="shared" ref="P401:BM401" si="414">IFERROR(+IF(AND($M401="Flat",P$5&gt;=$J401,P$5&lt;=$K401),$I401/$L401,0)+IF(AND($M401="S-Curve",P$5&gt;=$J401,P$5&lt;=$K401),(_xlfn.NORM.DIST((YEAR(P$5)-YEAR($J401))*12+MONTH(P$5)-MONTH($J401)+1,$L401/2,$N401,TRUE)-_xlfn.NORM.DIST((YEAR(P$5)-YEAR($J401))*12+MONTH(P$5)-MONTH($J401),$L401/2,$N401,TRUE))/(1-2*_xlfn.NORM.DIST(0,$L401/2,$N401,TRUE))*$I401," "),"")</f>
        <v>9.3891684120091624E-6</v>
      </c>
      <c r="Q401" s="528">
        <f t="shared" si="414"/>
        <v>3.1606595541943758E-5</v>
      </c>
      <c r="R401" s="528">
        <f t="shared" si="414"/>
        <v>9.7850353375179711E-5</v>
      </c>
      <c r="S401" s="528">
        <f t="shared" si="414"/>
        <v>2.7860145391852355E-4</v>
      </c>
      <c r="T401" s="528">
        <f t="shared" si="414"/>
        <v>7.2952929464411057E-4</v>
      </c>
      <c r="U401" s="528">
        <f t="shared" si="414"/>
        <v>1.7568812433067743E-3</v>
      </c>
      <c r="V401" s="528">
        <f t="shared" si="414"/>
        <v>3.8912056017395462E-3</v>
      </c>
      <c r="W401" s="528">
        <f t="shared" si="414"/>
        <v>7.9262850907714753E-3</v>
      </c>
      <c r="X401" s="528">
        <f t="shared" si="414"/>
        <v>1.4849109722456927E-2</v>
      </c>
      <c r="Y401" s="528">
        <f t="shared" si="414"/>
        <v>2.5584543789872488E-2</v>
      </c>
      <c r="Z401" s="528">
        <f t="shared" si="414"/>
        <v>4.0541762161376484E-2</v>
      </c>
      <c r="AA401" s="528">
        <f t="shared" si="414"/>
        <v>5.9084862415722146E-2</v>
      </c>
      <c r="AB401" s="528">
        <f t="shared" si="414"/>
        <v>7.9195281033137416E-2</v>
      </c>
      <c r="AC401" s="528">
        <f t="shared" si="414"/>
        <v>9.7627569692336949E-2</v>
      </c>
      <c r="AD401" s="528">
        <f t="shared" si="414"/>
        <v>0.11068689423339033</v>
      </c>
      <c r="AE401" s="528">
        <f t="shared" si="414"/>
        <v>0.1154172562999954</v>
      </c>
      <c r="AF401" s="528">
        <f t="shared" si="414"/>
        <v>0.11068689423339033</v>
      </c>
      <c r="AG401" s="528">
        <f t="shared" si="414"/>
        <v>9.7627569692337005E-2</v>
      </c>
      <c r="AH401" s="528">
        <f t="shared" si="414"/>
        <v>7.9195281033137305E-2</v>
      </c>
      <c r="AI401" s="528">
        <f t="shared" si="414"/>
        <v>5.9084862415722174E-2</v>
      </c>
      <c r="AJ401" s="528">
        <f t="shared" si="414"/>
        <v>4.0541762161376504E-2</v>
      </c>
      <c r="AK401" s="528">
        <f t="shared" si="414"/>
        <v>2.5584543789872474E-2</v>
      </c>
      <c r="AL401" s="528">
        <f t="shared" si="414"/>
        <v>1.4849109722456922E-2</v>
      </c>
      <c r="AM401" s="528">
        <f t="shared" si="414"/>
        <v>7.9262850907715534E-3</v>
      </c>
      <c r="AN401" s="528">
        <f t="shared" si="414"/>
        <v>3.8912056017394851E-3</v>
      </c>
      <c r="AO401" s="528">
        <f t="shared" si="414"/>
        <v>1.7568812433068012E-3</v>
      </c>
      <c r="AP401" s="528">
        <f t="shared" si="414"/>
        <v>7.2952929464409583E-4</v>
      </c>
      <c r="AQ401" s="528">
        <f t="shared" si="414"/>
        <v>2.7860145391852398E-4</v>
      </c>
      <c r="AR401" s="528">
        <f t="shared" si="414"/>
        <v>9.7850353375202371E-5</v>
      </c>
      <c r="AS401" s="528">
        <f t="shared" si="414"/>
        <v>3.1606595541920258E-5</v>
      </c>
      <c r="AT401" s="528">
        <f t="shared" si="414"/>
        <v>9.3891684119978528E-6</v>
      </c>
      <c r="AU401" s="528" t="str">
        <f t="shared" si="414"/>
        <v/>
      </c>
      <c r="AV401" s="528" t="str">
        <f t="shared" si="414"/>
        <v/>
      </c>
      <c r="AW401" s="528" t="str">
        <f t="shared" si="414"/>
        <v/>
      </c>
      <c r="AX401" s="528" t="str">
        <f t="shared" si="414"/>
        <v/>
      </c>
      <c r="AY401" s="528" t="str">
        <f t="shared" si="414"/>
        <v/>
      </c>
      <c r="AZ401" s="528" t="str">
        <f t="shared" si="414"/>
        <v/>
      </c>
      <c r="BA401" s="528" t="str">
        <f t="shared" si="414"/>
        <v/>
      </c>
      <c r="BB401" s="528" t="str">
        <f t="shared" si="414"/>
        <v/>
      </c>
      <c r="BC401" s="528" t="str">
        <f t="shared" si="414"/>
        <v/>
      </c>
      <c r="BD401" s="528" t="str">
        <f t="shared" si="414"/>
        <v/>
      </c>
      <c r="BE401" s="528" t="str">
        <f t="shared" si="414"/>
        <v/>
      </c>
      <c r="BF401" s="528" t="str">
        <f t="shared" si="414"/>
        <v/>
      </c>
      <c r="BG401" s="528" t="str">
        <f t="shared" si="414"/>
        <v/>
      </c>
      <c r="BH401" s="528" t="str">
        <f t="shared" si="414"/>
        <v/>
      </c>
      <c r="BI401" s="528" t="str">
        <f t="shared" si="414"/>
        <v/>
      </c>
      <c r="BJ401" s="528" t="str">
        <f t="shared" si="414"/>
        <v/>
      </c>
      <c r="BK401" s="528" t="str">
        <f t="shared" si="414"/>
        <v/>
      </c>
      <c r="BL401" s="528" t="str">
        <f t="shared" si="414"/>
        <v/>
      </c>
      <c r="BM401" s="528" t="str">
        <f t="shared" si="414"/>
        <v/>
      </c>
    </row>
    <row r="402" spans="6:65" ht="15.75" customHeight="1" x14ac:dyDescent="0.25">
      <c r="F402" s="197"/>
      <c r="G402" s="197">
        <f t="shared" si="268"/>
        <v>0</v>
      </c>
      <c r="H402" s="197">
        <f t="shared" si="269"/>
        <v>329</v>
      </c>
      <c r="I402" s="523">
        <v>1</v>
      </c>
      <c r="J402" s="533">
        <f>'Monthly DCF'!$I$3</f>
        <v>46418</v>
      </c>
      <c r="K402" s="533">
        <f t="shared" si="270"/>
        <v>47361</v>
      </c>
      <c r="L402" s="536">
        <f t="shared" si="388"/>
        <v>32</v>
      </c>
      <c r="M402" s="20" t="s">
        <v>366</v>
      </c>
      <c r="N402" s="20">
        <f t="shared" si="271"/>
        <v>3.5555555555555554</v>
      </c>
      <c r="O402" s="537">
        <v>9</v>
      </c>
      <c r="P402" s="528">
        <f t="shared" ref="P402:BM402" si="415">IFERROR(+IF(AND($M402="Flat",P$5&gt;=$J402,P$5&lt;=$K402),$I402/$L402,0)+IF(AND($M402="S-Curve",P$5&gt;=$J402,P$5&lt;=$K402),(_xlfn.NORM.DIST((YEAR(P$5)-YEAR($J402))*12+MONTH(P$5)-MONTH($J402)+1,$L402/2,$N402,TRUE)-_xlfn.NORM.DIST((YEAR(P$5)-YEAR($J402))*12+MONTH(P$5)-MONTH($J402),$L402/2,$N402,TRUE))/(1-2*_xlfn.NORM.DIST(0,$L402/2,$N402,TRUE))*$I402," "),"")</f>
        <v>8.885411188576998E-6</v>
      </c>
      <c r="Q402" s="528">
        <f t="shared" si="415"/>
        <v>2.8884638318856478E-5</v>
      </c>
      <c r="R402" s="528">
        <f t="shared" si="415"/>
        <v>8.6799008027647307E-5</v>
      </c>
      <c r="S402" s="528">
        <f t="shared" si="415"/>
        <v>2.4111420855966675E-4</v>
      </c>
      <c r="T402" s="528">
        <f t="shared" si="415"/>
        <v>6.1914552980684302E-4</v>
      </c>
      <c r="U402" s="528">
        <f t="shared" si="415"/>
        <v>1.4696913854848749E-3</v>
      </c>
      <c r="V402" s="528">
        <f t="shared" si="415"/>
        <v>3.2249611087800589E-3</v>
      </c>
      <c r="W402" s="528">
        <f t="shared" si="415"/>
        <v>6.5416767387538174E-3</v>
      </c>
      <c r="X402" s="528">
        <f t="shared" si="415"/>
        <v>1.2266513964398228E-2</v>
      </c>
      <c r="Y402" s="528">
        <f t="shared" si="415"/>
        <v>2.1262866186045826E-2</v>
      </c>
      <c r="Z402" s="528">
        <f t="shared" si="415"/>
        <v>3.4071557387693824E-2</v>
      </c>
      <c r="AA402" s="528">
        <f t="shared" si="415"/>
        <v>5.0469909275912307E-2</v>
      </c>
      <c r="AB402" s="528">
        <f t="shared" si="415"/>
        <v>6.9110512964429008E-2</v>
      </c>
      <c r="AC402" s="528">
        <f t="shared" si="415"/>
        <v>8.7483735827268524E-2</v>
      </c>
      <c r="AD402" s="528">
        <f t="shared" si="415"/>
        <v>0.10237232244694952</v>
      </c>
      <c r="AE402" s="528">
        <f t="shared" si="415"/>
        <v>0.11074142391838242</v>
      </c>
      <c r="AF402" s="528">
        <f t="shared" si="415"/>
        <v>0.11074142391838236</v>
      </c>
      <c r="AG402" s="528">
        <f t="shared" si="415"/>
        <v>0.10237232244694958</v>
      </c>
      <c r="AH402" s="528">
        <f t="shared" si="415"/>
        <v>8.7483735827268497E-2</v>
      </c>
      <c r="AI402" s="528">
        <f t="shared" si="415"/>
        <v>6.9110512964429008E-2</v>
      </c>
      <c r="AJ402" s="528">
        <f t="shared" si="415"/>
        <v>5.0469909275912377E-2</v>
      </c>
      <c r="AK402" s="528">
        <f t="shared" si="415"/>
        <v>3.407155738769381E-2</v>
      </c>
      <c r="AL402" s="528">
        <f t="shared" si="415"/>
        <v>2.126286618604575E-2</v>
      </c>
      <c r="AM402" s="528">
        <f t="shared" si="415"/>
        <v>1.2266513964398301E-2</v>
      </c>
      <c r="AN402" s="528">
        <f t="shared" si="415"/>
        <v>6.5416767387537879E-3</v>
      </c>
      <c r="AO402" s="528">
        <f t="shared" si="415"/>
        <v>3.2249611087800203E-3</v>
      </c>
      <c r="AP402" s="528">
        <f t="shared" si="415"/>
        <v>1.469691385484917E-3</v>
      </c>
      <c r="AQ402" s="528">
        <f t="shared" si="415"/>
        <v>6.1914552980688248E-4</v>
      </c>
      <c r="AR402" s="528">
        <f t="shared" si="415"/>
        <v>2.4111420855959487E-4</v>
      </c>
      <c r="AS402" s="528">
        <f t="shared" si="415"/>
        <v>8.6799008027677529E-5</v>
      </c>
      <c r="AT402" s="528">
        <f t="shared" si="415"/>
        <v>2.8884638318865206E-5</v>
      </c>
      <c r="AU402" s="528">
        <f t="shared" si="415"/>
        <v>8.8854111885636047E-6</v>
      </c>
      <c r="AV402" s="528" t="str">
        <f t="shared" si="415"/>
        <v/>
      </c>
      <c r="AW402" s="528" t="str">
        <f t="shared" si="415"/>
        <v/>
      </c>
      <c r="AX402" s="528" t="str">
        <f t="shared" si="415"/>
        <v/>
      </c>
      <c r="AY402" s="528" t="str">
        <f t="shared" si="415"/>
        <v/>
      </c>
      <c r="AZ402" s="528" t="str">
        <f t="shared" si="415"/>
        <v/>
      </c>
      <c r="BA402" s="528" t="str">
        <f t="shared" si="415"/>
        <v/>
      </c>
      <c r="BB402" s="528" t="str">
        <f t="shared" si="415"/>
        <v/>
      </c>
      <c r="BC402" s="528" t="str">
        <f t="shared" si="415"/>
        <v/>
      </c>
      <c r="BD402" s="528" t="str">
        <f t="shared" si="415"/>
        <v/>
      </c>
      <c r="BE402" s="528" t="str">
        <f t="shared" si="415"/>
        <v/>
      </c>
      <c r="BF402" s="528" t="str">
        <f t="shared" si="415"/>
        <v/>
      </c>
      <c r="BG402" s="528" t="str">
        <f t="shared" si="415"/>
        <v/>
      </c>
      <c r="BH402" s="528" t="str">
        <f t="shared" si="415"/>
        <v/>
      </c>
      <c r="BI402" s="528" t="str">
        <f t="shared" si="415"/>
        <v/>
      </c>
      <c r="BJ402" s="528" t="str">
        <f t="shared" si="415"/>
        <v/>
      </c>
      <c r="BK402" s="528" t="str">
        <f t="shared" si="415"/>
        <v/>
      </c>
      <c r="BL402" s="528" t="str">
        <f t="shared" si="415"/>
        <v/>
      </c>
      <c r="BM402" s="528" t="str">
        <f t="shared" si="415"/>
        <v/>
      </c>
    </row>
    <row r="403" spans="6:65" ht="15.75" customHeight="1" x14ac:dyDescent="0.25">
      <c r="F403" s="197"/>
      <c r="G403" s="197">
        <f t="shared" si="268"/>
        <v>0</v>
      </c>
      <c r="H403" s="197">
        <f t="shared" si="269"/>
        <v>339</v>
      </c>
      <c r="I403" s="523">
        <v>1</v>
      </c>
      <c r="J403" s="533">
        <f>'Monthly DCF'!$I$3</f>
        <v>46418</v>
      </c>
      <c r="K403" s="533">
        <f t="shared" si="270"/>
        <v>47391</v>
      </c>
      <c r="L403" s="536">
        <f t="shared" si="388"/>
        <v>33</v>
      </c>
      <c r="M403" s="20" t="s">
        <v>366</v>
      </c>
      <c r="N403" s="20">
        <f t="shared" si="271"/>
        <v>3.6666666666666665</v>
      </c>
      <c r="O403" s="537">
        <v>9</v>
      </c>
      <c r="P403" s="528">
        <f t="shared" ref="P403:BM403" si="416">IFERROR(+IF(AND($M403="Flat",P$5&gt;=$J403,P$5&lt;=$K403),$I403/$L403,0)+IF(AND($M403="S-Curve",P$5&gt;=$J403,P$5&lt;=$K403),(_xlfn.NORM.DIST((YEAR(P$5)-YEAR($J403))*12+MONTH(P$5)-MONTH($J403)+1,$L403/2,$N403,TRUE)-_xlfn.NORM.DIST((YEAR(P$5)-YEAR($J403))*12+MONTH(P$5)-MONTH($J403),$L403/2,$N403,TRUE))/(1-2*_xlfn.NORM.DIST(0,$L403/2,$N403,TRUE))*$I403," "),"")</f>
        <v>8.4294290354089031E-6</v>
      </c>
      <c r="Q403" s="528">
        <f t="shared" si="416"/>
        <v>2.6513281935706398E-5</v>
      </c>
      <c r="R403" s="528">
        <f t="shared" si="416"/>
        <v>7.7448650923320569E-5</v>
      </c>
      <c r="S403" s="528">
        <f t="shared" si="416"/>
        <v>2.1011193222252589E-4</v>
      </c>
      <c r="T403" s="528">
        <f t="shared" si="416"/>
        <v>5.2938964288362189E-4</v>
      </c>
      <c r="U403" s="528">
        <f t="shared" si="416"/>
        <v>1.2387661034190315E-3</v>
      </c>
      <c r="V403" s="528">
        <f t="shared" si="416"/>
        <v>2.6921145112669509E-3</v>
      </c>
      <c r="W403" s="528">
        <f t="shared" si="416"/>
        <v>5.4336190710955728E-3</v>
      </c>
      <c r="X403" s="528">
        <f t="shared" si="416"/>
        <v>1.018538139951787E-2</v>
      </c>
      <c r="Y403" s="528">
        <f t="shared" si="416"/>
        <v>1.7732042254083345E-2</v>
      </c>
      <c r="Z403" s="528">
        <f t="shared" si="416"/>
        <v>2.8670441277410991E-2</v>
      </c>
      <c r="AA403" s="528">
        <f t="shared" si="416"/>
        <v>4.305314257727378E-2</v>
      </c>
      <c r="AB403" s="528">
        <f t="shared" si="416"/>
        <v>6.0044162878098051E-2</v>
      </c>
      <c r="AC403" s="528">
        <f t="shared" si="416"/>
        <v>7.7773685351996705E-2</v>
      </c>
      <c r="AD403" s="528">
        <f t="shared" si="416"/>
        <v>9.3560146528114049E-2</v>
      </c>
      <c r="AE403" s="528">
        <f t="shared" si="416"/>
        <v>0.10453114611716813</v>
      </c>
      <c r="AF403" s="528">
        <f t="shared" si="416"/>
        <v>0.10846691798710985</v>
      </c>
      <c r="AG403" s="528">
        <f t="shared" si="416"/>
        <v>0.10453114611716813</v>
      </c>
      <c r="AH403" s="528">
        <f t="shared" si="416"/>
        <v>9.3560146528114105E-2</v>
      </c>
      <c r="AI403" s="528">
        <f t="shared" si="416"/>
        <v>7.7773685351996732E-2</v>
      </c>
      <c r="AJ403" s="528">
        <f t="shared" si="416"/>
        <v>6.0044162878098037E-2</v>
      </c>
      <c r="AK403" s="528">
        <f t="shared" si="416"/>
        <v>4.3053142577273738E-2</v>
      </c>
      <c r="AL403" s="528">
        <f t="shared" si="416"/>
        <v>2.8670441277410964E-2</v>
      </c>
      <c r="AM403" s="528">
        <f t="shared" si="416"/>
        <v>1.7732042254083456E-2</v>
      </c>
      <c r="AN403" s="528">
        <f t="shared" si="416"/>
        <v>1.0185381399517862E-2</v>
      </c>
      <c r="AO403" s="528">
        <f t="shared" si="416"/>
        <v>5.4336190710955398E-3</v>
      </c>
      <c r="AP403" s="528">
        <f t="shared" si="416"/>
        <v>2.6921145112669756E-3</v>
      </c>
      <c r="AQ403" s="528">
        <f t="shared" si="416"/>
        <v>1.2387661034189491E-3</v>
      </c>
      <c r="AR403" s="528">
        <f t="shared" si="416"/>
        <v>5.2938964288371708E-4</v>
      </c>
      <c r="AS403" s="528">
        <f t="shared" si="416"/>
        <v>2.1011193222252882E-4</v>
      </c>
      <c r="AT403" s="528">
        <f t="shared" si="416"/>
        <v>7.7448650923239145E-5</v>
      </c>
      <c r="AU403" s="528">
        <f t="shared" si="416"/>
        <v>2.6513281935752341E-5</v>
      </c>
      <c r="AV403" s="528">
        <f t="shared" si="416"/>
        <v>8.4294290353815237E-6</v>
      </c>
      <c r="AW403" s="528" t="str">
        <f t="shared" si="416"/>
        <v/>
      </c>
      <c r="AX403" s="528" t="str">
        <f t="shared" si="416"/>
        <v/>
      </c>
      <c r="AY403" s="528" t="str">
        <f t="shared" si="416"/>
        <v/>
      </c>
      <c r="AZ403" s="528" t="str">
        <f t="shared" si="416"/>
        <v/>
      </c>
      <c r="BA403" s="528" t="str">
        <f t="shared" si="416"/>
        <v/>
      </c>
      <c r="BB403" s="528" t="str">
        <f t="shared" si="416"/>
        <v/>
      </c>
      <c r="BC403" s="528" t="str">
        <f t="shared" si="416"/>
        <v/>
      </c>
      <c r="BD403" s="528" t="str">
        <f t="shared" si="416"/>
        <v/>
      </c>
      <c r="BE403" s="528" t="str">
        <f t="shared" si="416"/>
        <v/>
      </c>
      <c r="BF403" s="528" t="str">
        <f t="shared" si="416"/>
        <v/>
      </c>
      <c r="BG403" s="528" t="str">
        <f t="shared" si="416"/>
        <v/>
      </c>
      <c r="BH403" s="528" t="str">
        <f t="shared" si="416"/>
        <v/>
      </c>
      <c r="BI403" s="528" t="str">
        <f t="shared" si="416"/>
        <v/>
      </c>
      <c r="BJ403" s="528" t="str">
        <f t="shared" si="416"/>
        <v/>
      </c>
      <c r="BK403" s="528" t="str">
        <f t="shared" si="416"/>
        <v/>
      </c>
      <c r="BL403" s="528" t="str">
        <f t="shared" si="416"/>
        <v/>
      </c>
      <c r="BM403" s="528" t="str">
        <f t="shared" si="416"/>
        <v/>
      </c>
    </row>
    <row r="404" spans="6:65" ht="15.75" customHeight="1" x14ac:dyDescent="0.25">
      <c r="F404" s="197"/>
      <c r="G404" s="197">
        <f t="shared" si="268"/>
        <v>0</v>
      </c>
      <c r="H404" s="197">
        <f t="shared" si="269"/>
        <v>349</v>
      </c>
      <c r="I404" s="523">
        <v>1</v>
      </c>
      <c r="J404" s="533">
        <f>'Monthly DCF'!$I$3</f>
        <v>46418</v>
      </c>
      <c r="K404" s="533">
        <f t="shared" si="270"/>
        <v>47422</v>
      </c>
      <c r="L404" s="536">
        <f t="shared" si="388"/>
        <v>34</v>
      </c>
      <c r="M404" s="20" t="s">
        <v>366</v>
      </c>
      <c r="N404" s="20">
        <f t="shared" si="271"/>
        <v>3.7777777777777777</v>
      </c>
      <c r="O404" s="537">
        <v>9</v>
      </c>
      <c r="P404" s="528">
        <f t="shared" ref="P404:BM404" si="417">IFERROR(+IF(AND($M404="Flat",P$5&gt;=$J404,P$5&lt;=$K404),$I404/$L404,0)+IF(AND($M404="S-Curve",P$5&gt;=$J404,P$5&lt;=$K404),(_xlfn.NORM.DIST((YEAR(P$5)-YEAR($J404))*12+MONTH(P$5)-MONTH($J404)+1,$L404/2,$N404,TRUE)-_xlfn.NORM.DIST((YEAR(P$5)-YEAR($J404))*12+MONTH(P$5)-MONTH($J404),$L404/2,$N404,TRUE))/(1-2*_xlfn.NORM.DIST(0,$L404/2,$N404,TRUE))*$I404," "),"")</f>
        <v>8.0150188757162336E-6</v>
      </c>
      <c r="Q404" s="528">
        <f t="shared" si="417"/>
        <v>2.4435227184128215E-5</v>
      </c>
      <c r="R404" s="528">
        <f t="shared" si="417"/>
        <v>6.9480809264026687E-5</v>
      </c>
      <c r="S404" s="528">
        <f t="shared" si="417"/>
        <v>1.8426854332569481E-4</v>
      </c>
      <c r="T404" s="528">
        <f t="shared" si="417"/>
        <v>4.5580229739199503E-4</v>
      </c>
      <c r="U404" s="528">
        <f t="shared" si="417"/>
        <v>1.0515788557226341E-3</v>
      </c>
      <c r="V404" s="528">
        <f t="shared" si="417"/>
        <v>2.2628105350699624E-3</v>
      </c>
      <c r="W404" s="528">
        <f t="shared" si="417"/>
        <v>4.5414701107152084E-3</v>
      </c>
      <c r="X404" s="528">
        <f t="shared" si="417"/>
        <v>8.5013419136703138E-3</v>
      </c>
      <c r="Y404" s="528">
        <f t="shared" si="417"/>
        <v>1.4843011260488688E-2</v>
      </c>
      <c r="Z404" s="528">
        <f t="shared" si="417"/>
        <v>2.4171340550351091E-2</v>
      </c>
      <c r="AA404" s="528">
        <f t="shared" si="417"/>
        <v>3.6713368985465407E-2</v>
      </c>
      <c r="AB404" s="528">
        <f t="shared" si="417"/>
        <v>5.2010740308773125E-2</v>
      </c>
      <c r="AC404" s="528">
        <f t="shared" si="417"/>
        <v>6.8723861682424406E-2</v>
      </c>
      <c r="AD404" s="528">
        <f t="shared" si="417"/>
        <v>8.4697022361570395E-2</v>
      </c>
      <c r="AE404" s="528">
        <f t="shared" si="417"/>
        <v>9.7358765041613088E-2</v>
      </c>
      <c r="AF404" s="528">
        <f t="shared" si="417"/>
        <v>0.10438268649809412</v>
      </c>
      <c r="AG404" s="528">
        <f t="shared" si="417"/>
        <v>0.10438268649809412</v>
      </c>
      <c r="AH404" s="528">
        <f t="shared" si="417"/>
        <v>9.7358765041613088E-2</v>
      </c>
      <c r="AI404" s="528">
        <f t="shared" si="417"/>
        <v>8.4697022361570451E-2</v>
      </c>
      <c r="AJ404" s="528">
        <f t="shared" si="417"/>
        <v>6.8723861682424295E-2</v>
      </c>
      <c r="AK404" s="528">
        <f t="shared" si="417"/>
        <v>5.2010740308773236E-2</v>
      </c>
      <c r="AL404" s="528">
        <f t="shared" si="417"/>
        <v>3.6713368985465358E-2</v>
      </c>
      <c r="AM404" s="528">
        <f t="shared" si="417"/>
        <v>2.4171340550351049E-2</v>
      </c>
      <c r="AN404" s="528">
        <f t="shared" si="417"/>
        <v>1.484301126048875E-2</v>
      </c>
      <c r="AO404" s="528">
        <f t="shared" si="417"/>
        <v>8.5013419136703346E-3</v>
      </c>
      <c r="AP404" s="528">
        <f t="shared" si="417"/>
        <v>4.5414701107151694E-3</v>
      </c>
      <c r="AQ404" s="528">
        <f t="shared" si="417"/>
        <v>2.2628105350698999E-3</v>
      </c>
      <c r="AR404" s="528">
        <f t="shared" si="417"/>
        <v>1.0515788557226723E-3</v>
      </c>
      <c r="AS404" s="528">
        <f t="shared" si="417"/>
        <v>4.5580229739199265E-4</v>
      </c>
      <c r="AT404" s="528">
        <f t="shared" si="417"/>
        <v>1.8426854332572446E-4</v>
      </c>
      <c r="AU404" s="528">
        <f t="shared" si="417"/>
        <v>6.9480809264000937E-5</v>
      </c>
      <c r="AV404" s="528">
        <f t="shared" si="417"/>
        <v>2.4435227184190872E-5</v>
      </c>
      <c r="AW404" s="528">
        <f t="shared" si="417"/>
        <v>8.0150188756580627E-6</v>
      </c>
      <c r="AX404" s="528" t="str">
        <f t="shared" si="417"/>
        <v/>
      </c>
      <c r="AY404" s="528" t="str">
        <f t="shared" si="417"/>
        <v/>
      </c>
      <c r="AZ404" s="528" t="str">
        <f t="shared" si="417"/>
        <v/>
      </c>
      <c r="BA404" s="528" t="str">
        <f t="shared" si="417"/>
        <v/>
      </c>
      <c r="BB404" s="528" t="str">
        <f t="shared" si="417"/>
        <v/>
      </c>
      <c r="BC404" s="528" t="str">
        <f t="shared" si="417"/>
        <v/>
      </c>
      <c r="BD404" s="528" t="str">
        <f t="shared" si="417"/>
        <v/>
      </c>
      <c r="BE404" s="528" t="str">
        <f t="shared" si="417"/>
        <v/>
      </c>
      <c r="BF404" s="528" t="str">
        <f t="shared" si="417"/>
        <v/>
      </c>
      <c r="BG404" s="528" t="str">
        <f t="shared" si="417"/>
        <v/>
      </c>
      <c r="BH404" s="528" t="str">
        <f t="shared" si="417"/>
        <v/>
      </c>
      <c r="BI404" s="528" t="str">
        <f t="shared" si="417"/>
        <v/>
      </c>
      <c r="BJ404" s="528" t="str">
        <f t="shared" si="417"/>
        <v/>
      </c>
      <c r="BK404" s="528" t="str">
        <f t="shared" si="417"/>
        <v/>
      </c>
      <c r="BL404" s="528" t="str">
        <f t="shared" si="417"/>
        <v/>
      </c>
      <c r="BM404" s="528" t="str">
        <f t="shared" si="417"/>
        <v/>
      </c>
    </row>
    <row r="405" spans="6:65" ht="15.75" customHeight="1" x14ac:dyDescent="0.25">
      <c r="F405" s="197"/>
      <c r="G405" s="197">
        <f t="shared" si="268"/>
        <v>0</v>
      </c>
      <c r="H405" s="197">
        <f t="shared" si="269"/>
        <v>359</v>
      </c>
      <c r="I405" s="523">
        <v>1</v>
      </c>
      <c r="J405" s="533">
        <f>'Monthly DCF'!$I$3</f>
        <v>46418</v>
      </c>
      <c r="K405" s="533">
        <f t="shared" si="270"/>
        <v>47452</v>
      </c>
      <c r="L405" s="536">
        <f t="shared" si="388"/>
        <v>35</v>
      </c>
      <c r="M405" s="20" t="s">
        <v>366</v>
      </c>
      <c r="N405" s="20">
        <f t="shared" si="271"/>
        <v>3.8888888888888888</v>
      </c>
      <c r="O405" s="537">
        <v>9</v>
      </c>
      <c r="P405" s="528">
        <f t="shared" ref="P405:BM405" si="418">IFERROR(+IF(AND($M405="Flat",P$5&gt;=$J405,P$5&lt;=$K405),$I405/$L405,0)+IF(AND($M405="S-Curve",P$5&gt;=$J405,P$5&lt;=$K405),(_xlfn.NORM.DIST((YEAR(P$5)-YEAR($J405))*12+MONTH(P$5)-MONTH($J405)+1,$L405/2,$N405,TRUE)-_xlfn.NORM.DIST((YEAR(P$5)-YEAR($J405))*12+MONTH(P$5)-MONTH($J405),$L405/2,$N405,TRUE))/(1-2*_xlfn.NORM.DIST(0,$L405/2,$N405,TRUE))*$I405," "),"")</f>
        <v>7.6369753128952733E-6</v>
      </c>
      <c r="Q405" s="528">
        <f t="shared" si="418"/>
        <v>2.260427146994421E-5</v>
      </c>
      <c r="R405" s="528">
        <f t="shared" si="418"/>
        <v>6.2645875623476159E-5</v>
      </c>
      <c r="S405" s="528">
        <f t="shared" si="418"/>
        <v>1.6256545980742452E-4</v>
      </c>
      <c r="T405" s="528">
        <f t="shared" si="418"/>
        <v>3.9500156877734122E-4</v>
      </c>
      <c r="U405" s="528">
        <f t="shared" si="418"/>
        <v>8.9867981410225186E-4</v>
      </c>
      <c r="V405" s="528">
        <f t="shared" si="418"/>
        <v>1.9144657011816028E-3</v>
      </c>
      <c r="W405" s="528">
        <f t="shared" si="418"/>
        <v>3.8188041488021194E-3</v>
      </c>
      <c r="X405" s="528">
        <f t="shared" si="418"/>
        <v>7.1325540022327645E-3</v>
      </c>
      <c r="Y405" s="528">
        <f t="shared" si="418"/>
        <v>1.2473871659671131E-2</v>
      </c>
      <c r="Z405" s="528">
        <f t="shared" si="418"/>
        <v>2.0426622567750838E-2</v>
      </c>
      <c r="AA405" s="528">
        <f t="shared" si="418"/>
        <v>3.1320699500557124E-2</v>
      </c>
      <c r="AB405" s="528">
        <f t="shared" si="418"/>
        <v>4.4968290426490407E-2</v>
      </c>
      <c r="AC405" s="528">
        <f t="shared" si="418"/>
        <v>6.0453536439548733E-2</v>
      </c>
      <c r="AD405" s="528">
        <f t="shared" si="418"/>
        <v>7.6098792024564779E-2</v>
      </c>
      <c r="AE405" s="528">
        <f t="shared" si="418"/>
        <v>8.9696350055823673E-2</v>
      </c>
      <c r="AF405" s="528">
        <f t="shared" si="418"/>
        <v>9.8994919574831974E-2</v>
      </c>
      <c r="AG405" s="528">
        <f t="shared" si="418"/>
        <v>0.10230391986690307</v>
      </c>
      <c r="AH405" s="528">
        <f t="shared" si="418"/>
        <v>9.8994919574831974E-2</v>
      </c>
      <c r="AI405" s="528">
        <f t="shared" si="418"/>
        <v>8.9696350055823673E-2</v>
      </c>
      <c r="AJ405" s="528">
        <f t="shared" si="418"/>
        <v>7.6098792024564751E-2</v>
      </c>
      <c r="AK405" s="528">
        <f t="shared" si="418"/>
        <v>6.0453536439548802E-2</v>
      </c>
      <c r="AL405" s="528">
        <f t="shared" si="418"/>
        <v>4.4968290426490337E-2</v>
      </c>
      <c r="AM405" s="528">
        <f t="shared" si="418"/>
        <v>3.1320699500557193E-2</v>
      </c>
      <c r="AN405" s="528">
        <f t="shared" si="418"/>
        <v>2.0426622567750748E-2</v>
      </c>
      <c r="AO405" s="528">
        <f t="shared" si="418"/>
        <v>1.2473871659671133E-2</v>
      </c>
      <c r="AP405" s="528">
        <f t="shared" si="418"/>
        <v>7.1325540022328408E-3</v>
      </c>
      <c r="AQ405" s="528">
        <f t="shared" si="418"/>
        <v>3.8188041488021358E-3</v>
      </c>
      <c r="AR405" s="528">
        <f t="shared" si="418"/>
        <v>1.914465701181511E-3</v>
      </c>
      <c r="AS405" s="528">
        <f t="shared" si="418"/>
        <v>8.9867981410232537E-4</v>
      </c>
      <c r="AT405" s="528">
        <f t="shared" si="418"/>
        <v>3.9500156877735353E-4</v>
      </c>
      <c r="AU405" s="528">
        <f t="shared" si="418"/>
        <v>1.6256545980733149E-4</v>
      </c>
      <c r="AV405" s="528">
        <f t="shared" si="418"/>
        <v>6.2645875623487042E-5</v>
      </c>
      <c r="AW405" s="528">
        <f t="shared" si="418"/>
        <v>2.260427146999427E-5</v>
      </c>
      <c r="AX405" s="528">
        <f t="shared" si="418"/>
        <v>7.636975312878624E-6</v>
      </c>
      <c r="AY405" s="528" t="str">
        <f t="shared" si="418"/>
        <v/>
      </c>
      <c r="AZ405" s="528" t="str">
        <f t="shared" si="418"/>
        <v/>
      </c>
      <c r="BA405" s="528" t="str">
        <f t="shared" si="418"/>
        <v/>
      </c>
      <c r="BB405" s="528" t="str">
        <f t="shared" si="418"/>
        <v/>
      </c>
      <c r="BC405" s="528" t="str">
        <f t="shared" si="418"/>
        <v/>
      </c>
      <c r="BD405" s="528" t="str">
        <f t="shared" si="418"/>
        <v/>
      </c>
      <c r="BE405" s="528" t="str">
        <f t="shared" si="418"/>
        <v/>
      </c>
      <c r="BF405" s="528" t="str">
        <f t="shared" si="418"/>
        <v/>
      </c>
      <c r="BG405" s="528" t="str">
        <f t="shared" si="418"/>
        <v/>
      </c>
      <c r="BH405" s="528" t="str">
        <f t="shared" si="418"/>
        <v/>
      </c>
      <c r="BI405" s="528" t="str">
        <f t="shared" si="418"/>
        <v/>
      </c>
      <c r="BJ405" s="528" t="str">
        <f t="shared" si="418"/>
        <v/>
      </c>
      <c r="BK405" s="528" t="str">
        <f t="shared" si="418"/>
        <v/>
      </c>
      <c r="BL405" s="528" t="str">
        <f t="shared" si="418"/>
        <v/>
      </c>
      <c r="BM405" s="528" t="str">
        <f t="shared" si="418"/>
        <v/>
      </c>
    </row>
    <row r="406" spans="6:65" ht="15.75" customHeight="1" x14ac:dyDescent="0.25">
      <c r="F406" s="197"/>
      <c r="G406" s="197">
        <f t="shared" si="268"/>
        <v>0</v>
      </c>
      <c r="H406" s="197">
        <f t="shared" si="269"/>
        <v>369</v>
      </c>
      <c r="I406" s="523">
        <v>1</v>
      </c>
      <c r="J406" s="533">
        <f>'Monthly DCF'!$I$3</f>
        <v>46418</v>
      </c>
      <c r="K406" s="533">
        <f t="shared" si="270"/>
        <v>47483</v>
      </c>
      <c r="L406" s="536">
        <f t="shared" si="388"/>
        <v>36</v>
      </c>
      <c r="M406" s="20" t="s">
        <v>366</v>
      </c>
      <c r="N406" s="20">
        <f t="shared" si="271"/>
        <v>4</v>
      </c>
      <c r="O406" s="537">
        <v>9</v>
      </c>
      <c r="P406" s="528">
        <f t="shared" ref="P406:BM406" si="419">IFERROR(+IF(AND($M406="Flat",P$5&gt;=$J406,P$5&lt;=$K406),$I406/$L406,0)+IF(AND($M406="S-Curve",P$5&gt;=$J406,P$5&lt;=$K406),(_xlfn.NORM.DIST((YEAR(P$5)-YEAR($J406))*12+MONTH(P$5)-MONTH($J406)+1,$L406/2,$N406,TRUE)-_xlfn.NORM.DIST((YEAR(P$5)-YEAR($J406))*12+MONTH(P$5)-MONTH($J406),$L406/2,$N406,TRUE))/(1-2*_xlfn.NORM.DIST(0,$L406/2,$N406,TRUE))*$I406," "),"")</f>
        <v>7.2909021944092288E-6</v>
      </c>
      <c r="Q406" s="528">
        <f t="shared" si="419"/>
        <v>2.0982858643975247E-5</v>
      </c>
      <c r="R406" s="528">
        <f t="shared" si="419"/>
        <v>5.674642897931724E-5</v>
      </c>
      <c r="S406" s="528">
        <f t="shared" si="419"/>
        <v>1.4421277381045292E-4</v>
      </c>
      <c r="T406" s="528">
        <f t="shared" si="419"/>
        <v>3.4439830366096214E-4</v>
      </c>
      <c r="U406" s="528">
        <f t="shared" si="419"/>
        <v>7.7287824121458494E-4</v>
      </c>
      <c r="V406" s="528">
        <f t="shared" si="419"/>
        <v>1.6298762789981214E-3</v>
      </c>
      <c r="W406" s="528">
        <f t="shared" si="419"/>
        <v>3.2299240391737839E-3</v>
      </c>
      <c r="X406" s="528">
        <f t="shared" si="419"/>
        <v>6.0148482022447346E-3</v>
      </c>
      <c r="Y406" s="528">
        <f t="shared" si="419"/>
        <v>1.0525730819119941E-2</v>
      </c>
      <c r="Z406" s="528">
        <f t="shared" si="419"/>
        <v>1.730914253725473E-2</v>
      </c>
      <c r="AA406" s="528">
        <f t="shared" si="419"/>
        <v>2.6748226168499332E-2</v>
      </c>
      <c r="AB406" s="528">
        <f t="shared" si="419"/>
        <v>3.8842836348519497E-2</v>
      </c>
      <c r="AC406" s="528">
        <f t="shared" si="419"/>
        <v>5.3005840457640889E-2</v>
      </c>
      <c r="AD406" s="528">
        <f t="shared" si="419"/>
        <v>6.7972560342494201E-2</v>
      </c>
      <c r="AE406" s="528">
        <f t="shared" si="419"/>
        <v>8.1910742960978652E-2</v>
      </c>
      <c r="AF406" s="528">
        <f t="shared" si="419"/>
        <v>9.2756765905430721E-2</v>
      </c>
      <c r="AG406" s="528">
        <f t="shared" si="419"/>
        <v>9.8706996431141697E-2</v>
      </c>
      <c r="AH406" s="528">
        <f t="shared" si="419"/>
        <v>9.8706996431141697E-2</v>
      </c>
      <c r="AI406" s="528">
        <f t="shared" si="419"/>
        <v>9.2756765905430721E-2</v>
      </c>
      <c r="AJ406" s="528">
        <f t="shared" si="419"/>
        <v>8.1910742960978597E-2</v>
      </c>
      <c r="AK406" s="528">
        <f t="shared" si="419"/>
        <v>6.7972560342494284E-2</v>
      </c>
      <c r="AL406" s="528">
        <f t="shared" si="419"/>
        <v>5.3005840457640875E-2</v>
      </c>
      <c r="AM406" s="528">
        <f t="shared" si="419"/>
        <v>3.8842836348519455E-2</v>
      </c>
      <c r="AN406" s="528">
        <f t="shared" si="419"/>
        <v>2.6748226168499346E-2</v>
      </c>
      <c r="AO406" s="528">
        <f t="shared" si="419"/>
        <v>1.7309142537254726E-2</v>
      </c>
      <c r="AP406" s="528">
        <f t="shared" si="419"/>
        <v>1.0525730819119982E-2</v>
      </c>
      <c r="AQ406" s="528">
        <f t="shared" si="419"/>
        <v>6.0148482022446843E-3</v>
      </c>
      <c r="AR406" s="528">
        <f t="shared" si="419"/>
        <v>3.2299240391738095E-3</v>
      </c>
      <c r="AS406" s="528">
        <f t="shared" si="419"/>
        <v>1.6298762789981117E-3</v>
      </c>
      <c r="AT406" s="528">
        <f t="shared" si="419"/>
        <v>7.728782412145948E-4</v>
      </c>
      <c r="AU406" s="528">
        <f t="shared" si="419"/>
        <v>3.443983036609474E-4</v>
      </c>
      <c r="AV406" s="528">
        <f t="shared" si="419"/>
        <v>1.4421277381045702E-4</v>
      </c>
      <c r="AW406" s="528">
        <f t="shared" si="419"/>
        <v>5.6746428979328068E-5</v>
      </c>
      <c r="AX406" s="528">
        <f t="shared" si="419"/>
        <v>2.0982858644005235E-5</v>
      </c>
      <c r="AY406" s="528">
        <f t="shared" si="419"/>
        <v>7.2909021943707066E-6</v>
      </c>
      <c r="AZ406" s="528" t="str">
        <f t="shared" si="419"/>
        <v/>
      </c>
      <c r="BA406" s="528" t="str">
        <f t="shared" si="419"/>
        <v/>
      </c>
      <c r="BB406" s="528" t="str">
        <f t="shared" si="419"/>
        <v/>
      </c>
      <c r="BC406" s="528" t="str">
        <f t="shared" si="419"/>
        <v/>
      </c>
      <c r="BD406" s="528" t="str">
        <f t="shared" si="419"/>
        <v/>
      </c>
      <c r="BE406" s="528" t="str">
        <f t="shared" si="419"/>
        <v/>
      </c>
      <c r="BF406" s="528" t="str">
        <f t="shared" si="419"/>
        <v/>
      </c>
      <c r="BG406" s="528" t="str">
        <f t="shared" si="419"/>
        <v/>
      </c>
      <c r="BH406" s="528" t="str">
        <f t="shared" si="419"/>
        <v/>
      </c>
      <c r="BI406" s="528" t="str">
        <f t="shared" si="419"/>
        <v/>
      </c>
      <c r="BJ406" s="528" t="str">
        <f t="shared" si="419"/>
        <v/>
      </c>
      <c r="BK406" s="528" t="str">
        <f t="shared" si="419"/>
        <v/>
      </c>
      <c r="BL406" s="528" t="str">
        <f t="shared" si="419"/>
        <v/>
      </c>
      <c r="BM406" s="528" t="str">
        <f t="shared" si="419"/>
        <v/>
      </c>
    </row>
    <row r="407" spans="6:65" ht="15.75" customHeight="1" x14ac:dyDescent="0.25">
      <c r="F407" s="197"/>
      <c r="G407" s="197">
        <f t="shared" si="268"/>
        <v>0</v>
      </c>
      <c r="H407" s="197">
        <f t="shared" si="269"/>
        <v>379</v>
      </c>
      <c r="I407" s="523">
        <v>1</v>
      </c>
      <c r="J407" s="533">
        <f>'Monthly DCF'!$I$3</f>
        <v>46418</v>
      </c>
      <c r="K407" s="533">
        <f t="shared" si="270"/>
        <v>47514</v>
      </c>
      <c r="L407" s="536">
        <f t="shared" si="388"/>
        <v>37</v>
      </c>
      <c r="M407" s="20" t="s">
        <v>366</v>
      </c>
      <c r="N407" s="20">
        <f t="shared" si="271"/>
        <v>4.1111111111111107</v>
      </c>
      <c r="O407" s="537">
        <v>9</v>
      </c>
      <c r="P407" s="528">
        <f t="shared" ref="P407:BM407" si="420">IFERROR(+IF(AND($M407="Flat",P$5&gt;=$J407,P$5&lt;=$K407),$I407/$L407,0)+IF(AND($M407="S-Curve",P$5&gt;=$J407,P$5&lt;=$K407),(_xlfn.NORM.DIST((YEAR(P$5)-YEAR($J407))*12+MONTH(P$5)-MONTH($J407)+1,$L407/2,$N407,TRUE)-_xlfn.NORM.DIST((YEAR(P$5)-YEAR($J407))*12+MONTH(P$5)-MONTH($J407),$L407/2,$N407,TRUE))/(1-2*_xlfn.NORM.DIST(0,$L407/2,$N407,TRUE))*$I407," "),"")</f>
        <v>6.9730646066967472E-6</v>
      </c>
      <c r="Q407" s="528">
        <f t="shared" si="420"/>
        <v>1.9540230462963223E-5</v>
      </c>
      <c r="R407" s="528">
        <f t="shared" si="420"/>
        <v>5.1624988819345739E-5</v>
      </c>
      <c r="S407" s="528">
        <f t="shared" si="420"/>
        <v>1.2859237912510267E-4</v>
      </c>
      <c r="T407" s="528">
        <f t="shared" si="420"/>
        <v>3.0199246284575993E-4</v>
      </c>
      <c r="U407" s="528">
        <f t="shared" si="420"/>
        <v>6.6865668631424264E-4</v>
      </c>
      <c r="V407" s="528">
        <f t="shared" si="420"/>
        <v>1.3958445687622641E-3</v>
      </c>
      <c r="W407" s="528">
        <f t="shared" si="420"/>
        <v>2.7472503658634902E-3</v>
      </c>
      <c r="X407" s="528">
        <f t="shared" si="420"/>
        <v>5.0978519325827676E-3</v>
      </c>
      <c r="Y407" s="528">
        <f t="shared" si="420"/>
        <v>8.9187592760043947E-3</v>
      </c>
      <c r="Z407" s="528">
        <f t="shared" si="420"/>
        <v>1.4711275319743282E-2</v>
      </c>
      <c r="AA407" s="528">
        <f t="shared" si="420"/>
        <v>2.2878377839535908E-2</v>
      </c>
      <c r="AB407" s="528">
        <f t="shared" si="420"/>
        <v>3.3545130228757894E-2</v>
      </c>
      <c r="AC407" s="528">
        <f t="shared" si="420"/>
        <v>4.6372805272591661E-2</v>
      </c>
      <c r="AD407" s="528">
        <f t="shared" si="420"/>
        <v>6.0440371981826328E-2</v>
      </c>
      <c r="AE407" s="528">
        <f t="shared" si="420"/>
        <v>7.427128854233693E-2</v>
      </c>
      <c r="AF407" s="528">
        <f t="shared" si="420"/>
        <v>8.6048838564751082E-2</v>
      </c>
      <c r="AG407" s="528">
        <f t="shared" si="420"/>
        <v>9.399384190840257E-2</v>
      </c>
      <c r="AH407" s="528">
        <f t="shared" si="420"/>
        <v>9.6801968773334704E-2</v>
      </c>
      <c r="AI407" s="528">
        <f t="shared" si="420"/>
        <v>9.3993841908402515E-2</v>
      </c>
      <c r="AJ407" s="528">
        <f t="shared" si="420"/>
        <v>8.6048838564751082E-2</v>
      </c>
      <c r="AK407" s="528">
        <f t="shared" si="420"/>
        <v>7.4271288542336986E-2</v>
      </c>
      <c r="AL407" s="528">
        <f t="shared" si="420"/>
        <v>6.0440371981826273E-2</v>
      </c>
      <c r="AM407" s="528">
        <f t="shared" si="420"/>
        <v>4.6372805272591619E-2</v>
      </c>
      <c r="AN407" s="528">
        <f t="shared" si="420"/>
        <v>3.3545130228757901E-2</v>
      </c>
      <c r="AO407" s="528">
        <f t="shared" si="420"/>
        <v>2.2878377839535984E-2</v>
      </c>
      <c r="AP407" s="528">
        <f t="shared" si="420"/>
        <v>1.4711275319743226E-2</v>
      </c>
      <c r="AQ407" s="528">
        <f t="shared" si="420"/>
        <v>8.9187592760043861E-3</v>
      </c>
      <c r="AR407" s="528">
        <f t="shared" si="420"/>
        <v>5.0978519325827528E-3</v>
      </c>
      <c r="AS407" s="528">
        <f t="shared" si="420"/>
        <v>2.7472503658635011E-3</v>
      </c>
      <c r="AT407" s="528">
        <f t="shared" si="420"/>
        <v>1.3958445687623064E-3</v>
      </c>
      <c r="AU407" s="528">
        <f t="shared" si="420"/>
        <v>6.6865668631421629E-4</v>
      </c>
      <c r="AV407" s="528">
        <f t="shared" si="420"/>
        <v>3.0199246284579604E-4</v>
      </c>
      <c r="AW407" s="528">
        <f t="shared" si="420"/>
        <v>1.2859237912505803E-4</v>
      </c>
      <c r="AX407" s="528">
        <f t="shared" si="420"/>
        <v>5.1624988819347135E-5</v>
      </c>
      <c r="AY407" s="528">
        <f t="shared" si="420"/>
        <v>1.9540230462980157E-5</v>
      </c>
      <c r="AZ407" s="528">
        <f t="shared" si="420"/>
        <v>6.9730646066887927E-6</v>
      </c>
      <c r="BA407" s="528" t="str">
        <f t="shared" si="420"/>
        <v/>
      </c>
      <c r="BB407" s="528" t="str">
        <f t="shared" si="420"/>
        <v/>
      </c>
      <c r="BC407" s="528" t="str">
        <f t="shared" si="420"/>
        <v/>
      </c>
      <c r="BD407" s="528" t="str">
        <f t="shared" si="420"/>
        <v/>
      </c>
      <c r="BE407" s="528" t="str">
        <f t="shared" si="420"/>
        <v/>
      </c>
      <c r="BF407" s="528" t="str">
        <f t="shared" si="420"/>
        <v/>
      </c>
      <c r="BG407" s="528" t="str">
        <f t="shared" si="420"/>
        <v/>
      </c>
      <c r="BH407" s="528" t="str">
        <f t="shared" si="420"/>
        <v/>
      </c>
      <c r="BI407" s="528" t="str">
        <f t="shared" si="420"/>
        <v/>
      </c>
      <c r="BJ407" s="528" t="str">
        <f t="shared" si="420"/>
        <v/>
      </c>
      <c r="BK407" s="528" t="str">
        <f t="shared" si="420"/>
        <v/>
      </c>
      <c r="BL407" s="528" t="str">
        <f t="shared" si="420"/>
        <v/>
      </c>
      <c r="BM407" s="528" t="str">
        <f t="shared" si="420"/>
        <v/>
      </c>
    </row>
    <row r="408" spans="6:65" ht="15.75" customHeight="1" x14ac:dyDescent="0.25">
      <c r="F408" s="197"/>
      <c r="G408" s="197">
        <f t="shared" si="268"/>
        <v>0</v>
      </c>
      <c r="H408" s="197">
        <f t="shared" si="269"/>
        <v>389</v>
      </c>
      <c r="I408" s="523">
        <v>1</v>
      </c>
      <c r="J408" s="533">
        <f>'Monthly DCF'!$I$3</f>
        <v>46418</v>
      </c>
      <c r="K408" s="533">
        <f t="shared" si="270"/>
        <v>47542</v>
      </c>
      <c r="L408" s="536">
        <f t="shared" si="388"/>
        <v>38</v>
      </c>
      <c r="M408" s="20" t="s">
        <v>366</v>
      </c>
      <c r="N408" s="20">
        <f t="shared" si="271"/>
        <v>4.2222222222222223</v>
      </c>
      <c r="O408" s="537">
        <v>9</v>
      </c>
      <c r="P408" s="528">
        <f t="shared" ref="P408:BM408" si="421">IFERROR(+IF(AND($M408="Flat",P$5&gt;=$J408,P$5&lt;=$K408),$I408/$L408,0)+IF(AND($M408="S-Curve",P$5&gt;=$J408,P$5&lt;=$K408),(_xlfn.NORM.DIST((YEAR(P$5)-YEAR($J408))*12+MONTH(P$5)-MONTH($J408)+1,$L408/2,$N408,TRUE)-_xlfn.NORM.DIST((YEAR(P$5)-YEAR($J408))*12+MONTH(P$5)-MONTH($J408),$L408/2,$N408,TRUE))/(1-2*_xlfn.NORM.DIST(0,$L408/2,$N408,TRUE))*$I408," "),"")</f>
        <v>6.6802716665498368E-6</v>
      </c>
      <c r="Q408" s="528">
        <f t="shared" si="421"/>
        <v>1.8251018249322296E-5</v>
      </c>
      <c r="R408" s="528">
        <f t="shared" si="421"/>
        <v>4.7154928060590965E-5</v>
      </c>
      <c r="S408" s="528">
        <f t="shared" si="421"/>
        <v>1.1521649258733162E-4</v>
      </c>
      <c r="T408" s="528">
        <f t="shared" si="421"/>
        <v>2.6622591340385177E-4</v>
      </c>
      <c r="U408" s="528">
        <f t="shared" si="421"/>
        <v>5.8174762446651829E-4</v>
      </c>
      <c r="V408" s="528">
        <f t="shared" si="421"/>
        <v>1.2021758629387296E-3</v>
      </c>
      <c r="W408" s="528">
        <f t="shared" si="421"/>
        <v>2.3493673370284227E-3</v>
      </c>
      <c r="X408" s="528">
        <f t="shared" si="421"/>
        <v>4.3419398085568182E-3</v>
      </c>
      <c r="Y408" s="528">
        <f t="shared" si="421"/>
        <v>7.5886932959414377E-3</v>
      </c>
      <c r="Z408" s="528">
        <f t="shared" si="421"/>
        <v>1.2542984355022328E-2</v>
      </c>
      <c r="AA408" s="528">
        <f t="shared" si="421"/>
        <v>1.9605853464286008E-2</v>
      </c>
      <c r="AB408" s="528">
        <f t="shared" si="421"/>
        <v>2.8981569212320181E-2</v>
      </c>
      <c r="AC408" s="528">
        <f t="shared" si="421"/>
        <v>4.0514413853107951E-2</v>
      </c>
      <c r="AD408" s="528">
        <f t="shared" si="421"/>
        <v>5.3561034225778743E-2</v>
      </c>
      <c r="AE408" s="528">
        <f t="shared" si="421"/>
        <v>6.6963825585993605E-2</v>
      </c>
      <c r="AF408" s="528">
        <f t="shared" si="421"/>
        <v>7.9174186310051603E-2</v>
      </c>
      <c r="AG408" s="528">
        <f t="shared" si="421"/>
        <v>8.8527687025524604E-2</v>
      </c>
      <c r="AH408" s="528">
        <f t="shared" si="421"/>
        <v>9.36109934150154E-2</v>
      </c>
      <c r="AI408" s="528">
        <f t="shared" si="421"/>
        <v>9.36109934150154E-2</v>
      </c>
      <c r="AJ408" s="528">
        <f t="shared" si="421"/>
        <v>8.8527687025524604E-2</v>
      </c>
      <c r="AK408" s="528">
        <f t="shared" si="421"/>
        <v>7.9174186310051603E-2</v>
      </c>
      <c r="AL408" s="528">
        <f t="shared" si="421"/>
        <v>6.6963825585993605E-2</v>
      </c>
      <c r="AM408" s="528">
        <f t="shared" si="421"/>
        <v>5.3561034225778702E-2</v>
      </c>
      <c r="AN408" s="528">
        <f t="shared" si="421"/>
        <v>4.0514413853107951E-2</v>
      </c>
      <c r="AO408" s="528">
        <f t="shared" si="421"/>
        <v>2.8981569212320271E-2</v>
      </c>
      <c r="AP408" s="528">
        <f t="shared" si="421"/>
        <v>1.9605853464285963E-2</v>
      </c>
      <c r="AQ408" s="528">
        <f t="shared" si="421"/>
        <v>1.2542984355022321E-2</v>
      </c>
      <c r="AR408" s="528">
        <f t="shared" si="421"/>
        <v>7.5886932959414134E-3</v>
      </c>
      <c r="AS408" s="528">
        <f t="shared" si="421"/>
        <v>4.3419398085568425E-3</v>
      </c>
      <c r="AT408" s="528">
        <f t="shared" si="421"/>
        <v>2.3493673370284084E-3</v>
      </c>
      <c r="AU408" s="528">
        <f t="shared" si="421"/>
        <v>1.2021758629387296E-3</v>
      </c>
      <c r="AV408" s="528">
        <f t="shared" si="421"/>
        <v>5.8174762446658508E-4</v>
      </c>
      <c r="AW408" s="528">
        <f t="shared" si="421"/>
        <v>2.6622591340380716E-4</v>
      </c>
      <c r="AX408" s="528">
        <f t="shared" si="421"/>
        <v>1.1521649258730032E-4</v>
      </c>
      <c r="AY408" s="528">
        <f t="shared" si="421"/>
        <v>4.7154928060672931E-5</v>
      </c>
      <c r="AZ408" s="528">
        <f t="shared" si="421"/>
        <v>1.8251018249233649E-5</v>
      </c>
      <c r="BA408" s="528">
        <f t="shared" si="421"/>
        <v>6.6802716665747633E-6</v>
      </c>
      <c r="BB408" s="528" t="str">
        <f t="shared" si="421"/>
        <v/>
      </c>
      <c r="BC408" s="528" t="str">
        <f t="shared" si="421"/>
        <v/>
      </c>
      <c r="BD408" s="528" t="str">
        <f t="shared" si="421"/>
        <v/>
      </c>
      <c r="BE408" s="528" t="str">
        <f t="shared" si="421"/>
        <v/>
      </c>
      <c r="BF408" s="528" t="str">
        <f t="shared" si="421"/>
        <v/>
      </c>
      <c r="BG408" s="528" t="str">
        <f t="shared" si="421"/>
        <v/>
      </c>
      <c r="BH408" s="528" t="str">
        <f t="shared" si="421"/>
        <v/>
      </c>
      <c r="BI408" s="528" t="str">
        <f t="shared" si="421"/>
        <v/>
      </c>
      <c r="BJ408" s="528" t="str">
        <f t="shared" si="421"/>
        <v/>
      </c>
      <c r="BK408" s="528" t="str">
        <f t="shared" si="421"/>
        <v/>
      </c>
      <c r="BL408" s="528" t="str">
        <f t="shared" si="421"/>
        <v/>
      </c>
      <c r="BM408" s="528" t="str">
        <f t="shared" si="421"/>
        <v/>
      </c>
    </row>
    <row r="409" spans="6:65" ht="15.75" customHeight="1" x14ac:dyDescent="0.25">
      <c r="F409" s="197"/>
      <c r="G409" s="197">
        <f t="shared" si="268"/>
        <v>0</v>
      </c>
      <c r="H409" s="197">
        <f t="shared" si="269"/>
        <v>399</v>
      </c>
      <c r="I409" s="523">
        <v>1</v>
      </c>
      <c r="J409" s="533">
        <f>'Monthly DCF'!$I$3</f>
        <v>46418</v>
      </c>
      <c r="K409" s="533">
        <f t="shared" si="270"/>
        <v>47573</v>
      </c>
      <c r="L409" s="536">
        <f t="shared" si="388"/>
        <v>39</v>
      </c>
      <c r="M409" s="20" t="s">
        <v>366</v>
      </c>
      <c r="N409" s="20">
        <f t="shared" si="271"/>
        <v>4.333333333333333</v>
      </c>
      <c r="O409" s="537">
        <v>9</v>
      </c>
      <c r="P409" s="528">
        <f t="shared" ref="P409:BM409" si="422">IFERROR(+IF(AND($M409="Flat",P$5&gt;=$J409,P$5&lt;=$K409),$I409/$L409,0)+IF(AND($M409="S-Curve",P$5&gt;=$J409,P$5&lt;=$K409),(_xlfn.NORM.DIST((YEAR(P$5)-YEAR($J409))*12+MONTH(P$5)-MONTH($J409)+1,$L409/2,$N409,TRUE)-_xlfn.NORM.DIST((YEAR(P$5)-YEAR($J409))*12+MONTH(P$5)-MONTH($J409),$L409/2,$N409,TRUE))/(1-2*_xlfn.NORM.DIST(0,$L409/2,$N409,TRUE))*$I409," "),"")</f>
        <v>6.4097829829098848E-6</v>
      </c>
      <c r="Q409" s="528">
        <f t="shared" si="422"/>
        <v>1.7094160042526939E-5</v>
      </c>
      <c r="R409" s="528">
        <f t="shared" si="422"/>
        <v>4.3233662314933682E-5</v>
      </c>
      <c r="S409" s="528">
        <f t="shared" si="422"/>
        <v>1.0369709269397108E-4</v>
      </c>
      <c r="T409" s="528">
        <f t="shared" si="422"/>
        <v>2.3587498117278878E-4</v>
      </c>
      <c r="U409" s="528">
        <f t="shared" si="422"/>
        <v>5.08824888064694E-4</v>
      </c>
      <c r="V409" s="528">
        <f t="shared" si="422"/>
        <v>1.0409416427621025E-3</v>
      </c>
      <c r="W409" s="528">
        <f t="shared" si="422"/>
        <v>2.0195581617265417E-3</v>
      </c>
      <c r="X409" s="528">
        <f t="shared" si="422"/>
        <v>3.7158540023620292E-3</v>
      </c>
      <c r="Y409" s="528">
        <f t="shared" si="422"/>
        <v>6.4838586281442956E-3</v>
      </c>
      <c r="Z409" s="528">
        <f t="shared" si="422"/>
        <v>1.0729546019637572E-2</v>
      </c>
      <c r="AA409" s="528">
        <f t="shared" si="422"/>
        <v>1.6838458886409776E-2</v>
      </c>
      <c r="AB409" s="528">
        <f t="shared" si="422"/>
        <v>2.5060905645480205E-2</v>
      </c>
      <c r="AC409" s="528">
        <f t="shared" si="422"/>
        <v>3.5372424055912698E-2</v>
      </c>
      <c r="AD409" s="528">
        <f t="shared" si="422"/>
        <v>4.7348553046591108E-2</v>
      </c>
      <c r="AE409" s="528">
        <f t="shared" si="422"/>
        <v>6.0106658652073909E-2</v>
      </c>
      <c r="AF409" s="528">
        <f t="shared" si="422"/>
        <v>7.2362335575913567E-2</v>
      </c>
      <c r="AG409" s="528">
        <f t="shared" si="422"/>
        <v>8.2618400319966201E-2</v>
      </c>
      <c r="AH409" s="528">
        <f t="shared" si="422"/>
        <v>8.9457195013016785E-2</v>
      </c>
      <c r="AI409" s="528">
        <f t="shared" si="422"/>
        <v>9.186035156546285E-2</v>
      </c>
      <c r="AJ409" s="528">
        <f t="shared" si="422"/>
        <v>8.9457195013016674E-2</v>
      </c>
      <c r="AK409" s="528">
        <f t="shared" si="422"/>
        <v>8.2618400319966256E-2</v>
      </c>
      <c r="AL409" s="528">
        <f t="shared" si="422"/>
        <v>7.2362335575913511E-2</v>
      </c>
      <c r="AM409" s="528">
        <f t="shared" si="422"/>
        <v>6.0106658652073937E-2</v>
      </c>
      <c r="AN409" s="528">
        <f t="shared" si="422"/>
        <v>4.7348553046591149E-2</v>
      </c>
      <c r="AO409" s="528">
        <f t="shared" si="422"/>
        <v>3.5372424055912656E-2</v>
      </c>
      <c r="AP409" s="528">
        <f t="shared" si="422"/>
        <v>2.5060905645480247E-2</v>
      </c>
      <c r="AQ409" s="528">
        <f t="shared" si="422"/>
        <v>1.6838458886409717E-2</v>
      </c>
      <c r="AR409" s="528">
        <f t="shared" si="422"/>
        <v>1.0729546019637654E-2</v>
      </c>
      <c r="AS409" s="528">
        <f t="shared" si="422"/>
        <v>6.4838586281443043E-3</v>
      </c>
      <c r="AT409" s="528">
        <f t="shared" si="422"/>
        <v>3.7158540023619529E-3</v>
      </c>
      <c r="AU409" s="528">
        <f t="shared" si="422"/>
        <v>2.0195581617265521E-3</v>
      </c>
      <c r="AV409" s="528">
        <f t="shared" si="422"/>
        <v>1.0409416427621771E-3</v>
      </c>
      <c r="AW409" s="528">
        <f t="shared" si="422"/>
        <v>5.0882488806459545E-4</v>
      </c>
      <c r="AX409" s="528">
        <f t="shared" si="422"/>
        <v>2.3587498117281879E-4</v>
      </c>
      <c r="AY409" s="528">
        <f t="shared" si="422"/>
        <v>1.0369709269396168E-4</v>
      </c>
      <c r="AZ409" s="528">
        <f t="shared" si="422"/>
        <v>4.3233662315000706E-5</v>
      </c>
      <c r="BA409" s="528">
        <f t="shared" si="422"/>
        <v>1.7094160042463195E-5</v>
      </c>
      <c r="BB409" s="528">
        <f t="shared" si="422"/>
        <v>6.4097829829222202E-6</v>
      </c>
      <c r="BC409" s="528" t="str">
        <f t="shared" si="422"/>
        <v/>
      </c>
      <c r="BD409" s="528" t="str">
        <f t="shared" si="422"/>
        <v/>
      </c>
      <c r="BE409" s="528" t="str">
        <f t="shared" si="422"/>
        <v/>
      </c>
      <c r="BF409" s="528" t="str">
        <f t="shared" si="422"/>
        <v/>
      </c>
      <c r="BG409" s="528" t="str">
        <f t="shared" si="422"/>
        <v/>
      </c>
      <c r="BH409" s="528" t="str">
        <f t="shared" si="422"/>
        <v/>
      </c>
      <c r="BI409" s="528" t="str">
        <f t="shared" si="422"/>
        <v/>
      </c>
      <c r="BJ409" s="528" t="str">
        <f t="shared" si="422"/>
        <v/>
      </c>
      <c r="BK409" s="528" t="str">
        <f t="shared" si="422"/>
        <v/>
      </c>
      <c r="BL409" s="528" t="str">
        <f t="shared" si="422"/>
        <v/>
      </c>
      <c r="BM409" s="528" t="str">
        <f t="shared" si="422"/>
        <v/>
      </c>
    </row>
    <row r="410" spans="6:65" ht="15.75" customHeight="1" x14ac:dyDescent="0.25">
      <c r="F410" s="197"/>
      <c r="G410" s="197">
        <f t="shared" si="268"/>
        <v>0</v>
      </c>
      <c r="H410" s="197">
        <f t="shared" si="269"/>
        <v>409</v>
      </c>
      <c r="I410" s="523">
        <v>1</v>
      </c>
      <c r="J410" s="533">
        <f>'Monthly DCF'!$I$3</f>
        <v>46418</v>
      </c>
      <c r="K410" s="533">
        <f t="shared" si="270"/>
        <v>47603</v>
      </c>
      <c r="L410" s="536">
        <f t="shared" si="388"/>
        <v>40</v>
      </c>
      <c r="M410" s="20" t="s">
        <v>366</v>
      </c>
      <c r="N410" s="20">
        <f t="shared" si="271"/>
        <v>4.4444444444444446</v>
      </c>
      <c r="O410" s="537">
        <v>9</v>
      </c>
      <c r="P410" s="528">
        <f t="shared" ref="P410:BM410" si="423">IFERROR(+IF(AND($M410="Flat",P$5&gt;=$J410,P$5&lt;=$K410),$I410/$L410,0)+IF(AND($M410="S-Curve",P$5&gt;=$J410,P$5&lt;=$K410),(_xlfn.NORM.DIST((YEAR(P$5)-YEAR($J410))*12+MONTH(P$5)-MONTH($J410)+1,$L410/2,$N410,TRUE)-_xlfn.NORM.DIST((YEAR(P$5)-YEAR($J410))*12+MONTH(P$5)-MONTH($J410),$L410/2,$N410,TRUE))/(1-2*_xlfn.NORM.DIST(0,$L410/2,$N410,TRUE))*$I410," "),"")</f>
        <v>6.1592334666849493E-6</v>
      </c>
      <c r="Q410" s="528">
        <f t="shared" si="423"/>
        <v>1.6052060816061783E-5</v>
      </c>
      <c r="R410" s="528">
        <f t="shared" si="423"/>
        <v>3.97774970705311E-5</v>
      </c>
      <c r="S410" s="528">
        <f t="shared" si="423"/>
        <v>9.3723183796312409E-5</v>
      </c>
      <c r="T410" s="528">
        <f t="shared" si="423"/>
        <v>2.099712909451573E-4</v>
      </c>
      <c r="U410" s="528">
        <f t="shared" si="423"/>
        <v>4.4727689795488583E-4</v>
      </c>
      <c r="V410" s="528">
        <f t="shared" si="423"/>
        <v>9.0593495918079106E-4</v>
      </c>
      <c r="W410" s="528">
        <f t="shared" si="423"/>
        <v>1.7447045430445151E-3</v>
      </c>
      <c r="X410" s="528">
        <f t="shared" si="423"/>
        <v>3.1948566990995181E-3</v>
      </c>
      <c r="Y410" s="528">
        <f t="shared" si="423"/>
        <v>5.5627016635458838E-3</v>
      </c>
      <c r="Z410" s="528">
        <f t="shared" si="423"/>
        <v>9.2092720393005048E-3</v>
      </c>
      <c r="AA410" s="528">
        <f t="shared" si="423"/>
        <v>1.4496735509110093E-2</v>
      </c>
      <c r="AB410" s="528">
        <f t="shared" si="423"/>
        <v>2.169805060899415E-2</v>
      </c>
      <c r="AC410" s="528">
        <f t="shared" si="423"/>
        <v>3.0879979001398383E-2</v>
      </c>
      <c r="AD410" s="528">
        <f t="shared" si="423"/>
        <v>4.1786809655247059E-2</v>
      </c>
      <c r="AE410" s="528">
        <f t="shared" si="423"/>
        <v>5.3765973568357522E-2</v>
      </c>
      <c r="AF410" s="528">
        <f t="shared" si="423"/>
        <v>6.5778204110690061E-2</v>
      </c>
      <c r="AG410" s="528">
        <f t="shared" si="423"/>
        <v>7.6517857781480958E-2</v>
      </c>
      <c r="AH410" s="528">
        <f t="shared" si="423"/>
        <v>8.4634991967425563E-2</v>
      </c>
      <c r="AI410" s="528">
        <f t="shared" si="423"/>
        <v>8.901096772907538E-2</v>
      </c>
      <c r="AJ410" s="528">
        <f t="shared" si="423"/>
        <v>8.901096772907538E-2</v>
      </c>
      <c r="AK410" s="528">
        <f t="shared" si="423"/>
        <v>8.4634991967425507E-2</v>
      </c>
      <c r="AL410" s="528">
        <f t="shared" si="423"/>
        <v>7.6517857781481013E-2</v>
      </c>
      <c r="AM410" s="528">
        <f t="shared" si="423"/>
        <v>6.5778204110690033E-2</v>
      </c>
      <c r="AN410" s="528">
        <f t="shared" si="423"/>
        <v>5.3765973568357522E-2</v>
      </c>
      <c r="AO410" s="528">
        <f t="shared" si="423"/>
        <v>4.1786809655247045E-2</v>
      </c>
      <c r="AP410" s="528">
        <f t="shared" si="423"/>
        <v>3.0879979001398397E-2</v>
      </c>
      <c r="AQ410" s="528">
        <f t="shared" si="423"/>
        <v>2.169805060899422E-2</v>
      </c>
      <c r="AR410" s="528">
        <f t="shared" si="423"/>
        <v>1.4496735509110065E-2</v>
      </c>
      <c r="AS410" s="528">
        <f t="shared" si="423"/>
        <v>9.2092720393005152E-3</v>
      </c>
      <c r="AT410" s="528">
        <f t="shared" si="423"/>
        <v>5.5627016635458092E-3</v>
      </c>
      <c r="AU410" s="528">
        <f t="shared" si="423"/>
        <v>3.1948566990996179E-3</v>
      </c>
      <c r="AV410" s="528">
        <f t="shared" si="423"/>
        <v>1.7447045430445058E-3</v>
      </c>
      <c r="AW410" s="528">
        <f t="shared" si="423"/>
        <v>9.0593495918069608E-4</v>
      </c>
      <c r="AX410" s="528">
        <f t="shared" si="423"/>
        <v>4.4727689795497836E-4</v>
      </c>
      <c r="AY410" s="528">
        <f t="shared" si="423"/>
        <v>2.0997129094510073E-4</v>
      </c>
      <c r="AZ410" s="528">
        <f t="shared" si="423"/>
        <v>9.3723183796350532E-5</v>
      </c>
      <c r="BA410" s="528">
        <f t="shared" si="423"/>
        <v>3.977749707048803E-5</v>
      </c>
      <c r="BB410" s="528">
        <f t="shared" si="423"/>
        <v>1.6052060816128658E-5</v>
      </c>
      <c r="BC410" s="528">
        <f t="shared" si="423"/>
        <v>6.1592334666332557E-6</v>
      </c>
      <c r="BD410" s="528" t="str">
        <f t="shared" si="423"/>
        <v/>
      </c>
      <c r="BE410" s="528" t="str">
        <f t="shared" si="423"/>
        <v/>
      </c>
      <c r="BF410" s="528" t="str">
        <f t="shared" si="423"/>
        <v/>
      </c>
      <c r="BG410" s="528" t="str">
        <f t="shared" si="423"/>
        <v/>
      </c>
      <c r="BH410" s="528" t="str">
        <f t="shared" si="423"/>
        <v/>
      </c>
      <c r="BI410" s="528" t="str">
        <f t="shared" si="423"/>
        <v/>
      </c>
      <c r="BJ410" s="528" t="str">
        <f t="shared" si="423"/>
        <v/>
      </c>
      <c r="BK410" s="528" t="str">
        <f t="shared" si="423"/>
        <v/>
      </c>
      <c r="BL410" s="528" t="str">
        <f t="shared" si="423"/>
        <v/>
      </c>
      <c r="BM410" s="528" t="str">
        <f t="shared" si="423"/>
        <v/>
      </c>
    </row>
    <row r="411" spans="6:65" ht="15.75" customHeight="1" x14ac:dyDescent="0.25">
      <c r="F411" s="197"/>
      <c r="G411" s="197">
        <f t="shared" si="268"/>
        <v>0</v>
      </c>
      <c r="H411" s="197">
        <f t="shared" si="269"/>
        <v>419</v>
      </c>
      <c r="I411" s="523">
        <v>1</v>
      </c>
      <c r="J411" s="533">
        <f>'Monthly DCF'!$I$3</f>
        <v>46418</v>
      </c>
      <c r="K411" s="533">
        <f t="shared" si="270"/>
        <v>47634</v>
      </c>
      <c r="L411" s="536">
        <f t="shared" si="388"/>
        <v>41</v>
      </c>
      <c r="M411" s="20" t="s">
        <v>366</v>
      </c>
      <c r="N411" s="20">
        <f t="shared" si="271"/>
        <v>4.5555555555555554</v>
      </c>
      <c r="O411" s="537">
        <v>9</v>
      </c>
      <c r="P411" s="528">
        <f t="shared" ref="P411:BM411" si="424">IFERROR(+IF(AND($M411="Flat",P$5&gt;=$J411,P$5&lt;=$K411),$I411/$L411,0)+IF(AND($M411="S-Curve",P$5&gt;=$J411,P$5&lt;=$K411),(_xlfn.NORM.DIST((YEAR(P$5)-YEAR($J411))*12+MONTH(P$5)-MONTH($J411)+1,$L411/2,$N411,TRUE)-_xlfn.NORM.DIST((YEAR(P$5)-YEAR($J411))*12+MONTH(P$5)-MONTH($J411),$L411/2,$N411,TRUE))/(1-2*_xlfn.NORM.DIST(0,$L411/2,$N411,TRUE))*$I411," "),"")</f>
        <v>5.9265724766759931E-6</v>
      </c>
      <c r="Q411" s="528">
        <f t="shared" si="424"/>
        <v>1.5109935902437899E-5</v>
      </c>
      <c r="R411" s="528">
        <f t="shared" si="424"/>
        <v>3.671769451702725E-5</v>
      </c>
      <c r="S411" s="528">
        <f t="shared" si="424"/>
        <v>8.504372689125642E-5</v>
      </c>
      <c r="T411" s="528">
        <f t="shared" si="424"/>
        <v>1.8774292635146688E-4</v>
      </c>
      <c r="U411" s="528">
        <f t="shared" si="424"/>
        <v>3.9503866563144277E-4</v>
      </c>
      <c r="V411" s="528">
        <f t="shared" si="424"/>
        <v>7.9226530975371769E-4</v>
      </c>
      <c r="W411" s="528">
        <f t="shared" si="424"/>
        <v>1.514457038005349E-3</v>
      </c>
      <c r="X411" s="528">
        <f t="shared" si="424"/>
        <v>2.7592993068296474E-3</v>
      </c>
      <c r="Y411" s="528">
        <f t="shared" si="424"/>
        <v>4.7917752304141668E-3</v>
      </c>
      <c r="Z411" s="528">
        <f t="shared" si="424"/>
        <v>7.9314036895310139E-3</v>
      </c>
      <c r="AA411" s="528">
        <f t="shared" si="424"/>
        <v>1.2512954400097982E-2</v>
      </c>
      <c r="AB411" s="528">
        <f t="shared" si="424"/>
        <v>1.8815945238337312E-2</v>
      </c>
      <c r="AC411" s="528">
        <f t="shared" si="424"/>
        <v>2.6968000866208167E-2</v>
      </c>
      <c r="AD411" s="528">
        <f t="shared" si="424"/>
        <v>3.6840723041584283E-2</v>
      </c>
      <c r="AE411" s="528">
        <f t="shared" si="424"/>
        <v>4.7969406003010619E-2</v>
      </c>
      <c r="AF411" s="528">
        <f t="shared" si="424"/>
        <v>5.9532955888923704E-2</v>
      </c>
      <c r="AG411" s="528">
        <f t="shared" si="424"/>
        <v>7.0421869344153287E-2</v>
      </c>
      <c r="AH411" s="528">
        <f t="shared" si="424"/>
        <v>7.9398942287541671E-2</v>
      </c>
      <c r="AI411" s="528">
        <f t="shared" si="424"/>
        <v>8.5325530728162499E-2</v>
      </c>
      <c r="AJ411" s="528">
        <f t="shared" si="424"/>
        <v>8.7397784211352567E-2</v>
      </c>
      <c r="AK411" s="528">
        <f t="shared" si="424"/>
        <v>8.5325530728162499E-2</v>
      </c>
      <c r="AL411" s="528">
        <f t="shared" si="424"/>
        <v>7.9398942287541616E-2</v>
      </c>
      <c r="AM411" s="528">
        <f t="shared" si="424"/>
        <v>7.0421869344153398E-2</v>
      </c>
      <c r="AN411" s="528">
        <f t="shared" si="424"/>
        <v>5.9532955888923704E-2</v>
      </c>
      <c r="AO411" s="528">
        <f t="shared" si="424"/>
        <v>4.7969406003010522E-2</v>
      </c>
      <c r="AP411" s="528">
        <f t="shared" si="424"/>
        <v>3.684072304158427E-2</v>
      </c>
      <c r="AQ411" s="528">
        <f t="shared" si="424"/>
        <v>2.6968000866208208E-2</v>
      </c>
      <c r="AR411" s="528">
        <f t="shared" si="424"/>
        <v>1.8815945238337302E-2</v>
      </c>
      <c r="AS411" s="528">
        <f t="shared" si="424"/>
        <v>1.2512954400097961E-2</v>
      </c>
      <c r="AT411" s="528">
        <f t="shared" si="424"/>
        <v>7.9314036895310955E-3</v>
      </c>
      <c r="AU411" s="528">
        <f t="shared" si="424"/>
        <v>4.7917752304140809E-3</v>
      </c>
      <c r="AV411" s="528">
        <f t="shared" si="424"/>
        <v>2.7592993068296799E-3</v>
      </c>
      <c r="AW411" s="528">
        <f t="shared" si="424"/>
        <v>1.5144570380053435E-3</v>
      </c>
      <c r="AX411" s="528">
        <f t="shared" si="424"/>
        <v>7.9226530975369937E-4</v>
      </c>
      <c r="AY411" s="528">
        <f t="shared" si="424"/>
        <v>3.9503866563145198E-4</v>
      </c>
      <c r="AZ411" s="528">
        <f t="shared" si="424"/>
        <v>1.8774292635152692E-4</v>
      </c>
      <c r="BA411" s="528">
        <f t="shared" si="424"/>
        <v>8.5043726891175878E-5</v>
      </c>
      <c r="BB411" s="528">
        <f t="shared" si="424"/>
        <v>3.6717694517108999E-5</v>
      </c>
      <c r="BC411" s="528">
        <f t="shared" si="424"/>
        <v>1.5109935902414943E-5</v>
      </c>
      <c r="BD411" s="528">
        <f t="shared" si="424"/>
        <v>5.9265724766604916E-6</v>
      </c>
      <c r="BE411" s="528" t="str">
        <f t="shared" si="424"/>
        <v/>
      </c>
      <c r="BF411" s="528" t="str">
        <f t="shared" si="424"/>
        <v/>
      </c>
      <c r="BG411" s="528" t="str">
        <f t="shared" si="424"/>
        <v/>
      </c>
      <c r="BH411" s="528" t="str">
        <f t="shared" si="424"/>
        <v/>
      </c>
      <c r="BI411" s="528" t="str">
        <f t="shared" si="424"/>
        <v/>
      </c>
      <c r="BJ411" s="528" t="str">
        <f t="shared" si="424"/>
        <v/>
      </c>
      <c r="BK411" s="528" t="str">
        <f t="shared" si="424"/>
        <v/>
      </c>
      <c r="BL411" s="528" t="str">
        <f t="shared" si="424"/>
        <v/>
      </c>
      <c r="BM411" s="528" t="str">
        <f t="shared" si="424"/>
        <v/>
      </c>
    </row>
    <row r="412" spans="6:65" ht="15.75" customHeight="1" x14ac:dyDescent="0.25">
      <c r="F412" s="197"/>
      <c r="G412" s="197">
        <f t="shared" si="268"/>
        <v>0</v>
      </c>
      <c r="H412" s="197">
        <f t="shared" si="269"/>
        <v>429</v>
      </c>
      <c r="I412" s="523">
        <v>1</v>
      </c>
      <c r="J412" s="533">
        <f>'Monthly DCF'!$I$3</f>
        <v>46418</v>
      </c>
      <c r="K412" s="533">
        <f t="shared" si="270"/>
        <v>47664</v>
      </c>
      <c r="L412" s="536">
        <f t="shared" si="388"/>
        <v>42</v>
      </c>
      <c r="M412" s="20" t="s">
        <v>366</v>
      </c>
      <c r="N412" s="20">
        <f t="shared" si="271"/>
        <v>4.666666666666667</v>
      </c>
      <c r="O412" s="537">
        <v>9</v>
      </c>
      <c r="P412" s="528">
        <f t="shared" ref="P412:BM412" si="425">IFERROR(+IF(AND($M412="Flat",P$5&gt;=$J412,P$5&lt;=$K412),$I412/$L412,0)+IF(AND($M412="S-Curve",P$5&gt;=$J412,P$5&lt;=$K412),(_xlfn.NORM.DIST((YEAR(P$5)-YEAR($J412))*12+MONTH(P$5)-MONTH($J412)+1,$L412/2,$N412,TRUE)-_xlfn.NORM.DIST((YEAR(P$5)-YEAR($J412))*12+MONTH(P$5)-MONTH($J412),$L412/2,$N412,TRUE))/(1-2*_xlfn.NORM.DIST(0,$L412/2,$N412,TRUE))*$I412," "),"")</f>
        <v>5.7100142512778697E-6</v>
      </c>
      <c r="Q412" s="528">
        <f t="shared" si="425"/>
        <v>1.4255293724143428E-5</v>
      </c>
      <c r="R412" s="528">
        <f t="shared" si="425"/>
        <v>3.3997446118727477E-5</v>
      </c>
      <c r="S412" s="528">
        <f t="shared" si="425"/>
        <v>7.7454713308783521E-5</v>
      </c>
      <c r="T412" s="528">
        <f t="shared" si="425"/>
        <v>1.6857032081126063E-4</v>
      </c>
      <c r="U412" s="528">
        <f t="shared" si="425"/>
        <v>3.5046636277689041E-4</v>
      </c>
      <c r="V412" s="528">
        <f t="shared" si="425"/>
        <v>6.9605535751261836E-4</v>
      </c>
      <c r="W412" s="528">
        <f t="shared" si="425"/>
        <v>1.3206072048867251E-3</v>
      </c>
      <c r="X412" s="528">
        <f t="shared" si="425"/>
        <v>2.3935152769267924E-3</v>
      </c>
      <c r="Y412" s="528">
        <f t="shared" si="425"/>
        <v>4.1441131741405627E-3</v>
      </c>
      <c r="Z412" s="528">
        <f t="shared" si="425"/>
        <v>6.854251892691233E-3</v>
      </c>
      <c r="AA412" s="528">
        <f t="shared" si="425"/>
        <v>1.0829832419831936E-2</v>
      </c>
      <c r="AB412" s="528">
        <f t="shared" si="425"/>
        <v>1.6346199393718404E-2</v>
      </c>
      <c r="AC412" s="528">
        <f t="shared" si="425"/>
        <v>2.3569228683094991E-2</v>
      </c>
      <c r="AD412" s="528">
        <f t="shared" si="425"/>
        <v>3.2464416181421679E-2</v>
      </c>
      <c r="AE412" s="528">
        <f t="shared" si="425"/>
        <v>4.2717279310828624E-2</v>
      </c>
      <c r="AF412" s="528">
        <f t="shared" si="425"/>
        <v>5.3694948154084633E-2</v>
      </c>
      <c r="AG412" s="528">
        <f t="shared" si="425"/>
        <v>6.4475869235763608E-2</v>
      </c>
      <c r="AH412" s="528">
        <f t="shared" si="425"/>
        <v>7.3959673225529321E-2</v>
      </c>
      <c r="AI412" s="528">
        <f t="shared" si="425"/>
        <v>8.1045108659848153E-2</v>
      </c>
      <c r="AJ412" s="528">
        <f t="shared" si="425"/>
        <v>8.4838447678729639E-2</v>
      </c>
      <c r="AK412" s="528">
        <f t="shared" si="425"/>
        <v>8.4838447678729639E-2</v>
      </c>
      <c r="AL412" s="528">
        <f t="shared" si="425"/>
        <v>8.1045108659848153E-2</v>
      </c>
      <c r="AM412" s="528">
        <f t="shared" si="425"/>
        <v>7.3959673225529265E-2</v>
      </c>
      <c r="AN412" s="528">
        <f t="shared" si="425"/>
        <v>6.4475869235763691E-2</v>
      </c>
      <c r="AO412" s="528">
        <f t="shared" si="425"/>
        <v>5.3694948154084661E-2</v>
      </c>
      <c r="AP412" s="528">
        <f t="shared" si="425"/>
        <v>4.2717279310828596E-2</v>
      </c>
      <c r="AQ412" s="528">
        <f t="shared" si="425"/>
        <v>3.2464416181421624E-2</v>
      </c>
      <c r="AR412" s="528">
        <f t="shared" si="425"/>
        <v>2.3569228683095075E-2</v>
      </c>
      <c r="AS412" s="528">
        <f t="shared" si="425"/>
        <v>1.63461993937183E-2</v>
      </c>
      <c r="AT412" s="528">
        <f t="shared" si="425"/>
        <v>1.0829832419832033E-2</v>
      </c>
      <c r="AU412" s="528">
        <f t="shared" si="425"/>
        <v>6.8542518926911567E-3</v>
      </c>
      <c r="AV412" s="528">
        <f t="shared" si="425"/>
        <v>4.1441131741405592E-3</v>
      </c>
      <c r="AW412" s="528">
        <f t="shared" si="425"/>
        <v>2.3935152769268527E-3</v>
      </c>
      <c r="AX412" s="528">
        <f t="shared" si="425"/>
        <v>1.3206072048866859E-3</v>
      </c>
      <c r="AY412" s="528">
        <f t="shared" si="425"/>
        <v>6.9605535751265826E-4</v>
      </c>
      <c r="AZ412" s="528">
        <f t="shared" si="425"/>
        <v>3.5046636277689892E-4</v>
      </c>
      <c r="BA412" s="528">
        <f t="shared" si="425"/>
        <v>1.6857032081118734E-4</v>
      </c>
      <c r="BB412" s="528">
        <f t="shared" si="425"/>
        <v>7.7454713308839412E-5</v>
      </c>
      <c r="BC412" s="528">
        <f t="shared" si="425"/>
        <v>3.3997446118757035E-5</v>
      </c>
      <c r="BD412" s="528">
        <f t="shared" si="425"/>
        <v>1.4255293724041442E-5</v>
      </c>
      <c r="BE412" s="528">
        <f t="shared" si="425"/>
        <v>5.710014251320827E-6</v>
      </c>
      <c r="BF412" s="528" t="str">
        <f t="shared" si="425"/>
        <v/>
      </c>
      <c r="BG412" s="528" t="str">
        <f t="shared" si="425"/>
        <v/>
      </c>
      <c r="BH412" s="528" t="str">
        <f t="shared" si="425"/>
        <v/>
      </c>
      <c r="BI412" s="528" t="str">
        <f t="shared" si="425"/>
        <v/>
      </c>
      <c r="BJ412" s="528" t="str">
        <f t="shared" si="425"/>
        <v/>
      </c>
      <c r="BK412" s="528" t="str">
        <f t="shared" si="425"/>
        <v/>
      </c>
      <c r="BL412" s="528" t="str">
        <f t="shared" si="425"/>
        <v/>
      </c>
      <c r="BM412" s="528" t="str">
        <f t="shared" si="425"/>
        <v/>
      </c>
    </row>
    <row r="413" spans="6:65" ht="15.75" customHeight="1" x14ac:dyDescent="0.25">
      <c r="F413" s="197"/>
      <c r="G413" s="197">
        <f t="shared" si="268"/>
        <v>0</v>
      </c>
      <c r="H413" s="197">
        <f t="shared" si="269"/>
        <v>439</v>
      </c>
      <c r="I413" s="523">
        <v>1</v>
      </c>
      <c r="J413" s="533">
        <f>'Monthly DCF'!$I$3</f>
        <v>46418</v>
      </c>
      <c r="K413" s="533">
        <f t="shared" si="270"/>
        <v>47695</v>
      </c>
      <c r="L413" s="536">
        <f t="shared" si="388"/>
        <v>43</v>
      </c>
      <c r="M413" s="20" t="s">
        <v>366</v>
      </c>
      <c r="N413" s="20">
        <f t="shared" si="271"/>
        <v>4.7777777777777777</v>
      </c>
      <c r="O413" s="537">
        <v>9</v>
      </c>
      <c r="P413" s="528">
        <f t="shared" ref="P413:BM413" si="426">IFERROR(+IF(AND($M413="Flat",P$5&gt;=$J413,P$5&lt;=$K413),$I413/$L413,0)+IF(AND($M413="S-Curve",P$5&gt;=$J413,P$5&lt;=$K413),(_xlfn.NORM.DIST((YEAR(P$5)-YEAR($J413))*12+MONTH(P$5)-MONTH($J413)+1,$L413/2,$N413,TRUE)-_xlfn.NORM.DIST((YEAR(P$5)-YEAR($J413))*12+MONTH(P$5)-MONTH($J413),$L413/2,$N413,TRUE))/(1-2*_xlfn.NORM.DIST(0,$L413/2,$N413,TRUE))*$I413," "),"")</f>
        <v>5.5079972877511755E-6</v>
      </c>
      <c r="Q413" s="528">
        <f t="shared" si="426"/>
        <v>1.3477525327687807E-5</v>
      </c>
      <c r="R413" s="528">
        <f t="shared" si="426"/>
        <v>3.1569523862281708E-5</v>
      </c>
      <c r="S413" s="528">
        <f t="shared" si="426"/>
        <v>7.0789295083261932E-5</v>
      </c>
      <c r="T413" s="528">
        <f t="shared" si="426"/>
        <v>1.519529225354811E-4</v>
      </c>
      <c r="U413" s="528">
        <f t="shared" si="426"/>
        <v>3.1224296528680704E-4</v>
      </c>
      <c r="V413" s="528">
        <f t="shared" si="426"/>
        <v>6.1421244788006295E-4</v>
      </c>
      <c r="W413" s="528">
        <f t="shared" si="426"/>
        <v>1.1566104426465307E-3</v>
      </c>
      <c r="X413" s="528">
        <f t="shared" si="426"/>
        <v>2.0849629167158899E-3</v>
      </c>
      <c r="Y413" s="528">
        <f t="shared" si="426"/>
        <v>3.5979279800741784E-3</v>
      </c>
      <c r="Z413" s="528">
        <f t="shared" si="426"/>
        <v>5.943601224968495E-3</v>
      </c>
      <c r="AA413" s="528">
        <f t="shared" si="426"/>
        <v>9.3991824049034101E-3</v>
      </c>
      <c r="AB413" s="528">
        <f t="shared" si="426"/>
        <v>1.422898251325495E-2</v>
      </c>
      <c r="AC413" s="528">
        <f t="shared" si="426"/>
        <v>2.0620590199103735E-2</v>
      </c>
      <c r="AD413" s="528">
        <f t="shared" si="426"/>
        <v>2.8606974361174365E-2</v>
      </c>
      <c r="AE413" s="528">
        <f t="shared" si="426"/>
        <v>3.7991500817149575E-2</v>
      </c>
      <c r="AF413" s="528">
        <f t="shared" si="426"/>
        <v>4.8299734974495662E-2</v>
      </c>
      <c r="AG413" s="528">
        <f t="shared" si="426"/>
        <v>5.8782342894354314E-2</v>
      </c>
      <c r="AH413" s="528">
        <f t="shared" si="426"/>
        <v>6.8484602917032802E-2</v>
      </c>
      <c r="AI413" s="528">
        <f t="shared" si="426"/>
        <v>7.6380578737583346E-2</v>
      </c>
      <c r="AJ413" s="528">
        <f t="shared" si="426"/>
        <v>8.1548679512635475E-2</v>
      </c>
      <c r="AK413" s="528">
        <f t="shared" si="426"/>
        <v>8.334795085328793E-2</v>
      </c>
      <c r="AL413" s="528">
        <f t="shared" si="426"/>
        <v>8.1548679512635475E-2</v>
      </c>
      <c r="AM413" s="528">
        <f t="shared" si="426"/>
        <v>7.6380578737583346E-2</v>
      </c>
      <c r="AN413" s="528">
        <f t="shared" si="426"/>
        <v>6.848460291703283E-2</v>
      </c>
      <c r="AO413" s="528">
        <f t="shared" si="426"/>
        <v>5.8782342894354259E-2</v>
      </c>
      <c r="AP413" s="528">
        <f t="shared" si="426"/>
        <v>4.8299734974495717E-2</v>
      </c>
      <c r="AQ413" s="528">
        <f t="shared" si="426"/>
        <v>3.7991500817149505E-2</v>
      </c>
      <c r="AR413" s="528">
        <f t="shared" si="426"/>
        <v>2.8606974361174372E-2</v>
      </c>
      <c r="AS413" s="528">
        <f t="shared" si="426"/>
        <v>2.0620590199103804E-2</v>
      </c>
      <c r="AT413" s="528">
        <f t="shared" si="426"/>
        <v>1.4228982513254967E-2</v>
      </c>
      <c r="AU413" s="528">
        <f t="shared" si="426"/>
        <v>9.3991824049034015E-3</v>
      </c>
      <c r="AV413" s="528">
        <f t="shared" si="426"/>
        <v>5.9436012249684082E-3</v>
      </c>
      <c r="AW413" s="528">
        <f t="shared" si="426"/>
        <v>3.5979279800742365E-3</v>
      </c>
      <c r="AX413" s="528">
        <f t="shared" si="426"/>
        <v>2.0849629167158704E-3</v>
      </c>
      <c r="AY413" s="528">
        <f t="shared" si="426"/>
        <v>1.1566104426465815E-3</v>
      </c>
      <c r="AZ413" s="528">
        <f t="shared" si="426"/>
        <v>6.1421244788000678E-4</v>
      </c>
      <c r="BA413" s="528">
        <f t="shared" si="426"/>
        <v>3.122429652868619E-4</v>
      </c>
      <c r="BB413" s="528">
        <f t="shared" si="426"/>
        <v>1.5195292253547592E-4</v>
      </c>
      <c r="BC413" s="528">
        <f t="shared" si="426"/>
        <v>7.0789295083201312E-5</v>
      </c>
      <c r="BD413" s="528">
        <f t="shared" si="426"/>
        <v>3.1569523862299984E-5</v>
      </c>
      <c r="BE413" s="528">
        <f t="shared" si="426"/>
        <v>1.347752532769869E-5</v>
      </c>
      <c r="BF413" s="528">
        <f t="shared" si="426"/>
        <v>5.5079972877344898E-6</v>
      </c>
      <c r="BG413" s="528" t="str">
        <f t="shared" si="426"/>
        <v/>
      </c>
      <c r="BH413" s="528" t="str">
        <f t="shared" si="426"/>
        <v/>
      </c>
      <c r="BI413" s="528" t="str">
        <f t="shared" si="426"/>
        <v/>
      </c>
      <c r="BJ413" s="528" t="str">
        <f t="shared" si="426"/>
        <v/>
      </c>
      <c r="BK413" s="528" t="str">
        <f t="shared" si="426"/>
        <v/>
      </c>
      <c r="BL413" s="528" t="str">
        <f t="shared" si="426"/>
        <v/>
      </c>
      <c r="BM413" s="528" t="str">
        <f t="shared" si="426"/>
        <v/>
      </c>
    </row>
    <row r="414" spans="6:65" ht="15.75" customHeight="1" x14ac:dyDescent="0.25">
      <c r="F414" s="197"/>
      <c r="G414" s="197">
        <f t="shared" si="268"/>
        <v>0</v>
      </c>
      <c r="H414" s="197">
        <f t="shared" si="269"/>
        <v>449</v>
      </c>
      <c r="I414" s="523">
        <v>1</v>
      </c>
      <c r="J414" s="533">
        <f>'Monthly DCF'!$I$3</f>
        <v>46418</v>
      </c>
      <c r="K414" s="533">
        <f t="shared" si="270"/>
        <v>47726</v>
      </c>
      <c r="L414" s="536">
        <f t="shared" si="388"/>
        <v>44</v>
      </c>
      <c r="M414" s="20" t="s">
        <v>366</v>
      </c>
      <c r="N414" s="20">
        <f t="shared" si="271"/>
        <v>4.8888888888888893</v>
      </c>
      <c r="O414" s="537">
        <v>9</v>
      </c>
      <c r="P414" s="528">
        <f t="shared" ref="P414:BM414" si="427">IFERROR(+IF(AND($M414="Flat",P$5&gt;=$J414,P$5&lt;=$K414),$I414/$L414,0)+IF(AND($M414="S-Curve",P$5&gt;=$J414,P$5&lt;=$K414),(_xlfn.NORM.DIST((YEAR(P$5)-YEAR($J414))*12+MONTH(P$5)-MONTH($J414)+1,$L414/2,$N414,TRUE)-_xlfn.NORM.DIST((YEAR(P$5)-YEAR($J414))*12+MONTH(P$5)-MONTH($J414),$L414/2,$N414,TRUE))/(1-2*_xlfn.NORM.DIST(0,$L414/2,$N414,TRUE))*$I414," "),"")</f>
        <v>5.3191508628972727E-6</v>
      </c>
      <c r="Q414" s="528">
        <f t="shared" si="427"/>
        <v>1.2767576443442311E-5</v>
      </c>
      <c r="R414" s="528">
        <f t="shared" si="427"/>
        <v>2.9394444352031214E-5</v>
      </c>
      <c r="S414" s="528">
        <f t="shared" si="427"/>
        <v>6.4910190236065074E-5</v>
      </c>
      <c r="T414" s="528">
        <f t="shared" si="427"/>
        <v>1.3748380625385243E-4</v>
      </c>
      <c r="U414" s="528">
        <f t="shared" si="427"/>
        <v>2.7930675598754898E-4</v>
      </c>
      <c r="V414" s="528">
        <f t="shared" si="427"/>
        <v>5.4425539556340907E-4</v>
      </c>
      <c r="W414" s="528">
        <f t="shared" si="427"/>
        <v>1.017221720720369E-3</v>
      </c>
      <c r="X414" s="528">
        <f t="shared" si="427"/>
        <v>1.8235607965540993E-3</v>
      </c>
      <c r="Y414" s="528">
        <f t="shared" si="427"/>
        <v>3.1355718693669666E-3</v>
      </c>
      <c r="Z414" s="528">
        <f t="shared" si="427"/>
        <v>5.1713663225796611E-3</v>
      </c>
      <c r="AA414" s="528">
        <f t="shared" si="427"/>
        <v>8.1806159933796672E-3</v>
      </c>
      <c r="AB414" s="528">
        <f t="shared" si="427"/>
        <v>1.2412492273574691E-2</v>
      </c>
      <c r="AC414" s="528">
        <f t="shared" si="427"/>
        <v>1.8064434245016286E-2</v>
      </c>
      <c r="AD414" s="528">
        <f t="shared" si="427"/>
        <v>2.5216350092596096E-2</v>
      </c>
      <c r="AE414" s="528">
        <f t="shared" si="427"/>
        <v>3.3762349497581147E-2</v>
      </c>
      <c r="AF414" s="528">
        <f t="shared" si="427"/>
        <v>4.3358649719265688E-2</v>
      </c>
      <c r="AG414" s="528">
        <f t="shared" si="427"/>
        <v>5.3408644309702116E-2</v>
      </c>
      <c r="AH414" s="528">
        <f t="shared" si="427"/>
        <v>6.3101565285064415E-2</v>
      </c>
      <c r="AI414" s="528">
        <f t="shared" si="427"/>
        <v>7.1509135444176489E-2</v>
      </c>
      <c r="AJ414" s="528">
        <f t="shared" si="427"/>
        <v>7.7727692018177655E-2</v>
      </c>
      <c r="AK414" s="528">
        <f t="shared" si="427"/>
        <v>8.1036913092545418E-2</v>
      </c>
      <c r="AL414" s="528">
        <f t="shared" si="427"/>
        <v>8.1036913092545418E-2</v>
      </c>
      <c r="AM414" s="528">
        <f t="shared" si="427"/>
        <v>7.7727692018177599E-2</v>
      </c>
      <c r="AN414" s="528">
        <f t="shared" si="427"/>
        <v>7.1509135444176489E-2</v>
      </c>
      <c r="AO414" s="528">
        <f t="shared" si="427"/>
        <v>6.310156528506447E-2</v>
      </c>
      <c r="AP414" s="528">
        <f t="shared" si="427"/>
        <v>5.3408644309702089E-2</v>
      </c>
      <c r="AQ414" s="528">
        <f t="shared" si="427"/>
        <v>4.3358649719265716E-2</v>
      </c>
      <c r="AR414" s="528">
        <f t="shared" si="427"/>
        <v>3.3762349497581133E-2</v>
      </c>
      <c r="AS414" s="528">
        <f t="shared" si="427"/>
        <v>2.5216350092596054E-2</v>
      </c>
      <c r="AT414" s="528">
        <f t="shared" si="427"/>
        <v>1.8064434245016293E-2</v>
      </c>
      <c r="AU414" s="528">
        <f t="shared" si="427"/>
        <v>1.2412492273574795E-2</v>
      </c>
      <c r="AV414" s="528">
        <f t="shared" si="427"/>
        <v>8.180615993379636E-3</v>
      </c>
      <c r="AW414" s="528">
        <f t="shared" si="427"/>
        <v>5.1713663225796775E-3</v>
      </c>
      <c r="AX414" s="528">
        <f t="shared" si="427"/>
        <v>3.1355718693669198E-3</v>
      </c>
      <c r="AY414" s="528">
        <f t="shared" si="427"/>
        <v>1.8235607965541439E-3</v>
      </c>
      <c r="AZ414" s="528">
        <f t="shared" si="427"/>
        <v>1.0172217207202942E-3</v>
      </c>
      <c r="BA414" s="528">
        <f t="shared" si="427"/>
        <v>5.4425539556340896E-4</v>
      </c>
      <c r="BB414" s="528">
        <f t="shared" si="427"/>
        <v>2.7930675598754464E-4</v>
      </c>
      <c r="BC414" s="528">
        <f t="shared" si="427"/>
        <v>1.374838062539473E-4</v>
      </c>
      <c r="BD414" s="528">
        <f t="shared" si="427"/>
        <v>6.4910190235962698E-5</v>
      </c>
      <c r="BE414" s="528">
        <f t="shared" si="427"/>
        <v>2.9394444352111343E-5</v>
      </c>
      <c r="BF414" s="528">
        <f t="shared" si="427"/>
        <v>1.2767576443365722E-5</v>
      </c>
      <c r="BG414" s="528">
        <f t="shared" si="427"/>
        <v>5.3191508629332487E-6</v>
      </c>
      <c r="BH414" s="528" t="str">
        <f t="shared" si="427"/>
        <v/>
      </c>
      <c r="BI414" s="528" t="str">
        <f t="shared" si="427"/>
        <v/>
      </c>
      <c r="BJ414" s="528" t="str">
        <f t="shared" si="427"/>
        <v/>
      </c>
      <c r="BK414" s="528" t="str">
        <f t="shared" si="427"/>
        <v/>
      </c>
      <c r="BL414" s="528" t="str">
        <f t="shared" si="427"/>
        <v/>
      </c>
      <c r="BM414" s="528" t="str">
        <f t="shared" si="427"/>
        <v/>
      </c>
    </row>
    <row r="415" spans="6:65" ht="15.75" customHeight="1" x14ac:dyDescent="0.25">
      <c r="F415" s="197"/>
      <c r="G415" s="197">
        <f t="shared" si="268"/>
        <v>0</v>
      </c>
      <c r="H415" s="197">
        <f t="shared" si="269"/>
        <v>459</v>
      </c>
      <c r="I415" s="523">
        <v>1</v>
      </c>
      <c r="J415" s="533">
        <f>'Monthly DCF'!$I$3</f>
        <v>46418</v>
      </c>
      <c r="K415" s="533">
        <f t="shared" si="270"/>
        <v>47756</v>
      </c>
      <c r="L415" s="536">
        <f t="shared" si="388"/>
        <v>45</v>
      </c>
      <c r="M415" s="20" t="s">
        <v>366</v>
      </c>
      <c r="N415" s="20">
        <f t="shared" si="271"/>
        <v>5</v>
      </c>
      <c r="O415" s="537">
        <v>9</v>
      </c>
      <c r="P415" s="528">
        <f t="shared" ref="P415:BM415" si="428">IFERROR(+IF(AND($M415="Flat",P$5&gt;=$J415,P$5&lt;=$K415),$I415/$L415,0)+IF(AND($M415="S-Curve",P$5&gt;=$J415,P$5&lt;=$K415),(_xlfn.NORM.DIST((YEAR(P$5)-YEAR($J415))*12+MONTH(P$5)-MONTH($J415)+1,$L415/2,$N415,TRUE)-_xlfn.NORM.DIST((YEAR(P$5)-YEAR($J415))*12+MONTH(P$5)-MONTH($J415),$L415/2,$N415,TRUE))/(1-2*_xlfn.NORM.DIST(0,$L415/2,$N415,TRUE))*$I415," "),"")</f>
        <v>5.1422672897484816E-6</v>
      </c>
      <c r="Q415" s="528">
        <f t="shared" si="428"/>
        <v>1.2117683785411982E-5</v>
      </c>
      <c r="R415" s="528">
        <f t="shared" si="428"/>
        <v>2.7439023562721757E-5</v>
      </c>
      <c r="S415" s="528">
        <f t="shared" si="428"/>
        <v>5.9703795167746204E-5</v>
      </c>
      <c r="T415" s="528">
        <f t="shared" si="428"/>
        <v>1.2483019382252623E-4</v>
      </c>
      <c r="U415" s="528">
        <f t="shared" si="428"/>
        <v>2.5079676759912648E-4</v>
      </c>
      <c r="V415" s="528">
        <f t="shared" si="428"/>
        <v>4.8418236102136969E-4</v>
      </c>
      <c r="W415" s="528">
        <f t="shared" si="428"/>
        <v>8.9821619085570545E-4</v>
      </c>
      <c r="X415" s="528">
        <f t="shared" si="428"/>
        <v>1.6011713831705799E-3</v>
      </c>
      <c r="Y415" s="528">
        <f t="shared" si="428"/>
        <v>2.7427101604006708E-3</v>
      </c>
      <c r="Z415" s="528">
        <f t="shared" si="428"/>
        <v>4.5144753733229737E-3</v>
      </c>
      <c r="AA415" s="528">
        <f t="shared" si="428"/>
        <v>7.1403590623529091E-3</v>
      </c>
      <c r="AB415" s="528">
        <f t="shared" si="428"/>
        <v>1.0852212997730147E-2</v>
      </c>
      <c r="AC415" s="528">
        <f t="shared" si="428"/>
        <v>1.5849010642056266E-2</v>
      </c>
      <c r="AD415" s="528">
        <f t="shared" si="428"/>
        <v>2.2241889651656441E-2</v>
      </c>
      <c r="AE415" s="528">
        <f t="shared" si="428"/>
        <v>2.9993487132882555E-2</v>
      </c>
      <c r="AF415" s="528">
        <f t="shared" si="428"/>
        <v>3.8865840467615584E-2</v>
      </c>
      <c r="AG415" s="528">
        <f t="shared" si="428"/>
        <v>4.8394393257035574E-2</v>
      </c>
      <c r="AH415" s="528">
        <f t="shared" si="428"/>
        <v>5.7903920353501483E-2</v>
      </c>
      <c r="AI415" s="528">
        <f t="shared" si="428"/>
        <v>6.6574338898598054E-2</v>
      </c>
      <c r="AJ415" s="528">
        <f t="shared" si="428"/>
        <v>7.3551538893234403E-2</v>
      </c>
      <c r="AK415" s="528">
        <f t="shared" si="428"/>
        <v>7.808411552052523E-2</v>
      </c>
      <c r="AL415" s="528">
        <f t="shared" si="428"/>
        <v>7.9656215845625572E-2</v>
      </c>
      <c r="AM415" s="528">
        <f t="shared" si="428"/>
        <v>7.808411552052523E-2</v>
      </c>
      <c r="AN415" s="528">
        <f t="shared" si="428"/>
        <v>7.3551538893234403E-2</v>
      </c>
      <c r="AO415" s="528">
        <f t="shared" si="428"/>
        <v>6.6574338898597998E-2</v>
      </c>
      <c r="AP415" s="528">
        <f t="shared" si="428"/>
        <v>5.790392035350151E-2</v>
      </c>
      <c r="AQ415" s="528">
        <f t="shared" si="428"/>
        <v>4.8394393257035574E-2</v>
      </c>
      <c r="AR415" s="528">
        <f t="shared" si="428"/>
        <v>3.8865840467615625E-2</v>
      </c>
      <c r="AS415" s="528">
        <f t="shared" si="428"/>
        <v>2.9993487132882513E-2</v>
      </c>
      <c r="AT415" s="528">
        <f t="shared" si="428"/>
        <v>2.2241889651656504E-2</v>
      </c>
      <c r="AU415" s="528">
        <f t="shared" si="428"/>
        <v>1.5849010642056179E-2</v>
      </c>
      <c r="AV415" s="528">
        <f t="shared" si="428"/>
        <v>1.0852212997730181E-2</v>
      </c>
      <c r="AW415" s="528">
        <f t="shared" si="428"/>
        <v>7.1403590623529004E-3</v>
      </c>
      <c r="AX415" s="528">
        <f t="shared" si="428"/>
        <v>4.5144753733229737E-3</v>
      </c>
      <c r="AY415" s="528">
        <f t="shared" si="428"/>
        <v>2.7427101604007428E-3</v>
      </c>
      <c r="AZ415" s="528">
        <f t="shared" si="428"/>
        <v>1.6011713831705267E-3</v>
      </c>
      <c r="BA415" s="528">
        <f t="shared" si="428"/>
        <v>8.9821619085575326E-4</v>
      </c>
      <c r="BB415" s="528">
        <f t="shared" si="428"/>
        <v>4.8418236102132497E-4</v>
      </c>
      <c r="BC415" s="528">
        <f t="shared" si="428"/>
        <v>2.5079676759911552E-4</v>
      </c>
      <c r="BD415" s="528">
        <f t="shared" si="428"/>
        <v>1.2483019382252005E-4</v>
      </c>
      <c r="BE415" s="528">
        <f t="shared" si="428"/>
        <v>5.9703795167780363E-5</v>
      </c>
      <c r="BF415" s="528">
        <f t="shared" si="428"/>
        <v>2.7439023562764058E-5</v>
      </c>
      <c r="BG415" s="528">
        <f t="shared" si="428"/>
        <v>1.2117683785342944E-5</v>
      </c>
      <c r="BH415" s="528">
        <f t="shared" si="428"/>
        <v>5.1422672897536138E-6</v>
      </c>
      <c r="BI415" s="528" t="str">
        <f t="shared" si="428"/>
        <v/>
      </c>
      <c r="BJ415" s="528" t="str">
        <f t="shared" si="428"/>
        <v/>
      </c>
      <c r="BK415" s="528" t="str">
        <f t="shared" si="428"/>
        <v/>
      </c>
      <c r="BL415" s="528" t="str">
        <f t="shared" si="428"/>
        <v/>
      </c>
      <c r="BM415" s="528" t="str">
        <f t="shared" si="428"/>
        <v/>
      </c>
    </row>
    <row r="416" spans="6:65" ht="15.75" customHeight="1" x14ac:dyDescent="0.25">
      <c r="F416" s="197"/>
      <c r="G416" s="197">
        <f t="shared" si="268"/>
        <v>0</v>
      </c>
      <c r="H416" s="197">
        <f t="shared" si="269"/>
        <v>469</v>
      </c>
      <c r="I416" s="523">
        <v>1</v>
      </c>
      <c r="J416" s="533">
        <f>'Monthly DCF'!$I$3</f>
        <v>46418</v>
      </c>
      <c r="K416" s="533">
        <f t="shared" si="270"/>
        <v>47787</v>
      </c>
      <c r="L416" s="536">
        <f t="shared" si="388"/>
        <v>46</v>
      </c>
      <c r="M416" s="20" t="s">
        <v>366</v>
      </c>
      <c r="N416" s="20">
        <f t="shared" si="271"/>
        <v>5.1111111111111107</v>
      </c>
      <c r="O416" s="537">
        <v>9</v>
      </c>
      <c r="P416" s="528">
        <f t="shared" ref="P416:BM416" si="429">IFERROR(+IF(AND($M416="Flat",P$5&gt;=$J416,P$5&lt;=$K416),$I416/$L416,0)+IF(AND($M416="S-Curve",P$5&gt;=$J416,P$5&lt;=$K416),(_xlfn.NORM.DIST((YEAR(P$5)-YEAR($J416))*12+MONTH(P$5)-MONTH($J416)+1,$L416/2,$N416,TRUE)-_xlfn.NORM.DIST((YEAR(P$5)-YEAR($J416))*12+MONTH(P$5)-MONTH($J416),$L416/2,$N416,TRUE))/(1-2*_xlfn.NORM.DIST(0,$L416/2,$N416,TRUE))*$I416," "),"")</f>
        <v>4.9762788091734416E-6</v>
      </c>
      <c r="Q416" s="528">
        <f t="shared" si="429"/>
        <v>1.1521161708209271E-5</v>
      </c>
      <c r="R416" s="528">
        <f t="shared" si="429"/>
        <v>2.5675231443906199E-5</v>
      </c>
      <c r="S416" s="528">
        <f t="shared" si="429"/>
        <v>5.5075588176337974E-5</v>
      </c>
      <c r="T416" s="528">
        <f t="shared" si="429"/>
        <v>1.1371840255616655E-4</v>
      </c>
      <c r="U416" s="528">
        <f t="shared" si="429"/>
        <v>2.2601087035883881E-4</v>
      </c>
      <c r="V416" s="528">
        <f t="shared" si="429"/>
        <v>4.3236945985603156E-4</v>
      </c>
      <c r="W416" s="528">
        <f t="shared" si="429"/>
        <v>7.9617387916992475E-4</v>
      </c>
      <c r="X416" s="528">
        <f t="shared" si="429"/>
        <v>1.4111987814547065E-3</v>
      </c>
      <c r="Y416" s="528">
        <f t="shared" si="429"/>
        <v>2.4076642611337257E-3</v>
      </c>
      <c r="Z416" s="528">
        <f t="shared" si="429"/>
        <v>3.9539505314395203E-3</v>
      </c>
      <c r="AA416" s="528">
        <f t="shared" si="429"/>
        <v>6.2502042121088458E-3</v>
      </c>
      <c r="AB416" s="528">
        <f t="shared" si="429"/>
        <v>9.5100969607594069E-3</v>
      </c>
      <c r="AC416" s="528">
        <f t="shared" si="429"/>
        <v>1.392847369383687E-2</v>
      </c>
      <c r="AD416" s="528">
        <f t="shared" si="429"/>
        <v>1.9635864843496977E-2</v>
      </c>
      <c r="AE416" s="528">
        <f t="shared" si="429"/>
        <v>2.6645540322734612E-2</v>
      </c>
      <c r="AF416" s="528">
        <f t="shared" si="429"/>
        <v>3.4803833430906872E-2</v>
      </c>
      <c r="AG416" s="528">
        <f t="shared" si="429"/>
        <v>4.3758027649905142E-2</v>
      </c>
      <c r="AH416" s="528">
        <f t="shared" si="429"/>
        <v>5.2956167636512411E-2</v>
      </c>
      <c r="AI416" s="528">
        <f t="shared" si="429"/>
        <v>6.1688406200623089E-2</v>
      </c>
      <c r="AJ416" s="528">
        <f t="shared" si="429"/>
        <v>6.917015898914515E-2</v>
      </c>
      <c r="AK416" s="528">
        <f t="shared" si="429"/>
        <v>7.4655574823699306E-2</v>
      </c>
      <c r="AL416" s="528">
        <f t="shared" si="429"/>
        <v>7.7559316790164784E-2</v>
      </c>
      <c r="AM416" s="528">
        <f t="shared" si="429"/>
        <v>7.7559316790164784E-2</v>
      </c>
      <c r="AN416" s="528">
        <f t="shared" si="429"/>
        <v>7.4655574823699306E-2</v>
      </c>
      <c r="AO416" s="528">
        <f t="shared" si="429"/>
        <v>6.917015898914515E-2</v>
      </c>
      <c r="AP416" s="528">
        <f t="shared" si="429"/>
        <v>6.1688406200623033E-2</v>
      </c>
      <c r="AQ416" s="528">
        <f t="shared" si="429"/>
        <v>5.2956167636512411E-2</v>
      </c>
      <c r="AR416" s="528">
        <f t="shared" si="429"/>
        <v>4.3758027649905211E-2</v>
      </c>
      <c r="AS416" s="528">
        <f t="shared" si="429"/>
        <v>3.4803833430906872E-2</v>
      </c>
      <c r="AT416" s="528">
        <f t="shared" si="429"/>
        <v>2.6645540322734626E-2</v>
      </c>
      <c r="AU416" s="528">
        <f t="shared" si="429"/>
        <v>1.9635864843496914E-2</v>
      </c>
      <c r="AV416" s="528">
        <f t="shared" si="429"/>
        <v>1.3928473693836887E-2</v>
      </c>
      <c r="AW416" s="528">
        <f t="shared" si="429"/>
        <v>9.5100969607594347E-3</v>
      </c>
      <c r="AX416" s="528">
        <f t="shared" si="429"/>
        <v>6.2502042121088319E-3</v>
      </c>
      <c r="AY416" s="528">
        <f t="shared" si="429"/>
        <v>3.9539505314395585E-3</v>
      </c>
      <c r="AZ416" s="528">
        <f t="shared" si="429"/>
        <v>2.407664261133717E-3</v>
      </c>
      <c r="BA416" s="528">
        <f t="shared" si="429"/>
        <v>1.4111987814546792E-3</v>
      </c>
      <c r="BB416" s="528">
        <f t="shared" si="429"/>
        <v>7.9617387916992768E-4</v>
      </c>
      <c r="BC416" s="528">
        <f t="shared" si="429"/>
        <v>4.3236945985600998E-4</v>
      </c>
      <c r="BD416" s="528">
        <f t="shared" si="429"/>
        <v>2.2601087035887887E-4</v>
      </c>
      <c r="BE416" s="528">
        <f t="shared" si="429"/>
        <v>1.1371840255620096E-4</v>
      </c>
      <c r="BF416" s="528">
        <f t="shared" si="429"/>
        <v>5.5075588176256618E-5</v>
      </c>
      <c r="BG416" s="528">
        <f t="shared" si="429"/>
        <v>2.5675231443906629E-5</v>
      </c>
      <c r="BH416" s="528">
        <f t="shared" si="429"/>
        <v>1.1521161708236552E-5</v>
      </c>
      <c r="BI416" s="528">
        <f t="shared" si="429"/>
        <v>4.9762788091639083E-6</v>
      </c>
      <c r="BJ416" s="528" t="str">
        <f t="shared" si="429"/>
        <v/>
      </c>
      <c r="BK416" s="528" t="str">
        <f t="shared" si="429"/>
        <v/>
      </c>
      <c r="BL416" s="528" t="str">
        <f t="shared" si="429"/>
        <v/>
      </c>
      <c r="BM416" s="528" t="str">
        <f t="shared" si="429"/>
        <v/>
      </c>
    </row>
    <row r="417" spans="6:65" ht="15.75" customHeight="1" x14ac:dyDescent="0.25">
      <c r="F417" s="197"/>
      <c r="G417" s="197">
        <f t="shared" si="268"/>
        <v>0</v>
      </c>
      <c r="H417" s="197">
        <f t="shared" si="269"/>
        <v>479</v>
      </c>
      <c r="I417" s="523">
        <v>1</v>
      </c>
      <c r="J417" s="533">
        <f>'Monthly DCF'!$I$3</f>
        <v>46418</v>
      </c>
      <c r="K417" s="533">
        <f t="shared" si="270"/>
        <v>47817</v>
      </c>
      <c r="L417" s="536">
        <f t="shared" si="388"/>
        <v>47</v>
      </c>
      <c r="M417" s="20" t="s">
        <v>366</v>
      </c>
      <c r="N417" s="20">
        <f t="shared" si="271"/>
        <v>5.2222222222222223</v>
      </c>
      <c r="O417" s="537">
        <v>9</v>
      </c>
      <c r="P417" s="528">
        <f t="shared" ref="P417:BM417" si="430">IFERROR(+IF(AND($M417="Flat",P$5&gt;=$J417,P$5&lt;=$K417),$I417/$L417,0)+IF(AND($M417="S-Curve",P$5&gt;=$J417,P$5&lt;=$K417),(_xlfn.NORM.DIST((YEAR(P$5)-YEAR($J417))*12+MONTH(P$5)-MONTH($J417)+1,$L417/2,$N417,TRUE)-_xlfn.NORM.DIST((YEAR(P$5)-YEAR($J417))*12+MONTH(P$5)-MONTH($J417),$L417/2,$N417,TRUE))/(1-2*_xlfn.NORM.DIST(0,$L417/2,$N417,TRUE))*$I417," "),"")</f>
        <v>4.820238248038423E-6</v>
      </c>
      <c r="Q417" s="528">
        <f t="shared" si="430"/>
        <v>1.097222860179279E-5</v>
      </c>
      <c r="R417" s="528">
        <f t="shared" si="430"/>
        <v>2.4079278346260626E-5</v>
      </c>
      <c r="S417" s="528">
        <f t="shared" si="430"/>
        <v>5.0946516816101081E-5</v>
      </c>
      <c r="T417" s="528">
        <f t="shared" si="430"/>
        <v>1.0392213606415593E-4</v>
      </c>
      <c r="U417" s="528">
        <f t="shared" si="430"/>
        <v>2.0437336375657471E-4</v>
      </c>
      <c r="V417" s="528">
        <f t="shared" si="430"/>
        <v>3.8749249695072549E-4</v>
      </c>
      <c r="W417" s="528">
        <f t="shared" si="430"/>
        <v>7.0831296178567975E-4</v>
      </c>
      <c r="X417" s="528">
        <f t="shared" si="430"/>
        <v>1.248274424046952E-3</v>
      </c>
      <c r="Y417" s="528">
        <f t="shared" si="430"/>
        <v>2.1208895163485225E-3</v>
      </c>
      <c r="Z417" s="528">
        <f t="shared" si="430"/>
        <v>3.4741550814139854E-3</v>
      </c>
      <c r="AA417" s="528">
        <f t="shared" si="430"/>
        <v>5.4866041172153233E-3</v>
      </c>
      <c r="AB417" s="528">
        <f t="shared" si="430"/>
        <v>8.3537485388612762E-3</v>
      </c>
      <c r="AC417" s="528">
        <f t="shared" si="430"/>
        <v>1.2262600906038116E-2</v>
      </c>
      <c r="AD417" s="528">
        <f t="shared" si="430"/>
        <v>1.7354307184569592E-2</v>
      </c>
      <c r="AE417" s="528">
        <f t="shared" si="430"/>
        <v>2.3678572612381037E-2</v>
      </c>
      <c r="AF417" s="528">
        <f t="shared" si="430"/>
        <v>3.1147799025124937E-2</v>
      </c>
      <c r="AG417" s="528">
        <f t="shared" si="430"/>
        <v>3.9502343786235052E-2</v>
      </c>
      <c r="AH417" s="528">
        <f t="shared" si="430"/>
        <v>4.8299436327425026E-2</v>
      </c>
      <c r="AI417" s="528">
        <f t="shared" si="430"/>
        <v>5.6935743177634328E-2</v>
      </c>
      <c r="AJ417" s="528">
        <f t="shared" si="430"/>
        <v>6.4707062982750446E-2</v>
      </c>
      <c r="AK417" s="528">
        <f t="shared" si="430"/>
        <v>7.089933591593589E-2</v>
      </c>
      <c r="AL417" s="528">
        <f t="shared" si="430"/>
        <v>7.4895624865302796E-2</v>
      </c>
      <c r="AM417" s="528">
        <f t="shared" si="430"/>
        <v>7.6277164636294748E-2</v>
      </c>
      <c r="AN417" s="528">
        <f t="shared" si="430"/>
        <v>7.4895624865302851E-2</v>
      </c>
      <c r="AO417" s="528">
        <f t="shared" si="430"/>
        <v>7.0899335915935835E-2</v>
      </c>
      <c r="AP417" s="528">
        <f t="shared" si="430"/>
        <v>6.4707062982750502E-2</v>
      </c>
      <c r="AQ417" s="528">
        <f t="shared" si="430"/>
        <v>5.6935743177634356E-2</v>
      </c>
      <c r="AR417" s="528">
        <f t="shared" si="430"/>
        <v>4.8299436327425053E-2</v>
      </c>
      <c r="AS417" s="528">
        <f t="shared" si="430"/>
        <v>3.9502343786234996E-2</v>
      </c>
      <c r="AT417" s="528">
        <f t="shared" si="430"/>
        <v>3.1147799025124923E-2</v>
      </c>
      <c r="AU417" s="528">
        <f t="shared" si="430"/>
        <v>2.3678572612381037E-2</v>
      </c>
      <c r="AV417" s="528">
        <f t="shared" si="430"/>
        <v>1.7354307184569612E-2</v>
      </c>
      <c r="AW417" s="528">
        <f t="shared" si="430"/>
        <v>1.2262600906038106E-2</v>
      </c>
      <c r="AX417" s="528">
        <f t="shared" si="430"/>
        <v>8.3537485388612311E-3</v>
      </c>
      <c r="AY417" s="528">
        <f t="shared" si="430"/>
        <v>5.4866041172153442E-3</v>
      </c>
      <c r="AZ417" s="528">
        <f t="shared" si="430"/>
        <v>3.4741550814140158E-3</v>
      </c>
      <c r="BA417" s="528">
        <f t="shared" si="430"/>
        <v>2.1208895163485376E-3</v>
      </c>
      <c r="BB417" s="528">
        <f t="shared" si="430"/>
        <v>1.2482744240469245E-3</v>
      </c>
      <c r="BC417" s="528">
        <f t="shared" si="430"/>
        <v>7.0831296178565503E-4</v>
      </c>
      <c r="BD417" s="528">
        <f t="shared" si="430"/>
        <v>3.8749249695078751E-4</v>
      </c>
      <c r="BE417" s="528">
        <f t="shared" si="430"/>
        <v>2.0437336375657978E-4</v>
      </c>
      <c r="BF417" s="528">
        <f t="shared" si="430"/>
        <v>1.0392213606414927E-4</v>
      </c>
      <c r="BG417" s="528">
        <f t="shared" si="430"/>
        <v>5.0946516816072112E-5</v>
      </c>
      <c r="BH417" s="528">
        <f t="shared" si="430"/>
        <v>2.4079278346278089E-5</v>
      </c>
      <c r="BI417" s="528">
        <f t="shared" si="430"/>
        <v>1.097222860175877E-5</v>
      </c>
      <c r="BJ417" s="528">
        <f t="shared" si="430"/>
        <v>4.8202382480493404E-6</v>
      </c>
      <c r="BK417" s="528" t="str">
        <f t="shared" si="430"/>
        <v/>
      </c>
      <c r="BL417" s="528" t="str">
        <f t="shared" si="430"/>
        <v/>
      </c>
      <c r="BM417" s="528" t="str">
        <f t="shared" si="430"/>
        <v/>
      </c>
    </row>
    <row r="418" spans="6:65" ht="15.75" customHeight="1" x14ac:dyDescent="0.25">
      <c r="F418" s="197"/>
      <c r="G418" s="197">
        <f t="shared" si="268"/>
        <v>0</v>
      </c>
      <c r="H418" s="197">
        <f t="shared" si="269"/>
        <v>489</v>
      </c>
      <c r="I418" s="523">
        <v>1</v>
      </c>
      <c r="J418" s="533">
        <f>'Monthly DCF'!$I$3</f>
        <v>46418</v>
      </c>
      <c r="K418" s="533">
        <f t="shared" si="270"/>
        <v>47848</v>
      </c>
      <c r="L418" s="536">
        <f t="shared" si="388"/>
        <v>48</v>
      </c>
      <c r="M418" s="20" t="s">
        <v>366</v>
      </c>
      <c r="N418" s="20">
        <f t="shared" si="271"/>
        <v>5.333333333333333</v>
      </c>
      <c r="O418" s="537">
        <v>9</v>
      </c>
      <c r="P418" s="528">
        <f t="shared" ref="P418:BM418" si="431">IFERROR(+IF(AND($M418="Flat",P$5&gt;=$J418,P$5&lt;=$K418),$I418/$L418,0)+IF(AND($M418="S-Curve",P$5&gt;=$J418,P$5&lt;=$K418),(_xlfn.NORM.DIST((YEAR(P$5)-YEAR($J418))*12+MONTH(P$5)-MONTH($J418)+1,$L418/2,$N418,TRUE)-_xlfn.NORM.DIST((YEAR(P$5)-YEAR($J418))*12+MONTH(P$5)-MONTH($J418),$L418/2,$N418,TRUE))/(1-2*_xlfn.NORM.DIST(0,$L418/2,$N418,TRUE))*$I418," "),"")</f>
        <v>4.6733027548483571E-6</v>
      </c>
      <c r="Q418" s="528">
        <f t="shared" si="431"/>
        <v>1.046586484250933E-5</v>
      </c>
      <c r="R418" s="528">
        <f t="shared" si="431"/>
        <v>2.2630881910075789E-5</v>
      </c>
      <c r="S418" s="528">
        <f t="shared" si="431"/>
        <v>4.7250140310268236E-5</v>
      </c>
      <c r="T418" s="528">
        <f t="shared" si="431"/>
        <v>9.5253316315825371E-5</v>
      </c>
      <c r="U418" s="528">
        <f t="shared" si="431"/>
        <v>1.8540975996122046E-4</v>
      </c>
      <c r="V418" s="528">
        <f t="shared" si="431"/>
        <v>3.4846620351789299E-4</v>
      </c>
      <c r="W418" s="528">
        <f t="shared" si="431"/>
        <v>6.3236003889106116E-4</v>
      </c>
      <c r="X418" s="528">
        <f t="shared" si="431"/>
        <v>1.1080106728827638E-3</v>
      </c>
      <c r="Y418" s="528">
        <f t="shared" si="431"/>
        <v>1.8745599260996323E-3</v>
      </c>
      <c r="Z418" s="528">
        <f t="shared" si="431"/>
        <v>3.062179556438502E-3</v>
      </c>
      <c r="AA418" s="528">
        <f t="shared" si="431"/>
        <v>4.829898364995742E-3</v>
      </c>
      <c r="AB418" s="528">
        <f t="shared" si="431"/>
        <v>7.3556561075629042E-3</v>
      </c>
      <c r="AC418" s="528">
        <f t="shared" si="431"/>
        <v>1.0816356487771404E-2</v>
      </c>
      <c r="AD418" s="528">
        <f t="shared" si="431"/>
        <v>1.5357367555109745E-2</v>
      </c>
      <c r="AE418" s="528">
        <f t="shared" si="431"/>
        <v>2.1053719374429951E-2</v>
      </c>
      <c r="AF418" s="528">
        <f t="shared" si="431"/>
        <v>2.7868731130462062E-2</v>
      </c>
      <c r="AG418" s="528">
        <f t="shared" si="431"/>
        <v>3.5619016158714122E-2</v>
      </c>
      <c r="AH418" s="528">
        <f t="shared" si="431"/>
        <v>4.3956493443326437E-2</v>
      </c>
      <c r="AI418" s="528">
        <f t="shared" si="431"/>
        <v>5.2376996416151969E-2</v>
      </c>
      <c r="AJ418" s="528">
        <f t="shared" si="431"/>
        <v>6.0260758932219133E-2</v>
      </c>
      <c r="AK418" s="528">
        <f t="shared" si="431"/>
        <v>6.6942986411682642E-2</v>
      </c>
      <c r="AL418" s="528">
        <f t="shared" si="431"/>
        <v>7.180456645371798E-2</v>
      </c>
      <c r="AM418" s="528">
        <f t="shared" si="431"/>
        <v>7.4366193499931316E-2</v>
      </c>
      <c r="AN418" s="528">
        <f t="shared" si="431"/>
        <v>7.436619349993126E-2</v>
      </c>
      <c r="AO418" s="528">
        <f t="shared" si="431"/>
        <v>7.1804566453718036E-2</v>
      </c>
      <c r="AP418" s="528">
        <f t="shared" si="431"/>
        <v>6.6942986411682642E-2</v>
      </c>
      <c r="AQ418" s="528">
        <f t="shared" si="431"/>
        <v>6.0260758932219077E-2</v>
      </c>
      <c r="AR418" s="528">
        <f t="shared" si="431"/>
        <v>5.2376996416151997E-2</v>
      </c>
      <c r="AS418" s="528">
        <f t="shared" si="431"/>
        <v>4.3956493443326437E-2</v>
      </c>
      <c r="AT418" s="528">
        <f t="shared" si="431"/>
        <v>3.5619016158714205E-2</v>
      </c>
      <c r="AU418" s="528">
        <f t="shared" si="431"/>
        <v>2.7868731130461979E-2</v>
      </c>
      <c r="AV418" s="528">
        <f t="shared" si="431"/>
        <v>2.1053719374430006E-2</v>
      </c>
      <c r="AW418" s="528">
        <f t="shared" si="431"/>
        <v>1.5357367555109693E-2</v>
      </c>
      <c r="AX418" s="528">
        <f t="shared" si="431"/>
        <v>1.0816356487771467E-2</v>
      </c>
      <c r="AY418" s="528">
        <f t="shared" si="431"/>
        <v>7.3556561075628904E-3</v>
      </c>
      <c r="AZ418" s="528">
        <f t="shared" si="431"/>
        <v>4.8298983649957203E-3</v>
      </c>
      <c r="BA418" s="528">
        <f t="shared" si="431"/>
        <v>3.0621795564384465E-3</v>
      </c>
      <c r="BB418" s="528">
        <f t="shared" si="431"/>
        <v>1.8745599260996415E-3</v>
      </c>
      <c r="BC418" s="528">
        <f t="shared" si="431"/>
        <v>1.1080106728827974E-3</v>
      </c>
      <c r="BD418" s="528">
        <f t="shared" si="431"/>
        <v>6.3236003889108035E-4</v>
      </c>
      <c r="BE418" s="528">
        <f t="shared" si="431"/>
        <v>3.4846620351792167E-4</v>
      </c>
      <c r="BF418" s="528">
        <f t="shared" si="431"/>
        <v>1.8540975996119292E-4</v>
      </c>
      <c r="BG418" s="528">
        <f t="shared" si="431"/>
        <v>9.5253316315804283E-5</v>
      </c>
      <c r="BH418" s="528">
        <f t="shared" si="431"/>
        <v>4.7250140310275202E-5</v>
      </c>
      <c r="BI418" s="528">
        <f t="shared" si="431"/>
        <v>2.2630881910039776E-5</v>
      </c>
      <c r="BJ418" s="528">
        <f t="shared" si="431"/>
        <v>1.0465864842499751E-5</v>
      </c>
      <c r="BK418" s="528">
        <f t="shared" si="431"/>
        <v>4.6733027548892841E-6</v>
      </c>
      <c r="BL418" s="528" t="str">
        <f t="shared" si="431"/>
        <v/>
      </c>
      <c r="BM418" s="528" t="str">
        <f t="shared" si="431"/>
        <v/>
      </c>
    </row>
    <row r="419" spans="6:65" ht="15.75" customHeight="1" x14ac:dyDescent="0.25">
      <c r="F419" s="197"/>
      <c r="G419" s="197">
        <f t="shared" si="268"/>
        <v>0</v>
      </c>
      <c r="H419" s="197">
        <f t="shared" si="269"/>
        <v>499</v>
      </c>
      <c r="I419" s="523">
        <v>1</v>
      </c>
      <c r="J419" s="533">
        <f>'Monthly DCF'!$I$3</f>
        <v>46418</v>
      </c>
      <c r="K419" s="533">
        <f t="shared" si="270"/>
        <v>47879</v>
      </c>
      <c r="L419" s="536">
        <f t="shared" si="388"/>
        <v>49</v>
      </c>
      <c r="M419" s="20" t="s">
        <v>366</v>
      </c>
      <c r="N419" s="20">
        <f t="shared" si="271"/>
        <v>5.4444444444444446</v>
      </c>
      <c r="O419" s="537">
        <v>9</v>
      </c>
      <c r="P419" s="528">
        <f t="shared" ref="P419:BM419" si="432">IFERROR(+IF(AND($M419="Flat",P$5&gt;=$J419,P$5&lt;=$K419),$I419/$L419,0)+IF(AND($M419="S-Curve",P$5&gt;=$J419,P$5&lt;=$K419),(_xlfn.NORM.DIST((YEAR(P$5)-YEAR($J419))*12+MONTH(P$5)-MONTH($J419)+1,$L419/2,$N419,TRUE)-_xlfn.NORM.DIST((YEAR(P$5)-YEAR($J419))*12+MONTH(P$5)-MONTH($J419),$L419/2,$N419,TRUE))/(1-2*_xlfn.NORM.DIST(0,$L419/2,$N419,TRUE))*$I419," "),"")</f>
        <v>4.5347200628187972E-6</v>
      </c>
      <c r="Q419" s="528">
        <f t="shared" si="432"/>
        <v>9.9976959542860502E-6</v>
      </c>
      <c r="R419" s="528">
        <f t="shared" si="432"/>
        <v>2.1312675356652128E-5</v>
      </c>
      <c r="S419" s="528">
        <f t="shared" si="432"/>
        <v>4.3930355391101254E-5</v>
      </c>
      <c r="T419" s="528">
        <f t="shared" si="432"/>
        <v>8.7554860919877145E-5</v>
      </c>
      <c r="U419" s="528">
        <f t="shared" si="432"/>
        <v>1.6872704453387352E-4</v>
      </c>
      <c r="V419" s="528">
        <f t="shared" si="432"/>
        <v>3.1439679877247442E-4</v>
      </c>
      <c r="W419" s="528">
        <f t="shared" si="432"/>
        <v>5.6644871283315339E-4</v>
      </c>
      <c r="X419" s="528">
        <f t="shared" si="432"/>
        <v>9.8680698668042921E-4</v>
      </c>
      <c r="Y419" s="528">
        <f t="shared" si="432"/>
        <v>1.6622374198176644E-3</v>
      </c>
      <c r="Z419" s="528">
        <f t="shared" si="432"/>
        <v>2.7073423854842354E-3</v>
      </c>
      <c r="AA419" s="528">
        <f t="shared" si="432"/>
        <v>4.2636609835114457E-3</v>
      </c>
      <c r="AB419" s="528">
        <f t="shared" si="432"/>
        <v>6.4924941244674612E-3</v>
      </c>
      <c r="AC419" s="528">
        <f t="shared" si="432"/>
        <v>9.559384713195479E-3</v>
      </c>
      <c r="AD419" s="528">
        <f t="shared" si="432"/>
        <v>1.3609364389978139E-2</v>
      </c>
      <c r="AE419" s="528">
        <f t="shared" si="432"/>
        <v>1.8734207291885699E-2</v>
      </c>
      <c r="AF419" s="528">
        <f t="shared" si="432"/>
        <v>2.4935749168188356E-2</v>
      </c>
      <c r="AG419" s="528">
        <f t="shared" si="432"/>
        <v>3.2092177078179955E-2</v>
      </c>
      <c r="AH419" s="528">
        <f t="shared" si="432"/>
        <v>3.9936098411033141E-2</v>
      </c>
      <c r="AI419" s="528">
        <f t="shared" si="432"/>
        <v>4.8053144562743857E-2</v>
      </c>
      <c r="AJ419" s="528">
        <f t="shared" si="432"/>
        <v>5.5907200056902792E-2</v>
      </c>
      <c r="AK419" s="528">
        <f t="shared" si="432"/>
        <v>6.2893164024903345E-2</v>
      </c>
      <c r="AL419" s="528">
        <f t="shared" si="432"/>
        <v>6.8411471650083502E-2</v>
      </c>
      <c r="AM419" s="528">
        <f t="shared" si="432"/>
        <v>7.1952223926619222E-2</v>
      </c>
      <c r="AN419" s="528">
        <f t="shared" si="432"/>
        <v>7.3172739925002089E-2</v>
      </c>
      <c r="AO419" s="528">
        <f t="shared" si="432"/>
        <v>7.1952223926619222E-2</v>
      </c>
      <c r="AP419" s="528">
        <f t="shared" si="432"/>
        <v>6.8411471650083502E-2</v>
      </c>
      <c r="AQ419" s="528">
        <f t="shared" si="432"/>
        <v>6.2893164024903289E-2</v>
      </c>
      <c r="AR419" s="528">
        <f t="shared" si="432"/>
        <v>5.5907200056902875E-2</v>
      </c>
      <c r="AS419" s="528">
        <f t="shared" si="432"/>
        <v>4.8053144562743857E-2</v>
      </c>
      <c r="AT419" s="528">
        <f t="shared" si="432"/>
        <v>3.9936098411033072E-2</v>
      </c>
      <c r="AU419" s="528">
        <f t="shared" si="432"/>
        <v>3.2092177078179955E-2</v>
      </c>
      <c r="AV419" s="528">
        <f t="shared" si="432"/>
        <v>2.493574916818839E-2</v>
      </c>
      <c r="AW419" s="528">
        <f t="shared" si="432"/>
        <v>1.8734207291885741E-2</v>
      </c>
      <c r="AX419" s="528">
        <f t="shared" si="432"/>
        <v>1.3609364389978056E-2</v>
      </c>
      <c r="AY419" s="528">
        <f t="shared" si="432"/>
        <v>9.559384713195538E-3</v>
      </c>
      <c r="AZ419" s="528">
        <f t="shared" si="432"/>
        <v>6.4924941244674491E-3</v>
      </c>
      <c r="BA419" s="528">
        <f t="shared" si="432"/>
        <v>4.2636609835114353E-3</v>
      </c>
      <c r="BB419" s="528">
        <f t="shared" si="432"/>
        <v>2.7073423854842441E-3</v>
      </c>
      <c r="BC419" s="528">
        <f t="shared" si="432"/>
        <v>1.6622374198176778E-3</v>
      </c>
      <c r="BD419" s="528">
        <f t="shared" si="432"/>
        <v>9.8680698668045632E-4</v>
      </c>
      <c r="BE419" s="528">
        <f t="shared" si="432"/>
        <v>5.6644871283314602E-4</v>
      </c>
      <c r="BF419" s="528">
        <f t="shared" si="432"/>
        <v>3.1439679877239913E-4</v>
      </c>
      <c r="BG419" s="528">
        <f t="shared" si="432"/>
        <v>1.6872704453391966E-4</v>
      </c>
      <c r="BH419" s="528">
        <f t="shared" si="432"/>
        <v>8.7554860919899602E-5</v>
      </c>
      <c r="BI419" s="528">
        <f t="shared" si="432"/>
        <v>4.3930355391066098E-5</v>
      </c>
      <c r="BJ419" s="528">
        <f t="shared" si="432"/>
        <v>2.1312675356624342E-5</v>
      </c>
      <c r="BK419" s="528">
        <f t="shared" si="432"/>
        <v>9.9976959543727135E-6</v>
      </c>
      <c r="BL419" s="528">
        <f t="shared" si="432"/>
        <v>4.5347200627634224E-6</v>
      </c>
      <c r="BM419" s="528" t="str">
        <f t="shared" si="432"/>
        <v/>
      </c>
    </row>
    <row r="420" spans="6:65" ht="15.75" customHeight="1" x14ac:dyDescent="0.25">
      <c r="F420" s="197"/>
      <c r="G420" s="197">
        <f t="shared" si="268"/>
        <v>0</v>
      </c>
      <c r="H420" s="197">
        <f t="shared" si="269"/>
        <v>509</v>
      </c>
      <c r="I420" s="523">
        <v>1</v>
      </c>
      <c r="J420" s="533">
        <f>'Monthly DCF'!$I$3</f>
        <v>46418</v>
      </c>
      <c r="K420" s="533">
        <f t="shared" si="270"/>
        <v>47907</v>
      </c>
      <c r="L420" s="536">
        <f t="shared" si="388"/>
        <v>50</v>
      </c>
      <c r="M420" s="20" t="s">
        <v>366</v>
      </c>
      <c r="N420" s="20">
        <f t="shared" si="271"/>
        <v>5.5555555555555554</v>
      </c>
      <c r="O420" s="537">
        <v>9</v>
      </c>
      <c r="P420" s="528">
        <f t="shared" ref="P420:BM420" si="433">IFERROR(+IF(AND($M420="Flat",P$5&gt;=$J420,P$5&lt;=$K420),$I420/$L420,0)+IF(AND($M420="S-Curve",P$5&gt;=$J420,P$5&lt;=$K420),(_xlfn.NORM.DIST((YEAR(P$5)-YEAR($J420))*12+MONTH(P$5)-MONTH($J420)+1,$L420/2,$N420,TRUE)-_xlfn.NORM.DIST((YEAR(P$5)-YEAR($J420))*12+MONTH(P$5)-MONTH($J420),$L420/2,$N420,TRUE))/(1-2*_xlfn.NORM.DIST(0,$L420/2,$N420,TRUE))*$I420," "),"")</f>
        <v>4.4038168388315233E-6</v>
      </c>
      <c r="Q420" s="528">
        <f t="shared" si="433"/>
        <v>9.5638960254876135E-6</v>
      </c>
      <c r="R420" s="528">
        <f t="shared" si="433"/>
        <v>2.0109727270029227E-5</v>
      </c>
      <c r="S420" s="528">
        <f t="shared" si="433"/>
        <v>4.0939575891104927E-5</v>
      </c>
      <c r="T420" s="528">
        <f t="shared" si="433"/>
        <v>8.0694959124136622E-5</v>
      </c>
      <c r="U420" s="528">
        <f t="shared" si="433"/>
        <v>1.5399813489431433E-4</v>
      </c>
      <c r="V420" s="528">
        <f t="shared" si="433"/>
        <v>2.8454475293333565E-4</v>
      </c>
      <c r="W420" s="528">
        <f t="shared" si="433"/>
        <v>5.0903991857733277E-4</v>
      </c>
      <c r="X420" s="528">
        <f t="shared" si="433"/>
        <v>8.8169688892072561E-4</v>
      </c>
      <c r="Y420" s="528">
        <f t="shared" si="433"/>
        <v>1.4786079957996379E-3</v>
      </c>
      <c r="Z420" s="528">
        <f t="shared" si="433"/>
        <v>2.4007842264519861E-3</v>
      </c>
      <c r="AA420" s="528">
        <f t="shared" si="433"/>
        <v>3.7741538767081533E-3</v>
      </c>
      <c r="AB420" s="528">
        <f t="shared" si="433"/>
        <v>5.7445038744599851E-3</v>
      </c>
      <c r="AC420" s="528">
        <f t="shared" si="433"/>
        <v>8.4654870834989654E-3</v>
      </c>
      <c r="AD420" s="528">
        <f t="shared" si="433"/>
        <v>1.2078636849936892E-2</v>
      </c>
      <c r="AE420" s="528">
        <f t="shared" si="433"/>
        <v>1.6685932728016648E-2</v>
      </c>
      <c r="AF420" s="528">
        <f t="shared" si="433"/>
        <v>2.2317712736660552E-2</v>
      </c>
      <c r="AG420" s="528">
        <f t="shared" si="433"/>
        <v>2.8901177980484704E-2</v>
      </c>
      <c r="AH420" s="528">
        <f t="shared" si="433"/>
        <v>3.6236655208087748E-2</v>
      </c>
      <c r="AI420" s="528">
        <f t="shared" si="433"/>
        <v>4.3989334180747484E-2</v>
      </c>
      <c r="AJ420" s="528">
        <f t="shared" si="433"/>
        <v>5.1702723770401741E-2</v>
      </c>
      <c r="AK420" s="528">
        <f t="shared" si="433"/>
        <v>5.8836418250280902E-2</v>
      </c>
      <c r="AL420" s="528">
        <f t="shared" si="433"/>
        <v>6.4825491077968436E-2</v>
      </c>
      <c r="AM420" s="528">
        <f t="shared" si="433"/>
        <v>6.9153187236942026E-2</v>
      </c>
      <c r="AN420" s="528">
        <f t="shared" si="433"/>
        <v>7.1424201253078842E-2</v>
      </c>
      <c r="AO420" s="528">
        <f t="shared" si="433"/>
        <v>7.1424201253078898E-2</v>
      </c>
      <c r="AP420" s="528">
        <f t="shared" si="433"/>
        <v>6.9153187236942026E-2</v>
      </c>
      <c r="AQ420" s="528">
        <f t="shared" si="433"/>
        <v>6.4825491077968381E-2</v>
      </c>
      <c r="AR420" s="528">
        <f t="shared" si="433"/>
        <v>5.8836418250280902E-2</v>
      </c>
      <c r="AS420" s="528">
        <f t="shared" si="433"/>
        <v>5.1702723770401714E-2</v>
      </c>
      <c r="AT420" s="528">
        <f t="shared" si="433"/>
        <v>4.3989334180747512E-2</v>
      </c>
      <c r="AU420" s="528">
        <f t="shared" si="433"/>
        <v>3.6236655208087776E-2</v>
      </c>
      <c r="AV420" s="528">
        <f t="shared" si="433"/>
        <v>2.890117798048469E-2</v>
      </c>
      <c r="AW420" s="528">
        <f t="shared" si="433"/>
        <v>2.2317712736660531E-2</v>
      </c>
      <c r="AX420" s="528">
        <f t="shared" si="433"/>
        <v>1.6685932728016675E-2</v>
      </c>
      <c r="AY420" s="528">
        <f t="shared" si="433"/>
        <v>1.2078636849936899E-2</v>
      </c>
      <c r="AZ420" s="528">
        <f t="shared" si="433"/>
        <v>8.4654870834989064E-3</v>
      </c>
      <c r="BA420" s="528">
        <f t="shared" si="433"/>
        <v>5.7445038744600233E-3</v>
      </c>
      <c r="BB420" s="528">
        <f t="shared" si="433"/>
        <v>3.774153876708155E-3</v>
      </c>
      <c r="BC420" s="528">
        <f t="shared" si="433"/>
        <v>2.4007842264520234E-3</v>
      </c>
      <c r="BD420" s="528">
        <f t="shared" si="433"/>
        <v>1.4786079957996084E-3</v>
      </c>
      <c r="BE420" s="528">
        <f t="shared" si="433"/>
        <v>8.8169688892066858E-4</v>
      </c>
      <c r="BF420" s="528">
        <f t="shared" si="433"/>
        <v>5.0903991857736682E-4</v>
      </c>
      <c r="BG420" s="528">
        <f t="shared" si="433"/>
        <v>2.8454475293331478E-4</v>
      </c>
      <c r="BH420" s="528">
        <f t="shared" si="433"/>
        <v>1.5399813489432249E-4</v>
      </c>
      <c r="BI420" s="528">
        <f t="shared" si="433"/>
        <v>8.06949591241505E-5</v>
      </c>
      <c r="BJ420" s="528">
        <f t="shared" si="433"/>
        <v>4.0939575891148377E-5</v>
      </c>
      <c r="BK420" s="528">
        <f t="shared" si="433"/>
        <v>2.0109727269938496E-5</v>
      </c>
      <c r="BL420" s="528">
        <f t="shared" si="433"/>
        <v>9.5638960255488946E-6</v>
      </c>
      <c r="BM420" s="528">
        <f t="shared" si="433"/>
        <v>4.4038168388142074E-6</v>
      </c>
    </row>
    <row r="421" spans="6:65" ht="15.75" customHeight="1" x14ac:dyDescent="0.25">
      <c r="F421" s="197"/>
      <c r="G421" s="197">
        <f t="shared" si="268"/>
        <v>0</v>
      </c>
      <c r="H421" s="197">
        <f t="shared" si="269"/>
        <v>510</v>
      </c>
      <c r="I421" s="523">
        <v>1</v>
      </c>
      <c r="J421" s="533">
        <f>'Monthly DCF'!$I$3</f>
        <v>46418</v>
      </c>
      <c r="K421" s="533">
        <f t="shared" si="270"/>
        <v>46538</v>
      </c>
      <c r="L421" s="536">
        <v>5</v>
      </c>
      <c r="M421" s="20" t="s">
        <v>366</v>
      </c>
      <c r="N421" s="20">
        <f t="shared" si="271"/>
        <v>0.5</v>
      </c>
      <c r="O421" s="537">
        <v>10</v>
      </c>
      <c r="P421" s="528">
        <f t="shared" ref="P421:BM421" si="434">IFERROR(+IF(AND($M421="Flat",P$5&gt;=$J421,P$5&lt;=$K421),$I421/$L421,0)+IF(AND($M421="S-Curve",P$5&gt;=$J421,P$5&lt;=$K421),(_xlfn.NORM.DIST((YEAR(P$5)-YEAR($J421))*12+MONTH(P$5)-MONTH($J421)+1,$L421/2,$N421,TRUE)-_xlfn.NORM.DIST((YEAR(P$5)-YEAR($J421))*12+MONTH(P$5)-MONTH($J421),$L421/2,$N421,TRUE))/(1-2*_xlfn.NORM.DIST(0,$L421/2,$N421,TRUE))*$I421," "),"")</f>
        <v>1.3496121537951045E-3</v>
      </c>
      <c r="Q421" s="528">
        <f t="shared" si="434"/>
        <v>0.15730544608353367</v>
      </c>
      <c r="R421" s="528">
        <f t="shared" si="434"/>
        <v>0.68268988352534254</v>
      </c>
      <c r="S421" s="528">
        <f t="shared" si="434"/>
        <v>0.15730544608353364</v>
      </c>
      <c r="T421" s="528">
        <f t="shared" si="434"/>
        <v>1.3496121537950705E-3</v>
      </c>
      <c r="U421" s="528" t="str">
        <f t="shared" si="434"/>
        <v/>
      </c>
      <c r="V421" s="528" t="str">
        <f t="shared" si="434"/>
        <v/>
      </c>
      <c r="W421" s="528" t="str">
        <f t="shared" si="434"/>
        <v/>
      </c>
      <c r="X421" s="528" t="str">
        <f t="shared" si="434"/>
        <v/>
      </c>
      <c r="Y421" s="528" t="str">
        <f t="shared" si="434"/>
        <v/>
      </c>
      <c r="Z421" s="528" t="str">
        <f t="shared" si="434"/>
        <v/>
      </c>
      <c r="AA421" s="528" t="str">
        <f t="shared" si="434"/>
        <v/>
      </c>
      <c r="AB421" s="528" t="str">
        <f t="shared" si="434"/>
        <v/>
      </c>
      <c r="AC421" s="528" t="str">
        <f t="shared" si="434"/>
        <v/>
      </c>
      <c r="AD421" s="528" t="str">
        <f t="shared" si="434"/>
        <v/>
      </c>
      <c r="AE421" s="528" t="str">
        <f t="shared" si="434"/>
        <v/>
      </c>
      <c r="AF421" s="528" t="str">
        <f t="shared" si="434"/>
        <v/>
      </c>
      <c r="AG421" s="528" t="str">
        <f t="shared" si="434"/>
        <v/>
      </c>
      <c r="AH421" s="528" t="str">
        <f t="shared" si="434"/>
        <v/>
      </c>
      <c r="AI421" s="528" t="str">
        <f t="shared" si="434"/>
        <v/>
      </c>
      <c r="AJ421" s="528" t="str">
        <f t="shared" si="434"/>
        <v/>
      </c>
      <c r="AK421" s="528" t="str">
        <f t="shared" si="434"/>
        <v/>
      </c>
      <c r="AL421" s="528" t="str">
        <f t="shared" si="434"/>
        <v/>
      </c>
      <c r="AM421" s="528" t="str">
        <f t="shared" si="434"/>
        <v/>
      </c>
      <c r="AN421" s="528" t="str">
        <f t="shared" si="434"/>
        <v/>
      </c>
      <c r="AO421" s="528" t="str">
        <f t="shared" si="434"/>
        <v/>
      </c>
      <c r="AP421" s="528" t="str">
        <f t="shared" si="434"/>
        <v/>
      </c>
      <c r="AQ421" s="528" t="str">
        <f t="shared" si="434"/>
        <v/>
      </c>
      <c r="AR421" s="528" t="str">
        <f t="shared" si="434"/>
        <v/>
      </c>
      <c r="AS421" s="528" t="str">
        <f t="shared" si="434"/>
        <v/>
      </c>
      <c r="AT421" s="528" t="str">
        <f t="shared" si="434"/>
        <v/>
      </c>
      <c r="AU421" s="528" t="str">
        <f t="shared" si="434"/>
        <v/>
      </c>
      <c r="AV421" s="528" t="str">
        <f t="shared" si="434"/>
        <v/>
      </c>
      <c r="AW421" s="528" t="str">
        <f t="shared" si="434"/>
        <v/>
      </c>
      <c r="AX421" s="528" t="str">
        <f t="shared" si="434"/>
        <v/>
      </c>
      <c r="AY421" s="528" t="str">
        <f t="shared" si="434"/>
        <v/>
      </c>
      <c r="AZ421" s="528" t="str">
        <f t="shared" si="434"/>
        <v/>
      </c>
      <c r="BA421" s="528" t="str">
        <f t="shared" si="434"/>
        <v/>
      </c>
      <c r="BB421" s="528" t="str">
        <f t="shared" si="434"/>
        <v/>
      </c>
      <c r="BC421" s="528" t="str">
        <f t="shared" si="434"/>
        <v/>
      </c>
      <c r="BD421" s="528" t="str">
        <f t="shared" si="434"/>
        <v/>
      </c>
      <c r="BE421" s="528" t="str">
        <f t="shared" si="434"/>
        <v/>
      </c>
      <c r="BF421" s="528" t="str">
        <f t="shared" si="434"/>
        <v/>
      </c>
      <c r="BG421" s="528" t="str">
        <f t="shared" si="434"/>
        <v/>
      </c>
      <c r="BH421" s="528" t="str">
        <f t="shared" si="434"/>
        <v/>
      </c>
      <c r="BI421" s="528" t="str">
        <f t="shared" si="434"/>
        <v/>
      </c>
      <c r="BJ421" s="528" t="str">
        <f t="shared" si="434"/>
        <v/>
      </c>
      <c r="BK421" s="528" t="str">
        <f t="shared" si="434"/>
        <v/>
      </c>
      <c r="BL421" s="528" t="str">
        <f t="shared" si="434"/>
        <v/>
      </c>
      <c r="BM421" s="528" t="str">
        <f t="shared" si="434"/>
        <v/>
      </c>
    </row>
    <row r="422" spans="6:65" ht="15.75" customHeight="1" x14ac:dyDescent="0.25">
      <c r="F422" s="197"/>
      <c r="G422" s="197">
        <f t="shared" si="268"/>
        <v>0</v>
      </c>
      <c r="H422" s="197">
        <f t="shared" si="269"/>
        <v>610</v>
      </c>
      <c r="I422" s="523">
        <v>1</v>
      </c>
      <c r="J422" s="533">
        <f>'Monthly DCF'!$I$3</f>
        <v>46418</v>
      </c>
      <c r="K422" s="533">
        <f t="shared" si="270"/>
        <v>46568</v>
      </c>
      <c r="L422" s="536">
        <f t="shared" ref="L422:L466" si="435">L421+1</f>
        <v>6</v>
      </c>
      <c r="M422" s="20" t="s">
        <v>366</v>
      </c>
      <c r="N422" s="20">
        <f t="shared" si="271"/>
        <v>0.6</v>
      </c>
      <c r="O422" s="537">
        <v>10</v>
      </c>
      <c r="P422" s="528">
        <f t="shared" ref="P422:BM422" si="436">IFERROR(+IF(AND($M422="Flat",P$5&gt;=$J422,P$5&lt;=$K422),$I422/$L422,0)+IF(AND($M422="S-Curve",P$5&gt;=$J422,P$5&lt;=$K422),(_xlfn.NORM.DIST((YEAR(P$5)-YEAR($J422))*12+MONTH(P$5)-MONTH($J422)+1,$L422/2,$N422,TRUE)-_xlfn.NORM.DIST((YEAR(P$5)-YEAR($J422))*12+MONTH(P$5)-MONTH($J422),$L422/2,$N422,TRUE))/(1-2*_xlfn.NORM.DIST(0,$L422/2,$N422,TRUE))*$I422," "),"")</f>
        <v>4.287739274423984E-4</v>
      </c>
      <c r="Q422" s="528">
        <f t="shared" si="436"/>
        <v>4.7361319092010988E-2</v>
      </c>
      <c r="R422" s="528">
        <f t="shared" si="436"/>
        <v>0.45220990698054658</v>
      </c>
      <c r="S422" s="528">
        <f t="shared" si="436"/>
        <v>0.45220990698054658</v>
      </c>
      <c r="T422" s="528">
        <f t="shared" si="436"/>
        <v>4.7361319092011037E-2</v>
      </c>
      <c r="U422" s="528">
        <f t="shared" si="436"/>
        <v>4.2877392744230164E-4</v>
      </c>
      <c r="V422" s="528" t="str">
        <f t="shared" si="436"/>
        <v/>
      </c>
      <c r="W422" s="528" t="str">
        <f t="shared" si="436"/>
        <v/>
      </c>
      <c r="X422" s="528" t="str">
        <f t="shared" si="436"/>
        <v/>
      </c>
      <c r="Y422" s="528" t="str">
        <f t="shared" si="436"/>
        <v/>
      </c>
      <c r="Z422" s="528" t="str">
        <f t="shared" si="436"/>
        <v/>
      </c>
      <c r="AA422" s="528" t="str">
        <f t="shared" si="436"/>
        <v/>
      </c>
      <c r="AB422" s="528" t="str">
        <f t="shared" si="436"/>
        <v/>
      </c>
      <c r="AC422" s="528" t="str">
        <f t="shared" si="436"/>
        <v/>
      </c>
      <c r="AD422" s="528" t="str">
        <f t="shared" si="436"/>
        <v/>
      </c>
      <c r="AE422" s="528" t="str">
        <f t="shared" si="436"/>
        <v/>
      </c>
      <c r="AF422" s="528" t="str">
        <f t="shared" si="436"/>
        <v/>
      </c>
      <c r="AG422" s="528" t="str">
        <f t="shared" si="436"/>
        <v/>
      </c>
      <c r="AH422" s="528" t="str">
        <f t="shared" si="436"/>
        <v/>
      </c>
      <c r="AI422" s="528" t="str">
        <f t="shared" si="436"/>
        <v/>
      </c>
      <c r="AJ422" s="528" t="str">
        <f t="shared" si="436"/>
        <v/>
      </c>
      <c r="AK422" s="528" t="str">
        <f t="shared" si="436"/>
        <v/>
      </c>
      <c r="AL422" s="528" t="str">
        <f t="shared" si="436"/>
        <v/>
      </c>
      <c r="AM422" s="528" t="str">
        <f t="shared" si="436"/>
        <v/>
      </c>
      <c r="AN422" s="528" t="str">
        <f t="shared" si="436"/>
        <v/>
      </c>
      <c r="AO422" s="528" t="str">
        <f t="shared" si="436"/>
        <v/>
      </c>
      <c r="AP422" s="528" t="str">
        <f t="shared" si="436"/>
        <v/>
      </c>
      <c r="AQ422" s="528" t="str">
        <f t="shared" si="436"/>
        <v/>
      </c>
      <c r="AR422" s="528" t="str">
        <f t="shared" si="436"/>
        <v/>
      </c>
      <c r="AS422" s="528" t="str">
        <f t="shared" si="436"/>
        <v/>
      </c>
      <c r="AT422" s="528" t="str">
        <f t="shared" si="436"/>
        <v/>
      </c>
      <c r="AU422" s="528" t="str">
        <f t="shared" si="436"/>
        <v/>
      </c>
      <c r="AV422" s="528" t="str">
        <f t="shared" si="436"/>
        <v/>
      </c>
      <c r="AW422" s="528" t="str">
        <f t="shared" si="436"/>
        <v/>
      </c>
      <c r="AX422" s="528" t="str">
        <f t="shared" si="436"/>
        <v/>
      </c>
      <c r="AY422" s="528" t="str">
        <f t="shared" si="436"/>
        <v/>
      </c>
      <c r="AZ422" s="528" t="str">
        <f t="shared" si="436"/>
        <v/>
      </c>
      <c r="BA422" s="528" t="str">
        <f t="shared" si="436"/>
        <v/>
      </c>
      <c r="BB422" s="528" t="str">
        <f t="shared" si="436"/>
        <v/>
      </c>
      <c r="BC422" s="528" t="str">
        <f t="shared" si="436"/>
        <v/>
      </c>
      <c r="BD422" s="528" t="str">
        <f t="shared" si="436"/>
        <v/>
      </c>
      <c r="BE422" s="528" t="str">
        <f t="shared" si="436"/>
        <v/>
      </c>
      <c r="BF422" s="528" t="str">
        <f t="shared" si="436"/>
        <v/>
      </c>
      <c r="BG422" s="528" t="str">
        <f t="shared" si="436"/>
        <v/>
      </c>
      <c r="BH422" s="528" t="str">
        <f t="shared" si="436"/>
        <v/>
      </c>
      <c r="BI422" s="528" t="str">
        <f t="shared" si="436"/>
        <v/>
      </c>
      <c r="BJ422" s="528" t="str">
        <f t="shared" si="436"/>
        <v/>
      </c>
      <c r="BK422" s="528" t="str">
        <f t="shared" si="436"/>
        <v/>
      </c>
      <c r="BL422" s="528" t="str">
        <f t="shared" si="436"/>
        <v/>
      </c>
      <c r="BM422" s="528" t="str">
        <f t="shared" si="436"/>
        <v/>
      </c>
    </row>
    <row r="423" spans="6:65" ht="15.75" customHeight="1" x14ac:dyDescent="0.25">
      <c r="F423" s="197"/>
      <c r="G423" s="197">
        <f t="shared" si="268"/>
        <v>0</v>
      </c>
      <c r="H423" s="197">
        <f t="shared" si="269"/>
        <v>710</v>
      </c>
      <c r="I423" s="523">
        <v>1</v>
      </c>
      <c r="J423" s="533">
        <f>'Monthly DCF'!$I$3</f>
        <v>46418</v>
      </c>
      <c r="K423" s="533">
        <f t="shared" si="270"/>
        <v>46599</v>
      </c>
      <c r="L423" s="536">
        <f t="shared" si="435"/>
        <v>7</v>
      </c>
      <c r="M423" s="20" t="s">
        <v>366</v>
      </c>
      <c r="N423" s="20">
        <f t="shared" si="271"/>
        <v>0.7</v>
      </c>
      <c r="O423" s="537">
        <v>10</v>
      </c>
      <c r="P423" s="528">
        <f t="shared" ref="P423:BM423" si="437">IFERROR(+IF(AND($M423="Flat",P$5&gt;=$J423,P$5&lt;=$K423),$I423/$L423,0)+IF(AND($M423="S-Curve",P$5&gt;=$J423,P$5&lt;=$K423),(_xlfn.NORM.DIST((YEAR(P$5)-YEAR($J423))*12+MONTH(P$5)-MONTH($J423)+1,$L423/2,$N423,TRUE)-_xlfn.NORM.DIST((YEAR(P$5)-YEAR($J423))*12+MONTH(P$5)-MONTH($J423),$L423/2,$N423,TRUE))/(1-2*_xlfn.NORM.DIST(0,$L423/2,$N423,TRUE))*$I423," "),"")</f>
        <v>1.7723314040990815E-4</v>
      </c>
      <c r="Q423" s="528">
        <f t="shared" si="437"/>
        <v>1.5884775020246308E-2</v>
      </c>
      <c r="R423" s="528">
        <f t="shared" si="437"/>
        <v>0.22146310338864156</v>
      </c>
      <c r="S423" s="528">
        <f t="shared" si="437"/>
        <v>0.52494977690140432</v>
      </c>
      <c r="T423" s="528">
        <f t="shared" si="437"/>
        <v>0.22146310338864167</v>
      </c>
      <c r="U423" s="528">
        <f t="shared" si="437"/>
        <v>1.5884775020246236E-2</v>
      </c>
      <c r="V423" s="528">
        <f t="shared" si="437"/>
        <v>1.772331404098885E-4</v>
      </c>
      <c r="W423" s="528" t="str">
        <f t="shared" si="437"/>
        <v/>
      </c>
      <c r="X423" s="528" t="str">
        <f t="shared" si="437"/>
        <v/>
      </c>
      <c r="Y423" s="528" t="str">
        <f t="shared" si="437"/>
        <v/>
      </c>
      <c r="Z423" s="528" t="str">
        <f t="shared" si="437"/>
        <v/>
      </c>
      <c r="AA423" s="528" t="str">
        <f t="shared" si="437"/>
        <v/>
      </c>
      <c r="AB423" s="528" t="str">
        <f t="shared" si="437"/>
        <v/>
      </c>
      <c r="AC423" s="528" t="str">
        <f t="shared" si="437"/>
        <v/>
      </c>
      <c r="AD423" s="528" t="str">
        <f t="shared" si="437"/>
        <v/>
      </c>
      <c r="AE423" s="528" t="str">
        <f t="shared" si="437"/>
        <v/>
      </c>
      <c r="AF423" s="528" t="str">
        <f t="shared" si="437"/>
        <v/>
      </c>
      <c r="AG423" s="528" t="str">
        <f t="shared" si="437"/>
        <v/>
      </c>
      <c r="AH423" s="528" t="str">
        <f t="shared" si="437"/>
        <v/>
      </c>
      <c r="AI423" s="528" t="str">
        <f t="shared" si="437"/>
        <v/>
      </c>
      <c r="AJ423" s="528" t="str">
        <f t="shared" si="437"/>
        <v/>
      </c>
      <c r="AK423" s="528" t="str">
        <f t="shared" si="437"/>
        <v/>
      </c>
      <c r="AL423" s="528" t="str">
        <f t="shared" si="437"/>
        <v/>
      </c>
      <c r="AM423" s="528" t="str">
        <f t="shared" si="437"/>
        <v/>
      </c>
      <c r="AN423" s="528" t="str">
        <f t="shared" si="437"/>
        <v/>
      </c>
      <c r="AO423" s="528" t="str">
        <f t="shared" si="437"/>
        <v/>
      </c>
      <c r="AP423" s="528" t="str">
        <f t="shared" si="437"/>
        <v/>
      </c>
      <c r="AQ423" s="528" t="str">
        <f t="shared" si="437"/>
        <v/>
      </c>
      <c r="AR423" s="528" t="str">
        <f t="shared" si="437"/>
        <v/>
      </c>
      <c r="AS423" s="528" t="str">
        <f t="shared" si="437"/>
        <v/>
      </c>
      <c r="AT423" s="528" t="str">
        <f t="shared" si="437"/>
        <v/>
      </c>
      <c r="AU423" s="528" t="str">
        <f t="shared" si="437"/>
        <v/>
      </c>
      <c r="AV423" s="528" t="str">
        <f t="shared" si="437"/>
        <v/>
      </c>
      <c r="AW423" s="528" t="str">
        <f t="shared" si="437"/>
        <v/>
      </c>
      <c r="AX423" s="528" t="str">
        <f t="shared" si="437"/>
        <v/>
      </c>
      <c r="AY423" s="528" t="str">
        <f t="shared" si="437"/>
        <v/>
      </c>
      <c r="AZ423" s="528" t="str">
        <f t="shared" si="437"/>
        <v/>
      </c>
      <c r="BA423" s="528" t="str">
        <f t="shared" si="437"/>
        <v/>
      </c>
      <c r="BB423" s="528" t="str">
        <f t="shared" si="437"/>
        <v/>
      </c>
      <c r="BC423" s="528" t="str">
        <f t="shared" si="437"/>
        <v/>
      </c>
      <c r="BD423" s="528" t="str">
        <f t="shared" si="437"/>
        <v/>
      </c>
      <c r="BE423" s="528" t="str">
        <f t="shared" si="437"/>
        <v/>
      </c>
      <c r="BF423" s="528" t="str">
        <f t="shared" si="437"/>
        <v/>
      </c>
      <c r="BG423" s="528" t="str">
        <f t="shared" si="437"/>
        <v/>
      </c>
      <c r="BH423" s="528" t="str">
        <f t="shared" si="437"/>
        <v/>
      </c>
      <c r="BI423" s="528" t="str">
        <f t="shared" si="437"/>
        <v/>
      </c>
      <c r="BJ423" s="528" t="str">
        <f t="shared" si="437"/>
        <v/>
      </c>
      <c r="BK423" s="528" t="str">
        <f t="shared" si="437"/>
        <v/>
      </c>
      <c r="BL423" s="528" t="str">
        <f t="shared" si="437"/>
        <v/>
      </c>
      <c r="BM423" s="528" t="str">
        <f t="shared" si="437"/>
        <v/>
      </c>
    </row>
    <row r="424" spans="6:65" ht="15.75" customHeight="1" x14ac:dyDescent="0.25">
      <c r="F424" s="197"/>
      <c r="G424" s="197">
        <f t="shared" si="268"/>
        <v>0</v>
      </c>
      <c r="H424" s="197">
        <f t="shared" si="269"/>
        <v>810</v>
      </c>
      <c r="I424" s="523">
        <v>1</v>
      </c>
      <c r="J424" s="533">
        <f>'Monthly DCF'!$I$3</f>
        <v>46418</v>
      </c>
      <c r="K424" s="533">
        <f t="shared" si="270"/>
        <v>46630</v>
      </c>
      <c r="L424" s="536">
        <f t="shared" si="435"/>
        <v>8</v>
      </c>
      <c r="M424" s="20" t="s">
        <v>366</v>
      </c>
      <c r="N424" s="20">
        <f t="shared" si="271"/>
        <v>0.8</v>
      </c>
      <c r="O424" s="537">
        <v>10</v>
      </c>
      <c r="P424" s="528">
        <f t="shared" ref="P424:BM424" si="438">IFERROR(+IF(AND($M424="Flat",P$5&gt;=$J424,P$5&lt;=$K424),$I424/$L424,0)+IF(AND($M424="S-Curve",P$5&gt;=$J424,P$5&lt;=$K424),(_xlfn.NORM.DIST((YEAR(P$5)-YEAR($J424))*12+MONTH(P$5)-MONTH($J424)+1,$L424/2,$N424,TRUE)-_xlfn.NORM.DIST((YEAR(P$5)-YEAR($J424))*12+MONTH(P$5)-MONTH($J424),$L424/2,$N424,TRUE))/(1-2*_xlfn.NORM.DIST(0,$L424/2,$N424,TRUE))*$I424," "),"")</f>
        <v>8.8130684154522854E-5</v>
      </c>
      <c r="Q424" s="528">
        <f t="shared" si="438"/>
        <v>6.1212515499080872E-3</v>
      </c>
      <c r="R424" s="528">
        <f t="shared" si="438"/>
        <v>9.9440165350438536E-2</v>
      </c>
      <c r="S424" s="528">
        <f t="shared" si="438"/>
        <v>0.39435045241549888</v>
      </c>
      <c r="T424" s="528">
        <f t="shared" si="438"/>
        <v>0.39435045241549888</v>
      </c>
      <c r="U424" s="528">
        <f t="shared" si="438"/>
        <v>9.9440165350438495E-2</v>
      </c>
      <c r="V424" s="528">
        <f t="shared" si="438"/>
        <v>6.121251549908102E-3</v>
      </c>
      <c r="W424" s="528">
        <f t="shared" si="438"/>
        <v>8.8130684154489461E-5</v>
      </c>
      <c r="X424" s="528" t="str">
        <f t="shared" si="438"/>
        <v/>
      </c>
      <c r="Y424" s="528" t="str">
        <f t="shared" si="438"/>
        <v/>
      </c>
      <c r="Z424" s="528" t="str">
        <f t="shared" si="438"/>
        <v/>
      </c>
      <c r="AA424" s="528" t="str">
        <f t="shared" si="438"/>
        <v/>
      </c>
      <c r="AB424" s="528" t="str">
        <f t="shared" si="438"/>
        <v/>
      </c>
      <c r="AC424" s="528" t="str">
        <f t="shared" si="438"/>
        <v/>
      </c>
      <c r="AD424" s="528" t="str">
        <f t="shared" si="438"/>
        <v/>
      </c>
      <c r="AE424" s="528" t="str">
        <f t="shared" si="438"/>
        <v/>
      </c>
      <c r="AF424" s="528" t="str">
        <f t="shared" si="438"/>
        <v/>
      </c>
      <c r="AG424" s="528" t="str">
        <f t="shared" si="438"/>
        <v/>
      </c>
      <c r="AH424" s="528" t="str">
        <f t="shared" si="438"/>
        <v/>
      </c>
      <c r="AI424" s="528" t="str">
        <f t="shared" si="438"/>
        <v/>
      </c>
      <c r="AJ424" s="528" t="str">
        <f t="shared" si="438"/>
        <v/>
      </c>
      <c r="AK424" s="528" t="str">
        <f t="shared" si="438"/>
        <v/>
      </c>
      <c r="AL424" s="528" t="str">
        <f t="shared" si="438"/>
        <v/>
      </c>
      <c r="AM424" s="528" t="str">
        <f t="shared" si="438"/>
        <v/>
      </c>
      <c r="AN424" s="528" t="str">
        <f t="shared" si="438"/>
        <v/>
      </c>
      <c r="AO424" s="528" t="str">
        <f t="shared" si="438"/>
        <v/>
      </c>
      <c r="AP424" s="528" t="str">
        <f t="shared" si="438"/>
        <v/>
      </c>
      <c r="AQ424" s="528" t="str">
        <f t="shared" si="438"/>
        <v/>
      </c>
      <c r="AR424" s="528" t="str">
        <f t="shared" si="438"/>
        <v/>
      </c>
      <c r="AS424" s="528" t="str">
        <f t="shared" si="438"/>
        <v/>
      </c>
      <c r="AT424" s="528" t="str">
        <f t="shared" si="438"/>
        <v/>
      </c>
      <c r="AU424" s="528" t="str">
        <f t="shared" si="438"/>
        <v/>
      </c>
      <c r="AV424" s="528" t="str">
        <f t="shared" si="438"/>
        <v/>
      </c>
      <c r="AW424" s="528" t="str">
        <f t="shared" si="438"/>
        <v/>
      </c>
      <c r="AX424" s="528" t="str">
        <f t="shared" si="438"/>
        <v/>
      </c>
      <c r="AY424" s="528" t="str">
        <f t="shared" si="438"/>
        <v/>
      </c>
      <c r="AZ424" s="528" t="str">
        <f t="shared" si="438"/>
        <v/>
      </c>
      <c r="BA424" s="528" t="str">
        <f t="shared" si="438"/>
        <v/>
      </c>
      <c r="BB424" s="528" t="str">
        <f t="shared" si="438"/>
        <v/>
      </c>
      <c r="BC424" s="528" t="str">
        <f t="shared" si="438"/>
        <v/>
      </c>
      <c r="BD424" s="528" t="str">
        <f t="shared" si="438"/>
        <v/>
      </c>
      <c r="BE424" s="528" t="str">
        <f t="shared" si="438"/>
        <v/>
      </c>
      <c r="BF424" s="528" t="str">
        <f t="shared" si="438"/>
        <v/>
      </c>
      <c r="BG424" s="528" t="str">
        <f t="shared" si="438"/>
        <v/>
      </c>
      <c r="BH424" s="528" t="str">
        <f t="shared" si="438"/>
        <v/>
      </c>
      <c r="BI424" s="528" t="str">
        <f t="shared" si="438"/>
        <v/>
      </c>
      <c r="BJ424" s="528" t="str">
        <f t="shared" si="438"/>
        <v/>
      </c>
      <c r="BK424" s="528" t="str">
        <f t="shared" si="438"/>
        <v/>
      </c>
      <c r="BL424" s="528" t="str">
        <f t="shared" si="438"/>
        <v/>
      </c>
      <c r="BM424" s="528" t="str">
        <f t="shared" si="438"/>
        <v/>
      </c>
    </row>
    <row r="425" spans="6:65" ht="15.75" customHeight="1" x14ac:dyDescent="0.25">
      <c r="F425" s="197"/>
      <c r="G425" s="197">
        <f t="shared" si="268"/>
        <v>0</v>
      </c>
      <c r="H425" s="197">
        <f t="shared" si="269"/>
        <v>910</v>
      </c>
      <c r="I425" s="523">
        <v>1</v>
      </c>
      <c r="J425" s="533">
        <f>'Monthly DCF'!$I$3</f>
        <v>46418</v>
      </c>
      <c r="K425" s="533">
        <f t="shared" si="270"/>
        <v>46660</v>
      </c>
      <c r="L425" s="536">
        <f t="shared" si="435"/>
        <v>9</v>
      </c>
      <c r="M425" s="20" t="s">
        <v>366</v>
      </c>
      <c r="N425" s="20">
        <f t="shared" si="271"/>
        <v>0.9</v>
      </c>
      <c r="O425" s="537">
        <v>10</v>
      </c>
      <c r="P425" s="528">
        <f t="shared" ref="P425:BM425" si="439">IFERROR(+IF(AND($M425="Flat",P$5&gt;=$J425,P$5&lt;=$K425),$I425/$L425,0)+IF(AND($M425="S-Curve",P$5&gt;=$J425,P$5&lt;=$K425),(_xlfn.NORM.DIST((YEAR(P$5)-YEAR($J425))*12+MONTH(P$5)-MONTH($J425)+1,$L425/2,$N425,TRUE)-_xlfn.NORM.DIST((YEAR(P$5)-YEAR($J425))*12+MONTH(P$5)-MONTH($J425),$L425/2,$N425,TRUE))/(1-2*_xlfn.NORM.DIST(0,$L425/2,$N425,TRUE))*$I425," "),"")</f>
        <v>5.0065480057602851E-5</v>
      </c>
      <c r="Q425" s="528">
        <f t="shared" si="439"/>
        <v>2.6862512233536296E-3</v>
      </c>
      <c r="R425" s="528">
        <f t="shared" si="439"/>
        <v>4.5053776316042154E-2</v>
      </c>
      <c r="S425" s="528">
        <f t="shared" si="439"/>
        <v>0.24146714691503171</v>
      </c>
      <c r="T425" s="528">
        <f t="shared" si="439"/>
        <v>0.42148552013102986</v>
      </c>
      <c r="U425" s="528">
        <f t="shared" si="439"/>
        <v>0.24146714691503166</v>
      </c>
      <c r="V425" s="528">
        <f t="shared" si="439"/>
        <v>4.5053776316042161E-2</v>
      </c>
      <c r="W425" s="528">
        <f t="shared" si="439"/>
        <v>2.6862512233535923E-3</v>
      </c>
      <c r="X425" s="528">
        <f t="shared" si="439"/>
        <v>5.0065480057583044E-5</v>
      </c>
      <c r="Y425" s="528" t="str">
        <f t="shared" si="439"/>
        <v/>
      </c>
      <c r="Z425" s="528" t="str">
        <f t="shared" si="439"/>
        <v/>
      </c>
      <c r="AA425" s="528" t="str">
        <f t="shared" si="439"/>
        <v/>
      </c>
      <c r="AB425" s="528" t="str">
        <f t="shared" si="439"/>
        <v/>
      </c>
      <c r="AC425" s="528" t="str">
        <f t="shared" si="439"/>
        <v/>
      </c>
      <c r="AD425" s="528" t="str">
        <f t="shared" si="439"/>
        <v/>
      </c>
      <c r="AE425" s="528" t="str">
        <f t="shared" si="439"/>
        <v/>
      </c>
      <c r="AF425" s="528" t="str">
        <f t="shared" si="439"/>
        <v/>
      </c>
      <c r="AG425" s="528" t="str">
        <f t="shared" si="439"/>
        <v/>
      </c>
      <c r="AH425" s="528" t="str">
        <f t="shared" si="439"/>
        <v/>
      </c>
      <c r="AI425" s="528" t="str">
        <f t="shared" si="439"/>
        <v/>
      </c>
      <c r="AJ425" s="528" t="str">
        <f t="shared" si="439"/>
        <v/>
      </c>
      <c r="AK425" s="528" t="str">
        <f t="shared" si="439"/>
        <v/>
      </c>
      <c r="AL425" s="528" t="str">
        <f t="shared" si="439"/>
        <v/>
      </c>
      <c r="AM425" s="528" t="str">
        <f t="shared" si="439"/>
        <v/>
      </c>
      <c r="AN425" s="528" t="str">
        <f t="shared" si="439"/>
        <v/>
      </c>
      <c r="AO425" s="528" t="str">
        <f t="shared" si="439"/>
        <v/>
      </c>
      <c r="AP425" s="528" t="str">
        <f t="shared" si="439"/>
        <v/>
      </c>
      <c r="AQ425" s="528" t="str">
        <f t="shared" si="439"/>
        <v/>
      </c>
      <c r="AR425" s="528" t="str">
        <f t="shared" si="439"/>
        <v/>
      </c>
      <c r="AS425" s="528" t="str">
        <f t="shared" si="439"/>
        <v/>
      </c>
      <c r="AT425" s="528" t="str">
        <f t="shared" si="439"/>
        <v/>
      </c>
      <c r="AU425" s="528" t="str">
        <f t="shared" si="439"/>
        <v/>
      </c>
      <c r="AV425" s="528" t="str">
        <f t="shared" si="439"/>
        <v/>
      </c>
      <c r="AW425" s="528" t="str">
        <f t="shared" si="439"/>
        <v/>
      </c>
      <c r="AX425" s="528" t="str">
        <f t="shared" si="439"/>
        <v/>
      </c>
      <c r="AY425" s="528" t="str">
        <f t="shared" si="439"/>
        <v/>
      </c>
      <c r="AZ425" s="528" t="str">
        <f t="shared" si="439"/>
        <v/>
      </c>
      <c r="BA425" s="528" t="str">
        <f t="shared" si="439"/>
        <v/>
      </c>
      <c r="BB425" s="528" t="str">
        <f t="shared" si="439"/>
        <v/>
      </c>
      <c r="BC425" s="528" t="str">
        <f t="shared" si="439"/>
        <v/>
      </c>
      <c r="BD425" s="528" t="str">
        <f t="shared" si="439"/>
        <v/>
      </c>
      <c r="BE425" s="528" t="str">
        <f t="shared" si="439"/>
        <v/>
      </c>
      <c r="BF425" s="528" t="str">
        <f t="shared" si="439"/>
        <v/>
      </c>
      <c r="BG425" s="528" t="str">
        <f t="shared" si="439"/>
        <v/>
      </c>
      <c r="BH425" s="528" t="str">
        <f t="shared" si="439"/>
        <v/>
      </c>
      <c r="BI425" s="528" t="str">
        <f t="shared" si="439"/>
        <v/>
      </c>
      <c r="BJ425" s="528" t="str">
        <f t="shared" si="439"/>
        <v/>
      </c>
      <c r="BK425" s="528" t="str">
        <f t="shared" si="439"/>
        <v/>
      </c>
      <c r="BL425" s="528" t="str">
        <f t="shared" si="439"/>
        <v/>
      </c>
      <c r="BM425" s="528" t="str">
        <f t="shared" si="439"/>
        <v/>
      </c>
    </row>
    <row r="426" spans="6:65" ht="15.75" customHeight="1" x14ac:dyDescent="0.25">
      <c r="F426" s="197"/>
      <c r="G426" s="197">
        <f t="shared" si="268"/>
        <v>0</v>
      </c>
      <c r="H426" s="197">
        <f t="shared" si="269"/>
        <v>1010</v>
      </c>
      <c r="I426" s="523">
        <v>1</v>
      </c>
      <c r="J426" s="533">
        <f>'Monthly DCF'!$I$3</f>
        <v>46418</v>
      </c>
      <c r="K426" s="533">
        <f t="shared" si="270"/>
        <v>46691</v>
      </c>
      <c r="L426" s="536">
        <f t="shared" si="435"/>
        <v>10</v>
      </c>
      <c r="M426" s="20" t="s">
        <v>366</v>
      </c>
      <c r="N426" s="20">
        <f t="shared" si="271"/>
        <v>1</v>
      </c>
      <c r="O426" s="537">
        <v>10</v>
      </c>
      <c r="P426" s="528">
        <f t="shared" ref="P426:BM426" si="440">IFERROR(+IF(AND($M426="Flat",P$5&gt;=$J426,P$5&lt;=$K426),$I426/$L426,0)+IF(AND($M426="S-Curve",P$5&gt;=$J426,P$5&lt;=$K426),(_xlfn.NORM.DIST((YEAR(P$5)-YEAR($J426))*12+MONTH(P$5)-MONTH($J426)+1,$L426/2,$N426,TRUE)-_xlfn.NORM.DIST((YEAR(P$5)-YEAR($J426))*12+MONTH(P$5)-MONTH($J426),$L426/2,$N426,TRUE))/(1-2*_xlfn.NORM.DIST(0,$L426/2,$N426,TRUE))*$I426," "),"")</f>
        <v>3.1384608254135241E-5</v>
      </c>
      <c r="Q426" s="528">
        <f t="shared" si="440"/>
        <v>1.3182275455409695E-3</v>
      </c>
      <c r="R426" s="528">
        <f t="shared" si="440"/>
        <v>2.1400246185377513E-2</v>
      </c>
      <c r="S426" s="528">
        <f t="shared" si="440"/>
        <v>0.13590519989815616</v>
      </c>
      <c r="T426" s="528">
        <f t="shared" si="440"/>
        <v>0.34134494176267127</v>
      </c>
      <c r="U426" s="528">
        <f t="shared" si="440"/>
        <v>0.34134494176267127</v>
      </c>
      <c r="V426" s="528">
        <f t="shared" si="440"/>
        <v>0.13590519989815611</v>
      </c>
      <c r="W426" s="528">
        <f t="shared" si="440"/>
        <v>2.140024618537752E-2</v>
      </c>
      <c r="X426" s="528">
        <f t="shared" si="440"/>
        <v>1.3182275455409795E-3</v>
      </c>
      <c r="Y426" s="528">
        <f t="shared" si="440"/>
        <v>3.1384608254091019E-5</v>
      </c>
      <c r="Z426" s="528" t="str">
        <f t="shared" si="440"/>
        <v/>
      </c>
      <c r="AA426" s="528" t="str">
        <f t="shared" si="440"/>
        <v/>
      </c>
      <c r="AB426" s="528" t="str">
        <f t="shared" si="440"/>
        <v/>
      </c>
      <c r="AC426" s="528" t="str">
        <f t="shared" si="440"/>
        <v/>
      </c>
      <c r="AD426" s="528" t="str">
        <f t="shared" si="440"/>
        <v/>
      </c>
      <c r="AE426" s="528" t="str">
        <f t="shared" si="440"/>
        <v/>
      </c>
      <c r="AF426" s="528" t="str">
        <f t="shared" si="440"/>
        <v/>
      </c>
      <c r="AG426" s="528" t="str">
        <f t="shared" si="440"/>
        <v/>
      </c>
      <c r="AH426" s="528" t="str">
        <f t="shared" si="440"/>
        <v/>
      </c>
      <c r="AI426" s="528" t="str">
        <f t="shared" si="440"/>
        <v/>
      </c>
      <c r="AJ426" s="528" t="str">
        <f t="shared" si="440"/>
        <v/>
      </c>
      <c r="AK426" s="528" t="str">
        <f t="shared" si="440"/>
        <v/>
      </c>
      <c r="AL426" s="528" t="str">
        <f t="shared" si="440"/>
        <v/>
      </c>
      <c r="AM426" s="528" t="str">
        <f t="shared" si="440"/>
        <v/>
      </c>
      <c r="AN426" s="528" t="str">
        <f t="shared" si="440"/>
        <v/>
      </c>
      <c r="AO426" s="528" t="str">
        <f t="shared" si="440"/>
        <v/>
      </c>
      <c r="AP426" s="528" t="str">
        <f t="shared" si="440"/>
        <v/>
      </c>
      <c r="AQ426" s="528" t="str">
        <f t="shared" si="440"/>
        <v/>
      </c>
      <c r="AR426" s="528" t="str">
        <f t="shared" si="440"/>
        <v/>
      </c>
      <c r="AS426" s="528" t="str">
        <f t="shared" si="440"/>
        <v/>
      </c>
      <c r="AT426" s="528" t="str">
        <f t="shared" si="440"/>
        <v/>
      </c>
      <c r="AU426" s="528" t="str">
        <f t="shared" si="440"/>
        <v/>
      </c>
      <c r="AV426" s="528" t="str">
        <f t="shared" si="440"/>
        <v/>
      </c>
      <c r="AW426" s="528" t="str">
        <f t="shared" si="440"/>
        <v/>
      </c>
      <c r="AX426" s="528" t="str">
        <f t="shared" si="440"/>
        <v/>
      </c>
      <c r="AY426" s="528" t="str">
        <f t="shared" si="440"/>
        <v/>
      </c>
      <c r="AZ426" s="528" t="str">
        <f t="shared" si="440"/>
        <v/>
      </c>
      <c r="BA426" s="528" t="str">
        <f t="shared" si="440"/>
        <v/>
      </c>
      <c r="BB426" s="528" t="str">
        <f t="shared" si="440"/>
        <v/>
      </c>
      <c r="BC426" s="528" t="str">
        <f t="shared" si="440"/>
        <v/>
      </c>
      <c r="BD426" s="528" t="str">
        <f t="shared" si="440"/>
        <v/>
      </c>
      <c r="BE426" s="528" t="str">
        <f t="shared" si="440"/>
        <v/>
      </c>
      <c r="BF426" s="528" t="str">
        <f t="shared" si="440"/>
        <v/>
      </c>
      <c r="BG426" s="528" t="str">
        <f t="shared" si="440"/>
        <v/>
      </c>
      <c r="BH426" s="528" t="str">
        <f t="shared" si="440"/>
        <v/>
      </c>
      <c r="BI426" s="528" t="str">
        <f t="shared" si="440"/>
        <v/>
      </c>
      <c r="BJ426" s="528" t="str">
        <f t="shared" si="440"/>
        <v/>
      </c>
      <c r="BK426" s="528" t="str">
        <f t="shared" si="440"/>
        <v/>
      </c>
      <c r="BL426" s="528" t="str">
        <f t="shared" si="440"/>
        <v/>
      </c>
      <c r="BM426" s="528" t="str">
        <f t="shared" si="440"/>
        <v/>
      </c>
    </row>
    <row r="427" spans="6:65" ht="15.75" customHeight="1" x14ac:dyDescent="0.25">
      <c r="F427" s="197"/>
      <c r="G427" s="197">
        <f t="shared" si="268"/>
        <v>0</v>
      </c>
      <c r="H427" s="197">
        <f t="shared" si="269"/>
        <v>1110</v>
      </c>
      <c r="I427" s="523">
        <v>1</v>
      </c>
      <c r="J427" s="533">
        <f>'Monthly DCF'!$I$3</f>
        <v>46418</v>
      </c>
      <c r="K427" s="533">
        <f t="shared" si="270"/>
        <v>46721</v>
      </c>
      <c r="L427" s="536">
        <f t="shared" si="435"/>
        <v>11</v>
      </c>
      <c r="M427" s="20" t="s">
        <v>366</v>
      </c>
      <c r="N427" s="20">
        <f t="shared" si="271"/>
        <v>1.1000000000000001</v>
      </c>
      <c r="O427" s="537">
        <v>10</v>
      </c>
      <c r="P427" s="528">
        <f t="shared" ref="P427:BM427" si="441">IFERROR(+IF(AND($M427="Flat",P$5&gt;=$J427,P$5&lt;=$K427),$I427/$L427,0)+IF(AND($M427="S-Curve",P$5&gt;=$J427,P$5&lt;=$K427),(_xlfn.NORM.DIST((YEAR(P$5)-YEAR($J427))*12+MONTH(P$5)-MONTH($J427)+1,$L427/2,$N427,TRUE)-_xlfn.NORM.DIST((YEAR(P$5)-YEAR($J427))*12+MONTH(P$5)-MONTH($J427),$L427/2,$N427,TRUE))/(1-2*_xlfn.NORM.DIST(0,$L427/2,$N427,TRUE))*$I427," "),"")</f>
        <v>2.1197638106288441E-5</v>
      </c>
      <c r="Q427" s="528">
        <f t="shared" si="441"/>
        <v>7.1028445207540515E-4</v>
      </c>
      <c r="R427" s="528">
        <f t="shared" si="441"/>
        <v>1.0789547907170068E-2</v>
      </c>
      <c r="S427" s="528">
        <f t="shared" si="441"/>
        <v>7.4819753559893246E-2</v>
      </c>
      <c r="T427" s="528">
        <f t="shared" si="441"/>
        <v>0.2383772578164344</v>
      </c>
      <c r="U427" s="528">
        <f t="shared" si="441"/>
        <v>0.35056391725264119</v>
      </c>
      <c r="V427" s="528">
        <f t="shared" si="441"/>
        <v>0.2383772578164344</v>
      </c>
      <c r="W427" s="528">
        <f t="shared" si="441"/>
        <v>7.4819753559893246E-2</v>
      </c>
      <c r="X427" s="528">
        <f t="shared" si="441"/>
        <v>1.0789547907170006E-2</v>
      </c>
      <c r="Y427" s="528">
        <f t="shared" si="441"/>
        <v>7.1028445207548029E-4</v>
      </c>
      <c r="Z427" s="528">
        <f t="shared" si="441"/>
        <v>2.1197638106212144E-5</v>
      </c>
      <c r="AA427" s="528" t="str">
        <f t="shared" si="441"/>
        <v/>
      </c>
      <c r="AB427" s="528" t="str">
        <f t="shared" si="441"/>
        <v/>
      </c>
      <c r="AC427" s="528" t="str">
        <f t="shared" si="441"/>
        <v/>
      </c>
      <c r="AD427" s="528" t="str">
        <f t="shared" si="441"/>
        <v/>
      </c>
      <c r="AE427" s="528" t="str">
        <f t="shared" si="441"/>
        <v/>
      </c>
      <c r="AF427" s="528" t="str">
        <f t="shared" si="441"/>
        <v/>
      </c>
      <c r="AG427" s="528" t="str">
        <f t="shared" si="441"/>
        <v/>
      </c>
      <c r="AH427" s="528" t="str">
        <f t="shared" si="441"/>
        <v/>
      </c>
      <c r="AI427" s="528" t="str">
        <f t="shared" si="441"/>
        <v/>
      </c>
      <c r="AJ427" s="528" t="str">
        <f t="shared" si="441"/>
        <v/>
      </c>
      <c r="AK427" s="528" t="str">
        <f t="shared" si="441"/>
        <v/>
      </c>
      <c r="AL427" s="528" t="str">
        <f t="shared" si="441"/>
        <v/>
      </c>
      <c r="AM427" s="528" t="str">
        <f t="shared" si="441"/>
        <v/>
      </c>
      <c r="AN427" s="528" t="str">
        <f t="shared" si="441"/>
        <v/>
      </c>
      <c r="AO427" s="528" t="str">
        <f t="shared" si="441"/>
        <v/>
      </c>
      <c r="AP427" s="528" t="str">
        <f t="shared" si="441"/>
        <v/>
      </c>
      <c r="AQ427" s="528" t="str">
        <f t="shared" si="441"/>
        <v/>
      </c>
      <c r="AR427" s="528" t="str">
        <f t="shared" si="441"/>
        <v/>
      </c>
      <c r="AS427" s="528" t="str">
        <f t="shared" si="441"/>
        <v/>
      </c>
      <c r="AT427" s="528" t="str">
        <f t="shared" si="441"/>
        <v/>
      </c>
      <c r="AU427" s="528" t="str">
        <f t="shared" si="441"/>
        <v/>
      </c>
      <c r="AV427" s="528" t="str">
        <f t="shared" si="441"/>
        <v/>
      </c>
      <c r="AW427" s="528" t="str">
        <f t="shared" si="441"/>
        <v/>
      </c>
      <c r="AX427" s="528" t="str">
        <f t="shared" si="441"/>
        <v/>
      </c>
      <c r="AY427" s="528" t="str">
        <f t="shared" si="441"/>
        <v/>
      </c>
      <c r="AZ427" s="528" t="str">
        <f t="shared" si="441"/>
        <v/>
      </c>
      <c r="BA427" s="528" t="str">
        <f t="shared" si="441"/>
        <v/>
      </c>
      <c r="BB427" s="528" t="str">
        <f t="shared" si="441"/>
        <v/>
      </c>
      <c r="BC427" s="528" t="str">
        <f t="shared" si="441"/>
        <v/>
      </c>
      <c r="BD427" s="528" t="str">
        <f t="shared" si="441"/>
        <v/>
      </c>
      <c r="BE427" s="528" t="str">
        <f t="shared" si="441"/>
        <v/>
      </c>
      <c r="BF427" s="528" t="str">
        <f t="shared" si="441"/>
        <v/>
      </c>
      <c r="BG427" s="528" t="str">
        <f t="shared" si="441"/>
        <v/>
      </c>
      <c r="BH427" s="528" t="str">
        <f t="shared" si="441"/>
        <v/>
      </c>
      <c r="BI427" s="528" t="str">
        <f t="shared" si="441"/>
        <v/>
      </c>
      <c r="BJ427" s="528" t="str">
        <f t="shared" si="441"/>
        <v/>
      </c>
      <c r="BK427" s="528" t="str">
        <f t="shared" si="441"/>
        <v/>
      </c>
      <c r="BL427" s="528" t="str">
        <f t="shared" si="441"/>
        <v/>
      </c>
      <c r="BM427" s="528" t="str">
        <f t="shared" si="441"/>
        <v/>
      </c>
    </row>
    <row r="428" spans="6:65" ht="15.75" customHeight="1" x14ac:dyDescent="0.25">
      <c r="F428" s="197"/>
      <c r="G428" s="197">
        <f t="shared" si="268"/>
        <v>0</v>
      </c>
      <c r="H428" s="197">
        <f t="shared" si="269"/>
        <v>1210</v>
      </c>
      <c r="I428" s="523">
        <v>1</v>
      </c>
      <c r="J428" s="533">
        <f>'Monthly DCF'!$I$3</f>
        <v>46418</v>
      </c>
      <c r="K428" s="533">
        <f t="shared" si="270"/>
        <v>46752</v>
      </c>
      <c r="L428" s="536">
        <f t="shared" si="435"/>
        <v>12</v>
      </c>
      <c r="M428" s="20" t="s">
        <v>366</v>
      </c>
      <c r="N428" s="20">
        <f t="shared" si="271"/>
        <v>1.2</v>
      </c>
      <c r="O428" s="537">
        <v>10</v>
      </c>
      <c r="P428" s="528">
        <f t="shared" ref="P428:BM428" si="442">IFERROR(+IF(AND($M428="Flat",P$5&gt;=$J428,P$5&lt;=$K428),$I428/$L428,0)+IF(AND($M428="S-Curve",P$5&gt;=$J428,P$5&lt;=$K428),(_xlfn.NORM.DIST((YEAR(P$5)-YEAR($J428))*12+MONTH(P$5)-MONTH($J428)+1,$L428/2,$N428,TRUE)-_xlfn.NORM.DIST((YEAR(P$5)-YEAR($J428))*12+MONTH(P$5)-MONTH($J428),$L428/2,$N428,TRUE))/(1-2*_xlfn.NORM.DIST(0,$L428/2,$N428,TRUE))*$I428," "),"")</f>
        <v>1.5167654006080492E-5</v>
      </c>
      <c r="Q428" s="528">
        <f t="shared" si="442"/>
        <v>4.1360627343631787E-4</v>
      </c>
      <c r="R428" s="528">
        <f t="shared" si="442"/>
        <v>5.7806083066202114E-3</v>
      </c>
      <c r="S428" s="528">
        <f t="shared" si="442"/>
        <v>4.158071078539078E-2</v>
      </c>
      <c r="T428" s="528">
        <f t="shared" si="442"/>
        <v>0.15453811728801681</v>
      </c>
      <c r="U428" s="528">
        <f t="shared" si="442"/>
        <v>0.29767178969252983</v>
      </c>
      <c r="V428" s="528">
        <f t="shared" si="442"/>
        <v>0.29767178969252983</v>
      </c>
      <c r="W428" s="528">
        <f t="shared" si="442"/>
        <v>0.15453811728801681</v>
      </c>
      <c r="X428" s="528">
        <f t="shared" si="442"/>
        <v>4.1580710785390745E-2</v>
      </c>
      <c r="Y428" s="528">
        <f t="shared" si="442"/>
        <v>5.7806083066202895E-3</v>
      </c>
      <c r="Z428" s="528">
        <f t="shared" si="442"/>
        <v>4.1360627343623905E-4</v>
      </c>
      <c r="AA428" s="528">
        <f t="shared" si="442"/>
        <v>1.516765400606255E-5</v>
      </c>
      <c r="AB428" s="528" t="str">
        <f t="shared" si="442"/>
        <v/>
      </c>
      <c r="AC428" s="528" t="str">
        <f t="shared" si="442"/>
        <v/>
      </c>
      <c r="AD428" s="528" t="str">
        <f t="shared" si="442"/>
        <v/>
      </c>
      <c r="AE428" s="528" t="str">
        <f t="shared" si="442"/>
        <v/>
      </c>
      <c r="AF428" s="528" t="str">
        <f t="shared" si="442"/>
        <v/>
      </c>
      <c r="AG428" s="528" t="str">
        <f t="shared" si="442"/>
        <v/>
      </c>
      <c r="AH428" s="528" t="str">
        <f t="shared" si="442"/>
        <v/>
      </c>
      <c r="AI428" s="528" t="str">
        <f t="shared" si="442"/>
        <v/>
      </c>
      <c r="AJ428" s="528" t="str">
        <f t="shared" si="442"/>
        <v/>
      </c>
      <c r="AK428" s="528" t="str">
        <f t="shared" si="442"/>
        <v/>
      </c>
      <c r="AL428" s="528" t="str">
        <f t="shared" si="442"/>
        <v/>
      </c>
      <c r="AM428" s="528" t="str">
        <f t="shared" si="442"/>
        <v/>
      </c>
      <c r="AN428" s="528" t="str">
        <f t="shared" si="442"/>
        <v/>
      </c>
      <c r="AO428" s="528" t="str">
        <f t="shared" si="442"/>
        <v/>
      </c>
      <c r="AP428" s="528" t="str">
        <f t="shared" si="442"/>
        <v/>
      </c>
      <c r="AQ428" s="528" t="str">
        <f t="shared" si="442"/>
        <v/>
      </c>
      <c r="AR428" s="528" t="str">
        <f t="shared" si="442"/>
        <v/>
      </c>
      <c r="AS428" s="528" t="str">
        <f t="shared" si="442"/>
        <v/>
      </c>
      <c r="AT428" s="528" t="str">
        <f t="shared" si="442"/>
        <v/>
      </c>
      <c r="AU428" s="528" t="str">
        <f t="shared" si="442"/>
        <v/>
      </c>
      <c r="AV428" s="528" t="str">
        <f t="shared" si="442"/>
        <v/>
      </c>
      <c r="AW428" s="528" t="str">
        <f t="shared" si="442"/>
        <v/>
      </c>
      <c r="AX428" s="528" t="str">
        <f t="shared" si="442"/>
        <v/>
      </c>
      <c r="AY428" s="528" t="str">
        <f t="shared" si="442"/>
        <v/>
      </c>
      <c r="AZ428" s="528" t="str">
        <f t="shared" si="442"/>
        <v/>
      </c>
      <c r="BA428" s="528" t="str">
        <f t="shared" si="442"/>
        <v/>
      </c>
      <c r="BB428" s="528" t="str">
        <f t="shared" si="442"/>
        <v/>
      </c>
      <c r="BC428" s="528" t="str">
        <f t="shared" si="442"/>
        <v/>
      </c>
      <c r="BD428" s="528" t="str">
        <f t="shared" si="442"/>
        <v/>
      </c>
      <c r="BE428" s="528" t="str">
        <f t="shared" si="442"/>
        <v/>
      </c>
      <c r="BF428" s="528" t="str">
        <f t="shared" si="442"/>
        <v/>
      </c>
      <c r="BG428" s="528" t="str">
        <f t="shared" si="442"/>
        <v/>
      </c>
      <c r="BH428" s="528" t="str">
        <f t="shared" si="442"/>
        <v/>
      </c>
      <c r="BI428" s="528" t="str">
        <f t="shared" si="442"/>
        <v/>
      </c>
      <c r="BJ428" s="528" t="str">
        <f t="shared" si="442"/>
        <v/>
      </c>
      <c r="BK428" s="528" t="str">
        <f t="shared" si="442"/>
        <v/>
      </c>
      <c r="BL428" s="528" t="str">
        <f t="shared" si="442"/>
        <v/>
      </c>
      <c r="BM428" s="528" t="str">
        <f t="shared" si="442"/>
        <v/>
      </c>
    </row>
    <row r="429" spans="6:65" ht="15.75" customHeight="1" x14ac:dyDescent="0.25">
      <c r="F429" s="197"/>
      <c r="G429" s="197">
        <f t="shared" si="268"/>
        <v>0</v>
      </c>
      <c r="H429" s="197">
        <f t="shared" si="269"/>
        <v>1310</v>
      </c>
      <c r="I429" s="523">
        <v>1</v>
      </c>
      <c r="J429" s="533">
        <f>'Monthly DCF'!$I$3</f>
        <v>46418</v>
      </c>
      <c r="K429" s="533">
        <f t="shared" si="270"/>
        <v>46783</v>
      </c>
      <c r="L429" s="536">
        <f t="shared" si="435"/>
        <v>13</v>
      </c>
      <c r="M429" s="20" t="s">
        <v>366</v>
      </c>
      <c r="N429" s="20">
        <f t="shared" si="271"/>
        <v>1.3</v>
      </c>
      <c r="O429" s="537">
        <v>10</v>
      </c>
      <c r="P429" s="528">
        <f t="shared" ref="P429:BM429" si="443">IFERROR(+IF(AND($M429="Flat",P$5&gt;=$J429,P$5&lt;=$K429),$I429/$L429,0)+IF(AND($M429="S-Curve",P$5&gt;=$J429,P$5&lt;=$K429),(_xlfn.NORM.DIST((YEAR(P$5)-YEAR($J429))*12+MONTH(P$5)-MONTH($J429)+1,$L429/2,$N429,TRUE)-_xlfn.NORM.DIST((YEAR(P$5)-YEAR($J429))*12+MONTH(P$5)-MONTH($J429),$L429/2,$N429,TRUE))/(1-2*_xlfn.NORM.DIST(0,$L429/2,$N429,TRUE))*$I429," "),"")</f>
        <v>1.1358030314472422E-5</v>
      </c>
      <c r="Q429" s="528">
        <f t="shared" si="443"/>
        <v>2.5690415655365081E-4</v>
      </c>
      <c r="R429" s="528">
        <f t="shared" si="443"/>
        <v>3.2794254672259496E-3</v>
      </c>
      <c r="S429" s="528">
        <f t="shared" si="443"/>
        <v>2.3687236321940277E-2</v>
      </c>
      <c r="T429" s="528">
        <f t="shared" si="443"/>
        <v>9.7046484731907148E-2</v>
      </c>
      <c r="U429" s="528">
        <f t="shared" si="443"/>
        <v>0.22597970249820717</v>
      </c>
      <c r="V429" s="528">
        <f t="shared" si="443"/>
        <v>0.29947777758770261</v>
      </c>
      <c r="W429" s="528">
        <f t="shared" si="443"/>
        <v>0.22597970249820712</v>
      </c>
      <c r="X429" s="528">
        <f t="shared" si="443"/>
        <v>9.7046484731907176E-2</v>
      </c>
      <c r="Y429" s="528">
        <f t="shared" si="443"/>
        <v>2.3687236321940263E-2</v>
      </c>
      <c r="Z429" s="528">
        <f t="shared" si="443"/>
        <v>3.2794254672260073E-3</v>
      </c>
      <c r="AA429" s="528">
        <f t="shared" si="443"/>
        <v>2.5690415655365894E-4</v>
      </c>
      <c r="AB429" s="528">
        <f t="shared" si="443"/>
        <v>1.1358030314404411E-5</v>
      </c>
      <c r="AC429" s="528" t="str">
        <f t="shared" si="443"/>
        <v/>
      </c>
      <c r="AD429" s="528" t="str">
        <f t="shared" si="443"/>
        <v/>
      </c>
      <c r="AE429" s="528" t="str">
        <f t="shared" si="443"/>
        <v/>
      </c>
      <c r="AF429" s="528" t="str">
        <f t="shared" si="443"/>
        <v/>
      </c>
      <c r="AG429" s="528" t="str">
        <f t="shared" si="443"/>
        <v/>
      </c>
      <c r="AH429" s="528" t="str">
        <f t="shared" si="443"/>
        <v/>
      </c>
      <c r="AI429" s="528" t="str">
        <f t="shared" si="443"/>
        <v/>
      </c>
      <c r="AJ429" s="528" t="str">
        <f t="shared" si="443"/>
        <v/>
      </c>
      <c r="AK429" s="528" t="str">
        <f t="shared" si="443"/>
        <v/>
      </c>
      <c r="AL429" s="528" t="str">
        <f t="shared" si="443"/>
        <v/>
      </c>
      <c r="AM429" s="528" t="str">
        <f t="shared" si="443"/>
        <v/>
      </c>
      <c r="AN429" s="528" t="str">
        <f t="shared" si="443"/>
        <v/>
      </c>
      <c r="AO429" s="528" t="str">
        <f t="shared" si="443"/>
        <v/>
      </c>
      <c r="AP429" s="528" t="str">
        <f t="shared" si="443"/>
        <v/>
      </c>
      <c r="AQ429" s="528" t="str">
        <f t="shared" si="443"/>
        <v/>
      </c>
      <c r="AR429" s="528" t="str">
        <f t="shared" si="443"/>
        <v/>
      </c>
      <c r="AS429" s="528" t="str">
        <f t="shared" si="443"/>
        <v/>
      </c>
      <c r="AT429" s="528" t="str">
        <f t="shared" si="443"/>
        <v/>
      </c>
      <c r="AU429" s="528" t="str">
        <f t="shared" si="443"/>
        <v/>
      </c>
      <c r="AV429" s="528" t="str">
        <f t="shared" si="443"/>
        <v/>
      </c>
      <c r="AW429" s="528" t="str">
        <f t="shared" si="443"/>
        <v/>
      </c>
      <c r="AX429" s="528" t="str">
        <f t="shared" si="443"/>
        <v/>
      </c>
      <c r="AY429" s="528" t="str">
        <f t="shared" si="443"/>
        <v/>
      </c>
      <c r="AZ429" s="528" t="str">
        <f t="shared" si="443"/>
        <v/>
      </c>
      <c r="BA429" s="528" t="str">
        <f t="shared" si="443"/>
        <v/>
      </c>
      <c r="BB429" s="528" t="str">
        <f t="shared" si="443"/>
        <v/>
      </c>
      <c r="BC429" s="528" t="str">
        <f t="shared" si="443"/>
        <v/>
      </c>
      <c r="BD429" s="528" t="str">
        <f t="shared" si="443"/>
        <v/>
      </c>
      <c r="BE429" s="528" t="str">
        <f t="shared" si="443"/>
        <v/>
      </c>
      <c r="BF429" s="528" t="str">
        <f t="shared" si="443"/>
        <v/>
      </c>
      <c r="BG429" s="528" t="str">
        <f t="shared" si="443"/>
        <v/>
      </c>
      <c r="BH429" s="528" t="str">
        <f t="shared" si="443"/>
        <v/>
      </c>
      <c r="BI429" s="528" t="str">
        <f t="shared" si="443"/>
        <v/>
      </c>
      <c r="BJ429" s="528" t="str">
        <f t="shared" si="443"/>
        <v/>
      </c>
      <c r="BK429" s="528" t="str">
        <f t="shared" si="443"/>
        <v/>
      </c>
      <c r="BL429" s="528" t="str">
        <f t="shared" si="443"/>
        <v/>
      </c>
      <c r="BM429" s="528" t="str">
        <f t="shared" si="443"/>
        <v/>
      </c>
    </row>
    <row r="430" spans="6:65" ht="15.75" customHeight="1" x14ac:dyDescent="0.25">
      <c r="F430" s="197"/>
      <c r="G430" s="197">
        <f t="shared" si="268"/>
        <v>0</v>
      </c>
      <c r="H430" s="197">
        <f t="shared" si="269"/>
        <v>1410</v>
      </c>
      <c r="I430" s="523">
        <v>1</v>
      </c>
      <c r="J430" s="533">
        <f>'Monthly DCF'!$I$3</f>
        <v>46418</v>
      </c>
      <c r="K430" s="533">
        <f t="shared" si="270"/>
        <v>46812</v>
      </c>
      <c r="L430" s="536">
        <f t="shared" si="435"/>
        <v>14</v>
      </c>
      <c r="M430" s="20" t="s">
        <v>366</v>
      </c>
      <c r="N430" s="20">
        <f t="shared" si="271"/>
        <v>1.4</v>
      </c>
      <c r="O430" s="537">
        <v>10</v>
      </c>
      <c r="P430" s="528">
        <f t="shared" ref="P430:BM430" si="444">IFERROR(+IF(AND($M430="Flat",P$5&gt;=$J430,P$5&lt;=$K430),$I430/$L430,0)+IF(AND($M430="S-Curve",P$5&gt;=$J430,P$5&lt;=$K430),(_xlfn.NORM.DIST((YEAR(P$5)-YEAR($J430))*12+MONTH(P$5)-MONTH($J430)+1,$L430/2,$N430,TRUE)-_xlfn.NORM.DIST((YEAR(P$5)-YEAR($J430))*12+MONTH(P$5)-MONTH($J430),$L430/2,$N430,TRUE))/(1-2*_xlfn.NORM.DIST(0,$L430/2,$N430,TRUE))*$I430," "),"")</f>
        <v>8.8210020597130153E-6</v>
      </c>
      <c r="Q430" s="528">
        <f t="shared" si="444"/>
        <v>1.6841213835019512E-4</v>
      </c>
      <c r="R430" s="528">
        <f t="shared" si="444"/>
        <v>1.9598484133000645E-3</v>
      </c>
      <c r="S430" s="528">
        <f t="shared" si="444"/>
        <v>1.3924926606946246E-2</v>
      </c>
      <c r="T430" s="528">
        <f t="shared" si="444"/>
        <v>6.0501474591692E-2</v>
      </c>
      <c r="U430" s="528">
        <f t="shared" si="444"/>
        <v>0.16096162879694956</v>
      </c>
      <c r="V430" s="528">
        <f t="shared" si="444"/>
        <v>0.26247488845070222</v>
      </c>
      <c r="W430" s="528">
        <f t="shared" si="444"/>
        <v>0.26247488845070216</v>
      </c>
      <c r="X430" s="528">
        <f t="shared" si="444"/>
        <v>0.16096162879694967</v>
      </c>
      <c r="Y430" s="528">
        <f t="shared" si="444"/>
        <v>6.0501474591692007E-2</v>
      </c>
      <c r="Z430" s="528">
        <f t="shared" si="444"/>
        <v>1.3924926606946211E-2</v>
      </c>
      <c r="AA430" s="528">
        <f t="shared" si="444"/>
        <v>1.959848413300025E-3</v>
      </c>
      <c r="AB430" s="528">
        <f t="shared" si="444"/>
        <v>1.6841213835016821E-4</v>
      </c>
      <c r="AC430" s="528">
        <f t="shared" si="444"/>
        <v>8.8210020597202862E-6</v>
      </c>
      <c r="AD430" s="528" t="str">
        <f t="shared" si="444"/>
        <v/>
      </c>
      <c r="AE430" s="528" t="str">
        <f t="shared" si="444"/>
        <v/>
      </c>
      <c r="AF430" s="528" t="str">
        <f t="shared" si="444"/>
        <v/>
      </c>
      <c r="AG430" s="528" t="str">
        <f t="shared" si="444"/>
        <v/>
      </c>
      <c r="AH430" s="528" t="str">
        <f t="shared" si="444"/>
        <v/>
      </c>
      <c r="AI430" s="528" t="str">
        <f t="shared" si="444"/>
        <v/>
      </c>
      <c r="AJ430" s="528" t="str">
        <f t="shared" si="444"/>
        <v/>
      </c>
      <c r="AK430" s="528" t="str">
        <f t="shared" si="444"/>
        <v/>
      </c>
      <c r="AL430" s="528" t="str">
        <f t="shared" si="444"/>
        <v/>
      </c>
      <c r="AM430" s="528" t="str">
        <f t="shared" si="444"/>
        <v/>
      </c>
      <c r="AN430" s="528" t="str">
        <f t="shared" si="444"/>
        <v/>
      </c>
      <c r="AO430" s="528" t="str">
        <f t="shared" si="444"/>
        <v/>
      </c>
      <c r="AP430" s="528" t="str">
        <f t="shared" si="444"/>
        <v/>
      </c>
      <c r="AQ430" s="528" t="str">
        <f t="shared" si="444"/>
        <v/>
      </c>
      <c r="AR430" s="528" t="str">
        <f t="shared" si="444"/>
        <v/>
      </c>
      <c r="AS430" s="528" t="str">
        <f t="shared" si="444"/>
        <v/>
      </c>
      <c r="AT430" s="528" t="str">
        <f t="shared" si="444"/>
        <v/>
      </c>
      <c r="AU430" s="528" t="str">
        <f t="shared" si="444"/>
        <v/>
      </c>
      <c r="AV430" s="528" t="str">
        <f t="shared" si="444"/>
        <v/>
      </c>
      <c r="AW430" s="528" t="str">
        <f t="shared" si="444"/>
        <v/>
      </c>
      <c r="AX430" s="528" t="str">
        <f t="shared" si="444"/>
        <v/>
      </c>
      <c r="AY430" s="528" t="str">
        <f t="shared" si="444"/>
        <v/>
      </c>
      <c r="AZ430" s="528" t="str">
        <f t="shared" si="444"/>
        <v/>
      </c>
      <c r="BA430" s="528" t="str">
        <f t="shared" si="444"/>
        <v/>
      </c>
      <c r="BB430" s="528" t="str">
        <f t="shared" si="444"/>
        <v/>
      </c>
      <c r="BC430" s="528" t="str">
        <f t="shared" si="444"/>
        <v/>
      </c>
      <c r="BD430" s="528" t="str">
        <f t="shared" si="444"/>
        <v/>
      </c>
      <c r="BE430" s="528" t="str">
        <f t="shared" si="444"/>
        <v/>
      </c>
      <c r="BF430" s="528" t="str">
        <f t="shared" si="444"/>
        <v/>
      </c>
      <c r="BG430" s="528" t="str">
        <f t="shared" si="444"/>
        <v/>
      </c>
      <c r="BH430" s="528" t="str">
        <f t="shared" si="444"/>
        <v/>
      </c>
      <c r="BI430" s="528" t="str">
        <f t="shared" si="444"/>
        <v/>
      </c>
      <c r="BJ430" s="528" t="str">
        <f t="shared" si="444"/>
        <v/>
      </c>
      <c r="BK430" s="528" t="str">
        <f t="shared" si="444"/>
        <v/>
      </c>
      <c r="BL430" s="528" t="str">
        <f t="shared" si="444"/>
        <v/>
      </c>
      <c r="BM430" s="528" t="str">
        <f t="shared" si="444"/>
        <v/>
      </c>
    </row>
    <row r="431" spans="6:65" ht="15.75" customHeight="1" x14ac:dyDescent="0.25">
      <c r="F431" s="197"/>
      <c r="G431" s="197">
        <f t="shared" si="268"/>
        <v>0</v>
      </c>
      <c r="H431" s="197">
        <f t="shared" si="269"/>
        <v>1510</v>
      </c>
      <c r="I431" s="523">
        <v>1</v>
      </c>
      <c r="J431" s="533">
        <f>'Monthly DCF'!$I$3</f>
        <v>46418</v>
      </c>
      <c r="K431" s="533">
        <f t="shared" si="270"/>
        <v>46843</v>
      </c>
      <c r="L431" s="536">
        <f t="shared" si="435"/>
        <v>15</v>
      </c>
      <c r="M431" s="20" t="s">
        <v>366</v>
      </c>
      <c r="N431" s="20">
        <f t="shared" si="271"/>
        <v>1.5</v>
      </c>
      <c r="O431" s="537">
        <v>10</v>
      </c>
      <c r="P431" s="528">
        <f t="shared" ref="P431:BM431" si="445">IFERROR(+IF(AND($M431="Flat",P$5&gt;=$J431,P$5&lt;=$K431),$I431/$L431,0)+IF(AND($M431="S-Curve",P$5&gt;=$J431,P$5&lt;=$K431),(_xlfn.NORM.DIST((YEAR(P$5)-YEAR($J431))*12+MONTH(P$5)-MONTH($J431)+1,$L431/2,$N431,TRUE)-_xlfn.NORM.DIST((YEAR(P$5)-YEAR($J431))*12+MONTH(P$5)-MONTH($J431),$L431/2,$N431,TRUE))/(1-2*_xlfn.NORM.DIST(0,$L431/2,$N431,TRUE))*$I431," "),"")</f>
        <v>7.0567763106875406E-6</v>
      </c>
      <c r="Q431" s="528">
        <f t="shared" si="445"/>
        <v>1.1552303235797513E-4</v>
      </c>
      <c r="R431" s="528">
        <f t="shared" si="445"/>
        <v>1.227032345126442E-3</v>
      </c>
      <c r="S431" s="528">
        <f t="shared" si="445"/>
        <v>8.4654354502759991E-3</v>
      </c>
      <c r="T431" s="528">
        <f t="shared" si="445"/>
        <v>3.797504541538229E-2</v>
      </c>
      <c r="U431" s="528">
        <f t="shared" si="445"/>
        <v>0.11086496521787538</v>
      </c>
      <c r="V431" s="528">
        <f t="shared" si="445"/>
        <v>0.21078620709470181</v>
      </c>
      <c r="W431" s="528">
        <f t="shared" si="445"/>
        <v>0.26111746933593888</v>
      </c>
      <c r="X431" s="528">
        <f t="shared" si="445"/>
        <v>0.21078620709470178</v>
      </c>
      <c r="Y431" s="528">
        <f t="shared" si="445"/>
        <v>0.11086496521787535</v>
      </c>
      <c r="Z431" s="528">
        <f t="shared" si="445"/>
        <v>3.7975045415382304E-2</v>
      </c>
      <c r="AA431" s="528">
        <f t="shared" si="445"/>
        <v>8.4654354502759679E-3</v>
      </c>
      <c r="AB431" s="528">
        <f t="shared" si="445"/>
        <v>1.2270323451264338E-3</v>
      </c>
      <c r="AC431" s="528">
        <f t="shared" si="445"/>
        <v>1.1552303235798513E-4</v>
      </c>
      <c r="AD431" s="528">
        <f t="shared" si="445"/>
        <v>7.0567763106515155E-6</v>
      </c>
      <c r="AE431" s="528" t="str">
        <f t="shared" si="445"/>
        <v/>
      </c>
      <c r="AF431" s="528" t="str">
        <f t="shared" si="445"/>
        <v/>
      </c>
      <c r="AG431" s="528" t="str">
        <f t="shared" si="445"/>
        <v/>
      </c>
      <c r="AH431" s="528" t="str">
        <f t="shared" si="445"/>
        <v/>
      </c>
      <c r="AI431" s="528" t="str">
        <f t="shared" si="445"/>
        <v/>
      </c>
      <c r="AJ431" s="528" t="str">
        <f t="shared" si="445"/>
        <v/>
      </c>
      <c r="AK431" s="528" t="str">
        <f t="shared" si="445"/>
        <v/>
      </c>
      <c r="AL431" s="528" t="str">
        <f t="shared" si="445"/>
        <v/>
      </c>
      <c r="AM431" s="528" t="str">
        <f t="shared" si="445"/>
        <v/>
      </c>
      <c r="AN431" s="528" t="str">
        <f t="shared" si="445"/>
        <v/>
      </c>
      <c r="AO431" s="528" t="str">
        <f t="shared" si="445"/>
        <v/>
      </c>
      <c r="AP431" s="528" t="str">
        <f t="shared" si="445"/>
        <v/>
      </c>
      <c r="AQ431" s="528" t="str">
        <f t="shared" si="445"/>
        <v/>
      </c>
      <c r="AR431" s="528" t="str">
        <f t="shared" si="445"/>
        <v/>
      </c>
      <c r="AS431" s="528" t="str">
        <f t="shared" si="445"/>
        <v/>
      </c>
      <c r="AT431" s="528" t="str">
        <f t="shared" si="445"/>
        <v/>
      </c>
      <c r="AU431" s="528" t="str">
        <f t="shared" si="445"/>
        <v/>
      </c>
      <c r="AV431" s="528" t="str">
        <f t="shared" si="445"/>
        <v/>
      </c>
      <c r="AW431" s="528" t="str">
        <f t="shared" si="445"/>
        <v/>
      </c>
      <c r="AX431" s="528" t="str">
        <f t="shared" si="445"/>
        <v/>
      </c>
      <c r="AY431" s="528" t="str">
        <f t="shared" si="445"/>
        <v/>
      </c>
      <c r="AZ431" s="528" t="str">
        <f t="shared" si="445"/>
        <v/>
      </c>
      <c r="BA431" s="528" t="str">
        <f t="shared" si="445"/>
        <v/>
      </c>
      <c r="BB431" s="528" t="str">
        <f t="shared" si="445"/>
        <v/>
      </c>
      <c r="BC431" s="528" t="str">
        <f t="shared" si="445"/>
        <v/>
      </c>
      <c r="BD431" s="528" t="str">
        <f t="shared" si="445"/>
        <v/>
      </c>
      <c r="BE431" s="528" t="str">
        <f t="shared" si="445"/>
        <v/>
      </c>
      <c r="BF431" s="528" t="str">
        <f t="shared" si="445"/>
        <v/>
      </c>
      <c r="BG431" s="528" t="str">
        <f t="shared" si="445"/>
        <v/>
      </c>
      <c r="BH431" s="528" t="str">
        <f t="shared" si="445"/>
        <v/>
      </c>
      <c r="BI431" s="528" t="str">
        <f t="shared" si="445"/>
        <v/>
      </c>
      <c r="BJ431" s="528" t="str">
        <f t="shared" si="445"/>
        <v/>
      </c>
      <c r="BK431" s="528" t="str">
        <f t="shared" si="445"/>
        <v/>
      </c>
      <c r="BL431" s="528" t="str">
        <f t="shared" si="445"/>
        <v/>
      </c>
      <c r="BM431" s="528" t="str">
        <f t="shared" si="445"/>
        <v/>
      </c>
    </row>
    <row r="432" spans="6:65" ht="15.75" customHeight="1" x14ac:dyDescent="0.25">
      <c r="F432" s="197"/>
      <c r="G432" s="197">
        <f t="shared" si="268"/>
        <v>0</v>
      </c>
      <c r="H432" s="197">
        <f t="shared" si="269"/>
        <v>1610</v>
      </c>
      <c r="I432" s="523">
        <v>1</v>
      </c>
      <c r="J432" s="533">
        <f>'Monthly DCF'!$I$3</f>
        <v>46418</v>
      </c>
      <c r="K432" s="533">
        <f t="shared" si="270"/>
        <v>46873</v>
      </c>
      <c r="L432" s="536">
        <f t="shared" si="435"/>
        <v>16</v>
      </c>
      <c r="M432" s="20" t="s">
        <v>366</v>
      </c>
      <c r="N432" s="20">
        <f t="shared" si="271"/>
        <v>1.6</v>
      </c>
      <c r="O432" s="537">
        <v>10</v>
      </c>
      <c r="P432" s="528">
        <f t="shared" ref="P432:BM432" si="446">IFERROR(+IF(AND($M432="Flat",P$5&gt;=$J432,P$5&lt;=$K432),$I432/$L432,0)+IF(AND($M432="S-Curve",P$5&gt;=$J432,P$5&lt;=$K432),(_xlfn.NORM.DIST((YEAR(P$5)-YEAR($J432))*12+MONTH(P$5)-MONTH($J432)+1,$L432/2,$N432,TRUE)-_xlfn.NORM.DIST((YEAR(P$5)-YEAR($J432))*12+MONTH(P$5)-MONTH($J432),$L432/2,$N432,TRUE))/(1-2*_xlfn.NORM.DIST(0,$L432/2,$N432,TRUE))*$I432," "),"")</f>
        <v>5.7849756559961344E-6</v>
      </c>
      <c r="Q432" s="528">
        <f t="shared" si="446"/>
        <v>8.2345708498526718E-5</v>
      </c>
      <c r="R432" s="528">
        <f t="shared" si="446"/>
        <v>8.0060847289898252E-4</v>
      </c>
      <c r="S432" s="528">
        <f t="shared" si="446"/>
        <v>5.3206430770091039E-3</v>
      </c>
      <c r="T432" s="528">
        <f t="shared" si="446"/>
        <v>2.418671030580229E-2</v>
      </c>
      <c r="U432" s="528">
        <f t="shared" si="446"/>
        <v>7.525345504463625E-2</v>
      </c>
      <c r="V432" s="528">
        <f t="shared" si="446"/>
        <v>0.16033584730289055</v>
      </c>
      <c r="W432" s="528">
        <f t="shared" si="446"/>
        <v>0.2340146051126083</v>
      </c>
      <c r="X432" s="528">
        <f t="shared" si="446"/>
        <v>0.23401460511260824</v>
      </c>
      <c r="Y432" s="528">
        <f t="shared" si="446"/>
        <v>0.16033584730289061</v>
      </c>
      <c r="Z432" s="528">
        <f t="shared" si="446"/>
        <v>7.5253455044636208E-2</v>
      </c>
      <c r="AA432" s="528">
        <f t="shared" si="446"/>
        <v>2.418671030580229E-2</v>
      </c>
      <c r="AB432" s="528">
        <f t="shared" si="446"/>
        <v>5.3206430770091698E-3</v>
      </c>
      <c r="AC432" s="528">
        <f t="shared" si="446"/>
        <v>8.0060847289893211E-4</v>
      </c>
      <c r="AD432" s="528">
        <f t="shared" si="446"/>
        <v>8.2345708498560383E-5</v>
      </c>
      <c r="AE432" s="528">
        <f t="shared" si="446"/>
        <v>5.7849756559290833E-6</v>
      </c>
      <c r="AF432" s="528" t="str">
        <f t="shared" si="446"/>
        <v/>
      </c>
      <c r="AG432" s="528" t="str">
        <f t="shared" si="446"/>
        <v/>
      </c>
      <c r="AH432" s="528" t="str">
        <f t="shared" si="446"/>
        <v/>
      </c>
      <c r="AI432" s="528" t="str">
        <f t="shared" si="446"/>
        <v/>
      </c>
      <c r="AJ432" s="528" t="str">
        <f t="shared" si="446"/>
        <v/>
      </c>
      <c r="AK432" s="528" t="str">
        <f t="shared" si="446"/>
        <v/>
      </c>
      <c r="AL432" s="528" t="str">
        <f t="shared" si="446"/>
        <v/>
      </c>
      <c r="AM432" s="528" t="str">
        <f t="shared" si="446"/>
        <v/>
      </c>
      <c r="AN432" s="528" t="str">
        <f t="shared" si="446"/>
        <v/>
      </c>
      <c r="AO432" s="528" t="str">
        <f t="shared" si="446"/>
        <v/>
      </c>
      <c r="AP432" s="528" t="str">
        <f t="shared" si="446"/>
        <v/>
      </c>
      <c r="AQ432" s="528" t="str">
        <f t="shared" si="446"/>
        <v/>
      </c>
      <c r="AR432" s="528" t="str">
        <f t="shared" si="446"/>
        <v/>
      </c>
      <c r="AS432" s="528" t="str">
        <f t="shared" si="446"/>
        <v/>
      </c>
      <c r="AT432" s="528" t="str">
        <f t="shared" si="446"/>
        <v/>
      </c>
      <c r="AU432" s="528" t="str">
        <f t="shared" si="446"/>
        <v/>
      </c>
      <c r="AV432" s="528" t="str">
        <f t="shared" si="446"/>
        <v/>
      </c>
      <c r="AW432" s="528" t="str">
        <f t="shared" si="446"/>
        <v/>
      </c>
      <c r="AX432" s="528" t="str">
        <f t="shared" si="446"/>
        <v/>
      </c>
      <c r="AY432" s="528" t="str">
        <f t="shared" si="446"/>
        <v/>
      </c>
      <c r="AZ432" s="528" t="str">
        <f t="shared" si="446"/>
        <v/>
      </c>
      <c r="BA432" s="528" t="str">
        <f t="shared" si="446"/>
        <v/>
      </c>
      <c r="BB432" s="528" t="str">
        <f t="shared" si="446"/>
        <v/>
      </c>
      <c r="BC432" s="528" t="str">
        <f t="shared" si="446"/>
        <v/>
      </c>
      <c r="BD432" s="528" t="str">
        <f t="shared" si="446"/>
        <v/>
      </c>
      <c r="BE432" s="528" t="str">
        <f t="shared" si="446"/>
        <v/>
      </c>
      <c r="BF432" s="528" t="str">
        <f t="shared" si="446"/>
        <v/>
      </c>
      <c r="BG432" s="528" t="str">
        <f t="shared" si="446"/>
        <v/>
      </c>
      <c r="BH432" s="528" t="str">
        <f t="shared" si="446"/>
        <v/>
      </c>
      <c r="BI432" s="528" t="str">
        <f t="shared" si="446"/>
        <v/>
      </c>
      <c r="BJ432" s="528" t="str">
        <f t="shared" si="446"/>
        <v/>
      </c>
      <c r="BK432" s="528" t="str">
        <f t="shared" si="446"/>
        <v/>
      </c>
      <c r="BL432" s="528" t="str">
        <f t="shared" si="446"/>
        <v/>
      </c>
      <c r="BM432" s="528" t="str">
        <f t="shared" si="446"/>
        <v/>
      </c>
    </row>
    <row r="433" spans="6:65" ht="15.75" customHeight="1" x14ac:dyDescent="0.25">
      <c r="F433" s="197"/>
      <c r="G433" s="197">
        <f t="shared" si="268"/>
        <v>0</v>
      </c>
      <c r="H433" s="197">
        <f t="shared" si="269"/>
        <v>1710</v>
      </c>
      <c r="I433" s="523">
        <v>1</v>
      </c>
      <c r="J433" s="533">
        <f>'Monthly DCF'!$I$3</f>
        <v>46418</v>
      </c>
      <c r="K433" s="533">
        <f t="shared" si="270"/>
        <v>46904</v>
      </c>
      <c r="L433" s="536">
        <f t="shared" si="435"/>
        <v>17</v>
      </c>
      <c r="M433" s="20" t="s">
        <v>366</v>
      </c>
      <c r="N433" s="20">
        <f t="shared" si="271"/>
        <v>1.7</v>
      </c>
      <c r="O433" s="537">
        <v>10</v>
      </c>
      <c r="P433" s="528">
        <f t="shared" ref="P433:BM433" si="447">IFERROR(+IF(AND($M433="Flat",P$5&gt;=$J433,P$5&lt;=$K433),$I433/$L433,0)+IF(AND($M433="S-Curve",P$5&gt;=$J433,P$5&lt;=$K433),(_xlfn.NORM.DIST((YEAR(P$5)-YEAR($J433))*12+MONTH(P$5)-MONTH($J433)+1,$L433/2,$N433,TRUE)-_xlfn.NORM.DIST((YEAR(P$5)-YEAR($J433))*12+MONTH(P$5)-MONTH($J433),$L433/2,$N433,TRUE))/(1-2*_xlfn.NORM.DIST(0,$L433/2,$N433,TRUE))*$I433," "),"")</f>
        <v>4.8399263513536697E-6</v>
      </c>
      <c r="Q433" s="528">
        <f t="shared" si="447"/>
        <v>6.0650904982279555E-5</v>
      </c>
      <c r="R433" s="528">
        <f t="shared" si="447"/>
        <v>5.4181029496763852E-4</v>
      </c>
      <c r="S433" s="528">
        <f t="shared" si="447"/>
        <v>3.452175944813386E-3</v>
      </c>
      <c r="T433" s="528">
        <f t="shared" si="447"/>
        <v>1.5695820991868954E-2</v>
      </c>
      <c r="U433" s="528">
        <f t="shared" si="447"/>
        <v>5.0945709561860883E-2</v>
      </c>
      <c r="V433" s="528">
        <f t="shared" si="447"/>
        <v>0.11809180169621902</v>
      </c>
      <c r="W433" s="528">
        <f t="shared" si="447"/>
        <v>0.19554112764762319</v>
      </c>
      <c r="X433" s="528">
        <f t="shared" si="447"/>
        <v>0.23133212606262649</v>
      </c>
      <c r="Y433" s="528">
        <f t="shared" si="447"/>
        <v>0.19554112764762327</v>
      </c>
      <c r="Z433" s="528">
        <f t="shared" si="447"/>
        <v>0.11809180169621894</v>
      </c>
      <c r="AA433" s="528">
        <f t="shared" si="447"/>
        <v>5.0945709561860966E-2</v>
      </c>
      <c r="AB433" s="528">
        <f t="shared" si="447"/>
        <v>1.5695820991868937E-2</v>
      </c>
      <c r="AC433" s="528">
        <f t="shared" si="447"/>
        <v>3.4521759448134241E-3</v>
      </c>
      <c r="AD433" s="528">
        <f t="shared" si="447"/>
        <v>5.4181029496759873E-4</v>
      </c>
      <c r="AE433" s="528">
        <f t="shared" si="447"/>
        <v>6.0650904982253263E-5</v>
      </c>
      <c r="AF433" s="528">
        <f t="shared" si="447"/>
        <v>4.8399263513277979E-6</v>
      </c>
      <c r="AG433" s="528" t="str">
        <f t="shared" si="447"/>
        <v/>
      </c>
      <c r="AH433" s="528" t="str">
        <f t="shared" si="447"/>
        <v/>
      </c>
      <c r="AI433" s="528" t="str">
        <f t="shared" si="447"/>
        <v/>
      </c>
      <c r="AJ433" s="528" t="str">
        <f t="shared" si="447"/>
        <v/>
      </c>
      <c r="AK433" s="528" t="str">
        <f t="shared" si="447"/>
        <v/>
      </c>
      <c r="AL433" s="528" t="str">
        <f t="shared" si="447"/>
        <v/>
      </c>
      <c r="AM433" s="528" t="str">
        <f t="shared" si="447"/>
        <v/>
      </c>
      <c r="AN433" s="528" t="str">
        <f t="shared" si="447"/>
        <v/>
      </c>
      <c r="AO433" s="528" t="str">
        <f t="shared" si="447"/>
        <v/>
      </c>
      <c r="AP433" s="528" t="str">
        <f t="shared" si="447"/>
        <v/>
      </c>
      <c r="AQ433" s="528" t="str">
        <f t="shared" si="447"/>
        <v/>
      </c>
      <c r="AR433" s="528" t="str">
        <f t="shared" si="447"/>
        <v/>
      </c>
      <c r="AS433" s="528" t="str">
        <f t="shared" si="447"/>
        <v/>
      </c>
      <c r="AT433" s="528" t="str">
        <f t="shared" si="447"/>
        <v/>
      </c>
      <c r="AU433" s="528" t="str">
        <f t="shared" si="447"/>
        <v/>
      </c>
      <c r="AV433" s="528" t="str">
        <f t="shared" si="447"/>
        <v/>
      </c>
      <c r="AW433" s="528" t="str">
        <f t="shared" si="447"/>
        <v/>
      </c>
      <c r="AX433" s="528" t="str">
        <f t="shared" si="447"/>
        <v/>
      </c>
      <c r="AY433" s="528" t="str">
        <f t="shared" si="447"/>
        <v/>
      </c>
      <c r="AZ433" s="528" t="str">
        <f t="shared" si="447"/>
        <v/>
      </c>
      <c r="BA433" s="528" t="str">
        <f t="shared" si="447"/>
        <v/>
      </c>
      <c r="BB433" s="528" t="str">
        <f t="shared" si="447"/>
        <v/>
      </c>
      <c r="BC433" s="528" t="str">
        <f t="shared" si="447"/>
        <v/>
      </c>
      <c r="BD433" s="528" t="str">
        <f t="shared" si="447"/>
        <v/>
      </c>
      <c r="BE433" s="528" t="str">
        <f t="shared" si="447"/>
        <v/>
      </c>
      <c r="BF433" s="528" t="str">
        <f t="shared" si="447"/>
        <v/>
      </c>
      <c r="BG433" s="528" t="str">
        <f t="shared" si="447"/>
        <v/>
      </c>
      <c r="BH433" s="528" t="str">
        <f t="shared" si="447"/>
        <v/>
      </c>
      <c r="BI433" s="528" t="str">
        <f t="shared" si="447"/>
        <v/>
      </c>
      <c r="BJ433" s="528" t="str">
        <f t="shared" si="447"/>
        <v/>
      </c>
      <c r="BK433" s="528" t="str">
        <f t="shared" si="447"/>
        <v/>
      </c>
      <c r="BL433" s="528" t="str">
        <f t="shared" si="447"/>
        <v/>
      </c>
      <c r="BM433" s="528" t="str">
        <f t="shared" si="447"/>
        <v/>
      </c>
    </row>
    <row r="434" spans="6:65" ht="15.75" customHeight="1" x14ac:dyDescent="0.25">
      <c r="F434" s="197"/>
      <c r="G434" s="197">
        <f t="shared" si="268"/>
        <v>0</v>
      </c>
      <c r="H434" s="197">
        <f t="shared" si="269"/>
        <v>1810</v>
      </c>
      <c r="I434" s="523">
        <v>1</v>
      </c>
      <c r="J434" s="533">
        <f>'Monthly DCF'!$I$3</f>
        <v>46418</v>
      </c>
      <c r="K434" s="533">
        <f t="shared" si="270"/>
        <v>46934</v>
      </c>
      <c r="L434" s="536">
        <f t="shared" si="435"/>
        <v>18</v>
      </c>
      <c r="M434" s="20" t="s">
        <v>366</v>
      </c>
      <c r="N434" s="20">
        <f t="shared" si="271"/>
        <v>1.8</v>
      </c>
      <c r="O434" s="537">
        <v>10</v>
      </c>
      <c r="P434" s="528">
        <f t="shared" ref="P434:BM434" si="448">IFERROR(+IF(AND($M434="Flat",P$5&gt;=$J434,P$5&lt;=$K434),$I434/$L434,0)+IF(AND($M434="S-Curve",P$5&gt;=$J434,P$5&lt;=$K434),(_xlfn.NORM.DIST((YEAR(P$5)-YEAR($J434))*12+MONTH(P$5)-MONTH($J434)+1,$L434/2,$N434,TRUE)-_xlfn.NORM.DIST((YEAR(P$5)-YEAR($J434))*12+MONTH(P$5)-MONTH($J434),$L434/2,$N434,TRUE))/(1-2*_xlfn.NORM.DIST(0,$L434/2,$N434,TRUE))*$I434," "),"")</f>
        <v>4.119314492325941E-6</v>
      </c>
      <c r="Q434" s="528">
        <f t="shared" si="448"/>
        <v>4.5946165565276905E-5</v>
      </c>
      <c r="R434" s="528">
        <f t="shared" si="448"/>
        <v>3.7870844738479556E-4</v>
      </c>
      <c r="S434" s="528">
        <f t="shared" si="448"/>
        <v>2.307542775968834E-3</v>
      </c>
      <c r="T434" s="528">
        <f t="shared" si="448"/>
        <v>1.0397549865724999E-2</v>
      </c>
      <c r="U434" s="528">
        <f t="shared" si="448"/>
        <v>3.4656226450317164E-2</v>
      </c>
      <c r="V434" s="528">
        <f t="shared" si="448"/>
        <v>8.5469959629887279E-2</v>
      </c>
      <c r="W434" s="528">
        <f t="shared" si="448"/>
        <v>0.15599718728514442</v>
      </c>
      <c r="X434" s="528">
        <f t="shared" si="448"/>
        <v>0.2107427600655149</v>
      </c>
      <c r="Y434" s="528">
        <f t="shared" si="448"/>
        <v>0.21074276006551496</v>
      </c>
      <c r="Z434" s="528">
        <f t="shared" si="448"/>
        <v>0.15599718728514431</v>
      </c>
      <c r="AA434" s="528">
        <f t="shared" si="448"/>
        <v>8.5469959629887335E-2</v>
      </c>
      <c r="AB434" s="528">
        <f t="shared" si="448"/>
        <v>3.4656226450317157E-2</v>
      </c>
      <c r="AC434" s="528">
        <f t="shared" si="448"/>
        <v>1.039754986572501E-2</v>
      </c>
      <c r="AD434" s="528">
        <f t="shared" si="448"/>
        <v>2.3075427759688739E-3</v>
      </c>
      <c r="AE434" s="528">
        <f t="shared" si="448"/>
        <v>3.7870844738471858E-4</v>
      </c>
      <c r="AF434" s="528">
        <f t="shared" si="448"/>
        <v>4.594616556534332E-5</v>
      </c>
      <c r="AG434" s="528">
        <f t="shared" si="448"/>
        <v>4.119314492239724E-6</v>
      </c>
      <c r="AH434" s="528" t="str">
        <f t="shared" si="448"/>
        <v/>
      </c>
      <c r="AI434" s="528" t="str">
        <f t="shared" si="448"/>
        <v/>
      </c>
      <c r="AJ434" s="528" t="str">
        <f t="shared" si="448"/>
        <v/>
      </c>
      <c r="AK434" s="528" t="str">
        <f t="shared" si="448"/>
        <v/>
      </c>
      <c r="AL434" s="528" t="str">
        <f t="shared" si="448"/>
        <v/>
      </c>
      <c r="AM434" s="528" t="str">
        <f t="shared" si="448"/>
        <v/>
      </c>
      <c r="AN434" s="528" t="str">
        <f t="shared" si="448"/>
        <v/>
      </c>
      <c r="AO434" s="528" t="str">
        <f t="shared" si="448"/>
        <v/>
      </c>
      <c r="AP434" s="528" t="str">
        <f t="shared" si="448"/>
        <v/>
      </c>
      <c r="AQ434" s="528" t="str">
        <f t="shared" si="448"/>
        <v/>
      </c>
      <c r="AR434" s="528" t="str">
        <f t="shared" si="448"/>
        <v/>
      </c>
      <c r="AS434" s="528" t="str">
        <f t="shared" si="448"/>
        <v/>
      </c>
      <c r="AT434" s="528" t="str">
        <f t="shared" si="448"/>
        <v/>
      </c>
      <c r="AU434" s="528" t="str">
        <f t="shared" si="448"/>
        <v/>
      </c>
      <c r="AV434" s="528" t="str">
        <f t="shared" si="448"/>
        <v/>
      </c>
      <c r="AW434" s="528" t="str">
        <f t="shared" si="448"/>
        <v/>
      </c>
      <c r="AX434" s="528" t="str">
        <f t="shared" si="448"/>
        <v/>
      </c>
      <c r="AY434" s="528" t="str">
        <f t="shared" si="448"/>
        <v/>
      </c>
      <c r="AZ434" s="528" t="str">
        <f t="shared" si="448"/>
        <v/>
      </c>
      <c r="BA434" s="528" t="str">
        <f t="shared" si="448"/>
        <v/>
      </c>
      <c r="BB434" s="528" t="str">
        <f t="shared" si="448"/>
        <v/>
      </c>
      <c r="BC434" s="528" t="str">
        <f t="shared" si="448"/>
        <v/>
      </c>
      <c r="BD434" s="528" t="str">
        <f t="shared" si="448"/>
        <v/>
      </c>
      <c r="BE434" s="528" t="str">
        <f t="shared" si="448"/>
        <v/>
      </c>
      <c r="BF434" s="528" t="str">
        <f t="shared" si="448"/>
        <v/>
      </c>
      <c r="BG434" s="528" t="str">
        <f t="shared" si="448"/>
        <v/>
      </c>
      <c r="BH434" s="528" t="str">
        <f t="shared" si="448"/>
        <v/>
      </c>
      <c r="BI434" s="528" t="str">
        <f t="shared" si="448"/>
        <v/>
      </c>
      <c r="BJ434" s="528" t="str">
        <f t="shared" si="448"/>
        <v/>
      </c>
      <c r="BK434" s="528" t="str">
        <f t="shared" si="448"/>
        <v/>
      </c>
      <c r="BL434" s="528" t="str">
        <f t="shared" si="448"/>
        <v/>
      </c>
      <c r="BM434" s="528" t="str">
        <f t="shared" si="448"/>
        <v/>
      </c>
    </row>
    <row r="435" spans="6:65" ht="15.75" customHeight="1" x14ac:dyDescent="0.25">
      <c r="F435" s="197"/>
      <c r="G435" s="197">
        <f t="shared" si="268"/>
        <v>0</v>
      </c>
      <c r="H435" s="197">
        <f t="shared" si="269"/>
        <v>1910</v>
      </c>
      <c r="I435" s="523">
        <v>1</v>
      </c>
      <c r="J435" s="533">
        <f>'Monthly DCF'!$I$3</f>
        <v>46418</v>
      </c>
      <c r="K435" s="533">
        <f t="shared" si="270"/>
        <v>46965</v>
      </c>
      <c r="L435" s="536">
        <f t="shared" si="435"/>
        <v>19</v>
      </c>
      <c r="M435" s="20" t="s">
        <v>366</v>
      </c>
      <c r="N435" s="20">
        <f t="shared" si="271"/>
        <v>1.9</v>
      </c>
      <c r="O435" s="537">
        <v>10</v>
      </c>
      <c r="P435" s="528">
        <f t="shared" ref="P435:BM435" si="449">IFERROR(+IF(AND($M435="Flat",P$5&gt;=$J435,P$5&lt;=$K435),$I435/$L435,0)+IF(AND($M435="S-Curve",P$5&gt;=$J435,P$5&lt;=$K435),(_xlfn.NORM.DIST((YEAR(P$5)-YEAR($J435))*12+MONTH(P$5)-MONTH($J435)+1,$L435/2,$N435,TRUE)-_xlfn.NORM.DIST((YEAR(P$5)-YEAR($J435))*12+MONTH(P$5)-MONTH($J435),$L435/2,$N435,TRUE))/(1-2*_xlfn.NORM.DIST(0,$L435/2,$N435,TRUE))*$I435," "),"")</f>
        <v>3.5575136229079781E-6</v>
      </c>
      <c r="Q435" s="528">
        <f t="shared" si="449"/>
        <v>3.5663316178454031E-5</v>
      </c>
      <c r="R435" s="528">
        <f t="shared" si="449"/>
        <v>2.7238899275391687E-4</v>
      </c>
      <c r="S435" s="528">
        <f t="shared" si="449"/>
        <v>1.5854871972808948E-3</v>
      </c>
      <c r="T435" s="528">
        <f t="shared" si="449"/>
        <v>7.0347177053015335E-3</v>
      </c>
      <c r="U435" s="528">
        <f t="shared" si="449"/>
        <v>2.3797794436937723E-2</v>
      </c>
      <c r="V435" s="528">
        <f t="shared" si="449"/>
        <v>6.1392514788020436E-2</v>
      </c>
      <c r="W435" s="528">
        <f t="shared" si="449"/>
        <v>0.12079531492244805</v>
      </c>
      <c r="X435" s="528">
        <f t="shared" si="449"/>
        <v>0.18129694282913486</v>
      </c>
      <c r="Y435" s="528">
        <f t="shared" si="449"/>
        <v>0.20757123659664237</v>
      </c>
      <c r="Z435" s="528">
        <f t="shared" si="449"/>
        <v>0.18129694282913492</v>
      </c>
      <c r="AA435" s="528">
        <f t="shared" si="449"/>
        <v>0.12079531492244804</v>
      </c>
      <c r="AB435" s="528">
        <f t="shared" si="449"/>
        <v>6.1392514788020471E-2</v>
      </c>
      <c r="AC435" s="528">
        <f t="shared" si="449"/>
        <v>2.3797794436937664E-2</v>
      </c>
      <c r="AD435" s="528">
        <f t="shared" si="449"/>
        <v>7.0347177053015917E-3</v>
      </c>
      <c r="AE435" s="528">
        <f t="shared" si="449"/>
        <v>1.5854871972809125E-3</v>
      </c>
      <c r="AF435" s="528">
        <f t="shared" si="449"/>
        <v>2.7238899275388461E-4</v>
      </c>
      <c r="AG435" s="528">
        <f t="shared" si="449"/>
        <v>3.566331617845994E-5</v>
      </c>
      <c r="AH435" s="528">
        <f t="shared" si="449"/>
        <v>3.5575136228523725E-6</v>
      </c>
      <c r="AI435" s="528" t="str">
        <f t="shared" si="449"/>
        <v/>
      </c>
      <c r="AJ435" s="528" t="str">
        <f t="shared" si="449"/>
        <v/>
      </c>
      <c r="AK435" s="528" t="str">
        <f t="shared" si="449"/>
        <v/>
      </c>
      <c r="AL435" s="528" t="str">
        <f t="shared" si="449"/>
        <v/>
      </c>
      <c r="AM435" s="528" t="str">
        <f t="shared" si="449"/>
        <v/>
      </c>
      <c r="AN435" s="528" t="str">
        <f t="shared" si="449"/>
        <v/>
      </c>
      <c r="AO435" s="528" t="str">
        <f t="shared" si="449"/>
        <v/>
      </c>
      <c r="AP435" s="528" t="str">
        <f t="shared" si="449"/>
        <v/>
      </c>
      <c r="AQ435" s="528" t="str">
        <f t="shared" si="449"/>
        <v/>
      </c>
      <c r="AR435" s="528" t="str">
        <f t="shared" si="449"/>
        <v/>
      </c>
      <c r="AS435" s="528" t="str">
        <f t="shared" si="449"/>
        <v/>
      </c>
      <c r="AT435" s="528" t="str">
        <f t="shared" si="449"/>
        <v/>
      </c>
      <c r="AU435" s="528" t="str">
        <f t="shared" si="449"/>
        <v/>
      </c>
      <c r="AV435" s="528" t="str">
        <f t="shared" si="449"/>
        <v/>
      </c>
      <c r="AW435" s="528" t="str">
        <f t="shared" si="449"/>
        <v/>
      </c>
      <c r="AX435" s="528" t="str">
        <f t="shared" si="449"/>
        <v/>
      </c>
      <c r="AY435" s="528" t="str">
        <f t="shared" si="449"/>
        <v/>
      </c>
      <c r="AZ435" s="528" t="str">
        <f t="shared" si="449"/>
        <v/>
      </c>
      <c r="BA435" s="528" t="str">
        <f t="shared" si="449"/>
        <v/>
      </c>
      <c r="BB435" s="528" t="str">
        <f t="shared" si="449"/>
        <v/>
      </c>
      <c r="BC435" s="528" t="str">
        <f t="shared" si="449"/>
        <v/>
      </c>
      <c r="BD435" s="528" t="str">
        <f t="shared" si="449"/>
        <v/>
      </c>
      <c r="BE435" s="528" t="str">
        <f t="shared" si="449"/>
        <v/>
      </c>
      <c r="BF435" s="528" t="str">
        <f t="shared" si="449"/>
        <v/>
      </c>
      <c r="BG435" s="528" t="str">
        <f t="shared" si="449"/>
        <v/>
      </c>
      <c r="BH435" s="528" t="str">
        <f t="shared" si="449"/>
        <v/>
      </c>
      <c r="BI435" s="528" t="str">
        <f t="shared" si="449"/>
        <v/>
      </c>
      <c r="BJ435" s="528" t="str">
        <f t="shared" si="449"/>
        <v/>
      </c>
      <c r="BK435" s="528" t="str">
        <f t="shared" si="449"/>
        <v/>
      </c>
      <c r="BL435" s="528" t="str">
        <f t="shared" si="449"/>
        <v/>
      </c>
      <c r="BM435" s="528" t="str">
        <f t="shared" si="449"/>
        <v/>
      </c>
    </row>
    <row r="436" spans="6:65" ht="15.75" customHeight="1" x14ac:dyDescent="0.25">
      <c r="F436" s="197"/>
      <c r="G436" s="197">
        <f t="shared" si="268"/>
        <v>0</v>
      </c>
      <c r="H436" s="197">
        <f t="shared" si="269"/>
        <v>2010</v>
      </c>
      <c r="I436" s="523">
        <v>1</v>
      </c>
      <c r="J436" s="533">
        <f>'Monthly DCF'!$I$3</f>
        <v>46418</v>
      </c>
      <c r="K436" s="533">
        <f t="shared" si="270"/>
        <v>46996</v>
      </c>
      <c r="L436" s="536">
        <f t="shared" si="435"/>
        <v>20</v>
      </c>
      <c r="M436" s="20" t="s">
        <v>366</v>
      </c>
      <c r="N436" s="20">
        <f t="shared" si="271"/>
        <v>2</v>
      </c>
      <c r="O436" s="537">
        <v>10</v>
      </c>
      <c r="P436" s="528">
        <f t="shared" ref="P436:BM436" si="450">IFERROR(+IF(AND($M436="Flat",P$5&gt;=$J436,P$5&lt;=$K436),$I436/$L436,0)+IF(AND($M436="S-Curve",P$5&gt;=$J436,P$5&lt;=$K436),(_xlfn.NORM.DIST((YEAR(P$5)-YEAR($J436))*12+MONTH(P$5)-MONTH($J436)+1,$L436/2,$N436,TRUE)-_xlfn.NORM.DIST((YEAR(P$5)-YEAR($J436))*12+MONTH(P$5)-MONTH($J436),$L436/2,$N436,TRUE))/(1-2*_xlfn.NORM.DIST(0,$L436/2,$N436,TRUE))*$I436," "),"")</f>
        <v>3.1110233364103192E-6</v>
      </c>
      <c r="Q436" s="528">
        <f t="shared" si="450"/>
        <v>2.827358491772492E-5</v>
      </c>
      <c r="R436" s="528">
        <f t="shared" si="450"/>
        <v>2.0095795241223107E-4</v>
      </c>
      <c r="S436" s="528">
        <f t="shared" si="450"/>
        <v>1.1172695931287383E-3</v>
      </c>
      <c r="T436" s="528">
        <f t="shared" si="450"/>
        <v>4.8597700802675047E-3</v>
      </c>
      <c r="U436" s="528">
        <f t="shared" si="450"/>
        <v>1.6540476105110006E-2</v>
      </c>
      <c r="V436" s="528">
        <f t="shared" si="450"/>
        <v>4.4057094578749692E-2</v>
      </c>
      <c r="W436" s="528">
        <f t="shared" si="450"/>
        <v>9.1848105319406459E-2</v>
      </c>
      <c r="X436" s="528">
        <f t="shared" si="450"/>
        <v>0.14988237072256422</v>
      </c>
      <c r="Y436" s="528">
        <f t="shared" si="450"/>
        <v>0.191462571040107</v>
      </c>
      <c r="Z436" s="528">
        <f t="shared" si="450"/>
        <v>0.191462571040107</v>
      </c>
      <c r="AA436" s="528">
        <f t="shared" si="450"/>
        <v>0.14988237072256425</v>
      </c>
      <c r="AB436" s="528">
        <f t="shared" si="450"/>
        <v>9.1848105319406403E-2</v>
      </c>
      <c r="AC436" s="528">
        <f t="shared" si="450"/>
        <v>4.4057094578749706E-2</v>
      </c>
      <c r="AD436" s="528">
        <f t="shared" si="450"/>
        <v>1.6540476105109999E-2</v>
      </c>
      <c r="AE436" s="528">
        <f t="shared" si="450"/>
        <v>4.8597700802675203E-3</v>
      </c>
      <c r="AF436" s="528">
        <f t="shared" si="450"/>
        <v>1.1172695931287336E-3</v>
      </c>
      <c r="AG436" s="528">
        <f t="shared" si="450"/>
        <v>2.0095795241224597E-4</v>
      </c>
      <c r="AH436" s="528">
        <f t="shared" si="450"/>
        <v>2.8273584917716386E-5</v>
      </c>
      <c r="AI436" s="528">
        <f t="shared" si="450"/>
        <v>3.1110233363746332E-6</v>
      </c>
      <c r="AJ436" s="528" t="str">
        <f t="shared" si="450"/>
        <v/>
      </c>
      <c r="AK436" s="528" t="str">
        <f t="shared" si="450"/>
        <v/>
      </c>
      <c r="AL436" s="528" t="str">
        <f t="shared" si="450"/>
        <v/>
      </c>
      <c r="AM436" s="528" t="str">
        <f t="shared" si="450"/>
        <v/>
      </c>
      <c r="AN436" s="528" t="str">
        <f t="shared" si="450"/>
        <v/>
      </c>
      <c r="AO436" s="528" t="str">
        <f t="shared" si="450"/>
        <v/>
      </c>
      <c r="AP436" s="528" t="str">
        <f t="shared" si="450"/>
        <v/>
      </c>
      <c r="AQ436" s="528" t="str">
        <f t="shared" si="450"/>
        <v/>
      </c>
      <c r="AR436" s="528" t="str">
        <f t="shared" si="450"/>
        <v/>
      </c>
      <c r="AS436" s="528" t="str">
        <f t="shared" si="450"/>
        <v/>
      </c>
      <c r="AT436" s="528" t="str">
        <f t="shared" si="450"/>
        <v/>
      </c>
      <c r="AU436" s="528" t="str">
        <f t="shared" si="450"/>
        <v/>
      </c>
      <c r="AV436" s="528" t="str">
        <f t="shared" si="450"/>
        <v/>
      </c>
      <c r="AW436" s="528" t="str">
        <f t="shared" si="450"/>
        <v/>
      </c>
      <c r="AX436" s="528" t="str">
        <f t="shared" si="450"/>
        <v/>
      </c>
      <c r="AY436" s="528" t="str">
        <f t="shared" si="450"/>
        <v/>
      </c>
      <c r="AZ436" s="528" t="str">
        <f t="shared" si="450"/>
        <v/>
      </c>
      <c r="BA436" s="528" t="str">
        <f t="shared" si="450"/>
        <v/>
      </c>
      <c r="BB436" s="528" t="str">
        <f t="shared" si="450"/>
        <v/>
      </c>
      <c r="BC436" s="528" t="str">
        <f t="shared" si="450"/>
        <v/>
      </c>
      <c r="BD436" s="528" t="str">
        <f t="shared" si="450"/>
        <v/>
      </c>
      <c r="BE436" s="528" t="str">
        <f t="shared" si="450"/>
        <v/>
      </c>
      <c r="BF436" s="528" t="str">
        <f t="shared" si="450"/>
        <v/>
      </c>
      <c r="BG436" s="528" t="str">
        <f t="shared" si="450"/>
        <v/>
      </c>
      <c r="BH436" s="528" t="str">
        <f t="shared" si="450"/>
        <v/>
      </c>
      <c r="BI436" s="528" t="str">
        <f t="shared" si="450"/>
        <v/>
      </c>
      <c r="BJ436" s="528" t="str">
        <f t="shared" si="450"/>
        <v/>
      </c>
      <c r="BK436" s="528" t="str">
        <f t="shared" si="450"/>
        <v/>
      </c>
      <c r="BL436" s="528" t="str">
        <f t="shared" si="450"/>
        <v/>
      </c>
      <c r="BM436" s="528" t="str">
        <f t="shared" si="450"/>
        <v/>
      </c>
    </row>
    <row r="437" spans="6:65" ht="15.75" customHeight="1" x14ac:dyDescent="0.25">
      <c r="F437" s="197"/>
      <c r="G437" s="197">
        <f t="shared" si="268"/>
        <v>0</v>
      </c>
      <c r="H437" s="197">
        <f t="shared" si="269"/>
        <v>2110</v>
      </c>
      <c r="I437" s="523">
        <v>1</v>
      </c>
      <c r="J437" s="533">
        <f>'Monthly DCF'!$I$3</f>
        <v>46418</v>
      </c>
      <c r="K437" s="533">
        <f t="shared" si="270"/>
        <v>47026</v>
      </c>
      <c r="L437" s="536">
        <f t="shared" si="435"/>
        <v>21</v>
      </c>
      <c r="M437" s="20" t="s">
        <v>366</v>
      </c>
      <c r="N437" s="20">
        <f t="shared" si="271"/>
        <v>2.1</v>
      </c>
      <c r="O437" s="537">
        <v>10</v>
      </c>
      <c r="P437" s="528">
        <f t="shared" ref="P437:BM437" si="451">IFERROR(+IF(AND($M437="Flat",P$5&gt;=$J437,P$5&lt;=$K437),$I437/$L437,0)+IF(AND($M437="S-Curve",P$5&gt;=$J437,P$5&lt;=$K437),(_xlfn.NORM.DIST((YEAR(P$5)-YEAR($J437))*12+MONTH(P$5)-MONTH($J437)+1,$L437/2,$N437,TRUE)-_xlfn.NORM.DIST((YEAR(P$5)-YEAR($J437))*12+MONTH(P$5)-MONTH($J437),$L437/2,$N437,TRUE))/(1-2*_xlfn.NORM.DIST(0,$L437/2,$N437,TRUE))*$I437," "),"")</f>
        <v>2.7501694450596739E-6</v>
      </c>
      <c r="Q437" s="528">
        <f t="shared" si="451"/>
        <v>2.2833827428683824E-5</v>
      </c>
      <c r="R437" s="528">
        <f t="shared" si="451"/>
        <v>1.5164914353616498E-4</v>
      </c>
      <c r="S437" s="528">
        <f t="shared" si="451"/>
        <v>8.0575559381114437E-4</v>
      </c>
      <c r="T437" s="528">
        <f t="shared" si="451"/>
        <v>3.4255090344996819E-3</v>
      </c>
      <c r="U437" s="528">
        <f t="shared" si="451"/>
        <v>1.1653510391935483E-2</v>
      </c>
      <c r="V437" s="528">
        <f t="shared" si="451"/>
        <v>3.1728084858797176E-2</v>
      </c>
      <c r="W437" s="528">
        <f t="shared" si="451"/>
        <v>6.9139328711352185E-2</v>
      </c>
      <c r="X437" s="528">
        <f t="shared" si="451"/>
        <v>0.1205956898184922</v>
      </c>
      <c r="Y437" s="528">
        <f t="shared" si="451"/>
        <v>0.16837844850663386</v>
      </c>
      <c r="Z437" s="528">
        <f t="shared" si="451"/>
        <v>0.18819287988813671</v>
      </c>
      <c r="AA437" s="528">
        <f t="shared" si="451"/>
        <v>0.1683784485066338</v>
      </c>
      <c r="AB437" s="528">
        <f t="shared" si="451"/>
        <v>0.12059568981849224</v>
      </c>
      <c r="AC437" s="528">
        <f t="shared" si="451"/>
        <v>6.9139328711352213E-2</v>
      </c>
      <c r="AD437" s="528">
        <f t="shared" si="451"/>
        <v>3.1728084858797218E-2</v>
      </c>
      <c r="AE437" s="528">
        <f t="shared" si="451"/>
        <v>1.1653510391935459E-2</v>
      </c>
      <c r="AF437" s="528">
        <f t="shared" si="451"/>
        <v>3.4255090344996941E-3</v>
      </c>
      <c r="AG437" s="528">
        <f t="shared" si="451"/>
        <v>8.0575559381108333E-4</v>
      </c>
      <c r="AH437" s="528">
        <f t="shared" si="451"/>
        <v>1.516491435361907E-4</v>
      </c>
      <c r="AI437" s="528">
        <f t="shared" si="451"/>
        <v>2.2833827428690861E-5</v>
      </c>
      <c r="AJ437" s="528">
        <f t="shared" si="451"/>
        <v>2.7501694450069473E-6</v>
      </c>
      <c r="AK437" s="528" t="str">
        <f t="shared" si="451"/>
        <v/>
      </c>
      <c r="AL437" s="528" t="str">
        <f t="shared" si="451"/>
        <v/>
      </c>
      <c r="AM437" s="528" t="str">
        <f t="shared" si="451"/>
        <v/>
      </c>
      <c r="AN437" s="528" t="str">
        <f t="shared" si="451"/>
        <v/>
      </c>
      <c r="AO437" s="528" t="str">
        <f t="shared" si="451"/>
        <v/>
      </c>
      <c r="AP437" s="528" t="str">
        <f t="shared" si="451"/>
        <v/>
      </c>
      <c r="AQ437" s="528" t="str">
        <f t="shared" si="451"/>
        <v/>
      </c>
      <c r="AR437" s="528" t="str">
        <f t="shared" si="451"/>
        <v/>
      </c>
      <c r="AS437" s="528" t="str">
        <f t="shared" si="451"/>
        <v/>
      </c>
      <c r="AT437" s="528" t="str">
        <f t="shared" si="451"/>
        <v/>
      </c>
      <c r="AU437" s="528" t="str">
        <f t="shared" si="451"/>
        <v/>
      </c>
      <c r="AV437" s="528" t="str">
        <f t="shared" si="451"/>
        <v/>
      </c>
      <c r="AW437" s="528" t="str">
        <f t="shared" si="451"/>
        <v/>
      </c>
      <c r="AX437" s="528" t="str">
        <f t="shared" si="451"/>
        <v/>
      </c>
      <c r="AY437" s="528" t="str">
        <f t="shared" si="451"/>
        <v/>
      </c>
      <c r="AZ437" s="528" t="str">
        <f t="shared" si="451"/>
        <v/>
      </c>
      <c r="BA437" s="528" t="str">
        <f t="shared" si="451"/>
        <v/>
      </c>
      <c r="BB437" s="528" t="str">
        <f t="shared" si="451"/>
        <v/>
      </c>
      <c r="BC437" s="528" t="str">
        <f t="shared" si="451"/>
        <v/>
      </c>
      <c r="BD437" s="528" t="str">
        <f t="shared" si="451"/>
        <v/>
      </c>
      <c r="BE437" s="528" t="str">
        <f t="shared" si="451"/>
        <v/>
      </c>
      <c r="BF437" s="528" t="str">
        <f t="shared" si="451"/>
        <v/>
      </c>
      <c r="BG437" s="528" t="str">
        <f t="shared" si="451"/>
        <v/>
      </c>
      <c r="BH437" s="528" t="str">
        <f t="shared" si="451"/>
        <v/>
      </c>
      <c r="BI437" s="528" t="str">
        <f t="shared" si="451"/>
        <v/>
      </c>
      <c r="BJ437" s="528" t="str">
        <f t="shared" si="451"/>
        <v/>
      </c>
      <c r="BK437" s="528" t="str">
        <f t="shared" si="451"/>
        <v/>
      </c>
      <c r="BL437" s="528" t="str">
        <f t="shared" si="451"/>
        <v/>
      </c>
      <c r="BM437" s="528" t="str">
        <f t="shared" si="451"/>
        <v/>
      </c>
    </row>
    <row r="438" spans="6:65" ht="15.75" customHeight="1" x14ac:dyDescent="0.25">
      <c r="F438" s="197"/>
      <c r="G438" s="197">
        <f t="shared" si="268"/>
        <v>0</v>
      </c>
      <c r="H438" s="197">
        <f t="shared" si="269"/>
        <v>2210</v>
      </c>
      <c r="I438" s="523">
        <v>1</v>
      </c>
      <c r="J438" s="533">
        <f>'Monthly DCF'!$I$3</f>
        <v>46418</v>
      </c>
      <c r="K438" s="533">
        <f t="shared" si="270"/>
        <v>47057</v>
      </c>
      <c r="L438" s="536">
        <f t="shared" si="435"/>
        <v>22</v>
      </c>
      <c r="M438" s="20" t="s">
        <v>366</v>
      </c>
      <c r="N438" s="20">
        <f t="shared" si="271"/>
        <v>2.2000000000000002</v>
      </c>
      <c r="O438" s="537">
        <v>10</v>
      </c>
      <c r="P438" s="528">
        <f t="shared" ref="P438:BM438" si="452">IFERROR(+IF(AND($M438="Flat",P$5&gt;=$J438,P$5&lt;=$K438),$I438/$L438,0)+IF(AND($M438="S-Curve",P$5&gt;=$J438,P$5&lt;=$K438),(_xlfn.NORM.DIST((YEAR(P$5)-YEAR($J438))*12+MONTH(P$5)-MONTH($J438)+1,$L438/2,$N438,TRUE)-_xlfn.NORM.DIST((YEAR(P$5)-YEAR($J438))*12+MONTH(P$5)-MONTH($J438),$L438/2,$N438,TRUE))/(1-2*_xlfn.NORM.DIST(0,$L438/2,$N438,TRUE))*$I438," "),"")</f>
        <v>2.4541911614613528E-6</v>
      </c>
      <c r="Q438" s="528">
        <f t="shared" si="452"/>
        <v>1.8743446944827089E-5</v>
      </c>
      <c r="R438" s="528">
        <f t="shared" si="452"/>
        <v>1.1677274723974553E-4</v>
      </c>
      <c r="S438" s="528">
        <f t="shared" si="452"/>
        <v>5.9351170483565969E-4</v>
      </c>
      <c r="T438" s="528">
        <f t="shared" si="452"/>
        <v>2.461244730000279E-3</v>
      </c>
      <c r="U438" s="528">
        <f t="shared" si="452"/>
        <v>8.3283031771697897E-3</v>
      </c>
      <c r="V438" s="528">
        <f t="shared" si="452"/>
        <v>2.299687713750866E-2</v>
      </c>
      <c r="W438" s="528">
        <f t="shared" si="452"/>
        <v>5.1822876422384576E-2</v>
      </c>
      <c r="X438" s="528">
        <f t="shared" si="452"/>
        <v>9.5310104375657179E-2</v>
      </c>
      <c r="Y438" s="528">
        <f t="shared" si="452"/>
        <v>0.14306715344077722</v>
      </c>
      <c r="Z438" s="528">
        <f t="shared" si="452"/>
        <v>0.17528195862632059</v>
      </c>
      <c r="AA438" s="528">
        <f t="shared" si="452"/>
        <v>0.17528195862632059</v>
      </c>
      <c r="AB438" s="528">
        <f t="shared" si="452"/>
        <v>0.14306715344077719</v>
      </c>
      <c r="AC438" s="528">
        <f t="shared" si="452"/>
        <v>9.531010437565722E-2</v>
      </c>
      <c r="AD438" s="528">
        <f t="shared" si="452"/>
        <v>5.182287642238461E-2</v>
      </c>
      <c r="AE438" s="528">
        <f t="shared" si="452"/>
        <v>2.2996877137508632E-2</v>
      </c>
      <c r="AF438" s="528">
        <f t="shared" si="452"/>
        <v>8.3283031771697498E-3</v>
      </c>
      <c r="AG438" s="528">
        <f t="shared" si="452"/>
        <v>2.4612447300002564E-3</v>
      </c>
      <c r="AH438" s="528">
        <f t="shared" si="452"/>
        <v>5.9351170483565524E-4</v>
      </c>
      <c r="AI438" s="528">
        <f t="shared" si="452"/>
        <v>1.1677274723982506E-4</v>
      </c>
      <c r="AJ438" s="528">
        <f t="shared" si="452"/>
        <v>1.8743446944797168E-5</v>
      </c>
      <c r="AK438" s="528">
        <f t="shared" si="452"/>
        <v>2.4541911614149752E-6</v>
      </c>
      <c r="AL438" s="528" t="str">
        <f t="shared" si="452"/>
        <v/>
      </c>
      <c r="AM438" s="528" t="str">
        <f t="shared" si="452"/>
        <v/>
      </c>
      <c r="AN438" s="528" t="str">
        <f t="shared" si="452"/>
        <v/>
      </c>
      <c r="AO438" s="528" t="str">
        <f t="shared" si="452"/>
        <v/>
      </c>
      <c r="AP438" s="528" t="str">
        <f t="shared" si="452"/>
        <v/>
      </c>
      <c r="AQ438" s="528" t="str">
        <f t="shared" si="452"/>
        <v/>
      </c>
      <c r="AR438" s="528" t="str">
        <f t="shared" si="452"/>
        <v/>
      </c>
      <c r="AS438" s="528" t="str">
        <f t="shared" si="452"/>
        <v/>
      </c>
      <c r="AT438" s="528" t="str">
        <f t="shared" si="452"/>
        <v/>
      </c>
      <c r="AU438" s="528" t="str">
        <f t="shared" si="452"/>
        <v/>
      </c>
      <c r="AV438" s="528" t="str">
        <f t="shared" si="452"/>
        <v/>
      </c>
      <c r="AW438" s="528" t="str">
        <f t="shared" si="452"/>
        <v/>
      </c>
      <c r="AX438" s="528" t="str">
        <f t="shared" si="452"/>
        <v/>
      </c>
      <c r="AY438" s="528" t="str">
        <f t="shared" si="452"/>
        <v/>
      </c>
      <c r="AZ438" s="528" t="str">
        <f t="shared" si="452"/>
        <v/>
      </c>
      <c r="BA438" s="528" t="str">
        <f t="shared" si="452"/>
        <v/>
      </c>
      <c r="BB438" s="528" t="str">
        <f t="shared" si="452"/>
        <v/>
      </c>
      <c r="BC438" s="528" t="str">
        <f t="shared" si="452"/>
        <v/>
      </c>
      <c r="BD438" s="528" t="str">
        <f t="shared" si="452"/>
        <v/>
      </c>
      <c r="BE438" s="528" t="str">
        <f t="shared" si="452"/>
        <v/>
      </c>
      <c r="BF438" s="528" t="str">
        <f t="shared" si="452"/>
        <v/>
      </c>
      <c r="BG438" s="528" t="str">
        <f t="shared" si="452"/>
        <v/>
      </c>
      <c r="BH438" s="528" t="str">
        <f t="shared" si="452"/>
        <v/>
      </c>
      <c r="BI438" s="528" t="str">
        <f t="shared" si="452"/>
        <v/>
      </c>
      <c r="BJ438" s="528" t="str">
        <f t="shared" si="452"/>
        <v/>
      </c>
      <c r="BK438" s="528" t="str">
        <f t="shared" si="452"/>
        <v/>
      </c>
      <c r="BL438" s="528" t="str">
        <f t="shared" si="452"/>
        <v/>
      </c>
      <c r="BM438" s="528" t="str">
        <f t="shared" si="452"/>
        <v/>
      </c>
    </row>
    <row r="439" spans="6:65" ht="15.75" customHeight="1" x14ac:dyDescent="0.25">
      <c r="F439" s="197"/>
      <c r="G439" s="197">
        <f t="shared" si="268"/>
        <v>0</v>
      </c>
      <c r="H439" s="197">
        <f t="shared" si="269"/>
        <v>2310</v>
      </c>
      <c r="I439" s="523">
        <v>1</v>
      </c>
      <c r="J439" s="533">
        <f>'Monthly DCF'!$I$3</f>
        <v>46418</v>
      </c>
      <c r="K439" s="533">
        <f t="shared" si="270"/>
        <v>47087</v>
      </c>
      <c r="L439" s="536">
        <f t="shared" si="435"/>
        <v>23</v>
      </c>
      <c r="M439" s="20" t="s">
        <v>366</v>
      </c>
      <c r="N439" s="20">
        <f t="shared" si="271"/>
        <v>2.2999999999999998</v>
      </c>
      <c r="O439" s="537">
        <v>10</v>
      </c>
      <c r="P439" s="528">
        <f t="shared" ref="P439:BM439" si="453">IFERROR(+IF(AND($M439="Flat",P$5&gt;=$J439,P$5&lt;=$K439),$I439/$L439,0)+IF(AND($M439="S-Curve",P$5&gt;=$J439,P$5&lt;=$K439),(_xlfn.NORM.DIST((YEAR(P$5)-YEAR($J439))*12+MONTH(P$5)-MONTH($J439)+1,$L439/2,$N439,TRUE)-_xlfn.NORM.DIST((YEAR(P$5)-YEAR($J439))*12+MONTH(P$5)-MONTH($J439),$L439/2,$N439,TRUE))/(1-2*_xlfn.NORM.DIST(0,$L439/2,$N439,TRUE))*$I439," "),"")</f>
        <v>2.2082346332948679E-6</v>
      </c>
      <c r="Q439" s="528">
        <f t="shared" si="453"/>
        <v>1.5609014190847478E-5</v>
      </c>
      <c r="R439" s="528">
        <f t="shared" si="453"/>
        <v>9.1557695883226888E-5</v>
      </c>
      <c r="S439" s="528">
        <f t="shared" si="453"/>
        <v>4.4569432627502138E-4</v>
      </c>
      <c r="T439" s="528">
        <f t="shared" si="453"/>
        <v>1.8006689529289281E-3</v>
      </c>
      <c r="U439" s="528">
        <f t="shared" si="453"/>
        <v>6.0382946423549874E-3</v>
      </c>
      <c r="V439" s="528">
        <f t="shared" si="453"/>
        <v>1.6807556988957983E-2</v>
      </c>
      <c r="W439" s="528">
        <f t="shared" si="453"/>
        <v>3.8835389548288947E-2</v>
      </c>
      <c r="X439" s="528">
        <f t="shared" si="453"/>
        <v>7.4490825879651251E-2</v>
      </c>
      <c r="Y439" s="528">
        <f t="shared" si="453"/>
        <v>0.11861654884497615</v>
      </c>
      <c r="Z439" s="528">
        <f t="shared" si="453"/>
        <v>0.15680730018830358</v>
      </c>
      <c r="AA439" s="528">
        <f t="shared" si="453"/>
        <v>0.17209669136711159</v>
      </c>
      <c r="AB439" s="528">
        <f t="shared" si="453"/>
        <v>0.15680730018830358</v>
      </c>
      <c r="AC439" s="528">
        <f t="shared" si="453"/>
        <v>0.11861654884497617</v>
      </c>
      <c r="AD439" s="528">
        <f t="shared" si="453"/>
        <v>7.4490825879651168E-2</v>
      </c>
      <c r="AE439" s="528">
        <f t="shared" si="453"/>
        <v>3.8835389548288989E-2</v>
      </c>
      <c r="AF439" s="528">
        <f t="shared" si="453"/>
        <v>1.6807556988957983E-2</v>
      </c>
      <c r="AG439" s="528">
        <f t="shared" si="453"/>
        <v>6.0382946423550464E-3</v>
      </c>
      <c r="AH439" s="528">
        <f t="shared" si="453"/>
        <v>1.8006689529289127E-3</v>
      </c>
      <c r="AI439" s="528">
        <f t="shared" si="453"/>
        <v>4.4569432627496625E-4</v>
      </c>
      <c r="AJ439" s="528">
        <f t="shared" si="453"/>
        <v>9.1557695883284784E-5</v>
      </c>
      <c r="AK439" s="528">
        <f t="shared" si="453"/>
        <v>1.5609014190808968E-5</v>
      </c>
      <c r="AL439" s="528">
        <f t="shared" si="453"/>
        <v>2.2082346332613508E-6</v>
      </c>
      <c r="AM439" s="528" t="str">
        <f t="shared" si="453"/>
        <v/>
      </c>
      <c r="AN439" s="528" t="str">
        <f t="shared" si="453"/>
        <v/>
      </c>
      <c r="AO439" s="528" t="str">
        <f t="shared" si="453"/>
        <v/>
      </c>
      <c r="AP439" s="528" t="str">
        <f t="shared" si="453"/>
        <v/>
      </c>
      <c r="AQ439" s="528" t="str">
        <f t="shared" si="453"/>
        <v/>
      </c>
      <c r="AR439" s="528" t="str">
        <f t="shared" si="453"/>
        <v/>
      </c>
      <c r="AS439" s="528" t="str">
        <f t="shared" si="453"/>
        <v/>
      </c>
      <c r="AT439" s="528" t="str">
        <f t="shared" si="453"/>
        <v/>
      </c>
      <c r="AU439" s="528" t="str">
        <f t="shared" si="453"/>
        <v/>
      </c>
      <c r="AV439" s="528" t="str">
        <f t="shared" si="453"/>
        <v/>
      </c>
      <c r="AW439" s="528" t="str">
        <f t="shared" si="453"/>
        <v/>
      </c>
      <c r="AX439" s="528" t="str">
        <f t="shared" si="453"/>
        <v/>
      </c>
      <c r="AY439" s="528" t="str">
        <f t="shared" si="453"/>
        <v/>
      </c>
      <c r="AZ439" s="528" t="str">
        <f t="shared" si="453"/>
        <v/>
      </c>
      <c r="BA439" s="528" t="str">
        <f t="shared" si="453"/>
        <v/>
      </c>
      <c r="BB439" s="528" t="str">
        <f t="shared" si="453"/>
        <v/>
      </c>
      <c r="BC439" s="528" t="str">
        <f t="shared" si="453"/>
        <v/>
      </c>
      <c r="BD439" s="528" t="str">
        <f t="shared" si="453"/>
        <v/>
      </c>
      <c r="BE439" s="528" t="str">
        <f t="shared" si="453"/>
        <v/>
      </c>
      <c r="BF439" s="528" t="str">
        <f t="shared" si="453"/>
        <v/>
      </c>
      <c r="BG439" s="528" t="str">
        <f t="shared" si="453"/>
        <v/>
      </c>
      <c r="BH439" s="528" t="str">
        <f t="shared" si="453"/>
        <v/>
      </c>
      <c r="BI439" s="528" t="str">
        <f t="shared" si="453"/>
        <v/>
      </c>
      <c r="BJ439" s="528" t="str">
        <f t="shared" si="453"/>
        <v/>
      </c>
      <c r="BK439" s="528" t="str">
        <f t="shared" si="453"/>
        <v/>
      </c>
      <c r="BL439" s="528" t="str">
        <f t="shared" si="453"/>
        <v/>
      </c>
      <c r="BM439" s="528" t="str">
        <f t="shared" si="453"/>
        <v/>
      </c>
    </row>
    <row r="440" spans="6:65" ht="15.75" customHeight="1" x14ac:dyDescent="0.25">
      <c r="F440" s="197"/>
      <c r="G440" s="197">
        <f t="shared" si="268"/>
        <v>0</v>
      </c>
      <c r="H440" s="197">
        <f t="shared" si="269"/>
        <v>2410</v>
      </c>
      <c r="I440" s="523">
        <v>1</v>
      </c>
      <c r="J440" s="533">
        <f>'Monthly DCF'!$I$3</f>
        <v>46418</v>
      </c>
      <c r="K440" s="533">
        <f t="shared" si="270"/>
        <v>47118</v>
      </c>
      <c r="L440" s="536">
        <f t="shared" si="435"/>
        <v>24</v>
      </c>
      <c r="M440" s="20" t="s">
        <v>366</v>
      </c>
      <c r="N440" s="20">
        <f t="shared" si="271"/>
        <v>2.4</v>
      </c>
      <c r="O440" s="537">
        <v>10</v>
      </c>
      <c r="P440" s="528">
        <f t="shared" ref="P440:BM440" si="454">IFERROR(+IF(AND($M440="Flat",P$5&gt;=$J440,P$5&lt;=$K440),$I440/$L440,0)+IF(AND($M440="S-Curve",P$5&gt;=$J440,P$5&lt;=$K440),(_xlfn.NORM.DIST((YEAR(P$5)-YEAR($J440))*12+MONTH(P$5)-MONTH($J440)+1,$L440/2,$N440,TRUE)-_xlfn.NORM.DIST((YEAR(P$5)-YEAR($J440))*12+MONTH(P$5)-MONTH($J440),$L440/2,$N440,TRUE))/(1-2*_xlfn.NORM.DIST(0,$L440/2,$N440,TRUE))*$I440," "),"")</f>
        <v>2.0014578625210041E-6</v>
      </c>
      <c r="Q440" s="528">
        <f t="shared" si="454"/>
        <v>1.3166196143559488E-5</v>
      </c>
      <c r="R440" s="528">
        <f t="shared" si="454"/>
        <v>7.2963030148442363E-5</v>
      </c>
      <c r="S440" s="528">
        <f t="shared" si="454"/>
        <v>3.4064324328787553E-4</v>
      </c>
      <c r="T440" s="528">
        <f t="shared" si="454"/>
        <v>1.3399086740880659E-3</v>
      </c>
      <c r="U440" s="528">
        <f t="shared" si="454"/>
        <v>4.4406996325321449E-3</v>
      </c>
      <c r="V440" s="528">
        <f t="shared" si="454"/>
        <v>1.2400766973508887E-2</v>
      </c>
      <c r="W440" s="528">
        <f t="shared" si="454"/>
        <v>2.9179943811881895E-2</v>
      </c>
      <c r="X440" s="528">
        <f t="shared" si="454"/>
        <v>5.7859454565047749E-2</v>
      </c>
      <c r="Y440" s="528">
        <f t="shared" si="454"/>
        <v>9.6678662722969044E-2</v>
      </c>
      <c r="Z440" s="528">
        <f t="shared" si="454"/>
        <v>0.13613281659241833</v>
      </c>
      <c r="AA440" s="528">
        <f t="shared" si="454"/>
        <v>0.16153897310011148</v>
      </c>
      <c r="AB440" s="528">
        <f t="shared" si="454"/>
        <v>0.16153897310011142</v>
      </c>
      <c r="AC440" s="528">
        <f t="shared" si="454"/>
        <v>0.13613281659241838</v>
      </c>
      <c r="AD440" s="528">
        <f t="shared" si="454"/>
        <v>9.6678662722969058E-2</v>
      </c>
      <c r="AE440" s="528">
        <f t="shared" si="454"/>
        <v>5.7859454565047742E-2</v>
      </c>
      <c r="AF440" s="528">
        <f t="shared" si="454"/>
        <v>2.9179943811881902E-2</v>
      </c>
      <c r="AG440" s="528">
        <f t="shared" si="454"/>
        <v>1.2400766973508847E-2</v>
      </c>
      <c r="AH440" s="528">
        <f t="shared" si="454"/>
        <v>4.4406996325321172E-3</v>
      </c>
      <c r="AI440" s="528">
        <f t="shared" si="454"/>
        <v>1.3399086740881723E-3</v>
      </c>
      <c r="AJ440" s="528">
        <f t="shared" si="454"/>
        <v>3.4064324328781216E-4</v>
      </c>
      <c r="AK440" s="528">
        <f t="shared" si="454"/>
        <v>7.2963030148426913E-5</v>
      </c>
      <c r="AL440" s="528">
        <f t="shared" si="454"/>
        <v>1.3166196143592083E-5</v>
      </c>
      <c r="AM440" s="528">
        <f t="shared" si="454"/>
        <v>2.0014578624704671E-6</v>
      </c>
      <c r="AN440" s="528" t="str">
        <f t="shared" si="454"/>
        <v/>
      </c>
      <c r="AO440" s="528" t="str">
        <f t="shared" si="454"/>
        <v/>
      </c>
      <c r="AP440" s="528" t="str">
        <f t="shared" si="454"/>
        <v/>
      </c>
      <c r="AQ440" s="528" t="str">
        <f t="shared" si="454"/>
        <v/>
      </c>
      <c r="AR440" s="528" t="str">
        <f t="shared" si="454"/>
        <v/>
      </c>
      <c r="AS440" s="528" t="str">
        <f t="shared" si="454"/>
        <v/>
      </c>
      <c r="AT440" s="528" t="str">
        <f t="shared" si="454"/>
        <v/>
      </c>
      <c r="AU440" s="528" t="str">
        <f t="shared" si="454"/>
        <v/>
      </c>
      <c r="AV440" s="528" t="str">
        <f t="shared" si="454"/>
        <v/>
      </c>
      <c r="AW440" s="528" t="str">
        <f t="shared" si="454"/>
        <v/>
      </c>
      <c r="AX440" s="528" t="str">
        <f t="shared" si="454"/>
        <v/>
      </c>
      <c r="AY440" s="528" t="str">
        <f t="shared" si="454"/>
        <v/>
      </c>
      <c r="AZ440" s="528" t="str">
        <f t="shared" si="454"/>
        <v/>
      </c>
      <c r="BA440" s="528" t="str">
        <f t="shared" si="454"/>
        <v/>
      </c>
      <c r="BB440" s="528" t="str">
        <f t="shared" si="454"/>
        <v/>
      </c>
      <c r="BC440" s="528" t="str">
        <f t="shared" si="454"/>
        <v/>
      </c>
      <c r="BD440" s="528" t="str">
        <f t="shared" si="454"/>
        <v/>
      </c>
      <c r="BE440" s="528" t="str">
        <f t="shared" si="454"/>
        <v/>
      </c>
      <c r="BF440" s="528" t="str">
        <f t="shared" si="454"/>
        <v/>
      </c>
      <c r="BG440" s="528" t="str">
        <f t="shared" si="454"/>
        <v/>
      </c>
      <c r="BH440" s="528" t="str">
        <f t="shared" si="454"/>
        <v/>
      </c>
      <c r="BI440" s="528" t="str">
        <f t="shared" si="454"/>
        <v/>
      </c>
      <c r="BJ440" s="528" t="str">
        <f t="shared" si="454"/>
        <v/>
      </c>
      <c r="BK440" s="528" t="str">
        <f t="shared" si="454"/>
        <v/>
      </c>
      <c r="BL440" s="528" t="str">
        <f t="shared" si="454"/>
        <v/>
      </c>
      <c r="BM440" s="528" t="str">
        <f t="shared" si="454"/>
        <v/>
      </c>
    </row>
    <row r="441" spans="6:65" ht="15.75" customHeight="1" x14ac:dyDescent="0.25">
      <c r="F441" s="197"/>
      <c r="G441" s="197">
        <f t="shared" si="268"/>
        <v>0</v>
      </c>
      <c r="H441" s="197">
        <f t="shared" si="269"/>
        <v>2510</v>
      </c>
      <c r="I441" s="523">
        <v>1</v>
      </c>
      <c r="J441" s="533">
        <f>'Monthly DCF'!$I$3</f>
        <v>46418</v>
      </c>
      <c r="K441" s="533">
        <f t="shared" si="270"/>
        <v>47149</v>
      </c>
      <c r="L441" s="536">
        <f t="shared" si="435"/>
        <v>25</v>
      </c>
      <c r="M441" s="20" t="s">
        <v>366</v>
      </c>
      <c r="N441" s="20">
        <f t="shared" si="271"/>
        <v>2.5</v>
      </c>
      <c r="O441" s="537">
        <v>10</v>
      </c>
      <c r="P441" s="528">
        <f t="shared" ref="P441:BM441" si="455">IFERROR(+IF(AND($M441="Flat",P$5&gt;=$J441,P$5&lt;=$K441),$I441/$L441,0)+IF(AND($M441="S-Curve",P$5&gt;=$J441,P$5&lt;=$K441),(_xlfn.NORM.DIST((YEAR(P$5)-YEAR($J441))*12+MONTH(P$5)-MONTH($J441)+1,$L441/2,$N441,TRUE)-_xlfn.NORM.DIST((YEAR(P$5)-YEAR($J441))*12+MONTH(P$5)-MONTH($J441),$L441/2,$N441,TRUE))/(1-2*_xlfn.NORM.DIST(0,$L441/2,$N441,TRUE))*$I441," "),"")</f>
        <v>1.8258041773629345E-6</v>
      </c>
      <c r="Q441" s="528">
        <f t="shared" si="455"/>
        <v>1.1233300753490093E-5</v>
      </c>
      <c r="R441" s="528">
        <f t="shared" si="455"/>
        <v>5.9002328735434235E-5</v>
      </c>
      <c r="S441" s="528">
        <f t="shared" si="455"/>
        <v>2.6458137343709397E-4</v>
      </c>
      <c r="T441" s="528">
        <f t="shared" si="455"/>
        <v>1.0129693466917234E-3</v>
      </c>
      <c r="U441" s="528">
        <f t="shared" si="455"/>
        <v>3.3112918904627054E-3</v>
      </c>
      <c r="V441" s="528">
        <f t="shared" si="455"/>
        <v>9.2422647883993077E-3</v>
      </c>
      <c r="W441" s="528">
        <f t="shared" si="455"/>
        <v>2.2026884227509168E-2</v>
      </c>
      <c r="X441" s="528">
        <f t="shared" si="455"/>
        <v>4.4826365819941712E-2</v>
      </c>
      <c r="Y441" s="528">
        <f t="shared" si="455"/>
        <v>7.7898639357220772E-2</v>
      </c>
      <c r="Z441" s="528">
        <f t="shared" si="455"/>
        <v>0.1155979300912733</v>
      </c>
      <c r="AA441" s="528">
        <f t="shared" si="455"/>
        <v>0.14648725679242824</v>
      </c>
      <c r="AB441" s="528">
        <f t="shared" si="455"/>
        <v>0.15851950975793933</v>
      </c>
      <c r="AC441" s="528">
        <f t="shared" si="455"/>
        <v>0.1464872567924283</v>
      </c>
      <c r="AD441" s="528">
        <f t="shared" si="455"/>
        <v>0.11559793009127332</v>
      </c>
      <c r="AE441" s="528">
        <f t="shared" si="455"/>
        <v>7.7898639357220731E-2</v>
      </c>
      <c r="AF441" s="528">
        <f t="shared" si="455"/>
        <v>4.4826365819941746E-2</v>
      </c>
      <c r="AG441" s="528">
        <f t="shared" si="455"/>
        <v>2.2026884227509154E-2</v>
      </c>
      <c r="AH441" s="528">
        <f t="shared" si="455"/>
        <v>9.2422647883993164E-3</v>
      </c>
      <c r="AI441" s="528">
        <f t="shared" si="455"/>
        <v>3.3112918904626793E-3</v>
      </c>
      <c r="AJ441" s="528">
        <f t="shared" si="455"/>
        <v>1.0129693466917591E-3</v>
      </c>
      <c r="AK441" s="528">
        <f t="shared" si="455"/>
        <v>2.6458137343710275E-4</v>
      </c>
      <c r="AL441" s="528">
        <f t="shared" si="455"/>
        <v>5.9002328735403403E-5</v>
      </c>
      <c r="AM441" s="528">
        <f t="shared" si="455"/>
        <v>1.1233300753492998E-5</v>
      </c>
      <c r="AN441" s="528">
        <f t="shared" si="455"/>
        <v>1.8258041773121752E-6</v>
      </c>
      <c r="AO441" s="528" t="str">
        <f t="shared" si="455"/>
        <v/>
      </c>
      <c r="AP441" s="528" t="str">
        <f t="shared" si="455"/>
        <v/>
      </c>
      <c r="AQ441" s="528" t="str">
        <f t="shared" si="455"/>
        <v/>
      </c>
      <c r="AR441" s="528" t="str">
        <f t="shared" si="455"/>
        <v/>
      </c>
      <c r="AS441" s="528" t="str">
        <f t="shared" si="455"/>
        <v/>
      </c>
      <c r="AT441" s="528" t="str">
        <f t="shared" si="455"/>
        <v/>
      </c>
      <c r="AU441" s="528" t="str">
        <f t="shared" si="455"/>
        <v/>
      </c>
      <c r="AV441" s="528" t="str">
        <f t="shared" si="455"/>
        <v/>
      </c>
      <c r="AW441" s="528" t="str">
        <f t="shared" si="455"/>
        <v/>
      </c>
      <c r="AX441" s="528" t="str">
        <f t="shared" si="455"/>
        <v/>
      </c>
      <c r="AY441" s="528" t="str">
        <f t="shared" si="455"/>
        <v/>
      </c>
      <c r="AZ441" s="528" t="str">
        <f t="shared" si="455"/>
        <v/>
      </c>
      <c r="BA441" s="528" t="str">
        <f t="shared" si="455"/>
        <v/>
      </c>
      <c r="BB441" s="528" t="str">
        <f t="shared" si="455"/>
        <v/>
      </c>
      <c r="BC441" s="528" t="str">
        <f t="shared" si="455"/>
        <v/>
      </c>
      <c r="BD441" s="528" t="str">
        <f t="shared" si="455"/>
        <v/>
      </c>
      <c r="BE441" s="528" t="str">
        <f t="shared" si="455"/>
        <v/>
      </c>
      <c r="BF441" s="528" t="str">
        <f t="shared" si="455"/>
        <v/>
      </c>
      <c r="BG441" s="528" t="str">
        <f t="shared" si="455"/>
        <v/>
      </c>
      <c r="BH441" s="528" t="str">
        <f t="shared" si="455"/>
        <v/>
      </c>
      <c r="BI441" s="528" t="str">
        <f t="shared" si="455"/>
        <v/>
      </c>
      <c r="BJ441" s="528" t="str">
        <f t="shared" si="455"/>
        <v/>
      </c>
      <c r="BK441" s="528" t="str">
        <f t="shared" si="455"/>
        <v/>
      </c>
      <c r="BL441" s="528" t="str">
        <f t="shared" si="455"/>
        <v/>
      </c>
      <c r="BM441" s="528" t="str">
        <f t="shared" si="455"/>
        <v/>
      </c>
    </row>
    <row r="442" spans="6:65" ht="15.75" customHeight="1" x14ac:dyDescent="0.25">
      <c r="F442" s="197"/>
      <c r="G442" s="197">
        <f t="shared" si="268"/>
        <v>0</v>
      </c>
      <c r="H442" s="197">
        <f t="shared" si="269"/>
        <v>2610</v>
      </c>
      <c r="I442" s="523">
        <v>1</v>
      </c>
      <c r="J442" s="533">
        <f>'Monthly DCF'!$I$3</f>
        <v>46418</v>
      </c>
      <c r="K442" s="533">
        <f t="shared" si="270"/>
        <v>47177</v>
      </c>
      <c r="L442" s="536">
        <f t="shared" si="435"/>
        <v>26</v>
      </c>
      <c r="M442" s="20" t="s">
        <v>366</v>
      </c>
      <c r="N442" s="20">
        <f t="shared" si="271"/>
        <v>2.6</v>
      </c>
      <c r="O442" s="537">
        <v>10</v>
      </c>
      <c r="P442" s="528">
        <f t="shared" ref="P442:BM442" si="456">IFERROR(+IF(AND($M442="Flat",P$5&gt;=$J442,P$5&lt;=$K442),$I442/$L442,0)+IF(AND($M442="S-Curve",P$5&gt;=$J442,P$5&lt;=$K442),(_xlfn.NORM.DIST((YEAR(P$5)-YEAR($J442))*12+MONTH(P$5)-MONTH($J442)+1,$L442/2,$N442,TRUE)-_xlfn.NORM.DIST((YEAR(P$5)-YEAR($J442))*12+MONTH(P$5)-MONTH($J442),$L442/2,$N442,TRUE))/(1-2*_xlfn.NORM.DIST(0,$L442/2,$N442,TRUE))*$I442," "),"")</f>
        <v>1.6751893281797361E-6</v>
      </c>
      <c r="Q442" s="528">
        <f t="shared" si="456"/>
        <v>9.6828409862926847E-6</v>
      </c>
      <c r="R442" s="528">
        <f t="shared" si="456"/>
        <v>4.8348572792531341E-5</v>
      </c>
      <c r="S442" s="528">
        <f t="shared" si="456"/>
        <v>2.0855558376111952E-4</v>
      </c>
      <c r="T442" s="528">
        <f t="shared" si="456"/>
        <v>7.7719809116442106E-4</v>
      </c>
      <c r="U442" s="528">
        <f t="shared" si="456"/>
        <v>2.5022273760615288E-3</v>
      </c>
      <c r="V442" s="528">
        <f t="shared" si="456"/>
        <v>6.9601598322753802E-3</v>
      </c>
      <c r="W442" s="528">
        <f t="shared" si="456"/>
        <v>1.6727076489664899E-2</v>
      </c>
      <c r="X442" s="528">
        <f t="shared" si="456"/>
        <v>3.473272773501454E-2</v>
      </c>
      <c r="Y442" s="528">
        <f t="shared" si="456"/>
        <v>6.2313756996892608E-2</v>
      </c>
      <c r="Z442" s="528">
        <f t="shared" si="456"/>
        <v>9.6596594983000286E-2</v>
      </c>
      <c r="AA442" s="528">
        <f t="shared" si="456"/>
        <v>0.1293831075152069</v>
      </c>
      <c r="AB442" s="528">
        <f t="shared" si="456"/>
        <v>0.1497388887938513</v>
      </c>
      <c r="AC442" s="528">
        <f t="shared" si="456"/>
        <v>0.1497388887938513</v>
      </c>
      <c r="AD442" s="528">
        <f t="shared" si="456"/>
        <v>0.12938310751520696</v>
      </c>
      <c r="AE442" s="528">
        <f t="shared" si="456"/>
        <v>9.6596594983000175E-2</v>
      </c>
      <c r="AF442" s="528">
        <f t="shared" si="456"/>
        <v>6.2313756996892684E-2</v>
      </c>
      <c r="AG442" s="528">
        <f t="shared" si="456"/>
        <v>3.4732727735014492E-2</v>
      </c>
      <c r="AH442" s="528">
        <f t="shared" si="456"/>
        <v>1.672707648966492E-2</v>
      </c>
      <c r="AI442" s="528">
        <f t="shared" si="456"/>
        <v>6.9601598322753437E-3</v>
      </c>
      <c r="AJ442" s="528">
        <f t="shared" si="456"/>
        <v>2.5022273760615357E-3</v>
      </c>
      <c r="AK442" s="528">
        <f t="shared" si="456"/>
        <v>7.7719809116447202E-4</v>
      </c>
      <c r="AL442" s="528">
        <f t="shared" si="456"/>
        <v>2.0855558376108634E-4</v>
      </c>
      <c r="AM442" s="528">
        <f t="shared" si="456"/>
        <v>4.8348572792572622E-5</v>
      </c>
      <c r="AN442" s="528">
        <f t="shared" si="456"/>
        <v>9.6828409863240063E-6</v>
      </c>
      <c r="AO442" s="528">
        <f t="shared" si="456"/>
        <v>1.6751893280804037E-6</v>
      </c>
      <c r="AP442" s="528" t="str">
        <f t="shared" si="456"/>
        <v/>
      </c>
      <c r="AQ442" s="528" t="str">
        <f t="shared" si="456"/>
        <v/>
      </c>
      <c r="AR442" s="528" t="str">
        <f t="shared" si="456"/>
        <v/>
      </c>
      <c r="AS442" s="528" t="str">
        <f t="shared" si="456"/>
        <v/>
      </c>
      <c r="AT442" s="528" t="str">
        <f t="shared" si="456"/>
        <v/>
      </c>
      <c r="AU442" s="528" t="str">
        <f t="shared" si="456"/>
        <v/>
      </c>
      <c r="AV442" s="528" t="str">
        <f t="shared" si="456"/>
        <v/>
      </c>
      <c r="AW442" s="528" t="str">
        <f t="shared" si="456"/>
        <v/>
      </c>
      <c r="AX442" s="528" t="str">
        <f t="shared" si="456"/>
        <v/>
      </c>
      <c r="AY442" s="528" t="str">
        <f t="shared" si="456"/>
        <v/>
      </c>
      <c r="AZ442" s="528" t="str">
        <f t="shared" si="456"/>
        <v/>
      </c>
      <c r="BA442" s="528" t="str">
        <f t="shared" si="456"/>
        <v/>
      </c>
      <c r="BB442" s="528" t="str">
        <f t="shared" si="456"/>
        <v/>
      </c>
      <c r="BC442" s="528" t="str">
        <f t="shared" si="456"/>
        <v/>
      </c>
      <c r="BD442" s="528" t="str">
        <f t="shared" si="456"/>
        <v/>
      </c>
      <c r="BE442" s="528" t="str">
        <f t="shared" si="456"/>
        <v/>
      </c>
      <c r="BF442" s="528" t="str">
        <f t="shared" si="456"/>
        <v/>
      </c>
      <c r="BG442" s="528" t="str">
        <f t="shared" si="456"/>
        <v/>
      </c>
      <c r="BH442" s="528" t="str">
        <f t="shared" si="456"/>
        <v/>
      </c>
      <c r="BI442" s="528" t="str">
        <f t="shared" si="456"/>
        <v/>
      </c>
      <c r="BJ442" s="528" t="str">
        <f t="shared" si="456"/>
        <v/>
      </c>
      <c r="BK442" s="528" t="str">
        <f t="shared" si="456"/>
        <v/>
      </c>
      <c r="BL442" s="528" t="str">
        <f t="shared" si="456"/>
        <v/>
      </c>
      <c r="BM442" s="528" t="str">
        <f t="shared" si="456"/>
        <v/>
      </c>
    </row>
    <row r="443" spans="6:65" ht="15.75" customHeight="1" x14ac:dyDescent="0.25">
      <c r="F443" s="197"/>
      <c r="G443" s="197">
        <f t="shared" si="268"/>
        <v>0</v>
      </c>
      <c r="H443" s="197">
        <f t="shared" si="269"/>
        <v>2710</v>
      </c>
      <c r="I443" s="523">
        <v>1</v>
      </c>
      <c r="J443" s="533">
        <f>'Monthly DCF'!$I$3</f>
        <v>46418</v>
      </c>
      <c r="K443" s="533">
        <f t="shared" si="270"/>
        <v>47208</v>
      </c>
      <c r="L443" s="536">
        <f t="shared" si="435"/>
        <v>27</v>
      </c>
      <c r="M443" s="20" t="s">
        <v>366</v>
      </c>
      <c r="N443" s="20">
        <f t="shared" si="271"/>
        <v>2.7</v>
      </c>
      <c r="O443" s="537">
        <v>10</v>
      </c>
      <c r="P443" s="528">
        <f t="shared" ref="P443:BM443" si="457">IFERROR(+IF(AND($M443="Flat",P$5&gt;=$J443,P$5&lt;=$K443),$I443/$L443,0)+IF(AND($M443="S-Curve",P$5&gt;=$J443,P$5&lt;=$K443),(_xlfn.NORM.DIST((YEAR(P$5)-YEAR($J443))*12+MONTH(P$5)-MONTH($J443)+1,$L443/2,$N443,TRUE)-_xlfn.NORM.DIST((YEAR(P$5)-YEAR($J443))*12+MONTH(P$5)-MONTH($J443),$L443/2,$N443,TRUE))/(1-2*_xlfn.NORM.DIST(0,$L443/2,$N443,TRUE))*$I443," "),"")</f>
        <v>1.5449510453292106E-6</v>
      </c>
      <c r="Q443" s="528">
        <f t="shared" si="457"/>
        <v>8.4236764481125229E-6</v>
      </c>
      <c r="R443" s="528">
        <f t="shared" si="457"/>
        <v>4.0096852564161118E-5</v>
      </c>
      <c r="S443" s="528">
        <f t="shared" si="457"/>
        <v>1.6662975605376466E-4</v>
      </c>
      <c r="T443" s="528">
        <f t="shared" si="457"/>
        <v>6.0456056745787537E-4</v>
      </c>
      <c r="U443" s="528">
        <f t="shared" si="457"/>
        <v>1.9150608998419892E-3</v>
      </c>
      <c r="V443" s="528">
        <f t="shared" si="457"/>
        <v>5.2965190998640601E-3</v>
      </c>
      <c r="W443" s="528">
        <f t="shared" si="457"/>
        <v>1.2790054794003159E-2</v>
      </c>
      <c r="X443" s="528">
        <f t="shared" si="457"/>
        <v>2.696720242217494E-2</v>
      </c>
      <c r="Y443" s="528">
        <f t="shared" si="457"/>
        <v>4.964638824108273E-2</v>
      </c>
      <c r="Z443" s="528">
        <f t="shared" si="457"/>
        <v>7.9805572137974401E-2</v>
      </c>
      <c r="AA443" s="528">
        <f t="shared" si="457"/>
        <v>0.11201518653597461</v>
      </c>
      <c r="AB443" s="528">
        <f t="shared" si="457"/>
        <v>0.13728461226769345</v>
      </c>
      <c r="AC443" s="528">
        <f t="shared" si="457"/>
        <v>0.14691629559564279</v>
      </c>
      <c r="AD443" s="528">
        <f t="shared" si="457"/>
        <v>0.13728461226769345</v>
      </c>
      <c r="AE443" s="528">
        <f t="shared" si="457"/>
        <v>0.11201518653597461</v>
      </c>
      <c r="AF443" s="528">
        <f t="shared" si="457"/>
        <v>7.9805572137974401E-2</v>
      </c>
      <c r="AG443" s="528">
        <f t="shared" si="457"/>
        <v>4.9646388241082737E-2</v>
      </c>
      <c r="AH443" s="528">
        <f t="shared" si="457"/>
        <v>2.6967202422174937E-2</v>
      </c>
      <c r="AI443" s="528">
        <f t="shared" si="457"/>
        <v>1.2790054794003159E-2</v>
      </c>
      <c r="AJ443" s="528">
        <f t="shared" si="457"/>
        <v>5.2965190998640688E-3</v>
      </c>
      <c r="AK443" s="528">
        <f t="shared" si="457"/>
        <v>1.9150608998419521E-3</v>
      </c>
      <c r="AL443" s="528">
        <f t="shared" si="457"/>
        <v>6.0456056745789033E-4</v>
      </c>
      <c r="AM443" s="528">
        <f t="shared" si="457"/>
        <v>1.6662975605374964E-4</v>
      </c>
      <c r="AN443" s="528">
        <f t="shared" si="457"/>
        <v>4.0096852564159695E-5</v>
      </c>
      <c r="AO443" s="528">
        <f t="shared" si="457"/>
        <v>8.4236764481159483E-6</v>
      </c>
      <c r="AP443" s="528">
        <f t="shared" si="457"/>
        <v>1.5449510453074058E-6</v>
      </c>
      <c r="AQ443" s="528" t="str">
        <f t="shared" si="457"/>
        <v/>
      </c>
      <c r="AR443" s="528" t="str">
        <f t="shared" si="457"/>
        <v/>
      </c>
      <c r="AS443" s="528" t="str">
        <f t="shared" si="457"/>
        <v/>
      </c>
      <c r="AT443" s="528" t="str">
        <f t="shared" si="457"/>
        <v/>
      </c>
      <c r="AU443" s="528" t="str">
        <f t="shared" si="457"/>
        <v/>
      </c>
      <c r="AV443" s="528" t="str">
        <f t="shared" si="457"/>
        <v/>
      </c>
      <c r="AW443" s="528" t="str">
        <f t="shared" si="457"/>
        <v/>
      </c>
      <c r="AX443" s="528" t="str">
        <f t="shared" si="457"/>
        <v/>
      </c>
      <c r="AY443" s="528" t="str">
        <f t="shared" si="457"/>
        <v/>
      </c>
      <c r="AZ443" s="528" t="str">
        <f t="shared" si="457"/>
        <v/>
      </c>
      <c r="BA443" s="528" t="str">
        <f t="shared" si="457"/>
        <v/>
      </c>
      <c r="BB443" s="528" t="str">
        <f t="shared" si="457"/>
        <v/>
      </c>
      <c r="BC443" s="528" t="str">
        <f t="shared" si="457"/>
        <v/>
      </c>
      <c r="BD443" s="528" t="str">
        <f t="shared" si="457"/>
        <v/>
      </c>
      <c r="BE443" s="528" t="str">
        <f t="shared" si="457"/>
        <v/>
      </c>
      <c r="BF443" s="528" t="str">
        <f t="shared" si="457"/>
        <v/>
      </c>
      <c r="BG443" s="528" t="str">
        <f t="shared" si="457"/>
        <v/>
      </c>
      <c r="BH443" s="528" t="str">
        <f t="shared" si="457"/>
        <v/>
      </c>
      <c r="BI443" s="528" t="str">
        <f t="shared" si="457"/>
        <v/>
      </c>
      <c r="BJ443" s="528" t="str">
        <f t="shared" si="457"/>
        <v/>
      </c>
      <c r="BK443" s="528" t="str">
        <f t="shared" si="457"/>
        <v/>
      </c>
      <c r="BL443" s="528" t="str">
        <f t="shared" si="457"/>
        <v/>
      </c>
      <c r="BM443" s="528" t="str">
        <f t="shared" si="457"/>
        <v/>
      </c>
    </row>
    <row r="444" spans="6:65" ht="15.75" customHeight="1" x14ac:dyDescent="0.25">
      <c r="F444" s="197"/>
      <c r="G444" s="197">
        <f t="shared" si="268"/>
        <v>0</v>
      </c>
      <c r="H444" s="197">
        <f t="shared" si="269"/>
        <v>2810</v>
      </c>
      <c r="I444" s="523">
        <v>1</v>
      </c>
      <c r="J444" s="533">
        <f>'Monthly DCF'!$I$3</f>
        <v>46418</v>
      </c>
      <c r="K444" s="533">
        <f t="shared" si="270"/>
        <v>47238</v>
      </c>
      <c r="L444" s="536">
        <f t="shared" si="435"/>
        <v>28</v>
      </c>
      <c r="M444" s="20" t="s">
        <v>366</v>
      </c>
      <c r="N444" s="20">
        <f t="shared" si="271"/>
        <v>2.8</v>
      </c>
      <c r="O444" s="537">
        <v>10</v>
      </c>
      <c r="P444" s="528">
        <f t="shared" ref="P444:BM444" si="458">IFERROR(+IF(AND($M444="Flat",P$5&gt;=$J444,P$5&lt;=$K444),$I444/$L444,0)+IF(AND($M444="S-Curve",P$5&gt;=$J444,P$5&lt;=$K444),(_xlfn.NORM.DIST((YEAR(P$5)-YEAR($J444))*12+MONTH(P$5)-MONTH($J444)+1,$L444/2,$N444,TRUE)-_xlfn.NORM.DIST((YEAR(P$5)-YEAR($J444))*12+MONTH(P$5)-MONTH($J444),$L444/2,$N444,TRUE))/(1-2*_xlfn.NORM.DIST(0,$L444/2,$N444,TRUE))*$I444," "),"")</f>
        <v>1.4314690000960948E-6</v>
      </c>
      <c r="Q444" s="528">
        <f t="shared" si="458"/>
        <v>7.3895330596169202E-6</v>
      </c>
      <c r="R444" s="528">
        <f t="shared" si="458"/>
        <v>3.3618356039342291E-5</v>
      </c>
      <c r="S444" s="528">
        <f t="shared" si="458"/>
        <v>1.3479378231085284E-4</v>
      </c>
      <c r="T444" s="528">
        <f t="shared" si="458"/>
        <v>4.7632798676149757E-4</v>
      </c>
      <c r="U444" s="528">
        <f t="shared" si="458"/>
        <v>1.4835204265385669E-3</v>
      </c>
      <c r="V444" s="528">
        <f t="shared" si="458"/>
        <v>4.0723006803526371E-3</v>
      </c>
      <c r="W444" s="528">
        <f t="shared" si="458"/>
        <v>9.8526259265936077E-3</v>
      </c>
      <c r="X444" s="528">
        <f t="shared" si="458"/>
        <v>2.1010491997256204E-2</v>
      </c>
      <c r="Y444" s="528">
        <f t="shared" si="458"/>
        <v>3.94909825944358E-2</v>
      </c>
      <c r="Z444" s="528">
        <f t="shared" si="458"/>
        <v>6.5424697873806101E-2</v>
      </c>
      <c r="AA444" s="528">
        <f t="shared" si="458"/>
        <v>9.5536930923143457E-2</v>
      </c>
      <c r="AB444" s="528">
        <f t="shared" si="458"/>
        <v>0.12296723942136377</v>
      </c>
      <c r="AC444" s="528">
        <f t="shared" si="458"/>
        <v>0.13950764902933843</v>
      </c>
      <c r="AD444" s="528">
        <f t="shared" si="458"/>
        <v>0.13950764902933849</v>
      </c>
      <c r="AE444" s="528">
        <f t="shared" si="458"/>
        <v>0.12296723942136366</v>
      </c>
      <c r="AF444" s="528">
        <f t="shared" si="458"/>
        <v>9.5536930923143568E-2</v>
      </c>
      <c r="AG444" s="528">
        <f t="shared" si="458"/>
        <v>6.5424697873806087E-2</v>
      </c>
      <c r="AH444" s="528">
        <f t="shared" si="458"/>
        <v>3.9490982594435793E-2</v>
      </c>
      <c r="AI444" s="528">
        <f t="shared" si="458"/>
        <v>2.1010491997256218E-2</v>
      </c>
      <c r="AJ444" s="528">
        <f t="shared" si="458"/>
        <v>9.8526259265935331E-3</v>
      </c>
      <c r="AK444" s="528">
        <f t="shared" si="458"/>
        <v>4.0723006803526779E-3</v>
      </c>
      <c r="AL444" s="528">
        <f t="shared" si="458"/>
        <v>1.48352042653858E-3</v>
      </c>
      <c r="AM444" s="528">
        <f t="shared" si="458"/>
        <v>4.7632798676144509E-4</v>
      </c>
      <c r="AN444" s="528">
        <f t="shared" si="458"/>
        <v>1.3479378231091957E-4</v>
      </c>
      <c r="AO444" s="528">
        <f t="shared" si="458"/>
        <v>3.361835603924865E-5</v>
      </c>
      <c r="AP444" s="528">
        <f t="shared" si="458"/>
        <v>7.3895330596187617E-6</v>
      </c>
      <c r="AQ444" s="528">
        <f t="shared" si="458"/>
        <v>1.4314690001015243E-6</v>
      </c>
      <c r="AR444" s="528" t="str">
        <f t="shared" si="458"/>
        <v/>
      </c>
      <c r="AS444" s="528" t="str">
        <f t="shared" si="458"/>
        <v/>
      </c>
      <c r="AT444" s="528" t="str">
        <f t="shared" si="458"/>
        <v/>
      </c>
      <c r="AU444" s="528" t="str">
        <f t="shared" si="458"/>
        <v/>
      </c>
      <c r="AV444" s="528" t="str">
        <f t="shared" si="458"/>
        <v/>
      </c>
      <c r="AW444" s="528" t="str">
        <f t="shared" si="458"/>
        <v/>
      </c>
      <c r="AX444" s="528" t="str">
        <f t="shared" si="458"/>
        <v/>
      </c>
      <c r="AY444" s="528" t="str">
        <f t="shared" si="458"/>
        <v/>
      </c>
      <c r="AZ444" s="528" t="str">
        <f t="shared" si="458"/>
        <v/>
      </c>
      <c r="BA444" s="528" t="str">
        <f t="shared" si="458"/>
        <v/>
      </c>
      <c r="BB444" s="528" t="str">
        <f t="shared" si="458"/>
        <v/>
      </c>
      <c r="BC444" s="528" t="str">
        <f t="shared" si="458"/>
        <v/>
      </c>
      <c r="BD444" s="528" t="str">
        <f t="shared" si="458"/>
        <v/>
      </c>
      <c r="BE444" s="528" t="str">
        <f t="shared" si="458"/>
        <v/>
      </c>
      <c r="BF444" s="528" t="str">
        <f t="shared" si="458"/>
        <v/>
      </c>
      <c r="BG444" s="528" t="str">
        <f t="shared" si="458"/>
        <v/>
      </c>
      <c r="BH444" s="528" t="str">
        <f t="shared" si="458"/>
        <v/>
      </c>
      <c r="BI444" s="528" t="str">
        <f t="shared" si="458"/>
        <v/>
      </c>
      <c r="BJ444" s="528" t="str">
        <f t="shared" si="458"/>
        <v/>
      </c>
      <c r="BK444" s="528" t="str">
        <f t="shared" si="458"/>
        <v/>
      </c>
      <c r="BL444" s="528" t="str">
        <f t="shared" si="458"/>
        <v/>
      </c>
      <c r="BM444" s="528" t="str">
        <f t="shared" si="458"/>
        <v/>
      </c>
    </row>
    <row r="445" spans="6:65" ht="15.75" customHeight="1" x14ac:dyDescent="0.25">
      <c r="F445" s="197"/>
      <c r="G445" s="197">
        <f t="shared" si="268"/>
        <v>0</v>
      </c>
      <c r="H445" s="197">
        <f t="shared" si="269"/>
        <v>2910</v>
      </c>
      <c r="I445" s="523">
        <v>1</v>
      </c>
      <c r="J445" s="533">
        <f>'Monthly DCF'!$I$3</f>
        <v>46418</v>
      </c>
      <c r="K445" s="533">
        <f t="shared" si="270"/>
        <v>47269</v>
      </c>
      <c r="L445" s="536">
        <f t="shared" si="435"/>
        <v>29</v>
      </c>
      <c r="M445" s="20" t="s">
        <v>366</v>
      </c>
      <c r="N445" s="20">
        <f t="shared" si="271"/>
        <v>2.9</v>
      </c>
      <c r="O445" s="537">
        <v>10</v>
      </c>
      <c r="P445" s="528">
        <f t="shared" ref="P445:BM445" si="459">IFERROR(+IF(AND($M445="Flat",P$5&gt;=$J445,P$5&lt;=$K445),$I445/$L445,0)+IF(AND($M445="S-Curve",P$5&gt;=$J445,P$5&lt;=$K445),(_xlfn.NORM.DIST((YEAR(P$5)-YEAR($J445))*12+MONTH(P$5)-MONTH($J445)+1,$L445/2,$N445,TRUE)-_xlfn.NORM.DIST((YEAR(P$5)-YEAR($J445))*12+MONTH(P$5)-MONTH($J445),$L445/2,$N445,TRUE))/(1-2*_xlfn.NORM.DIST(0,$L445/2,$N445,TRUE))*$I445," "),"")</f>
        <v>1.3318977285077568E-6</v>
      </c>
      <c r="Q445" s="528">
        <f t="shared" si="459"/>
        <v>6.5314638752662271E-6</v>
      </c>
      <c r="R445" s="528">
        <f t="shared" si="459"/>
        <v>2.8468486639107045E-5</v>
      </c>
      <c r="S445" s="528">
        <f t="shared" si="459"/>
        <v>1.102909751095728E-4</v>
      </c>
      <c r="T445" s="528">
        <f t="shared" si="459"/>
        <v>3.797907937921895E-4</v>
      </c>
      <c r="U445" s="528">
        <f t="shared" si="459"/>
        <v>1.1624770944959827E-3</v>
      </c>
      <c r="V445" s="528">
        <f t="shared" si="459"/>
        <v>3.1627585628683534E-3</v>
      </c>
      <c r="W445" s="528">
        <f t="shared" si="459"/>
        <v>7.6488290054424878E-3</v>
      </c>
      <c r="X445" s="528">
        <f t="shared" si="459"/>
        <v>1.6442815280018445E-2</v>
      </c>
      <c r="Y445" s="528">
        <f t="shared" si="459"/>
        <v>3.1420576660666506E-2</v>
      </c>
      <c r="Z445" s="528">
        <f t="shared" si="459"/>
        <v>5.3371901252928435E-2</v>
      </c>
      <c r="AA445" s="528">
        <f t="shared" si="459"/>
        <v>8.0588837310929792E-2</v>
      </c>
      <c r="AB445" s="528">
        <f t="shared" si="459"/>
        <v>0.10816911282278668</v>
      </c>
      <c r="AC445" s="528">
        <f t="shared" si="459"/>
        <v>0.12906235376693392</v>
      </c>
      <c r="AD445" s="528">
        <f t="shared" si="459"/>
        <v>0.13688784925156947</v>
      </c>
      <c r="AE445" s="528">
        <f t="shared" si="459"/>
        <v>0.12906235376693392</v>
      </c>
      <c r="AF445" s="528">
        <f t="shared" si="459"/>
        <v>0.10816911282278666</v>
      </c>
      <c r="AG445" s="528">
        <f t="shared" si="459"/>
        <v>8.0588837310929778E-2</v>
      </c>
      <c r="AH445" s="528">
        <f t="shared" si="459"/>
        <v>5.3371901252928435E-2</v>
      </c>
      <c r="AI445" s="528">
        <f t="shared" si="459"/>
        <v>3.142057666066659E-2</v>
      </c>
      <c r="AJ445" s="528">
        <f t="shared" si="459"/>
        <v>1.6442815280018404E-2</v>
      </c>
      <c r="AK445" s="528">
        <f t="shared" si="459"/>
        <v>7.6488290054424887E-3</v>
      </c>
      <c r="AL445" s="528">
        <f t="shared" si="459"/>
        <v>3.1627585628683699E-3</v>
      </c>
      <c r="AM445" s="528">
        <f t="shared" si="459"/>
        <v>1.1624770944960075E-3</v>
      </c>
      <c r="AN445" s="528">
        <f t="shared" si="459"/>
        <v>3.7979079379211588E-4</v>
      </c>
      <c r="AO445" s="528">
        <f t="shared" si="459"/>
        <v>1.1029097510958095E-4</v>
      </c>
      <c r="AP445" s="528">
        <f t="shared" si="459"/>
        <v>2.8468486639083362E-5</v>
      </c>
      <c r="AQ445" s="528">
        <f t="shared" si="459"/>
        <v>6.5314638753629227E-6</v>
      </c>
      <c r="AR445" s="528">
        <f t="shared" si="459"/>
        <v>1.331897728410204E-6</v>
      </c>
      <c r="AS445" s="528" t="str">
        <f t="shared" si="459"/>
        <v/>
      </c>
      <c r="AT445" s="528" t="str">
        <f t="shared" si="459"/>
        <v/>
      </c>
      <c r="AU445" s="528" t="str">
        <f t="shared" si="459"/>
        <v/>
      </c>
      <c r="AV445" s="528" t="str">
        <f t="shared" si="459"/>
        <v/>
      </c>
      <c r="AW445" s="528" t="str">
        <f t="shared" si="459"/>
        <v/>
      </c>
      <c r="AX445" s="528" t="str">
        <f t="shared" si="459"/>
        <v/>
      </c>
      <c r="AY445" s="528" t="str">
        <f t="shared" si="459"/>
        <v/>
      </c>
      <c r="AZ445" s="528" t="str">
        <f t="shared" si="459"/>
        <v/>
      </c>
      <c r="BA445" s="528" t="str">
        <f t="shared" si="459"/>
        <v/>
      </c>
      <c r="BB445" s="528" t="str">
        <f t="shared" si="459"/>
        <v/>
      </c>
      <c r="BC445" s="528" t="str">
        <f t="shared" si="459"/>
        <v/>
      </c>
      <c r="BD445" s="528" t="str">
        <f t="shared" si="459"/>
        <v/>
      </c>
      <c r="BE445" s="528" t="str">
        <f t="shared" si="459"/>
        <v/>
      </c>
      <c r="BF445" s="528" t="str">
        <f t="shared" si="459"/>
        <v/>
      </c>
      <c r="BG445" s="528" t="str">
        <f t="shared" si="459"/>
        <v/>
      </c>
      <c r="BH445" s="528" t="str">
        <f t="shared" si="459"/>
        <v/>
      </c>
      <c r="BI445" s="528" t="str">
        <f t="shared" si="459"/>
        <v/>
      </c>
      <c r="BJ445" s="528" t="str">
        <f t="shared" si="459"/>
        <v/>
      </c>
      <c r="BK445" s="528" t="str">
        <f t="shared" si="459"/>
        <v/>
      </c>
      <c r="BL445" s="528" t="str">
        <f t="shared" si="459"/>
        <v/>
      </c>
      <c r="BM445" s="528" t="str">
        <f t="shared" si="459"/>
        <v/>
      </c>
    </row>
    <row r="446" spans="6:65" ht="15.75" customHeight="1" x14ac:dyDescent="0.25">
      <c r="F446" s="197"/>
      <c r="G446" s="197">
        <f t="shared" si="268"/>
        <v>0</v>
      </c>
      <c r="H446" s="197">
        <f t="shared" si="269"/>
        <v>3010</v>
      </c>
      <c r="I446" s="523">
        <v>1</v>
      </c>
      <c r="J446" s="533">
        <f>'Monthly DCF'!$I$3</f>
        <v>46418</v>
      </c>
      <c r="K446" s="533">
        <f t="shared" si="270"/>
        <v>47299</v>
      </c>
      <c r="L446" s="536">
        <f t="shared" si="435"/>
        <v>30</v>
      </c>
      <c r="M446" s="20" t="s">
        <v>366</v>
      </c>
      <c r="N446" s="20">
        <f t="shared" si="271"/>
        <v>3</v>
      </c>
      <c r="O446" s="537">
        <v>10</v>
      </c>
      <c r="P446" s="528">
        <f t="shared" ref="P446:BM446" si="460">IFERROR(+IF(AND($M446="Flat",P$5&gt;=$J446,P$5&lt;=$K446),$I446/$L446,0)+IF(AND($M446="S-Curve",P$5&gt;=$J446,P$5&lt;=$K446),(_xlfn.NORM.DIST((YEAR(P$5)-YEAR($J446))*12+MONTH(P$5)-MONTH($J446)+1,$L446/2,$N446,TRUE)-_xlfn.NORM.DIST((YEAR(P$5)-YEAR($J446))*12+MONTH(P$5)-MONTH($J446),$L446/2,$N446,TRUE))/(1-2*_xlfn.NORM.DIST(0,$L446/2,$N446,TRUE))*$I446," "),"")</f>
        <v>1.2439758778271513E-6</v>
      </c>
      <c r="Q446" s="528">
        <f t="shared" si="460"/>
        <v>5.8128004328603885E-6</v>
      </c>
      <c r="R446" s="528">
        <f t="shared" si="460"/>
        <v>2.4327831943447702E-5</v>
      </c>
      <c r="S446" s="528">
        <f t="shared" si="460"/>
        <v>9.1195200414527432E-5</v>
      </c>
      <c r="T446" s="528">
        <f t="shared" si="460"/>
        <v>3.0619411877373572E-4</v>
      </c>
      <c r="U446" s="528">
        <f t="shared" si="460"/>
        <v>9.2083822635270621E-4</v>
      </c>
      <c r="V446" s="528">
        <f t="shared" si="460"/>
        <v>2.4804839580288931E-3</v>
      </c>
      <c r="W446" s="528">
        <f t="shared" si="460"/>
        <v>5.9849514922471056E-3</v>
      </c>
      <c r="X446" s="528">
        <f t="shared" si="460"/>
        <v>1.2934810735101514E-2</v>
      </c>
      <c r="Y446" s="528">
        <f t="shared" si="460"/>
        <v>2.5040234680280774E-2</v>
      </c>
      <c r="Z446" s="528">
        <f t="shared" si="460"/>
        <v>4.3420892346387262E-2</v>
      </c>
      <c r="AA446" s="528">
        <f t="shared" si="460"/>
        <v>6.7444072871488125E-2</v>
      </c>
      <c r="AB446" s="528">
        <f t="shared" si="460"/>
        <v>9.3837337412706459E-2</v>
      </c>
      <c r="AC446" s="528">
        <f t="shared" si="460"/>
        <v>0.11694886968199535</v>
      </c>
      <c r="AD446" s="528">
        <f t="shared" si="460"/>
        <v>0.13055873466796941</v>
      </c>
      <c r="AE446" s="528">
        <f t="shared" si="460"/>
        <v>0.13055873466796947</v>
      </c>
      <c r="AF446" s="528">
        <f t="shared" si="460"/>
        <v>0.11694886968199529</v>
      </c>
      <c r="AG446" s="528">
        <f t="shared" si="460"/>
        <v>9.3837337412706487E-2</v>
      </c>
      <c r="AH446" s="528">
        <f t="shared" si="460"/>
        <v>6.7444072871488098E-2</v>
      </c>
      <c r="AI446" s="528">
        <f t="shared" si="460"/>
        <v>4.3420892346387269E-2</v>
      </c>
      <c r="AJ446" s="528">
        <f t="shared" si="460"/>
        <v>2.504023468028075E-2</v>
      </c>
      <c r="AK446" s="528">
        <f t="shared" si="460"/>
        <v>1.2934810735101552E-2</v>
      </c>
      <c r="AL446" s="528">
        <f t="shared" si="460"/>
        <v>5.9849514922470448E-3</v>
      </c>
      <c r="AM446" s="528">
        <f t="shared" si="460"/>
        <v>2.4804839580289226E-3</v>
      </c>
      <c r="AN446" s="528">
        <f t="shared" si="460"/>
        <v>9.2083822635276888E-4</v>
      </c>
      <c r="AO446" s="528">
        <f t="shared" si="460"/>
        <v>3.0619411877366498E-4</v>
      </c>
      <c r="AP446" s="528">
        <f t="shared" si="460"/>
        <v>9.1195200414545633E-5</v>
      </c>
      <c r="AQ446" s="528">
        <f t="shared" si="460"/>
        <v>2.4327831943439506E-5</v>
      </c>
      <c r="AR446" s="528">
        <f t="shared" si="460"/>
        <v>5.8128004328208803E-6</v>
      </c>
      <c r="AS446" s="528">
        <f t="shared" si="460"/>
        <v>1.2439758778306347E-6</v>
      </c>
      <c r="AT446" s="528" t="str">
        <f t="shared" si="460"/>
        <v/>
      </c>
      <c r="AU446" s="528" t="str">
        <f t="shared" si="460"/>
        <v/>
      </c>
      <c r="AV446" s="528" t="str">
        <f t="shared" si="460"/>
        <v/>
      </c>
      <c r="AW446" s="528" t="str">
        <f t="shared" si="460"/>
        <v/>
      </c>
      <c r="AX446" s="528" t="str">
        <f t="shared" si="460"/>
        <v/>
      </c>
      <c r="AY446" s="528" t="str">
        <f t="shared" si="460"/>
        <v/>
      </c>
      <c r="AZ446" s="528" t="str">
        <f t="shared" si="460"/>
        <v/>
      </c>
      <c r="BA446" s="528" t="str">
        <f t="shared" si="460"/>
        <v/>
      </c>
      <c r="BB446" s="528" t="str">
        <f t="shared" si="460"/>
        <v/>
      </c>
      <c r="BC446" s="528" t="str">
        <f t="shared" si="460"/>
        <v/>
      </c>
      <c r="BD446" s="528" t="str">
        <f t="shared" si="460"/>
        <v/>
      </c>
      <c r="BE446" s="528" t="str">
        <f t="shared" si="460"/>
        <v/>
      </c>
      <c r="BF446" s="528" t="str">
        <f t="shared" si="460"/>
        <v/>
      </c>
      <c r="BG446" s="528" t="str">
        <f t="shared" si="460"/>
        <v/>
      </c>
      <c r="BH446" s="528" t="str">
        <f t="shared" si="460"/>
        <v/>
      </c>
      <c r="BI446" s="528" t="str">
        <f t="shared" si="460"/>
        <v/>
      </c>
      <c r="BJ446" s="528" t="str">
        <f t="shared" si="460"/>
        <v/>
      </c>
      <c r="BK446" s="528" t="str">
        <f t="shared" si="460"/>
        <v/>
      </c>
      <c r="BL446" s="528" t="str">
        <f t="shared" si="460"/>
        <v/>
      </c>
      <c r="BM446" s="528" t="str">
        <f t="shared" si="460"/>
        <v/>
      </c>
    </row>
    <row r="447" spans="6:65" ht="15.75" customHeight="1" x14ac:dyDescent="0.25">
      <c r="F447" s="197"/>
      <c r="G447" s="197">
        <f t="shared" si="268"/>
        <v>0</v>
      </c>
      <c r="H447" s="197">
        <f t="shared" si="269"/>
        <v>3110</v>
      </c>
      <c r="I447" s="523">
        <v>1</v>
      </c>
      <c r="J447" s="533">
        <f>'Monthly DCF'!$I$3</f>
        <v>46418</v>
      </c>
      <c r="K447" s="533">
        <f t="shared" si="270"/>
        <v>47330</v>
      </c>
      <c r="L447" s="536">
        <f t="shared" si="435"/>
        <v>31</v>
      </c>
      <c r="M447" s="20" t="s">
        <v>366</v>
      </c>
      <c r="N447" s="20">
        <f t="shared" si="271"/>
        <v>3.1</v>
      </c>
      <c r="O447" s="537">
        <v>10</v>
      </c>
      <c r="P447" s="528">
        <f t="shared" ref="P447:BM447" si="461">IFERROR(+IF(AND($M447="Flat",P$5&gt;=$J447,P$5&lt;=$K447),$I447/$L447,0)+IF(AND($M447="S-Curve",P$5&gt;=$J447,P$5&lt;=$K447),(_xlfn.NORM.DIST((YEAR(P$5)-YEAR($J447))*12+MONTH(P$5)-MONTH($J447)+1,$L447/2,$N447,TRUE)-_xlfn.NORM.DIST((YEAR(P$5)-YEAR($J447))*12+MONTH(P$5)-MONTH($J447),$L447/2,$N447,TRUE))/(1-2*_xlfn.NORM.DIST(0,$L447/2,$N447,TRUE))*$I447," "),"")</f>
        <v>1.1658879264497937E-6</v>
      </c>
      <c r="Q447" s="528">
        <f t="shared" si="461"/>
        <v>5.2057106791450301E-6</v>
      </c>
      <c r="R447" s="528">
        <f t="shared" si="461"/>
        <v>2.0963503073236168E-5</v>
      </c>
      <c r="S447" s="528">
        <f t="shared" si="461"/>
        <v>7.6140050768850847E-5</v>
      </c>
      <c r="T447" s="528">
        <f t="shared" si="461"/>
        <v>2.4942073231383428E-4</v>
      </c>
      <c r="U447" s="528">
        <f t="shared" si="461"/>
        <v>7.3693017860739483E-4</v>
      </c>
      <c r="V447" s="528">
        <f t="shared" si="461"/>
        <v>1.9638058815121488E-3</v>
      </c>
      <c r="W447" s="528">
        <f t="shared" si="461"/>
        <v>4.7201183666981681E-3</v>
      </c>
      <c r="X447" s="528">
        <f t="shared" si="461"/>
        <v>1.0232757900196829E-2</v>
      </c>
      <c r="Y447" s="528">
        <f t="shared" si="461"/>
        <v>2.0008797435895936E-2</v>
      </c>
      <c r="Z447" s="528">
        <f t="shared" si="461"/>
        <v>3.5289084191977432E-2</v>
      </c>
      <c r="AA447" s="528">
        <f t="shared" si="461"/>
        <v>5.6137510692034508E-2</v>
      </c>
      <c r="AB447" s="528">
        <f t="shared" si="461"/>
        <v>8.0549181825461405E-2</v>
      </c>
      <c r="AC447" s="528">
        <f t="shared" si="461"/>
        <v>0.10424753393841246</v>
      </c>
      <c r="AD447" s="528">
        <f t="shared" si="461"/>
        <v>0.1216937194406096</v>
      </c>
      <c r="AE447" s="528">
        <f t="shared" si="461"/>
        <v>0.12813532852766518</v>
      </c>
      <c r="AF447" s="528">
        <f t="shared" si="461"/>
        <v>0.12169371944060954</v>
      </c>
      <c r="AG447" s="528">
        <f t="shared" si="461"/>
        <v>0.10424753393841246</v>
      </c>
      <c r="AH447" s="528">
        <f t="shared" si="461"/>
        <v>8.0549181825461516E-2</v>
      </c>
      <c r="AI447" s="528">
        <f t="shared" si="461"/>
        <v>5.6137510692034508E-2</v>
      </c>
      <c r="AJ447" s="528">
        <f t="shared" si="461"/>
        <v>3.5289084191977377E-2</v>
      </c>
      <c r="AK447" s="528">
        <f t="shared" si="461"/>
        <v>2.000879743589597E-2</v>
      </c>
      <c r="AL447" s="528">
        <f t="shared" si="461"/>
        <v>1.0232757900196808E-2</v>
      </c>
      <c r="AM447" s="528">
        <f t="shared" si="461"/>
        <v>4.7201183666981551E-3</v>
      </c>
      <c r="AN447" s="528">
        <f t="shared" si="461"/>
        <v>1.9638058815121366E-3</v>
      </c>
      <c r="AO447" s="528">
        <f t="shared" si="461"/>
        <v>7.3693017860743842E-4</v>
      </c>
      <c r="AP447" s="528">
        <f t="shared" si="461"/>
        <v>2.4942073231378289E-4</v>
      </c>
      <c r="AQ447" s="528">
        <f t="shared" si="461"/>
        <v>7.6140050768861581E-5</v>
      </c>
      <c r="AR447" s="528">
        <f t="shared" si="461"/>
        <v>2.0963503073290618E-5</v>
      </c>
      <c r="AS447" s="528">
        <f t="shared" si="461"/>
        <v>5.2057106791390526E-6</v>
      </c>
      <c r="AT447" s="528">
        <f t="shared" si="461"/>
        <v>1.1658879263661776E-6</v>
      </c>
      <c r="AU447" s="528" t="str">
        <f t="shared" si="461"/>
        <v/>
      </c>
      <c r="AV447" s="528" t="str">
        <f t="shared" si="461"/>
        <v/>
      </c>
      <c r="AW447" s="528" t="str">
        <f t="shared" si="461"/>
        <v/>
      </c>
      <c r="AX447" s="528" t="str">
        <f t="shared" si="461"/>
        <v/>
      </c>
      <c r="AY447" s="528" t="str">
        <f t="shared" si="461"/>
        <v/>
      </c>
      <c r="AZ447" s="528" t="str">
        <f t="shared" si="461"/>
        <v/>
      </c>
      <c r="BA447" s="528" t="str">
        <f t="shared" si="461"/>
        <v/>
      </c>
      <c r="BB447" s="528" t="str">
        <f t="shared" si="461"/>
        <v/>
      </c>
      <c r="BC447" s="528" t="str">
        <f t="shared" si="461"/>
        <v/>
      </c>
      <c r="BD447" s="528" t="str">
        <f t="shared" si="461"/>
        <v/>
      </c>
      <c r="BE447" s="528" t="str">
        <f t="shared" si="461"/>
        <v/>
      </c>
      <c r="BF447" s="528" t="str">
        <f t="shared" si="461"/>
        <v/>
      </c>
      <c r="BG447" s="528" t="str">
        <f t="shared" si="461"/>
        <v/>
      </c>
      <c r="BH447" s="528" t="str">
        <f t="shared" si="461"/>
        <v/>
      </c>
      <c r="BI447" s="528" t="str">
        <f t="shared" si="461"/>
        <v/>
      </c>
      <c r="BJ447" s="528" t="str">
        <f t="shared" si="461"/>
        <v/>
      </c>
      <c r="BK447" s="528" t="str">
        <f t="shared" si="461"/>
        <v/>
      </c>
      <c r="BL447" s="528" t="str">
        <f t="shared" si="461"/>
        <v/>
      </c>
      <c r="BM447" s="528" t="str">
        <f t="shared" si="461"/>
        <v/>
      </c>
    </row>
    <row r="448" spans="6:65" ht="15.75" customHeight="1" x14ac:dyDescent="0.25">
      <c r="F448" s="197"/>
      <c r="G448" s="197">
        <f t="shared" si="268"/>
        <v>0</v>
      </c>
      <c r="H448" s="197">
        <f t="shared" si="269"/>
        <v>3210</v>
      </c>
      <c r="I448" s="523">
        <v>1</v>
      </c>
      <c r="J448" s="533">
        <f>'Monthly DCF'!$I$3</f>
        <v>46418</v>
      </c>
      <c r="K448" s="533">
        <f t="shared" si="270"/>
        <v>47361</v>
      </c>
      <c r="L448" s="536">
        <f t="shared" si="435"/>
        <v>32</v>
      </c>
      <c r="M448" s="20" t="s">
        <v>366</v>
      </c>
      <c r="N448" s="20">
        <f t="shared" si="271"/>
        <v>3.2</v>
      </c>
      <c r="O448" s="537">
        <v>10</v>
      </c>
      <c r="P448" s="528">
        <f t="shared" ref="P448:BM448" si="462">IFERROR(+IF(AND($M448="Flat",P$5&gt;=$J448,P$5&lt;=$K448),$I448/$L448,0)+IF(AND($M448="S-Curve",P$5&gt;=$J448,P$5&lt;=$K448),(_xlfn.NORM.DIST((YEAR(P$5)-YEAR($J448))*12+MONTH(P$5)-MONTH($J448)+1,$L448/2,$N448,TRUE)-_xlfn.NORM.DIST((YEAR(P$5)-YEAR($J448))*12+MONTH(P$5)-MONTH($J448),$L448/2,$N448,TRUE))/(1-2*_xlfn.NORM.DIST(0,$L448/2,$N448,TRUE))*$I448," "),"")</f>
        <v>1.0961625629643421E-6</v>
      </c>
      <c r="Q448" s="528">
        <f t="shared" si="462"/>
        <v>4.6888130930317924E-6</v>
      </c>
      <c r="R448" s="528">
        <f t="shared" si="462"/>
        <v>1.8203360381401989E-5</v>
      </c>
      <c r="S448" s="528">
        <f t="shared" si="462"/>
        <v>6.4142348117124723E-5</v>
      </c>
      <c r="T448" s="528">
        <f t="shared" si="462"/>
        <v>2.0513819215753774E-4</v>
      </c>
      <c r="U448" s="528">
        <f t="shared" si="462"/>
        <v>5.9547028074144481E-4</v>
      </c>
      <c r="V448" s="528">
        <f t="shared" si="462"/>
        <v>1.5688767755302423E-3</v>
      </c>
      <c r="W448" s="528">
        <f t="shared" si="462"/>
        <v>3.7517663014788615E-3</v>
      </c>
      <c r="X448" s="528">
        <f t="shared" si="462"/>
        <v>8.1433609516399583E-3</v>
      </c>
      <c r="Y448" s="528">
        <f t="shared" si="462"/>
        <v>1.604334935416233E-2</v>
      </c>
      <c r="Z448" s="528">
        <f t="shared" si="462"/>
        <v>2.8688777614772551E-2</v>
      </c>
      <c r="AA448" s="528">
        <f t="shared" si="462"/>
        <v>4.6564677429863685E-2</v>
      </c>
      <c r="AB448" s="528">
        <f t="shared" si="462"/>
        <v>6.8600977542843222E-2</v>
      </c>
      <c r="AC448" s="528">
        <f t="shared" si="462"/>
        <v>9.1734869760047313E-2</v>
      </c>
      <c r="AD448" s="528">
        <f t="shared" si="462"/>
        <v>0.11134481631547563</v>
      </c>
      <c r="AE448" s="528">
        <f t="shared" si="462"/>
        <v>0.12266978879713268</v>
      </c>
      <c r="AF448" s="528">
        <f t="shared" si="462"/>
        <v>0.12266978879713263</v>
      </c>
      <c r="AG448" s="528">
        <f t="shared" si="462"/>
        <v>0.11134481631547563</v>
      </c>
      <c r="AH448" s="528">
        <f t="shared" si="462"/>
        <v>9.1734869760047341E-2</v>
      </c>
      <c r="AI448" s="528">
        <f t="shared" si="462"/>
        <v>6.8600977542843264E-2</v>
      </c>
      <c r="AJ448" s="528">
        <f t="shared" si="462"/>
        <v>4.656467742986365E-2</v>
      </c>
      <c r="AK448" s="528">
        <f t="shared" si="462"/>
        <v>2.8688777614772547E-2</v>
      </c>
      <c r="AL448" s="528">
        <f t="shared" si="462"/>
        <v>1.6043349354162316E-2</v>
      </c>
      <c r="AM448" s="528">
        <f t="shared" si="462"/>
        <v>8.1433609516399722E-3</v>
      </c>
      <c r="AN448" s="528">
        <f t="shared" si="462"/>
        <v>3.7517663014788438E-3</v>
      </c>
      <c r="AO448" s="528">
        <f t="shared" si="462"/>
        <v>1.5688767755303256E-3</v>
      </c>
      <c r="AP448" s="528">
        <f t="shared" si="462"/>
        <v>5.9547028074142508E-4</v>
      </c>
      <c r="AQ448" s="528">
        <f t="shared" si="462"/>
        <v>2.0513819215750711E-4</v>
      </c>
      <c r="AR448" s="528">
        <f t="shared" si="462"/>
        <v>6.4142348117116239E-5</v>
      </c>
      <c r="AS448" s="528">
        <f t="shared" si="462"/>
        <v>1.8203360381444137E-5</v>
      </c>
      <c r="AT448" s="528">
        <f t="shared" si="462"/>
        <v>4.6888130930515782E-6</v>
      </c>
      <c r="AU448" s="528">
        <f t="shared" si="462"/>
        <v>1.0961625628775055E-6</v>
      </c>
      <c r="AV448" s="528" t="str">
        <f t="shared" si="462"/>
        <v/>
      </c>
      <c r="AW448" s="528" t="str">
        <f t="shared" si="462"/>
        <v/>
      </c>
      <c r="AX448" s="528" t="str">
        <f t="shared" si="462"/>
        <v/>
      </c>
      <c r="AY448" s="528" t="str">
        <f t="shared" si="462"/>
        <v/>
      </c>
      <c r="AZ448" s="528" t="str">
        <f t="shared" si="462"/>
        <v/>
      </c>
      <c r="BA448" s="528" t="str">
        <f t="shared" si="462"/>
        <v/>
      </c>
      <c r="BB448" s="528" t="str">
        <f t="shared" si="462"/>
        <v/>
      </c>
      <c r="BC448" s="528" t="str">
        <f t="shared" si="462"/>
        <v/>
      </c>
      <c r="BD448" s="528" t="str">
        <f t="shared" si="462"/>
        <v/>
      </c>
      <c r="BE448" s="528" t="str">
        <f t="shared" si="462"/>
        <v/>
      </c>
      <c r="BF448" s="528" t="str">
        <f t="shared" si="462"/>
        <v/>
      </c>
      <c r="BG448" s="528" t="str">
        <f t="shared" si="462"/>
        <v/>
      </c>
      <c r="BH448" s="528" t="str">
        <f t="shared" si="462"/>
        <v/>
      </c>
      <c r="BI448" s="528" t="str">
        <f t="shared" si="462"/>
        <v/>
      </c>
      <c r="BJ448" s="528" t="str">
        <f t="shared" si="462"/>
        <v/>
      </c>
      <c r="BK448" s="528" t="str">
        <f t="shared" si="462"/>
        <v/>
      </c>
      <c r="BL448" s="528" t="str">
        <f t="shared" si="462"/>
        <v/>
      </c>
      <c r="BM448" s="528" t="str">
        <f t="shared" si="462"/>
        <v/>
      </c>
    </row>
    <row r="449" spans="6:65" ht="15.75" customHeight="1" x14ac:dyDescent="0.25">
      <c r="F449" s="197"/>
      <c r="G449" s="197">
        <f t="shared" si="268"/>
        <v>0</v>
      </c>
      <c r="H449" s="197">
        <f t="shared" si="269"/>
        <v>3310</v>
      </c>
      <c r="I449" s="523">
        <v>1</v>
      </c>
      <c r="J449" s="533">
        <f>'Monthly DCF'!$I$3</f>
        <v>46418</v>
      </c>
      <c r="K449" s="533">
        <f t="shared" si="270"/>
        <v>47391</v>
      </c>
      <c r="L449" s="536">
        <f t="shared" si="435"/>
        <v>33</v>
      </c>
      <c r="M449" s="20" t="s">
        <v>366</v>
      </c>
      <c r="N449" s="20">
        <f t="shared" si="271"/>
        <v>3.3</v>
      </c>
      <c r="O449" s="537">
        <v>10</v>
      </c>
      <c r="P449" s="528">
        <f t="shared" ref="P449:BM449" si="463">IFERROR(+IF(AND($M449="Flat",P$5&gt;=$J449,P$5&lt;=$K449),$I449/$L449,0)+IF(AND($M449="S-Curve",P$5&gt;=$J449,P$5&lt;=$K449),(_xlfn.NORM.DIST((YEAR(P$5)-YEAR($J449))*12+MONTH(P$5)-MONTH($J449)+1,$L449/2,$N449,TRUE)-_xlfn.NORM.DIST((YEAR(P$5)-YEAR($J449))*12+MONTH(P$5)-MONTH($J449),$L449/2,$N449,TRUE))/(1-2*_xlfn.NORM.DIST(0,$L449/2,$N449,TRUE))*$I449," "),"")</f>
        <v>1.0335970573912106E-6</v>
      </c>
      <c r="Q449" s="528">
        <f t="shared" si="463"/>
        <v>4.2454974428495885E-6</v>
      </c>
      <c r="R449" s="528">
        <f t="shared" si="463"/>
        <v>1.5918543606047643E-5</v>
      </c>
      <c r="S449" s="528">
        <f t="shared" si="463"/>
        <v>5.4485222881661353E-5</v>
      </c>
      <c r="T449" s="528">
        <f t="shared" si="463"/>
        <v>1.7023852219788559E-4</v>
      </c>
      <c r="U449" s="528">
        <f t="shared" si="463"/>
        <v>4.8556070699585645E-4</v>
      </c>
      <c r="V449" s="528">
        <f t="shared" si="463"/>
        <v>1.2642661309734099E-3</v>
      </c>
      <c r="W449" s="528">
        <f t="shared" si="463"/>
        <v>3.0050052554687567E-3</v>
      </c>
      <c r="X449" s="528">
        <f t="shared" si="463"/>
        <v>6.5202765207278985E-3</v>
      </c>
      <c r="Y449" s="528">
        <f t="shared" si="463"/>
        <v>1.2915252609108223E-2</v>
      </c>
      <c r="Z449" s="528">
        <f t="shared" si="463"/>
        <v>2.3353810412993409E-2</v>
      </c>
      <c r="AA449" s="528">
        <f t="shared" si="463"/>
        <v>3.8550690537791525E-2</v>
      </c>
      <c r="AB449" s="528">
        <f t="shared" si="463"/>
        <v>5.8093496157792406E-2</v>
      </c>
      <c r="AC449" s="528">
        <f t="shared" si="463"/>
        <v>7.9918061012110755E-2</v>
      </c>
      <c r="AD449" s="528">
        <f t="shared" si="463"/>
        <v>0.10036570064653128</v>
      </c>
      <c r="AE449" s="528">
        <f t="shared" si="463"/>
        <v>0.11506660392200253</v>
      </c>
      <c r="AF449" s="528">
        <f t="shared" si="463"/>
        <v>0.12043070940863622</v>
      </c>
      <c r="AG449" s="528">
        <f t="shared" si="463"/>
        <v>0.11506660392200248</v>
      </c>
      <c r="AH449" s="528">
        <f t="shared" si="463"/>
        <v>0.1003657006465313</v>
      </c>
      <c r="AI449" s="528">
        <f t="shared" si="463"/>
        <v>7.9918061012110728E-2</v>
      </c>
      <c r="AJ449" s="528">
        <f t="shared" si="463"/>
        <v>5.8093496157792503E-2</v>
      </c>
      <c r="AK449" s="528">
        <f t="shared" si="463"/>
        <v>3.855069053779149E-2</v>
      </c>
      <c r="AL449" s="528">
        <f t="shared" si="463"/>
        <v>2.3353810412993427E-2</v>
      </c>
      <c r="AM449" s="528">
        <f t="shared" si="463"/>
        <v>1.2915252609108212E-2</v>
      </c>
      <c r="AN449" s="528">
        <f t="shared" si="463"/>
        <v>6.5202765207279237E-3</v>
      </c>
      <c r="AO449" s="528">
        <f t="shared" si="463"/>
        <v>3.0050052554686916E-3</v>
      </c>
      <c r="AP449" s="528">
        <f t="shared" si="463"/>
        <v>1.2642661309733908E-3</v>
      </c>
      <c r="AQ449" s="528">
        <f t="shared" si="463"/>
        <v>4.8556070699594666E-4</v>
      </c>
      <c r="AR449" s="528">
        <f t="shared" si="463"/>
        <v>1.702385221977914E-4</v>
      </c>
      <c r="AS449" s="528">
        <f t="shared" si="463"/>
        <v>5.4485222881742289E-5</v>
      </c>
      <c r="AT449" s="528">
        <f t="shared" si="463"/>
        <v>1.5918543606059522E-5</v>
      </c>
      <c r="AU449" s="528">
        <f t="shared" si="463"/>
        <v>4.2454974428380816E-6</v>
      </c>
      <c r="AV449" s="528">
        <f t="shared" si="463"/>
        <v>1.0335970573145395E-6</v>
      </c>
      <c r="AW449" s="528" t="str">
        <f t="shared" si="463"/>
        <v/>
      </c>
      <c r="AX449" s="528" t="str">
        <f t="shared" si="463"/>
        <v/>
      </c>
      <c r="AY449" s="528" t="str">
        <f t="shared" si="463"/>
        <v/>
      </c>
      <c r="AZ449" s="528" t="str">
        <f t="shared" si="463"/>
        <v/>
      </c>
      <c r="BA449" s="528" t="str">
        <f t="shared" si="463"/>
        <v/>
      </c>
      <c r="BB449" s="528" t="str">
        <f t="shared" si="463"/>
        <v/>
      </c>
      <c r="BC449" s="528" t="str">
        <f t="shared" si="463"/>
        <v/>
      </c>
      <c r="BD449" s="528" t="str">
        <f t="shared" si="463"/>
        <v/>
      </c>
      <c r="BE449" s="528" t="str">
        <f t="shared" si="463"/>
        <v/>
      </c>
      <c r="BF449" s="528" t="str">
        <f t="shared" si="463"/>
        <v/>
      </c>
      <c r="BG449" s="528" t="str">
        <f t="shared" si="463"/>
        <v/>
      </c>
      <c r="BH449" s="528" t="str">
        <f t="shared" si="463"/>
        <v/>
      </c>
      <c r="BI449" s="528" t="str">
        <f t="shared" si="463"/>
        <v/>
      </c>
      <c r="BJ449" s="528" t="str">
        <f t="shared" si="463"/>
        <v/>
      </c>
      <c r="BK449" s="528" t="str">
        <f t="shared" si="463"/>
        <v/>
      </c>
      <c r="BL449" s="528" t="str">
        <f t="shared" si="463"/>
        <v/>
      </c>
      <c r="BM449" s="528" t="str">
        <f t="shared" si="463"/>
        <v/>
      </c>
    </row>
    <row r="450" spans="6:65" ht="15.75" customHeight="1" x14ac:dyDescent="0.25">
      <c r="F450" s="197"/>
      <c r="G450" s="197">
        <f t="shared" si="268"/>
        <v>0</v>
      </c>
      <c r="H450" s="197">
        <f t="shared" si="269"/>
        <v>3410</v>
      </c>
      <c r="I450" s="523">
        <v>1</v>
      </c>
      <c r="J450" s="533">
        <f>'Monthly DCF'!$I$3</f>
        <v>46418</v>
      </c>
      <c r="K450" s="533">
        <f t="shared" si="270"/>
        <v>47422</v>
      </c>
      <c r="L450" s="536">
        <f t="shared" si="435"/>
        <v>34</v>
      </c>
      <c r="M450" s="20" t="s">
        <v>366</v>
      </c>
      <c r="N450" s="20">
        <f t="shared" si="271"/>
        <v>3.4</v>
      </c>
      <c r="O450" s="537">
        <v>10</v>
      </c>
      <c r="P450" s="528">
        <f t="shared" ref="P450:BM450" si="464">IFERROR(+IF(AND($M450="Flat",P$5&gt;=$J450,P$5&lt;=$K450),$I450/$L450,0)+IF(AND($M450="S-Curve",P$5&gt;=$J450,P$5&lt;=$K450),(_xlfn.NORM.DIST((YEAR(P$5)-YEAR($J450))*12+MONTH(P$5)-MONTH($J450)+1,$L450/2,$N450,TRUE)-_xlfn.NORM.DIST((YEAR(P$5)-YEAR($J450))*12+MONTH(P$5)-MONTH($J450),$L450/2,$N450,TRUE))/(1-2*_xlfn.NORM.DIST(0,$L450/2,$N450,TRUE))*$I450," "),"")</f>
        <v>9.772003150518269E-7</v>
      </c>
      <c r="Q450" s="528">
        <f t="shared" si="464"/>
        <v>3.8627260363018422E-6</v>
      </c>
      <c r="R450" s="528">
        <f t="shared" si="464"/>
        <v>1.4011447059783981E-5</v>
      </c>
      <c r="S450" s="528">
        <f t="shared" si="464"/>
        <v>4.6639457922495575E-5</v>
      </c>
      <c r="T450" s="528">
        <f t="shared" si="464"/>
        <v>1.4246491687779298E-4</v>
      </c>
      <c r="U450" s="528">
        <f t="shared" si="464"/>
        <v>3.9934537808984557E-4</v>
      </c>
      <c r="V450" s="528">
        <f t="shared" si="464"/>
        <v>1.0272541655693772E-3</v>
      </c>
      <c r="W450" s="528">
        <f t="shared" si="464"/>
        <v>2.4249217792440088E-3</v>
      </c>
      <c r="X450" s="528">
        <f t="shared" si="464"/>
        <v>5.2530317599054823E-3</v>
      </c>
      <c r="Y450" s="528">
        <f t="shared" si="464"/>
        <v>1.0442789231963472E-2</v>
      </c>
      <c r="Z450" s="528">
        <f t="shared" si="464"/>
        <v>1.9051042262092612E-2</v>
      </c>
      <c r="AA450" s="528">
        <f t="shared" si="464"/>
        <v>3.1894667299768274E-2</v>
      </c>
      <c r="AB450" s="528">
        <f t="shared" si="464"/>
        <v>4.900221374821144E-2</v>
      </c>
      <c r="AC450" s="528">
        <f t="shared" si="464"/>
        <v>6.9089587948007583E-2</v>
      </c>
      <c r="AD450" s="528">
        <f t="shared" si="464"/>
        <v>8.9394248726332837E-2</v>
      </c>
      <c r="AE450" s="528">
        <f t="shared" si="464"/>
        <v>0.10614687892129036</v>
      </c>
      <c r="AF450" s="528">
        <f t="shared" si="464"/>
        <v>0.11566606303131327</v>
      </c>
      <c r="AG450" s="528">
        <f t="shared" si="464"/>
        <v>0.11566606303131322</v>
      </c>
      <c r="AH450" s="528">
        <f t="shared" si="464"/>
        <v>0.10614687892129042</v>
      </c>
      <c r="AI450" s="528">
        <f t="shared" si="464"/>
        <v>8.9394248726332864E-2</v>
      </c>
      <c r="AJ450" s="528">
        <f t="shared" si="464"/>
        <v>6.9089587948007569E-2</v>
      </c>
      <c r="AK450" s="528">
        <f t="shared" si="464"/>
        <v>4.9002213748211371E-2</v>
      </c>
      <c r="AL450" s="528">
        <f t="shared" si="464"/>
        <v>3.1894667299768302E-2</v>
      </c>
      <c r="AM450" s="528">
        <f t="shared" si="464"/>
        <v>1.9051042262092668E-2</v>
      </c>
      <c r="AN450" s="528">
        <f t="shared" si="464"/>
        <v>1.044278923196342E-2</v>
      </c>
      <c r="AO450" s="528">
        <f t="shared" si="464"/>
        <v>5.2530317599055161E-3</v>
      </c>
      <c r="AP450" s="528">
        <f t="shared" si="464"/>
        <v>2.42492177924403E-3</v>
      </c>
      <c r="AQ450" s="528">
        <f t="shared" si="464"/>
        <v>1.0272541655693941E-3</v>
      </c>
      <c r="AR450" s="528">
        <f t="shared" si="464"/>
        <v>3.9934537808982004E-4</v>
      </c>
      <c r="AS450" s="528">
        <f t="shared" si="464"/>
        <v>1.4246491687777872E-4</v>
      </c>
      <c r="AT450" s="528">
        <f t="shared" si="464"/>
        <v>4.6639457922540238E-5</v>
      </c>
      <c r="AU450" s="528">
        <f t="shared" si="464"/>
        <v>1.4011447059713029E-5</v>
      </c>
      <c r="AV450" s="528">
        <f t="shared" si="464"/>
        <v>3.8627260363143969E-6</v>
      </c>
      <c r="AW450" s="528">
        <f t="shared" si="464"/>
        <v>9.7720031501340082E-7</v>
      </c>
      <c r="AX450" s="528" t="str">
        <f t="shared" si="464"/>
        <v/>
      </c>
      <c r="AY450" s="528" t="str">
        <f t="shared" si="464"/>
        <v/>
      </c>
      <c r="AZ450" s="528" t="str">
        <f t="shared" si="464"/>
        <v/>
      </c>
      <c r="BA450" s="528" t="str">
        <f t="shared" si="464"/>
        <v/>
      </c>
      <c r="BB450" s="528" t="str">
        <f t="shared" si="464"/>
        <v/>
      </c>
      <c r="BC450" s="528" t="str">
        <f t="shared" si="464"/>
        <v/>
      </c>
      <c r="BD450" s="528" t="str">
        <f t="shared" si="464"/>
        <v/>
      </c>
      <c r="BE450" s="528" t="str">
        <f t="shared" si="464"/>
        <v/>
      </c>
      <c r="BF450" s="528" t="str">
        <f t="shared" si="464"/>
        <v/>
      </c>
      <c r="BG450" s="528" t="str">
        <f t="shared" si="464"/>
        <v/>
      </c>
      <c r="BH450" s="528" t="str">
        <f t="shared" si="464"/>
        <v/>
      </c>
      <c r="BI450" s="528" t="str">
        <f t="shared" si="464"/>
        <v/>
      </c>
      <c r="BJ450" s="528" t="str">
        <f t="shared" si="464"/>
        <v/>
      </c>
      <c r="BK450" s="528" t="str">
        <f t="shared" si="464"/>
        <v/>
      </c>
      <c r="BL450" s="528" t="str">
        <f t="shared" si="464"/>
        <v/>
      </c>
      <c r="BM450" s="528" t="str">
        <f t="shared" si="464"/>
        <v/>
      </c>
    </row>
    <row r="451" spans="6:65" ht="15.75" customHeight="1" x14ac:dyDescent="0.25">
      <c r="F451" s="197"/>
      <c r="G451" s="197">
        <f t="shared" si="268"/>
        <v>0</v>
      </c>
      <c r="H451" s="197">
        <f t="shared" si="269"/>
        <v>3510</v>
      </c>
      <c r="I451" s="523">
        <v>1</v>
      </c>
      <c r="J451" s="533">
        <f>'Monthly DCF'!$I$3</f>
        <v>46418</v>
      </c>
      <c r="K451" s="533">
        <f t="shared" si="270"/>
        <v>47452</v>
      </c>
      <c r="L451" s="536">
        <f t="shared" si="435"/>
        <v>35</v>
      </c>
      <c r="M451" s="20" t="s">
        <v>366</v>
      </c>
      <c r="N451" s="20">
        <f t="shared" si="271"/>
        <v>3.5</v>
      </c>
      <c r="O451" s="537">
        <v>10</v>
      </c>
      <c r="P451" s="528">
        <f t="shared" ref="P451:BM451" si="465">IFERROR(+IF(AND($M451="Flat",P$5&gt;=$J451,P$5&lt;=$K451),$I451/$L451,0)+IF(AND($M451="S-Curve",P$5&gt;=$J451,P$5&lt;=$K451),(_xlfn.NORM.DIST((YEAR(P$5)-YEAR($J451))*12+MONTH(P$5)-MONTH($J451)+1,$L451/2,$N451,TRUE)-_xlfn.NORM.DIST((YEAR(P$5)-YEAR($J451))*12+MONTH(P$5)-MONTH($J451),$L451/2,$N451,TRUE))/(1-2*_xlfn.NORM.DIST(0,$L451/2,$N451,TRUE))*$I451," "),"")</f>
        <v>9.2614953041196888E-7</v>
      </c>
      <c r="Q451" s="528">
        <f t="shared" si="465"/>
        <v>3.5301666486632656E-6</v>
      </c>
      <c r="R451" s="528">
        <f t="shared" si="465"/>
        <v>1.2407323034029449E-5</v>
      </c>
      <c r="S451" s="528">
        <f t="shared" si="465"/>
        <v>4.0209802458679842E-5</v>
      </c>
      <c r="T451" s="528">
        <f t="shared" si="465"/>
        <v>1.2015969873812362E-4</v>
      </c>
      <c r="U451" s="528">
        <f t="shared" si="465"/>
        <v>3.311011746121999E-4</v>
      </c>
      <c r="V451" s="528">
        <f t="shared" si="465"/>
        <v>8.4127783877299667E-4</v>
      </c>
      <c r="W451" s="528">
        <f t="shared" si="465"/>
        <v>1.9710458365899924E-3</v>
      </c>
      <c r="X451" s="528">
        <f t="shared" si="465"/>
        <v>4.2582791417912326E-3</v>
      </c>
      <c r="Y451" s="528">
        <f t="shared" si="465"/>
        <v>8.4830710284798869E-3</v>
      </c>
      <c r="Z451" s="528">
        <f t="shared" si="465"/>
        <v>1.5583139446707129E-2</v>
      </c>
      <c r="AA451" s="528">
        <f t="shared" si="465"/>
        <v>2.6396165885659781E-2</v>
      </c>
      <c r="AB451" s="528">
        <f t="shared" si="465"/>
        <v>4.1229853611208137E-2</v>
      </c>
      <c r="AC451" s="528">
        <f t="shared" si="465"/>
        <v>5.9383891133097506E-2</v>
      </c>
      <c r="AD451" s="528">
        <f t="shared" si="465"/>
        <v>7.8870053311969016E-2</v>
      </c>
      <c r="AE451" s="528">
        <f t="shared" si="465"/>
        <v>9.6592364247354207E-2</v>
      </c>
      <c r="AF451" s="528">
        <f t="shared" si="465"/>
        <v>0.10908399482410434</v>
      </c>
      <c r="AG451" s="528">
        <f t="shared" si="465"/>
        <v>0.11359705875848732</v>
      </c>
      <c r="AH451" s="528">
        <f t="shared" si="465"/>
        <v>0.10908399482410434</v>
      </c>
      <c r="AI451" s="528">
        <f t="shared" si="465"/>
        <v>9.6592364247354151E-2</v>
      </c>
      <c r="AJ451" s="528">
        <f t="shared" si="465"/>
        <v>7.8870053311969099E-2</v>
      </c>
      <c r="AK451" s="528">
        <f t="shared" si="465"/>
        <v>5.9383891133097465E-2</v>
      </c>
      <c r="AL451" s="528">
        <f t="shared" si="465"/>
        <v>4.1229853611208178E-2</v>
      </c>
      <c r="AM451" s="528">
        <f t="shared" si="465"/>
        <v>2.6396165885659774E-2</v>
      </c>
      <c r="AN451" s="528">
        <f t="shared" si="465"/>
        <v>1.5583139446707157E-2</v>
      </c>
      <c r="AO451" s="528">
        <f t="shared" si="465"/>
        <v>8.4830710284798105E-3</v>
      </c>
      <c r="AP451" s="528">
        <f t="shared" si="465"/>
        <v>4.2582791417913107E-3</v>
      </c>
      <c r="AQ451" s="528">
        <f t="shared" si="465"/>
        <v>1.9710458365899326E-3</v>
      </c>
      <c r="AR451" s="528">
        <f t="shared" si="465"/>
        <v>8.412778387730047E-4</v>
      </c>
      <c r="AS451" s="528">
        <f t="shared" si="465"/>
        <v>3.3110117461217735E-4</v>
      </c>
      <c r="AT451" s="528">
        <f t="shared" si="465"/>
        <v>1.2015969873816913E-4</v>
      </c>
      <c r="AU451" s="528">
        <f t="shared" si="465"/>
        <v>4.0209802458625665E-5</v>
      </c>
      <c r="AV451" s="528">
        <f t="shared" si="465"/>
        <v>1.2407323034049915E-5</v>
      </c>
      <c r="AW451" s="528">
        <f t="shared" si="465"/>
        <v>3.5301666486987618E-6</v>
      </c>
      <c r="AX451" s="528">
        <f t="shared" si="465"/>
        <v>9.2614953034503115E-7</v>
      </c>
      <c r="AY451" s="528" t="str">
        <f t="shared" si="465"/>
        <v/>
      </c>
      <c r="AZ451" s="528" t="str">
        <f t="shared" si="465"/>
        <v/>
      </c>
      <c r="BA451" s="528" t="str">
        <f t="shared" si="465"/>
        <v/>
      </c>
      <c r="BB451" s="528" t="str">
        <f t="shared" si="465"/>
        <v/>
      </c>
      <c r="BC451" s="528" t="str">
        <f t="shared" si="465"/>
        <v/>
      </c>
      <c r="BD451" s="528" t="str">
        <f t="shared" si="465"/>
        <v/>
      </c>
      <c r="BE451" s="528" t="str">
        <f t="shared" si="465"/>
        <v/>
      </c>
      <c r="BF451" s="528" t="str">
        <f t="shared" si="465"/>
        <v/>
      </c>
      <c r="BG451" s="528" t="str">
        <f t="shared" si="465"/>
        <v/>
      </c>
      <c r="BH451" s="528" t="str">
        <f t="shared" si="465"/>
        <v/>
      </c>
      <c r="BI451" s="528" t="str">
        <f t="shared" si="465"/>
        <v/>
      </c>
      <c r="BJ451" s="528" t="str">
        <f t="shared" si="465"/>
        <v/>
      </c>
      <c r="BK451" s="528" t="str">
        <f t="shared" si="465"/>
        <v/>
      </c>
      <c r="BL451" s="528" t="str">
        <f t="shared" si="465"/>
        <v/>
      </c>
      <c r="BM451" s="528" t="str">
        <f t="shared" si="465"/>
        <v/>
      </c>
    </row>
    <row r="452" spans="6:65" ht="15.75" customHeight="1" x14ac:dyDescent="0.25">
      <c r="F452" s="197"/>
      <c r="G452" s="197">
        <f t="shared" si="268"/>
        <v>0</v>
      </c>
      <c r="H452" s="197">
        <f t="shared" si="269"/>
        <v>3610</v>
      </c>
      <c r="I452" s="523">
        <v>1</v>
      </c>
      <c r="J452" s="533">
        <f>'Monthly DCF'!$I$3</f>
        <v>46418</v>
      </c>
      <c r="K452" s="533">
        <f t="shared" si="270"/>
        <v>47483</v>
      </c>
      <c r="L452" s="536">
        <f t="shared" si="435"/>
        <v>36</v>
      </c>
      <c r="M452" s="20" t="s">
        <v>366</v>
      </c>
      <c r="N452" s="20">
        <f t="shared" si="271"/>
        <v>3.6</v>
      </c>
      <c r="O452" s="537">
        <v>10</v>
      </c>
      <c r="P452" s="528">
        <f t="shared" ref="P452:BM452" si="466">IFERROR(+IF(AND($M452="Flat",P$5&gt;=$J452,P$5&lt;=$K452),$I452/$L452,0)+IF(AND($M452="S-Curve",P$5&gt;=$J452,P$5&lt;=$K452),(_xlfn.NORM.DIST((YEAR(P$5)-YEAR($J452))*12+MONTH(P$5)-MONTH($J452)+1,$L452/2,$N452,TRUE)-_xlfn.NORM.DIST((YEAR(P$5)-YEAR($J452))*12+MONTH(P$5)-MONTH($J452),$L452/2,$N452,TRUE))/(1-2*_xlfn.NORM.DIST(0,$L452/2,$N452,TRUE))*$I452," "),"")</f>
        <v>8.7975685835889783E-7</v>
      </c>
      <c r="Q452" s="528">
        <f t="shared" si="466"/>
        <v>3.2395576339670429E-6</v>
      </c>
      <c r="R452" s="528">
        <f t="shared" si="466"/>
        <v>1.1048339513754552E-5</v>
      </c>
      <c r="S452" s="528">
        <f t="shared" si="466"/>
        <v>3.4897826051522359E-5</v>
      </c>
      <c r="T452" s="528">
        <f t="shared" si="466"/>
        <v>1.0209195433839173E-4</v>
      </c>
      <c r="U452" s="528">
        <f t="shared" si="466"/>
        <v>2.7661649304640382E-4</v>
      </c>
      <c r="V452" s="528">
        <f t="shared" si="466"/>
        <v>6.941599672704873E-4</v>
      </c>
      <c r="W452" s="528">
        <f t="shared" si="466"/>
        <v>1.6133828086983466E-3</v>
      </c>
      <c r="X452" s="528">
        <f t="shared" si="466"/>
        <v>3.473065530651377E-3</v>
      </c>
      <c r="Y452" s="528">
        <f t="shared" si="466"/>
        <v>6.9244843350736215E-3</v>
      </c>
      <c r="Z452" s="528">
        <f t="shared" si="466"/>
        <v>1.2786800997535092E-2</v>
      </c>
      <c r="AA452" s="528">
        <f t="shared" si="466"/>
        <v>2.1869425452782067E-2</v>
      </c>
      <c r="AB452" s="528">
        <f t="shared" si="466"/>
        <v>3.464293746204479E-2</v>
      </c>
      <c r="AC452" s="528">
        <f t="shared" si="466"/>
        <v>5.0827022167842482E-2</v>
      </c>
      <c r="AD452" s="528">
        <f t="shared" si="466"/>
        <v>6.9068157658129528E-2</v>
      </c>
      <c r="AE452" s="528">
        <f t="shared" si="466"/>
        <v>8.6929029627014903E-2</v>
      </c>
      <c r="AF452" s="528">
        <f t="shared" si="466"/>
        <v>0.10133417277480283</v>
      </c>
      <c r="AG452" s="528">
        <f t="shared" si="466"/>
        <v>0.10940858729071207</v>
      </c>
      <c r="AH452" s="528">
        <f t="shared" si="466"/>
        <v>0.10940858729071207</v>
      </c>
      <c r="AI452" s="528">
        <f t="shared" si="466"/>
        <v>0.10133417277480289</v>
      </c>
      <c r="AJ452" s="528">
        <f t="shared" si="466"/>
        <v>8.6929029627014848E-2</v>
      </c>
      <c r="AK452" s="528">
        <f t="shared" si="466"/>
        <v>6.9068157658129473E-2</v>
      </c>
      <c r="AL452" s="528">
        <f t="shared" si="466"/>
        <v>5.082702216784258E-2</v>
      </c>
      <c r="AM452" s="528">
        <f t="shared" si="466"/>
        <v>3.4642937462044755E-2</v>
      </c>
      <c r="AN452" s="528">
        <f t="shared" si="466"/>
        <v>2.1869425452782049E-2</v>
      </c>
      <c r="AO452" s="528">
        <f t="shared" si="466"/>
        <v>1.2786800997535104E-2</v>
      </c>
      <c r="AP452" s="528">
        <f t="shared" si="466"/>
        <v>6.9244843350735937E-3</v>
      </c>
      <c r="AQ452" s="528">
        <f t="shared" si="466"/>
        <v>3.4730655306514156E-3</v>
      </c>
      <c r="AR452" s="528">
        <f t="shared" si="466"/>
        <v>1.613382808698375E-3</v>
      </c>
      <c r="AS452" s="528">
        <f t="shared" si="466"/>
        <v>6.941599672704988E-4</v>
      </c>
      <c r="AT452" s="528">
        <f t="shared" si="466"/>
        <v>2.7661649304640436E-4</v>
      </c>
      <c r="AU452" s="528">
        <f t="shared" si="466"/>
        <v>1.0209195433831421E-4</v>
      </c>
      <c r="AV452" s="528">
        <f t="shared" si="466"/>
        <v>3.4897826051520495E-5</v>
      </c>
      <c r="AW452" s="528">
        <f t="shared" si="466"/>
        <v>1.1048339513822826E-5</v>
      </c>
      <c r="AX452" s="528">
        <f t="shared" si="466"/>
        <v>3.2395576338837258E-6</v>
      </c>
      <c r="AY452" s="528">
        <f t="shared" si="466"/>
        <v>8.7975685835599812E-7</v>
      </c>
      <c r="AZ452" s="528" t="str">
        <f t="shared" si="466"/>
        <v/>
      </c>
      <c r="BA452" s="528" t="str">
        <f t="shared" si="466"/>
        <v/>
      </c>
      <c r="BB452" s="528" t="str">
        <f t="shared" si="466"/>
        <v/>
      </c>
      <c r="BC452" s="528" t="str">
        <f t="shared" si="466"/>
        <v/>
      </c>
      <c r="BD452" s="528" t="str">
        <f t="shared" si="466"/>
        <v/>
      </c>
      <c r="BE452" s="528" t="str">
        <f t="shared" si="466"/>
        <v/>
      </c>
      <c r="BF452" s="528" t="str">
        <f t="shared" si="466"/>
        <v/>
      </c>
      <c r="BG452" s="528" t="str">
        <f t="shared" si="466"/>
        <v/>
      </c>
      <c r="BH452" s="528" t="str">
        <f t="shared" si="466"/>
        <v/>
      </c>
      <c r="BI452" s="528" t="str">
        <f t="shared" si="466"/>
        <v/>
      </c>
      <c r="BJ452" s="528" t="str">
        <f t="shared" si="466"/>
        <v/>
      </c>
      <c r="BK452" s="528" t="str">
        <f t="shared" si="466"/>
        <v/>
      </c>
      <c r="BL452" s="528" t="str">
        <f t="shared" si="466"/>
        <v/>
      </c>
      <c r="BM452" s="528" t="str">
        <f t="shared" si="466"/>
        <v/>
      </c>
    </row>
    <row r="453" spans="6:65" ht="15.75" customHeight="1" x14ac:dyDescent="0.25">
      <c r="F453" s="197"/>
      <c r="G453" s="197">
        <f t="shared" si="268"/>
        <v>0</v>
      </c>
      <c r="H453" s="197">
        <f t="shared" si="269"/>
        <v>3710</v>
      </c>
      <c r="I453" s="523">
        <v>1</v>
      </c>
      <c r="J453" s="533">
        <f>'Monthly DCF'!$I$3</f>
        <v>46418</v>
      </c>
      <c r="K453" s="533">
        <f t="shared" si="270"/>
        <v>47514</v>
      </c>
      <c r="L453" s="536">
        <f t="shared" si="435"/>
        <v>37</v>
      </c>
      <c r="M453" s="20" t="s">
        <v>366</v>
      </c>
      <c r="N453" s="20">
        <f t="shared" si="271"/>
        <v>3.7</v>
      </c>
      <c r="O453" s="537">
        <v>10</v>
      </c>
      <c r="P453" s="528">
        <f t="shared" ref="P453:BM453" si="467">IFERROR(+IF(AND($M453="Flat",P$5&gt;=$J453,P$5&lt;=$K453),$I453/$L453,0)+IF(AND($M453="S-Curve",P$5&gt;=$J453,P$5&lt;=$K453),(_xlfn.NORM.DIST((YEAR(P$5)-YEAR($J453))*12+MONTH(P$5)-MONTH($J453)+1,$L453/2,$N453,TRUE)-_xlfn.NORM.DIST((YEAR(P$5)-YEAR($J453))*12+MONTH(P$5)-MONTH($J453),$L453/2,$N453,TRUE))/(1-2*_xlfn.NORM.DIST(0,$L453/2,$N453,TRUE))*$I453," "),"")</f>
        <v>8.3744354558812844E-7</v>
      </c>
      <c r="Q453" s="528">
        <f t="shared" si="467"/>
        <v>2.9842377069074492E-6</v>
      </c>
      <c r="R453" s="528">
        <f t="shared" si="467"/>
        <v>9.8893216963995991E-6</v>
      </c>
      <c r="S453" s="528">
        <f t="shared" si="467"/>
        <v>3.0475884620496093E-5</v>
      </c>
      <c r="T453" s="528">
        <f t="shared" si="467"/>
        <v>8.7338212044855615E-5</v>
      </c>
      <c r="U453" s="528">
        <f t="shared" si="467"/>
        <v>2.3276184577504205E-4</v>
      </c>
      <c r="V453" s="528">
        <f t="shared" si="467"/>
        <v>5.7687283318196816E-4</v>
      </c>
      <c r="W453" s="528">
        <f t="shared" si="467"/>
        <v>1.3295674638844235E-3</v>
      </c>
      <c r="X453" s="528">
        <f t="shared" si="467"/>
        <v>2.8497304359199741E-3</v>
      </c>
      <c r="Y453" s="528">
        <f t="shared" si="467"/>
        <v>5.680169800805694E-3</v>
      </c>
      <c r="Z453" s="528">
        <f t="shared" si="467"/>
        <v>1.052892246945274E-2</v>
      </c>
      <c r="AA453" s="528">
        <f t="shared" si="467"/>
        <v>1.8149825416262002E-2</v>
      </c>
      <c r="AB453" s="528">
        <f t="shared" si="467"/>
        <v>2.9095621624670182E-2</v>
      </c>
      <c r="AC453" s="528">
        <f t="shared" si="467"/>
        <v>4.3376064502144741E-2</v>
      </c>
      <c r="AD453" s="528">
        <f t="shared" si="467"/>
        <v>6.0136829077330319E-2</v>
      </c>
      <c r="AE453" s="528">
        <f t="shared" si="467"/>
        <v>7.7535257326731971E-2</v>
      </c>
      <c r="AF453" s="528">
        <f t="shared" si="467"/>
        <v>9.2966531024432739E-2</v>
      </c>
      <c r="AG453" s="528">
        <f t="shared" si="467"/>
        <v>0.10366280583380394</v>
      </c>
      <c r="AH453" s="528">
        <f t="shared" si="467"/>
        <v>0.10749503049198</v>
      </c>
      <c r="AI453" s="528">
        <f t="shared" si="467"/>
        <v>0.10366280583380388</v>
      </c>
      <c r="AJ453" s="528">
        <f t="shared" si="467"/>
        <v>9.2966531024432794E-2</v>
      </c>
      <c r="AK453" s="528">
        <f t="shared" si="467"/>
        <v>7.7535257326731999E-2</v>
      </c>
      <c r="AL453" s="528">
        <f t="shared" si="467"/>
        <v>6.0136829077330263E-2</v>
      </c>
      <c r="AM453" s="528">
        <f t="shared" si="467"/>
        <v>4.3376064502144783E-2</v>
      </c>
      <c r="AN453" s="528">
        <f t="shared" si="467"/>
        <v>2.9095621624670175E-2</v>
      </c>
      <c r="AO453" s="528">
        <f t="shared" si="467"/>
        <v>1.8149825416262033E-2</v>
      </c>
      <c r="AP453" s="528">
        <f t="shared" si="467"/>
        <v>1.0528922469452669E-2</v>
      </c>
      <c r="AQ453" s="528">
        <f t="shared" si="467"/>
        <v>5.6801698008057582E-3</v>
      </c>
      <c r="AR453" s="528">
        <f t="shared" si="467"/>
        <v>2.8497304359199182E-3</v>
      </c>
      <c r="AS453" s="528">
        <f t="shared" si="467"/>
        <v>1.3295674638844023E-3</v>
      </c>
      <c r="AT453" s="528">
        <f t="shared" si="467"/>
        <v>5.7687283318197814E-4</v>
      </c>
      <c r="AU453" s="528">
        <f t="shared" si="467"/>
        <v>2.3276184577509487E-4</v>
      </c>
      <c r="AV453" s="528">
        <f t="shared" si="467"/>
        <v>8.7338212044865102E-5</v>
      </c>
      <c r="AW453" s="528">
        <f t="shared" si="467"/>
        <v>3.0475884620469903E-5</v>
      </c>
      <c r="AX453" s="528">
        <f t="shared" si="467"/>
        <v>9.8893216964357166E-6</v>
      </c>
      <c r="AY453" s="528">
        <f t="shared" si="467"/>
        <v>2.9842377068570448E-6</v>
      </c>
      <c r="AZ453" s="528">
        <f t="shared" si="467"/>
        <v>8.3744354555799027E-7</v>
      </c>
      <c r="BA453" s="528" t="str">
        <f t="shared" si="467"/>
        <v/>
      </c>
      <c r="BB453" s="528" t="str">
        <f t="shared" si="467"/>
        <v/>
      </c>
      <c r="BC453" s="528" t="str">
        <f t="shared" si="467"/>
        <v/>
      </c>
      <c r="BD453" s="528" t="str">
        <f t="shared" si="467"/>
        <v/>
      </c>
      <c r="BE453" s="528" t="str">
        <f t="shared" si="467"/>
        <v/>
      </c>
      <c r="BF453" s="528" t="str">
        <f t="shared" si="467"/>
        <v/>
      </c>
      <c r="BG453" s="528" t="str">
        <f t="shared" si="467"/>
        <v/>
      </c>
      <c r="BH453" s="528" t="str">
        <f t="shared" si="467"/>
        <v/>
      </c>
      <c r="BI453" s="528" t="str">
        <f t="shared" si="467"/>
        <v/>
      </c>
      <c r="BJ453" s="528" t="str">
        <f t="shared" si="467"/>
        <v/>
      </c>
      <c r="BK453" s="528" t="str">
        <f t="shared" si="467"/>
        <v/>
      </c>
      <c r="BL453" s="528" t="str">
        <f t="shared" si="467"/>
        <v/>
      </c>
      <c r="BM453" s="528" t="str">
        <f t="shared" si="467"/>
        <v/>
      </c>
    </row>
    <row r="454" spans="6:65" ht="15.75" customHeight="1" x14ac:dyDescent="0.25">
      <c r="F454" s="197"/>
      <c r="G454" s="197">
        <f t="shared" si="268"/>
        <v>0</v>
      </c>
      <c r="H454" s="197">
        <f t="shared" si="269"/>
        <v>3810</v>
      </c>
      <c r="I454" s="523">
        <v>1</v>
      </c>
      <c r="J454" s="533">
        <f>'Monthly DCF'!$I$3</f>
        <v>46418</v>
      </c>
      <c r="K454" s="533">
        <f t="shared" si="270"/>
        <v>47542</v>
      </c>
      <c r="L454" s="536">
        <f t="shared" si="435"/>
        <v>38</v>
      </c>
      <c r="M454" s="20" t="s">
        <v>366</v>
      </c>
      <c r="N454" s="20">
        <f t="shared" si="271"/>
        <v>3.8</v>
      </c>
      <c r="O454" s="537">
        <v>10</v>
      </c>
      <c r="P454" s="528">
        <f t="shared" ref="P454:BM454" si="468">IFERROR(+IF(AND($M454="Flat",P$5&gt;=$J454,P$5&lt;=$K454),$I454/$L454,0)+IF(AND($M454="S-Curve",P$5&gt;=$J454,P$5&lt;=$K454),(_xlfn.NORM.DIST((YEAR(P$5)-YEAR($J454))*12+MONTH(P$5)-MONTH($J454)+1,$L454/2,$N454,TRUE)-_xlfn.NORM.DIST((YEAR(P$5)-YEAR($J454))*12+MONTH(P$5)-MONTH($J454),$L454/2,$N454,TRUE))/(1-2*_xlfn.NORM.DIST(0,$L454/2,$N454,TRUE))*$I454," "),"")</f>
        <v>7.9871967492329924E-7</v>
      </c>
      <c r="Q454" s="528">
        <f t="shared" si="468"/>
        <v>2.7587939479846795E-6</v>
      </c>
      <c r="R454" s="528">
        <f t="shared" si="468"/>
        <v>8.8946640785955362E-6</v>
      </c>
      <c r="S454" s="528">
        <f t="shared" si="468"/>
        <v>2.6768652099858488E-5</v>
      </c>
      <c r="T454" s="528">
        <f t="shared" si="468"/>
        <v>7.5198871689345035E-5</v>
      </c>
      <c r="U454" s="528">
        <f t="shared" si="468"/>
        <v>1.9719012106457183E-4</v>
      </c>
      <c r="V454" s="528">
        <f t="shared" si="468"/>
        <v>4.8266862228546882E-4</v>
      </c>
      <c r="W454" s="528">
        <f t="shared" si="468"/>
        <v>1.1028185749954258E-3</v>
      </c>
      <c r="X454" s="528">
        <f t="shared" si="468"/>
        <v>2.3520746992566097E-3</v>
      </c>
      <c r="Y454" s="528">
        <f t="shared" si="468"/>
        <v>4.6826430060449243E-3</v>
      </c>
      <c r="Z454" s="528">
        <f t="shared" si="468"/>
        <v>8.7021123462485452E-3</v>
      </c>
      <c r="AA454" s="528">
        <f t="shared" si="468"/>
        <v>1.5095682090689176E-2</v>
      </c>
      <c r="AB454" s="528">
        <f t="shared" si="468"/>
        <v>2.4444201835378567E-2</v>
      </c>
      <c r="AC454" s="528">
        <f t="shared" si="468"/>
        <v>3.6948312952641865E-2</v>
      </c>
      <c r="AD454" s="528">
        <f t="shared" si="468"/>
        <v>5.2132612338575121E-2</v>
      </c>
      <c r="AE454" s="528">
        <f t="shared" si="468"/>
        <v>6.8662702583872928E-2</v>
      </c>
      <c r="AF454" s="528">
        <f t="shared" si="468"/>
        <v>8.4416853214057549E-2</v>
      </c>
      <c r="AG454" s="528">
        <f t="shared" si="468"/>
        <v>9.6880089615077325E-2</v>
      </c>
      <c r="AH454" s="528">
        <f t="shared" si="468"/>
        <v>0.10378561829832121</v>
      </c>
      <c r="AI454" s="528">
        <f t="shared" si="468"/>
        <v>0.10378561829832116</v>
      </c>
      <c r="AJ454" s="528">
        <f t="shared" si="468"/>
        <v>9.6880089615077436E-2</v>
      </c>
      <c r="AK454" s="528">
        <f t="shared" si="468"/>
        <v>8.4416853214057494E-2</v>
      </c>
      <c r="AL454" s="528">
        <f t="shared" si="468"/>
        <v>6.8662702583872928E-2</v>
      </c>
      <c r="AM454" s="528">
        <f t="shared" si="468"/>
        <v>5.2132612338575107E-2</v>
      </c>
      <c r="AN454" s="528">
        <f t="shared" si="468"/>
        <v>3.6948312952641844E-2</v>
      </c>
      <c r="AO454" s="528">
        <f t="shared" si="468"/>
        <v>2.4444201835378623E-2</v>
      </c>
      <c r="AP454" s="528">
        <f t="shared" si="468"/>
        <v>1.5095682090689148E-2</v>
      </c>
      <c r="AQ454" s="528">
        <f t="shared" si="468"/>
        <v>8.7021123462485139E-3</v>
      </c>
      <c r="AR454" s="528">
        <f t="shared" si="468"/>
        <v>4.6826430060449885E-3</v>
      </c>
      <c r="AS454" s="528">
        <f t="shared" si="468"/>
        <v>2.3520746992566036E-3</v>
      </c>
      <c r="AT454" s="528">
        <f t="shared" si="468"/>
        <v>1.102818574995382E-3</v>
      </c>
      <c r="AU454" s="528">
        <f t="shared" si="468"/>
        <v>4.8266862228553051E-4</v>
      </c>
      <c r="AV454" s="528">
        <f t="shared" si="468"/>
        <v>1.9719012106448559E-4</v>
      </c>
      <c r="AW454" s="528">
        <f t="shared" si="468"/>
        <v>7.5198871689399028E-5</v>
      </c>
      <c r="AX454" s="528">
        <f t="shared" si="468"/>
        <v>2.6768652099879481E-5</v>
      </c>
      <c r="AY454" s="528">
        <f t="shared" si="468"/>
        <v>8.8946640785804557E-6</v>
      </c>
      <c r="AZ454" s="528">
        <f t="shared" si="468"/>
        <v>2.7587939479560524E-6</v>
      </c>
      <c r="BA454" s="528">
        <f t="shared" si="468"/>
        <v>7.987196748963205E-7</v>
      </c>
      <c r="BB454" s="528" t="str">
        <f t="shared" si="468"/>
        <v/>
      </c>
      <c r="BC454" s="528" t="str">
        <f t="shared" si="468"/>
        <v/>
      </c>
      <c r="BD454" s="528" t="str">
        <f t="shared" si="468"/>
        <v/>
      </c>
      <c r="BE454" s="528" t="str">
        <f t="shared" si="468"/>
        <v/>
      </c>
      <c r="BF454" s="528" t="str">
        <f t="shared" si="468"/>
        <v/>
      </c>
      <c r="BG454" s="528" t="str">
        <f t="shared" si="468"/>
        <v/>
      </c>
      <c r="BH454" s="528" t="str">
        <f t="shared" si="468"/>
        <v/>
      </c>
      <c r="BI454" s="528" t="str">
        <f t="shared" si="468"/>
        <v/>
      </c>
      <c r="BJ454" s="528" t="str">
        <f t="shared" si="468"/>
        <v/>
      </c>
      <c r="BK454" s="528" t="str">
        <f t="shared" si="468"/>
        <v/>
      </c>
      <c r="BL454" s="528" t="str">
        <f t="shared" si="468"/>
        <v/>
      </c>
      <c r="BM454" s="528" t="str">
        <f t="shared" si="468"/>
        <v/>
      </c>
    </row>
    <row r="455" spans="6:65" ht="15.75" customHeight="1" x14ac:dyDescent="0.25">
      <c r="F455" s="197"/>
      <c r="G455" s="197">
        <f t="shared" si="268"/>
        <v>0</v>
      </c>
      <c r="H455" s="197">
        <f t="shared" si="269"/>
        <v>3910</v>
      </c>
      <c r="I455" s="523">
        <v>1</v>
      </c>
      <c r="J455" s="533">
        <f>'Monthly DCF'!$I$3</f>
        <v>46418</v>
      </c>
      <c r="K455" s="533">
        <f t="shared" si="270"/>
        <v>47573</v>
      </c>
      <c r="L455" s="536">
        <f t="shared" si="435"/>
        <v>39</v>
      </c>
      <c r="M455" s="20" t="s">
        <v>366</v>
      </c>
      <c r="N455" s="20">
        <f t="shared" si="271"/>
        <v>3.9</v>
      </c>
      <c r="O455" s="537">
        <v>10</v>
      </c>
      <c r="P455" s="528">
        <f t="shared" ref="P455:BM455" si="469">IFERROR(+IF(AND($M455="Flat",P$5&gt;=$J455,P$5&lt;=$K455),$I455/$L455,0)+IF(AND($M455="S-Curve",P$5&gt;=$J455,P$5&lt;=$K455),(_xlfn.NORM.DIST((YEAR(P$5)-YEAR($J455))*12+MONTH(P$5)-MONTH($J455)+1,$L455/2,$N455,TRUE)-_xlfn.NORM.DIST((YEAR(P$5)-YEAR($J455))*12+MONTH(P$5)-MONTH($J455),$L455/2,$N455,TRUE))/(1-2*_xlfn.NORM.DIST(0,$L455/2,$N455,TRUE))*$I455," "),"")</f>
        <v>7.6316817351979099E-7</v>
      </c>
      <c r="Q455" s="528">
        <f t="shared" si="469"/>
        <v>2.5587956609490359E-6</v>
      </c>
      <c r="R455" s="528">
        <f t="shared" si="469"/>
        <v>8.0360664800035961E-6</v>
      </c>
      <c r="S455" s="528">
        <f t="shared" si="469"/>
        <v>2.3639868544271221E-5</v>
      </c>
      <c r="T455" s="528">
        <f t="shared" si="469"/>
        <v>6.5139020834137178E-5</v>
      </c>
      <c r="U455" s="528">
        <f t="shared" si="469"/>
        <v>1.6812526717524168E-4</v>
      </c>
      <c r="V455" s="528">
        <f t="shared" si="469"/>
        <v>4.0646321605617612E-4</v>
      </c>
      <c r="W455" s="528">
        <f t="shared" si="469"/>
        <v>9.204641184826413E-4</v>
      </c>
      <c r="X455" s="528">
        <f t="shared" si="469"/>
        <v>1.9524981326871254E-3</v>
      </c>
      <c r="Y455" s="528">
        <f t="shared" si="469"/>
        <v>3.8794778704208145E-3</v>
      </c>
      <c r="Z455" s="528">
        <f t="shared" si="469"/>
        <v>7.2203042453228821E-3</v>
      </c>
      <c r="AA455" s="528">
        <f t="shared" si="469"/>
        <v>1.2587454206196589E-2</v>
      </c>
      <c r="AB455" s="528">
        <f t="shared" si="469"/>
        <v>2.0555169043419041E-2</v>
      </c>
      <c r="AC455" s="528">
        <f t="shared" si="469"/>
        <v>3.1441658022291284E-2</v>
      </c>
      <c r="AD455" s="528">
        <f t="shared" si="469"/>
        <v>4.5049657666196799E-2</v>
      </c>
      <c r="AE455" s="528">
        <f t="shared" si="469"/>
        <v>6.0461592864001143E-2</v>
      </c>
      <c r="AF455" s="528">
        <f t="shared" si="469"/>
        <v>7.600987322301167E-2</v>
      </c>
      <c r="AG455" s="528">
        <f t="shared" si="469"/>
        <v>8.9508236411194347E-2</v>
      </c>
      <c r="AH455" s="528">
        <f t="shared" si="469"/>
        <v>9.8732180472716077E-2</v>
      </c>
      <c r="AI455" s="528">
        <f t="shared" si="469"/>
        <v>0.10201341664227057</v>
      </c>
      <c r="AJ455" s="528">
        <f t="shared" si="469"/>
        <v>9.8732180472716133E-2</v>
      </c>
      <c r="AK455" s="528">
        <f t="shared" si="469"/>
        <v>8.9508236411194347E-2</v>
      </c>
      <c r="AL455" s="528">
        <f t="shared" si="469"/>
        <v>7.6009873223011587E-2</v>
      </c>
      <c r="AM455" s="528">
        <f t="shared" si="469"/>
        <v>6.0461592864001198E-2</v>
      </c>
      <c r="AN455" s="528">
        <f t="shared" si="469"/>
        <v>4.5049657666196757E-2</v>
      </c>
      <c r="AO455" s="528">
        <f t="shared" si="469"/>
        <v>3.1441658022291305E-2</v>
      </c>
      <c r="AP455" s="528">
        <f t="shared" si="469"/>
        <v>2.0555169043419006E-2</v>
      </c>
      <c r="AQ455" s="528">
        <f t="shared" si="469"/>
        <v>1.2587454206196615E-2</v>
      </c>
      <c r="AR455" s="528">
        <f t="shared" si="469"/>
        <v>7.2203042453229246E-3</v>
      </c>
      <c r="AS455" s="528">
        <f t="shared" si="469"/>
        <v>3.8794778704207239E-3</v>
      </c>
      <c r="AT455" s="528">
        <f t="shared" si="469"/>
        <v>1.9524981326872206E-3</v>
      </c>
      <c r="AU455" s="528">
        <f t="shared" si="469"/>
        <v>9.2046411848254882E-4</v>
      </c>
      <c r="AV455" s="528">
        <f t="shared" si="469"/>
        <v>4.0646321605623809E-4</v>
      </c>
      <c r="AW455" s="528">
        <f t="shared" si="469"/>
        <v>1.6812526717520211E-4</v>
      </c>
      <c r="AX455" s="528">
        <f t="shared" si="469"/>
        <v>6.5139020834215159E-5</v>
      </c>
      <c r="AY455" s="528">
        <f t="shared" si="469"/>
        <v>2.3639868544241684E-5</v>
      </c>
      <c r="AZ455" s="528">
        <f t="shared" si="469"/>
        <v>8.0360664799314136E-6</v>
      </c>
      <c r="BA455" s="528">
        <f t="shared" si="469"/>
        <v>2.5587956610508201E-6</v>
      </c>
      <c r="BB455" s="528">
        <f t="shared" si="469"/>
        <v>7.6316817342217775E-7</v>
      </c>
      <c r="BC455" s="528" t="str">
        <f t="shared" si="469"/>
        <v/>
      </c>
      <c r="BD455" s="528" t="str">
        <f t="shared" si="469"/>
        <v/>
      </c>
      <c r="BE455" s="528" t="str">
        <f t="shared" si="469"/>
        <v/>
      </c>
      <c r="BF455" s="528" t="str">
        <f t="shared" si="469"/>
        <v/>
      </c>
      <c r="BG455" s="528" t="str">
        <f t="shared" si="469"/>
        <v/>
      </c>
      <c r="BH455" s="528" t="str">
        <f t="shared" si="469"/>
        <v/>
      </c>
      <c r="BI455" s="528" t="str">
        <f t="shared" si="469"/>
        <v/>
      </c>
      <c r="BJ455" s="528" t="str">
        <f t="shared" si="469"/>
        <v/>
      </c>
      <c r="BK455" s="528" t="str">
        <f t="shared" si="469"/>
        <v/>
      </c>
      <c r="BL455" s="528" t="str">
        <f t="shared" si="469"/>
        <v/>
      </c>
      <c r="BM455" s="528" t="str">
        <f t="shared" si="469"/>
        <v/>
      </c>
    </row>
    <row r="456" spans="6:65" ht="15.75" customHeight="1" x14ac:dyDescent="0.25">
      <c r="F456" s="197"/>
      <c r="G456" s="197">
        <f t="shared" si="268"/>
        <v>0</v>
      </c>
      <c r="H456" s="197">
        <f t="shared" si="269"/>
        <v>4010</v>
      </c>
      <c r="I456" s="523">
        <v>1</v>
      </c>
      <c r="J456" s="533">
        <f>'Monthly DCF'!$I$3</f>
        <v>46418</v>
      </c>
      <c r="K456" s="533">
        <f t="shared" si="270"/>
        <v>47603</v>
      </c>
      <c r="L456" s="536">
        <f t="shared" si="435"/>
        <v>40</v>
      </c>
      <c r="M456" s="20" t="s">
        <v>366</v>
      </c>
      <c r="N456" s="20">
        <f t="shared" si="271"/>
        <v>4</v>
      </c>
      <c r="O456" s="537">
        <v>10</v>
      </c>
      <c r="P456" s="528">
        <f t="shared" ref="P456:BM456" si="470">IFERROR(+IF(AND($M456="Flat",P$5&gt;=$J456,P$5&lt;=$K456),$I456/$L456,0)+IF(AND($M456="S-Curve",P$5&gt;=$J456,P$5&lt;=$K456),(_xlfn.NORM.DIST((YEAR(P$5)-YEAR($J456))*12+MONTH(P$5)-MONTH($J456)+1,$L456/2,$N456,TRUE)-_xlfn.NORM.DIST((YEAR(P$5)-YEAR($J456))*12+MONTH(P$5)-MONTH($J456),$L456/2,$N456,TRUE))/(1-2*_xlfn.NORM.DIST(0,$L456/2,$N456,TRUE))*$I456," "),"")</f>
        <v>7.3043208944852318E-7</v>
      </c>
      <c r="Q456" s="528">
        <f t="shared" si="470"/>
        <v>2.3805912469617961E-6</v>
      </c>
      <c r="R456" s="528">
        <f t="shared" si="470"/>
        <v>7.2908568300754878E-6</v>
      </c>
      <c r="S456" s="528">
        <f t="shared" si="470"/>
        <v>2.0982728087649433E-5</v>
      </c>
      <c r="T456" s="528">
        <f t="shared" si="470"/>
        <v>5.6746075900387614E-5</v>
      </c>
      <c r="U456" s="528">
        <f t="shared" si="470"/>
        <v>1.4421187651184346E-4</v>
      </c>
      <c r="V456" s="528">
        <f t="shared" si="470"/>
        <v>3.443961607986427E-4</v>
      </c>
      <c r="W456" s="528">
        <f t="shared" si="470"/>
        <v>7.7287343233009575E-4</v>
      </c>
      <c r="X456" s="528">
        <f t="shared" si="470"/>
        <v>1.6298661378318425E-3</v>
      </c>
      <c r="Y456" s="528">
        <f t="shared" si="470"/>
        <v>3.2299039424356622E-3</v>
      </c>
      <c r="Z456" s="528">
        <f t="shared" si="470"/>
        <v>6.0148107775784901E-3</v>
      </c>
      <c r="AA456" s="528">
        <f t="shared" si="470"/>
        <v>1.0525665327531518E-2</v>
      </c>
      <c r="AB456" s="528">
        <f t="shared" si="470"/>
        <v>1.7309034838961998E-2</v>
      </c>
      <c r="AC456" s="528">
        <f t="shared" si="470"/>
        <v>2.6748059739787694E-2</v>
      </c>
      <c r="AD456" s="528">
        <f t="shared" si="470"/>
        <v>3.8842594666578828E-2</v>
      </c>
      <c r="AE456" s="528">
        <f t="shared" si="470"/>
        <v>5.3005510652827631E-2</v>
      </c>
      <c r="AF456" s="528">
        <f t="shared" si="470"/>
        <v>6.7972137414051281E-2</v>
      </c>
      <c r="AG456" s="528">
        <f t="shared" si="470"/>
        <v>8.1910233308512936E-2</v>
      </c>
      <c r="AH456" s="528">
        <f t="shared" si="470"/>
        <v>9.2756188768504041E-2</v>
      </c>
      <c r="AI456" s="528">
        <f t="shared" si="470"/>
        <v>9.8706382271602958E-2</v>
      </c>
      <c r="AJ456" s="528">
        <f t="shared" si="470"/>
        <v>9.8706382271602958E-2</v>
      </c>
      <c r="AK456" s="528">
        <f t="shared" si="470"/>
        <v>9.2756188768504041E-2</v>
      </c>
      <c r="AL456" s="528">
        <f t="shared" si="470"/>
        <v>8.1910233308512881E-2</v>
      </c>
      <c r="AM456" s="528">
        <f t="shared" si="470"/>
        <v>6.7972137414051365E-2</v>
      </c>
      <c r="AN456" s="528">
        <f t="shared" si="470"/>
        <v>5.3005510652827617E-2</v>
      </c>
      <c r="AO456" s="528">
        <f t="shared" si="470"/>
        <v>3.8842594666578786E-2</v>
      </c>
      <c r="AP456" s="528">
        <f t="shared" si="470"/>
        <v>2.6748059739787708E-2</v>
      </c>
      <c r="AQ456" s="528">
        <f t="shared" si="470"/>
        <v>1.7309034838961995E-2</v>
      </c>
      <c r="AR456" s="528">
        <f t="shared" si="470"/>
        <v>1.0525665327531559E-2</v>
      </c>
      <c r="AS456" s="528">
        <f t="shared" si="470"/>
        <v>6.0148107775784398E-3</v>
      </c>
      <c r="AT456" s="528">
        <f t="shared" si="470"/>
        <v>3.2299039424356878E-3</v>
      </c>
      <c r="AU456" s="528">
        <f t="shared" si="470"/>
        <v>1.6298661378318327E-3</v>
      </c>
      <c r="AV456" s="528">
        <f t="shared" si="470"/>
        <v>7.7287343233010562E-4</v>
      </c>
      <c r="AW456" s="528">
        <f t="shared" si="470"/>
        <v>3.4439616079862795E-4</v>
      </c>
      <c r="AX456" s="528">
        <f t="shared" si="470"/>
        <v>1.4421187651184755E-4</v>
      </c>
      <c r="AY456" s="528">
        <f t="shared" si="470"/>
        <v>5.6746075900398442E-5</v>
      </c>
      <c r="AZ456" s="528">
        <f t="shared" si="470"/>
        <v>2.0982728087679421E-5</v>
      </c>
      <c r="BA456" s="528">
        <f t="shared" si="470"/>
        <v>7.2908568300369656E-6</v>
      </c>
      <c r="BB456" s="528">
        <f t="shared" si="470"/>
        <v>2.3805912470231183E-6</v>
      </c>
      <c r="BC456" s="528">
        <f t="shared" si="470"/>
        <v>7.3043208935151493E-7</v>
      </c>
      <c r="BD456" s="528" t="str">
        <f t="shared" si="470"/>
        <v/>
      </c>
      <c r="BE456" s="528" t="str">
        <f t="shared" si="470"/>
        <v/>
      </c>
      <c r="BF456" s="528" t="str">
        <f t="shared" si="470"/>
        <v/>
      </c>
      <c r="BG456" s="528" t="str">
        <f t="shared" si="470"/>
        <v/>
      </c>
      <c r="BH456" s="528" t="str">
        <f t="shared" si="470"/>
        <v/>
      </c>
      <c r="BI456" s="528" t="str">
        <f t="shared" si="470"/>
        <v/>
      </c>
      <c r="BJ456" s="528" t="str">
        <f t="shared" si="470"/>
        <v/>
      </c>
      <c r="BK456" s="528" t="str">
        <f t="shared" si="470"/>
        <v/>
      </c>
      <c r="BL456" s="528" t="str">
        <f t="shared" si="470"/>
        <v/>
      </c>
      <c r="BM456" s="528" t="str">
        <f t="shared" si="470"/>
        <v/>
      </c>
    </row>
    <row r="457" spans="6:65" ht="15.75" customHeight="1" x14ac:dyDescent="0.25">
      <c r="F457" s="197"/>
      <c r="G457" s="197">
        <f t="shared" si="268"/>
        <v>0</v>
      </c>
      <c r="H457" s="197">
        <f t="shared" si="269"/>
        <v>4110</v>
      </c>
      <c r="I457" s="523">
        <v>1</v>
      </c>
      <c r="J457" s="533">
        <f>'Monthly DCF'!$I$3</f>
        <v>46418</v>
      </c>
      <c r="K457" s="533">
        <f t="shared" si="270"/>
        <v>47634</v>
      </c>
      <c r="L457" s="536">
        <f t="shared" si="435"/>
        <v>41</v>
      </c>
      <c r="M457" s="20" t="s">
        <v>366</v>
      </c>
      <c r="N457" s="20">
        <f t="shared" si="271"/>
        <v>4.0999999999999996</v>
      </c>
      <c r="O457" s="537">
        <v>10</v>
      </c>
      <c r="P457" s="528">
        <f t="shared" ref="P457:BM457" si="471">IFERROR(+IF(AND($M457="Flat",P$5&gt;=$J457,P$5&lt;=$K457),$I457/$L457,0)+IF(AND($M457="S-Curve",P$5&gt;=$J457,P$5&lt;=$K457),(_xlfn.NORM.DIST((YEAR(P$5)-YEAR($J457))*12+MONTH(P$5)-MONTH($J457)+1,$L457/2,$N457,TRUE)-_xlfn.NORM.DIST((YEAR(P$5)-YEAR($J457))*12+MONTH(P$5)-MONTH($J457),$L457/2,$N457,TRUE))/(1-2*_xlfn.NORM.DIST(0,$L457/2,$N457,TRUE))*$I457," "),"")</f>
        <v>7.0020439487246356E-7</v>
      </c>
      <c r="Q457" s="528">
        <f t="shared" si="471"/>
        <v>2.2211518020388999E-6</v>
      </c>
      <c r="R457" s="528">
        <f t="shared" si="471"/>
        <v>6.6407364357036615E-6</v>
      </c>
      <c r="S457" s="528">
        <f t="shared" si="471"/>
        <v>1.8712835494153252E-5</v>
      </c>
      <c r="T457" s="528">
        <f t="shared" si="471"/>
        <v>4.9699158230439947E-5</v>
      </c>
      <c r="U457" s="528">
        <f t="shared" si="471"/>
        <v>1.244071191481176E-4</v>
      </c>
      <c r="V457" s="528">
        <f t="shared" si="471"/>
        <v>2.9351402248927643E-4</v>
      </c>
      <c r="W457" s="528">
        <f t="shared" si="471"/>
        <v>6.5268031136777335E-4</v>
      </c>
      <c r="X457" s="528">
        <f t="shared" si="471"/>
        <v>1.3679202698063529E-3</v>
      </c>
      <c r="Y457" s="528">
        <f t="shared" si="471"/>
        <v>2.7021547206014284E-3</v>
      </c>
      <c r="Z457" s="528">
        <f t="shared" si="471"/>
        <v>5.0309418040925188E-3</v>
      </c>
      <c r="AA457" s="528">
        <f t="shared" si="471"/>
        <v>8.8283285574667913E-3</v>
      </c>
      <c r="AB457" s="528">
        <f t="shared" si="471"/>
        <v>1.460152484501118E-2</v>
      </c>
      <c r="AC457" s="528">
        <f t="shared" si="471"/>
        <v>2.2761917315742876E-2</v>
      </c>
      <c r="AD457" s="528">
        <f t="shared" si="471"/>
        <v>3.3443422021531444E-2</v>
      </c>
      <c r="AE457" s="528">
        <f t="shared" si="471"/>
        <v>4.6313126969392292E-2</v>
      </c>
      <c r="AF457" s="528">
        <f t="shared" si="471"/>
        <v>6.0449021254670207E-2</v>
      </c>
      <c r="AG457" s="528">
        <f t="shared" si="471"/>
        <v>7.4364629282919953E-2</v>
      </c>
      <c r="AH457" s="528">
        <f t="shared" si="471"/>
        <v>8.6225494398532374E-2</v>
      </c>
      <c r="AI457" s="528">
        <f t="shared" si="471"/>
        <v>9.4231740701564815E-2</v>
      </c>
      <c r="AJ457" s="528">
        <f t="shared" si="471"/>
        <v>9.7062404638610711E-2</v>
      </c>
      <c r="AK457" s="528">
        <f t="shared" si="471"/>
        <v>9.423174070156487E-2</v>
      </c>
      <c r="AL457" s="528">
        <f t="shared" si="471"/>
        <v>8.6225494398532374E-2</v>
      </c>
      <c r="AM457" s="528">
        <f t="shared" si="471"/>
        <v>7.4364629282919981E-2</v>
      </c>
      <c r="AN457" s="528">
        <f t="shared" si="471"/>
        <v>6.0449021254670207E-2</v>
      </c>
      <c r="AO457" s="528">
        <f t="shared" si="471"/>
        <v>4.6313126969392306E-2</v>
      </c>
      <c r="AP457" s="528">
        <f t="shared" si="471"/>
        <v>3.344342202153136E-2</v>
      </c>
      <c r="AQ457" s="528">
        <f t="shared" si="471"/>
        <v>2.2761917315742876E-2</v>
      </c>
      <c r="AR457" s="528">
        <f t="shared" si="471"/>
        <v>1.4601524845011267E-2</v>
      </c>
      <c r="AS457" s="528">
        <f t="shared" si="471"/>
        <v>8.8283285574667688E-3</v>
      </c>
      <c r="AT457" s="528">
        <f t="shared" si="471"/>
        <v>5.0309418040924989E-3</v>
      </c>
      <c r="AU457" s="528">
        <f t="shared" si="471"/>
        <v>2.7021547206014149E-3</v>
      </c>
      <c r="AV457" s="528">
        <f t="shared" si="471"/>
        <v>1.3679202698063456E-3</v>
      </c>
      <c r="AW457" s="528">
        <f t="shared" si="471"/>
        <v>6.5268031136777184E-4</v>
      </c>
      <c r="AX457" s="528">
        <f t="shared" si="471"/>
        <v>2.9351402248934321E-4</v>
      </c>
      <c r="AY457" s="528">
        <f t="shared" si="471"/>
        <v>1.2440711914811831E-4</v>
      </c>
      <c r="AZ457" s="528">
        <f t="shared" si="471"/>
        <v>4.9699158230418371E-5</v>
      </c>
      <c r="BA457" s="528">
        <f t="shared" si="471"/>
        <v>1.8712835494081457E-5</v>
      </c>
      <c r="BB457" s="528">
        <f t="shared" si="471"/>
        <v>6.6407364357261977E-6</v>
      </c>
      <c r="BC457" s="528">
        <f t="shared" si="471"/>
        <v>2.2211518020073572E-6</v>
      </c>
      <c r="BD457" s="528">
        <f t="shared" si="471"/>
        <v>7.0020439488276634E-7</v>
      </c>
      <c r="BE457" s="528" t="str">
        <f t="shared" si="471"/>
        <v/>
      </c>
      <c r="BF457" s="528" t="str">
        <f t="shared" si="471"/>
        <v/>
      </c>
      <c r="BG457" s="528" t="str">
        <f t="shared" si="471"/>
        <v/>
      </c>
      <c r="BH457" s="528" t="str">
        <f t="shared" si="471"/>
        <v/>
      </c>
      <c r="BI457" s="528" t="str">
        <f t="shared" si="471"/>
        <v/>
      </c>
      <c r="BJ457" s="528" t="str">
        <f t="shared" si="471"/>
        <v/>
      </c>
      <c r="BK457" s="528" t="str">
        <f t="shared" si="471"/>
        <v/>
      </c>
      <c r="BL457" s="528" t="str">
        <f t="shared" si="471"/>
        <v/>
      </c>
      <c r="BM457" s="528" t="str">
        <f t="shared" si="471"/>
        <v/>
      </c>
    </row>
    <row r="458" spans="6:65" ht="15.75" customHeight="1" x14ac:dyDescent="0.25">
      <c r="F458" s="197"/>
      <c r="G458" s="197">
        <f t="shared" si="268"/>
        <v>0</v>
      </c>
      <c r="H458" s="197">
        <f t="shared" si="269"/>
        <v>4210</v>
      </c>
      <c r="I458" s="523">
        <v>1</v>
      </c>
      <c r="J458" s="533">
        <f>'Monthly DCF'!$I$3</f>
        <v>46418</v>
      </c>
      <c r="K458" s="533">
        <f t="shared" si="270"/>
        <v>47664</v>
      </c>
      <c r="L458" s="536">
        <f t="shared" si="435"/>
        <v>42</v>
      </c>
      <c r="M458" s="20" t="s">
        <v>366</v>
      </c>
      <c r="N458" s="20">
        <f t="shared" si="271"/>
        <v>4.2</v>
      </c>
      <c r="O458" s="537">
        <v>10</v>
      </c>
      <c r="P458" s="528">
        <f t="shared" ref="P458:BM458" si="472">IFERROR(+IF(AND($M458="Flat",P$5&gt;=$J458,P$5&lt;=$K458),$I458/$L458,0)+IF(AND($M458="S-Curve",P$5&gt;=$J458,P$5&lt;=$K458),(_xlfn.NORM.DIST((YEAR(P$5)-YEAR($J458))*12+MONTH(P$5)-MONTH($J458)+1,$L458/2,$N458,TRUE)-_xlfn.NORM.DIST((YEAR(P$5)-YEAR($J458))*12+MONTH(P$5)-MONTH($J458),$L458/2,$N458,TRUE))/(1-2*_xlfn.NORM.DIST(0,$L458/2,$N458,TRUE))*$I458," "),"")</f>
        <v>6.7221975800411371E-7</v>
      </c>
      <c r="Q458" s="528">
        <f t="shared" si="472"/>
        <v>2.0779496870555607E-6</v>
      </c>
      <c r="R458" s="528">
        <f t="shared" si="472"/>
        <v>6.0708326146533406E-6</v>
      </c>
      <c r="S458" s="528">
        <f t="shared" si="472"/>
        <v>1.6762994814030486E-5</v>
      </c>
      <c r="T458" s="528">
        <f t="shared" si="472"/>
        <v>4.3746740574264725E-5</v>
      </c>
      <c r="U458" s="528">
        <f t="shared" si="472"/>
        <v>1.0790240296190026E-4</v>
      </c>
      <c r="V458" s="528">
        <f t="shared" si="472"/>
        <v>2.5154078703248987E-4</v>
      </c>
      <c r="W458" s="528">
        <f t="shared" si="472"/>
        <v>5.5421480677865433E-4</v>
      </c>
      <c r="X458" s="528">
        <f t="shared" si="472"/>
        <v>1.1540928194889197E-3</v>
      </c>
      <c r="Y458" s="528">
        <f t="shared" si="472"/>
        <v>2.2714162150107619E-3</v>
      </c>
      <c r="Z458" s="528">
        <f t="shared" si="472"/>
        <v>4.225192527516978E-3</v>
      </c>
      <c r="AA458" s="528">
        <f t="shared" si="472"/>
        <v>7.4283178644185049E-3</v>
      </c>
      <c r="AB458" s="528">
        <f t="shared" si="472"/>
        <v>1.2343235439951169E-2</v>
      </c>
      <c r="AC458" s="528">
        <f t="shared" si="472"/>
        <v>1.9384849418846006E-2</v>
      </c>
      <c r="AD458" s="528">
        <f t="shared" si="472"/>
        <v>2.8773389732894832E-2</v>
      </c>
      <c r="AE458" s="528">
        <f t="shared" si="472"/>
        <v>4.0365938978457361E-2</v>
      </c>
      <c r="AF458" s="528">
        <f t="shared" si="472"/>
        <v>5.3522297302194002E-2</v>
      </c>
      <c r="AG458" s="528">
        <f t="shared" si="472"/>
        <v>6.7073392516298194E-2</v>
      </c>
      <c r="AH458" s="528">
        <f t="shared" si="472"/>
        <v>7.9444125459263215E-2</v>
      </c>
      <c r="AI458" s="528">
        <f t="shared" si="472"/>
        <v>8.8934323047370645E-2</v>
      </c>
      <c r="AJ458" s="528">
        <f t="shared" si="472"/>
        <v>9.4096439944068355E-2</v>
      </c>
      <c r="AK458" s="528">
        <f t="shared" si="472"/>
        <v>9.4096439944068355E-2</v>
      </c>
      <c r="AL458" s="528">
        <f t="shared" si="472"/>
        <v>8.8934323047370645E-2</v>
      </c>
      <c r="AM458" s="528">
        <f t="shared" si="472"/>
        <v>7.944412545926316E-2</v>
      </c>
      <c r="AN458" s="528">
        <f t="shared" si="472"/>
        <v>6.7073392516298277E-2</v>
      </c>
      <c r="AO458" s="528">
        <f t="shared" si="472"/>
        <v>5.3522297302193961E-2</v>
      </c>
      <c r="AP458" s="528">
        <f t="shared" si="472"/>
        <v>4.0365938978457416E-2</v>
      </c>
      <c r="AQ458" s="528">
        <f t="shared" si="472"/>
        <v>2.8773389732894797E-2</v>
      </c>
      <c r="AR458" s="528">
        <f t="shared" si="472"/>
        <v>1.9384849418846016E-2</v>
      </c>
      <c r="AS458" s="528">
        <f t="shared" si="472"/>
        <v>1.23432354399512E-2</v>
      </c>
      <c r="AT458" s="528">
        <f t="shared" si="472"/>
        <v>7.4283178644184615E-3</v>
      </c>
      <c r="AU458" s="528">
        <f t="shared" si="472"/>
        <v>4.2251925275169971E-3</v>
      </c>
      <c r="AV458" s="528">
        <f t="shared" si="472"/>
        <v>2.2714162150107523E-3</v>
      </c>
      <c r="AW458" s="528">
        <f t="shared" si="472"/>
        <v>1.1540928194889416E-3</v>
      </c>
      <c r="AX458" s="528">
        <f t="shared" si="472"/>
        <v>5.5421480677867016E-4</v>
      </c>
      <c r="AY458" s="528">
        <f t="shared" si="472"/>
        <v>2.5154078703241311E-4</v>
      </c>
      <c r="AZ458" s="528">
        <f t="shared" si="472"/>
        <v>1.0790240296192722E-4</v>
      </c>
      <c r="BA458" s="528">
        <f t="shared" si="472"/>
        <v>4.3746740574263471E-5</v>
      </c>
      <c r="BB458" s="528">
        <f t="shared" si="472"/>
        <v>1.6762994813977523E-5</v>
      </c>
      <c r="BC458" s="528">
        <f t="shared" si="472"/>
        <v>6.0708326147133384E-6</v>
      </c>
      <c r="BD458" s="528">
        <f t="shared" si="472"/>
        <v>2.0779496870107196E-6</v>
      </c>
      <c r="BE458" s="528">
        <f t="shared" si="472"/>
        <v>6.7221975799622794E-7</v>
      </c>
      <c r="BF458" s="528" t="str">
        <f t="shared" si="472"/>
        <v/>
      </c>
      <c r="BG458" s="528" t="str">
        <f t="shared" si="472"/>
        <v/>
      </c>
      <c r="BH458" s="528" t="str">
        <f t="shared" si="472"/>
        <v/>
      </c>
      <c r="BI458" s="528" t="str">
        <f t="shared" si="472"/>
        <v/>
      </c>
      <c r="BJ458" s="528" t="str">
        <f t="shared" si="472"/>
        <v/>
      </c>
      <c r="BK458" s="528" t="str">
        <f t="shared" si="472"/>
        <v/>
      </c>
      <c r="BL458" s="528" t="str">
        <f t="shared" si="472"/>
        <v/>
      </c>
      <c r="BM458" s="528" t="str">
        <f t="shared" si="472"/>
        <v/>
      </c>
    </row>
    <row r="459" spans="6:65" ht="15.75" customHeight="1" x14ac:dyDescent="0.25">
      <c r="F459" s="197"/>
      <c r="G459" s="197">
        <f t="shared" si="268"/>
        <v>0</v>
      </c>
      <c r="H459" s="197">
        <f t="shared" si="269"/>
        <v>4310</v>
      </c>
      <c r="I459" s="523">
        <v>1</v>
      </c>
      <c r="J459" s="533">
        <f>'Monthly DCF'!$I$3</f>
        <v>46418</v>
      </c>
      <c r="K459" s="533">
        <f t="shared" si="270"/>
        <v>47695</v>
      </c>
      <c r="L459" s="536">
        <f t="shared" si="435"/>
        <v>43</v>
      </c>
      <c r="M459" s="20" t="s">
        <v>366</v>
      </c>
      <c r="N459" s="20">
        <f t="shared" si="271"/>
        <v>4.3</v>
      </c>
      <c r="O459" s="537">
        <v>10</v>
      </c>
      <c r="P459" s="528">
        <f t="shared" ref="P459:BM459" si="473">IFERROR(+IF(AND($M459="Flat",P$5&gt;=$J459,P$5&lt;=$K459),$I459/$L459,0)+IF(AND($M459="S-Curve",P$5&gt;=$J459,P$5&lt;=$K459),(_xlfn.NORM.DIST((YEAR(P$5)-YEAR($J459))*12+MONTH(P$5)-MONTH($J459)+1,$L459/2,$N459,TRUE)-_xlfn.NORM.DIST((YEAR(P$5)-YEAR($J459))*12+MONTH(P$5)-MONTH($J459),$L459/2,$N459,TRUE))/(1-2*_xlfn.NORM.DIST(0,$L459/2,$N459,TRUE))*$I459," "),"")</f>
        <v>6.4624786074863284E-7</v>
      </c>
      <c r="Q459" s="528">
        <f t="shared" si="473"/>
        <v>1.9488635097991275E-6</v>
      </c>
      <c r="R459" s="528">
        <f t="shared" si="473"/>
        <v>5.5689771464262417E-6</v>
      </c>
      <c r="S459" s="528">
        <f t="shared" si="473"/>
        <v>1.507931814431259E-5</v>
      </c>
      <c r="T459" s="528">
        <f t="shared" si="473"/>
        <v>3.869018053172625E-5</v>
      </c>
      <c r="U459" s="528">
        <f t="shared" si="473"/>
        <v>9.4066090478185169E-5</v>
      </c>
      <c r="V459" s="528">
        <f t="shared" si="473"/>
        <v>2.1671012193049516E-4</v>
      </c>
      <c r="W459" s="528">
        <f t="shared" si="473"/>
        <v>4.7308536574935359E-4</v>
      </c>
      <c r="X459" s="528">
        <f t="shared" si="473"/>
        <v>9.7862086812581508E-4</v>
      </c>
      <c r="Y459" s="528">
        <f t="shared" si="473"/>
        <v>1.9182467481524605E-3</v>
      </c>
      <c r="Z459" s="528">
        <f t="shared" si="473"/>
        <v>3.5629512488028355E-3</v>
      </c>
      <c r="AA459" s="528">
        <f t="shared" si="473"/>
        <v>6.2709168771115141E-3</v>
      </c>
      <c r="AB459" s="528">
        <f t="shared" si="473"/>
        <v>1.0458472967307439E-2</v>
      </c>
      <c r="AC459" s="528">
        <f t="shared" si="473"/>
        <v>1.6528059546821856E-2</v>
      </c>
      <c r="AD459" s="528">
        <f t="shared" si="473"/>
        <v>2.475096143699099E-2</v>
      </c>
      <c r="AE459" s="528">
        <f t="shared" si="473"/>
        <v>3.512199043103937E-2</v>
      </c>
      <c r="AF459" s="528">
        <f t="shared" si="473"/>
        <v>4.7226222320352236E-2</v>
      </c>
      <c r="AG459" s="528">
        <f t="shared" si="473"/>
        <v>6.0173393278680466E-2</v>
      </c>
      <c r="AH459" s="528">
        <f t="shared" si="473"/>
        <v>7.2651259002713048E-2</v>
      </c>
      <c r="AI459" s="528">
        <f t="shared" si="473"/>
        <v>8.3118795423385156E-2</v>
      </c>
      <c r="AJ459" s="528">
        <f t="shared" si="473"/>
        <v>9.0109974642688065E-2</v>
      </c>
      <c r="AK459" s="528">
        <f t="shared" si="473"/>
        <v>9.2568680084955404E-2</v>
      </c>
      <c r="AL459" s="528">
        <f t="shared" si="473"/>
        <v>9.0109974642688065E-2</v>
      </c>
      <c r="AM459" s="528">
        <f t="shared" si="473"/>
        <v>8.3118795423385211E-2</v>
      </c>
      <c r="AN459" s="528">
        <f t="shared" si="473"/>
        <v>7.2651259002712992E-2</v>
      </c>
      <c r="AO459" s="528">
        <f t="shared" si="473"/>
        <v>6.0173393278680522E-2</v>
      </c>
      <c r="AP459" s="528">
        <f t="shared" si="473"/>
        <v>4.7226222320352222E-2</v>
      </c>
      <c r="AQ459" s="528">
        <f t="shared" si="473"/>
        <v>3.5121990431039328E-2</v>
      </c>
      <c r="AR459" s="528">
        <f t="shared" si="473"/>
        <v>2.4750961436990963E-2</v>
      </c>
      <c r="AS459" s="528">
        <f t="shared" si="473"/>
        <v>1.6528059546821867E-2</v>
      </c>
      <c r="AT459" s="528">
        <f t="shared" si="473"/>
        <v>1.0458472967307477E-2</v>
      </c>
      <c r="AU459" s="528">
        <f t="shared" si="473"/>
        <v>6.2709168771115141E-3</v>
      </c>
      <c r="AV459" s="528">
        <f t="shared" si="473"/>
        <v>3.5629512488027852E-3</v>
      </c>
      <c r="AW459" s="528">
        <f t="shared" si="473"/>
        <v>1.9182467481524753E-3</v>
      </c>
      <c r="AX459" s="528">
        <f t="shared" si="473"/>
        <v>9.7862086812582332E-4</v>
      </c>
      <c r="AY459" s="528">
        <f t="shared" si="473"/>
        <v>4.7308536574936373E-4</v>
      </c>
      <c r="AZ459" s="528">
        <f t="shared" si="473"/>
        <v>2.1671012193045096E-4</v>
      </c>
      <c r="BA459" s="528">
        <f t="shared" si="473"/>
        <v>9.406609047820787E-5</v>
      </c>
      <c r="BB459" s="528">
        <f t="shared" si="473"/>
        <v>3.8690180531764909E-5</v>
      </c>
      <c r="BC459" s="528">
        <f t="shared" si="473"/>
        <v>1.5079318144308982E-5</v>
      </c>
      <c r="BD459" s="528">
        <f t="shared" si="473"/>
        <v>5.5689771463634071E-6</v>
      </c>
      <c r="BE459" s="528">
        <f t="shared" si="473"/>
        <v>1.9488635098652113E-6</v>
      </c>
      <c r="BF459" s="528">
        <f t="shared" si="473"/>
        <v>6.4624786068397564E-7</v>
      </c>
      <c r="BG459" s="528" t="str">
        <f t="shared" si="473"/>
        <v/>
      </c>
      <c r="BH459" s="528" t="str">
        <f t="shared" si="473"/>
        <v/>
      </c>
      <c r="BI459" s="528" t="str">
        <f t="shared" si="473"/>
        <v/>
      </c>
      <c r="BJ459" s="528" t="str">
        <f t="shared" si="473"/>
        <v/>
      </c>
      <c r="BK459" s="528" t="str">
        <f t="shared" si="473"/>
        <v/>
      </c>
      <c r="BL459" s="528" t="str">
        <f t="shared" si="473"/>
        <v/>
      </c>
      <c r="BM459" s="528" t="str">
        <f t="shared" si="473"/>
        <v/>
      </c>
    </row>
    <row r="460" spans="6:65" ht="15.75" customHeight="1" x14ac:dyDescent="0.25">
      <c r="F460" s="197"/>
      <c r="G460" s="197">
        <f t="shared" si="268"/>
        <v>0</v>
      </c>
      <c r="H460" s="197">
        <f t="shared" si="269"/>
        <v>4410</v>
      </c>
      <c r="I460" s="523">
        <v>1</v>
      </c>
      <c r="J460" s="533">
        <f>'Monthly DCF'!$I$3</f>
        <v>46418</v>
      </c>
      <c r="K460" s="533">
        <f t="shared" si="270"/>
        <v>47726</v>
      </c>
      <c r="L460" s="536">
        <f t="shared" si="435"/>
        <v>44</v>
      </c>
      <c r="M460" s="20" t="s">
        <v>366</v>
      </c>
      <c r="N460" s="20">
        <f t="shared" si="271"/>
        <v>4.4000000000000004</v>
      </c>
      <c r="O460" s="537">
        <v>10</v>
      </c>
      <c r="P460" s="528">
        <f t="shared" ref="P460:BM460" si="474">IFERROR(+IF(AND($M460="Flat",P$5&gt;=$J460,P$5&lt;=$K460),$I460/$L460,0)+IF(AND($M460="S-Curve",P$5&gt;=$J460,P$5&lt;=$K460),(_xlfn.NORM.DIST((YEAR(P$5)-YEAR($J460))*12+MONTH(P$5)-MONTH($J460)+1,$L460/2,$N460,TRUE)-_xlfn.NORM.DIST((YEAR(P$5)-YEAR($J460))*12+MONTH(P$5)-MONTH($J460),$L460/2,$N460,TRUE))/(1-2*_xlfn.NORM.DIST(0,$L460/2,$N460,TRUE))*$I460," "),"")</f>
        <v>6.2208793849797408E-7</v>
      </c>
      <c r="Q460" s="528">
        <f t="shared" si="474"/>
        <v>1.8321032229633787E-6</v>
      </c>
      <c r="R460" s="528">
        <f t="shared" si="474"/>
        <v>5.1251521717380942E-6</v>
      </c>
      <c r="S460" s="528">
        <f t="shared" si="474"/>
        <v>1.3618294773088995E-5</v>
      </c>
      <c r="T460" s="528">
        <f t="shared" si="474"/>
        <v>3.4371484347549325E-5</v>
      </c>
      <c r="U460" s="528">
        <f t="shared" si="474"/>
        <v>8.2401262892196211E-5</v>
      </c>
      <c r="V460" s="528">
        <f t="shared" si="474"/>
        <v>1.8764192547679061E-4</v>
      </c>
      <c r="W460" s="528">
        <f t="shared" si="474"/>
        <v>4.0586977935886911E-4</v>
      </c>
      <c r="X460" s="528">
        <f t="shared" si="474"/>
        <v>8.3388226705159729E-4</v>
      </c>
      <c r="Y460" s="528">
        <f t="shared" si="474"/>
        <v>1.6273624629486814E-3</v>
      </c>
      <c r="Z460" s="528">
        <f t="shared" si="474"/>
        <v>3.0166554138806373E-3</v>
      </c>
      <c r="AA460" s="528">
        <f t="shared" si="474"/>
        <v>5.3116477632891524E-3</v>
      </c>
      <c r="AB460" s="528">
        <f t="shared" si="474"/>
        <v>8.8837281074944825E-3</v>
      </c>
      <c r="AC460" s="528">
        <f t="shared" si="474"/>
        <v>1.4113149030014181E-2</v>
      </c>
      <c r="AD460" s="528">
        <f t="shared" si="474"/>
        <v>2.1296856390092191E-2</v>
      </c>
      <c r="AE460" s="528">
        <f t="shared" si="474"/>
        <v>3.0526020032292385E-2</v>
      </c>
      <c r="AF460" s="528">
        <f t="shared" si="474"/>
        <v>4.1561207106104697E-2</v>
      </c>
      <c r="AG460" s="528">
        <f t="shared" si="474"/>
        <v>5.3748897269552488E-2</v>
      </c>
      <c r="AH460" s="528">
        <f t="shared" si="474"/>
        <v>6.6025930404642108E-2</v>
      </c>
      <c r="AI460" s="528">
        <f t="shared" si="474"/>
        <v>7.7041223036135115E-2</v>
      </c>
      <c r="AJ460" s="528">
        <f t="shared" si="474"/>
        <v>8.5387746453912547E-2</v>
      </c>
      <c r="AK460" s="528">
        <f t="shared" si="474"/>
        <v>8.9894212172408047E-2</v>
      </c>
      <c r="AL460" s="528">
        <f t="shared" si="474"/>
        <v>8.9894212172408047E-2</v>
      </c>
      <c r="AM460" s="528">
        <f t="shared" si="474"/>
        <v>8.5387746453912547E-2</v>
      </c>
      <c r="AN460" s="528">
        <f t="shared" si="474"/>
        <v>7.7041223036135115E-2</v>
      </c>
      <c r="AO460" s="528">
        <f t="shared" si="474"/>
        <v>6.602593040464208E-2</v>
      </c>
      <c r="AP460" s="528">
        <f t="shared" si="474"/>
        <v>5.3748897269552544E-2</v>
      </c>
      <c r="AQ460" s="528">
        <f t="shared" si="474"/>
        <v>4.1561207106104683E-2</v>
      </c>
      <c r="AR460" s="528">
        <f t="shared" si="474"/>
        <v>3.0526020032292323E-2</v>
      </c>
      <c r="AS460" s="528">
        <f t="shared" si="474"/>
        <v>2.1296856390092288E-2</v>
      </c>
      <c r="AT460" s="528">
        <f t="shared" si="474"/>
        <v>1.4113149030014187E-2</v>
      </c>
      <c r="AU460" s="528">
        <f t="shared" si="474"/>
        <v>8.8837281074944461E-3</v>
      </c>
      <c r="AV460" s="528">
        <f t="shared" si="474"/>
        <v>5.3116477632891073E-3</v>
      </c>
      <c r="AW460" s="528">
        <f t="shared" si="474"/>
        <v>3.0166554138806425E-3</v>
      </c>
      <c r="AX460" s="528">
        <f t="shared" si="474"/>
        <v>1.6273624629486835E-3</v>
      </c>
      <c r="AY460" s="528">
        <f t="shared" si="474"/>
        <v>8.3388226705157279E-4</v>
      </c>
      <c r="AZ460" s="528">
        <f t="shared" si="474"/>
        <v>4.0586977935896419E-4</v>
      </c>
      <c r="BA460" s="528">
        <f t="shared" si="474"/>
        <v>1.8764192547669111E-4</v>
      </c>
      <c r="BB460" s="528">
        <f t="shared" si="474"/>
        <v>8.2401262892298425E-5</v>
      </c>
      <c r="BC460" s="528">
        <f t="shared" si="474"/>
        <v>3.4371484347526638E-5</v>
      </c>
      <c r="BD460" s="528">
        <f t="shared" si="474"/>
        <v>1.3618294773077676E-5</v>
      </c>
      <c r="BE460" s="528">
        <f t="shared" si="474"/>
        <v>5.1251521717194934E-6</v>
      </c>
      <c r="BF460" s="528">
        <f t="shared" si="474"/>
        <v>1.8321032229891651E-6</v>
      </c>
      <c r="BG460" s="528">
        <f t="shared" si="474"/>
        <v>6.2208793842580994E-7</v>
      </c>
      <c r="BH460" s="528" t="str">
        <f t="shared" si="474"/>
        <v/>
      </c>
      <c r="BI460" s="528" t="str">
        <f t="shared" si="474"/>
        <v/>
      </c>
      <c r="BJ460" s="528" t="str">
        <f t="shared" si="474"/>
        <v/>
      </c>
      <c r="BK460" s="528" t="str">
        <f t="shared" si="474"/>
        <v/>
      </c>
      <c r="BL460" s="528" t="str">
        <f t="shared" si="474"/>
        <v/>
      </c>
      <c r="BM460" s="528" t="str">
        <f t="shared" si="474"/>
        <v/>
      </c>
    </row>
    <row r="461" spans="6:65" ht="15.75" customHeight="1" x14ac:dyDescent="0.25">
      <c r="F461" s="197"/>
      <c r="G461" s="197">
        <f t="shared" si="268"/>
        <v>0</v>
      </c>
      <c r="H461" s="197">
        <f t="shared" si="269"/>
        <v>4510</v>
      </c>
      <c r="I461" s="523">
        <v>1</v>
      </c>
      <c r="J461" s="533">
        <f>'Monthly DCF'!$I$3</f>
        <v>46418</v>
      </c>
      <c r="K461" s="533">
        <f t="shared" si="270"/>
        <v>47756</v>
      </c>
      <c r="L461" s="536">
        <f t="shared" si="435"/>
        <v>45</v>
      </c>
      <c r="M461" s="20" t="s">
        <v>366</v>
      </c>
      <c r="N461" s="20">
        <f t="shared" si="271"/>
        <v>4.5</v>
      </c>
      <c r="O461" s="537">
        <v>10</v>
      </c>
      <c r="P461" s="528">
        <f t="shared" ref="P461:BM461" si="475">IFERROR(+IF(AND($M461="Flat",P$5&gt;=$J461,P$5&lt;=$K461),$I461/$L461,0)+IF(AND($M461="S-Curve",P$5&gt;=$J461,P$5&lt;=$K461),(_xlfn.NORM.DIST((YEAR(P$5)-YEAR($J461))*12+MONTH(P$5)-MONTH($J461)+1,$L461/2,$N461,TRUE)-_xlfn.NORM.DIST((YEAR(P$5)-YEAR($J461))*12+MONTH(P$5)-MONTH($J461),$L461/2,$N461,TRUE))/(1-2*_xlfn.NORM.DIST(0,$L461/2,$N461,TRUE))*$I461," "),"")</f>
        <v>5.995642927642106E-7</v>
      </c>
      <c r="Q461" s="528">
        <f t="shared" si="475"/>
        <v>1.7261506655257578E-6</v>
      </c>
      <c r="R461" s="528">
        <f t="shared" si="475"/>
        <v>4.7310613523975717E-6</v>
      </c>
      <c r="S461" s="528">
        <f t="shared" si="475"/>
        <v>1.2344565421867929E-5</v>
      </c>
      <c r="T461" s="528">
        <f t="shared" si="475"/>
        <v>3.0664138325047383E-5</v>
      </c>
      <c r="U461" s="528">
        <f t="shared" si="475"/>
        <v>7.2514328611059808E-5</v>
      </c>
      <c r="V461" s="528">
        <f t="shared" si="475"/>
        <v>1.6325081349651582E-4</v>
      </c>
      <c r="W461" s="528">
        <f t="shared" si="475"/>
        <v>3.4988528033982338E-4</v>
      </c>
      <c r="X461" s="528">
        <f t="shared" si="475"/>
        <v>7.1389625129010287E-4</v>
      </c>
      <c r="Y461" s="528">
        <f t="shared" si="475"/>
        <v>1.3867045496161275E-3</v>
      </c>
      <c r="Z461" s="528">
        <f t="shared" si="475"/>
        <v>2.5643214681327037E-3</v>
      </c>
      <c r="AA461" s="528">
        <f t="shared" si="475"/>
        <v>4.5144094325271673E-3</v>
      </c>
      <c r="AB461" s="528">
        <f t="shared" si="475"/>
        <v>7.5660570201131552E-3</v>
      </c>
      <c r="AC461" s="528">
        <f t="shared" si="475"/>
        <v>1.2071984917623653E-2</v>
      </c>
      <c r="AD461" s="528">
        <f t="shared" si="475"/>
        <v>1.833700347764548E-2</v>
      </c>
      <c r="AE461" s="528">
        <f t="shared" si="475"/>
        <v>2.6516661156876377E-2</v>
      </c>
      <c r="AF461" s="528">
        <f t="shared" si="475"/>
        <v>3.650482393042119E-2</v>
      </c>
      <c r="AG461" s="528">
        <f t="shared" si="475"/>
        <v>4.7843480130577806E-2</v>
      </c>
      <c r="AH461" s="528">
        <f t="shared" si="475"/>
        <v>5.9694795653135846E-2</v>
      </c>
      <c r="AI461" s="528">
        <f t="shared" si="475"/>
        <v>7.0907386044020471E-2</v>
      </c>
      <c r="AJ461" s="528">
        <f t="shared" si="475"/>
        <v>8.0184025397545489E-2</v>
      </c>
      <c r="AK461" s="528">
        <f t="shared" si="475"/>
        <v>8.6322828262073811E-2</v>
      </c>
      <c r="AL461" s="528">
        <f t="shared" si="475"/>
        <v>8.8471812811791214E-2</v>
      </c>
      <c r="AM461" s="528">
        <f t="shared" si="475"/>
        <v>8.6322828262073867E-2</v>
      </c>
      <c r="AN461" s="528">
        <f t="shared" si="475"/>
        <v>8.0184025397545489E-2</v>
      </c>
      <c r="AO461" s="528">
        <f t="shared" si="475"/>
        <v>7.090738604402036E-2</v>
      </c>
      <c r="AP461" s="528">
        <f t="shared" si="475"/>
        <v>5.9694795653135929E-2</v>
      </c>
      <c r="AQ461" s="528">
        <f t="shared" si="475"/>
        <v>4.7843480130577723E-2</v>
      </c>
      <c r="AR461" s="528">
        <f t="shared" si="475"/>
        <v>3.6504823930421232E-2</v>
      </c>
      <c r="AS461" s="528">
        <f t="shared" si="475"/>
        <v>2.6516661156876398E-2</v>
      </c>
      <c r="AT461" s="528">
        <f t="shared" si="475"/>
        <v>1.8337003477645442E-2</v>
      </c>
      <c r="AU461" s="528">
        <f t="shared" si="475"/>
        <v>1.2071984917623681E-2</v>
      </c>
      <c r="AV461" s="528">
        <f t="shared" si="475"/>
        <v>7.5660570201131795E-3</v>
      </c>
      <c r="AW461" s="528">
        <f t="shared" si="475"/>
        <v>4.5144094325271942E-3</v>
      </c>
      <c r="AX461" s="528">
        <f t="shared" si="475"/>
        <v>2.5643214681326685E-3</v>
      </c>
      <c r="AY461" s="528">
        <f t="shared" si="475"/>
        <v>1.3867045496161047E-3</v>
      </c>
      <c r="AZ461" s="528">
        <f t="shared" si="475"/>
        <v>7.1389625129016814E-4</v>
      </c>
      <c r="BA461" s="528">
        <f t="shared" si="475"/>
        <v>3.4988528033975469E-4</v>
      </c>
      <c r="BB461" s="528">
        <f t="shared" si="475"/>
        <v>1.632508134965111E-4</v>
      </c>
      <c r="BC461" s="528">
        <f t="shared" si="475"/>
        <v>7.2514328611053601E-5</v>
      </c>
      <c r="BD461" s="528">
        <f t="shared" si="475"/>
        <v>3.0664138325107604E-5</v>
      </c>
      <c r="BE461" s="528">
        <f t="shared" si="475"/>
        <v>1.2344565421823927E-5</v>
      </c>
      <c r="BF461" s="528">
        <f t="shared" si="475"/>
        <v>4.7310613524051849E-6</v>
      </c>
      <c r="BG461" s="528">
        <f t="shared" si="475"/>
        <v>1.7261506655811126E-6</v>
      </c>
      <c r="BH461" s="528">
        <f t="shared" si="475"/>
        <v>5.9956429266521776E-7</v>
      </c>
      <c r="BI461" s="528" t="str">
        <f t="shared" si="475"/>
        <v/>
      </c>
      <c r="BJ461" s="528" t="str">
        <f t="shared" si="475"/>
        <v/>
      </c>
      <c r="BK461" s="528" t="str">
        <f t="shared" si="475"/>
        <v/>
      </c>
      <c r="BL461" s="528" t="str">
        <f t="shared" si="475"/>
        <v/>
      </c>
      <c r="BM461" s="528" t="str">
        <f t="shared" si="475"/>
        <v/>
      </c>
    </row>
    <row r="462" spans="6:65" ht="15.75" customHeight="1" x14ac:dyDescent="0.25">
      <c r="F462" s="197"/>
      <c r="G462" s="197">
        <f t="shared" si="268"/>
        <v>0</v>
      </c>
      <c r="H462" s="197">
        <f t="shared" si="269"/>
        <v>4610</v>
      </c>
      <c r="I462" s="523">
        <v>1</v>
      </c>
      <c r="J462" s="533">
        <f>'Monthly DCF'!$I$3</f>
        <v>46418</v>
      </c>
      <c r="K462" s="533">
        <f t="shared" si="270"/>
        <v>47787</v>
      </c>
      <c r="L462" s="536">
        <f t="shared" si="435"/>
        <v>46</v>
      </c>
      <c r="M462" s="20" t="s">
        <v>366</v>
      </c>
      <c r="N462" s="20">
        <f t="shared" si="271"/>
        <v>4.5999999999999996</v>
      </c>
      <c r="O462" s="537">
        <v>10</v>
      </c>
      <c r="P462" s="528">
        <f t="shared" ref="P462:BM462" si="476">IFERROR(+IF(AND($M462="Flat",P$5&gt;=$J462,P$5&lt;=$K462),$I462/$L462,0)+IF(AND($M462="S-Curve",P$5&gt;=$J462,P$5&lt;=$K462),(_xlfn.NORM.DIST((YEAR(P$5)-YEAR($J462))*12+MONTH(P$5)-MONTH($J462)+1,$L462/2,$N462,TRUE)-_xlfn.NORM.DIST((YEAR(P$5)-YEAR($J462))*12+MONTH(P$5)-MONTH($J462),$L462/2,$N462,TRUE))/(1-2*_xlfn.NORM.DIST(0,$L462/2,$N462,TRUE))*$I462," "),"")</f>
        <v>5.7852258313247746E-7</v>
      </c>
      <c r="Q462" s="528">
        <f t="shared" si="476"/>
        <v>1.6297120501623905E-6</v>
      </c>
      <c r="R462" s="528">
        <f t="shared" si="476"/>
        <v>4.3797955146867925E-6</v>
      </c>
      <c r="S462" s="528">
        <f t="shared" si="476"/>
        <v>1.1229218676160686E-5</v>
      </c>
      <c r="T462" s="528">
        <f t="shared" si="476"/>
        <v>2.7466184073223624E-5</v>
      </c>
      <c r="U462" s="528">
        <f t="shared" si="476"/>
        <v>6.4091511810003267E-5</v>
      </c>
      <c r="V462" s="528">
        <f t="shared" si="476"/>
        <v>1.4267780321233553E-4</v>
      </c>
      <c r="W462" s="528">
        <f t="shared" si="476"/>
        <v>3.0301652306268586E-4</v>
      </c>
      <c r="X462" s="528">
        <f t="shared" si="476"/>
        <v>6.1394643349101943E-4</v>
      </c>
      <c r="Y462" s="528">
        <f t="shared" si="476"/>
        <v>1.1867225194379086E-3</v>
      </c>
      <c r="Z462" s="528">
        <f t="shared" si="476"/>
        <v>2.1883796231556467E-3</v>
      </c>
      <c r="AA462" s="528">
        <f t="shared" si="476"/>
        <v>3.8499150191993407E-3</v>
      </c>
      <c r="AB462" s="528">
        <f t="shared" si="476"/>
        <v>6.4615221428748907E-3</v>
      </c>
      <c r="AC462" s="528">
        <f t="shared" si="476"/>
        <v>1.0346034846083095E-2</v>
      </c>
      <c r="AD462" s="528">
        <f t="shared" si="476"/>
        <v>1.58040581656183E-2</v>
      </c>
      <c r="AE462" s="528">
        <f t="shared" si="476"/>
        <v>2.3031331382670651E-2</v>
      </c>
      <c r="AF462" s="528">
        <f t="shared" si="476"/>
        <v>3.2020296804625668E-2</v>
      </c>
      <c r="AG462" s="528">
        <f t="shared" si="476"/>
        <v>4.247052907502559E-2</v>
      </c>
      <c r="AH462" s="528">
        <f t="shared" si="476"/>
        <v>5.3741044791911441E-2</v>
      </c>
      <c r="AI462" s="528">
        <f t="shared" si="476"/>
        <v>6.4875504053064706E-2</v>
      </c>
      <c r="AJ462" s="528">
        <f t="shared" si="476"/>
        <v>7.4715664299480414E-2</v>
      </c>
      <c r="AK462" s="528">
        <f t="shared" si="476"/>
        <v>8.209163588882315E-2</v>
      </c>
      <c r="AL462" s="528">
        <f t="shared" si="476"/>
        <v>8.6048345683555794E-2</v>
      </c>
      <c r="AM462" s="528">
        <f t="shared" si="476"/>
        <v>8.6048345683555794E-2</v>
      </c>
      <c r="AN462" s="528">
        <f t="shared" si="476"/>
        <v>8.209163588882315E-2</v>
      </c>
      <c r="AO462" s="528">
        <f t="shared" si="476"/>
        <v>7.4715664299480414E-2</v>
      </c>
      <c r="AP462" s="528">
        <f t="shared" si="476"/>
        <v>6.4875504053064761E-2</v>
      </c>
      <c r="AQ462" s="528">
        <f t="shared" si="476"/>
        <v>5.3741044791911413E-2</v>
      </c>
      <c r="AR462" s="528">
        <f t="shared" si="476"/>
        <v>4.247052907502552E-2</v>
      </c>
      <c r="AS462" s="528">
        <f t="shared" si="476"/>
        <v>3.2020296804625654E-2</v>
      </c>
      <c r="AT462" s="528">
        <f t="shared" si="476"/>
        <v>2.3031331382670734E-2</v>
      </c>
      <c r="AU462" s="528">
        <f t="shared" si="476"/>
        <v>1.5804058165618255E-2</v>
      </c>
      <c r="AV462" s="528">
        <f t="shared" si="476"/>
        <v>1.034603484608315E-2</v>
      </c>
      <c r="AW462" s="528">
        <f t="shared" si="476"/>
        <v>6.4615221428748334E-3</v>
      </c>
      <c r="AX462" s="528">
        <f t="shared" si="476"/>
        <v>3.8499150191993372E-3</v>
      </c>
      <c r="AY462" s="528">
        <f t="shared" si="476"/>
        <v>2.1883796231557096E-3</v>
      </c>
      <c r="AZ462" s="528">
        <f t="shared" si="476"/>
        <v>1.1867225194378312E-3</v>
      </c>
      <c r="BA462" s="528">
        <f t="shared" si="476"/>
        <v>6.1394643349108144E-4</v>
      </c>
      <c r="BB462" s="528">
        <f t="shared" si="476"/>
        <v>3.0301652306270293E-4</v>
      </c>
      <c r="BC462" s="528">
        <f t="shared" si="476"/>
        <v>1.4267780321226332E-4</v>
      </c>
      <c r="BD462" s="528">
        <f t="shared" si="476"/>
        <v>6.4091511810006641E-5</v>
      </c>
      <c r="BE462" s="528">
        <f t="shared" si="476"/>
        <v>2.7466184073278143E-5</v>
      </c>
      <c r="BF462" s="528">
        <f t="shared" si="476"/>
        <v>1.1229218676141384E-5</v>
      </c>
      <c r="BG462" s="528">
        <f t="shared" si="476"/>
        <v>4.3797955146675852E-6</v>
      </c>
      <c r="BH462" s="528">
        <f t="shared" si="476"/>
        <v>1.6297120501549163E-6</v>
      </c>
      <c r="BI462" s="528">
        <f t="shared" si="476"/>
        <v>5.7852258310643437E-7</v>
      </c>
      <c r="BJ462" s="528" t="str">
        <f t="shared" si="476"/>
        <v/>
      </c>
      <c r="BK462" s="528" t="str">
        <f t="shared" si="476"/>
        <v/>
      </c>
      <c r="BL462" s="528" t="str">
        <f t="shared" si="476"/>
        <v/>
      </c>
      <c r="BM462" s="528" t="str">
        <f t="shared" si="476"/>
        <v/>
      </c>
    </row>
    <row r="463" spans="6:65" ht="15.75" customHeight="1" x14ac:dyDescent="0.25">
      <c r="F463" s="197"/>
      <c r="G463" s="197">
        <f t="shared" si="268"/>
        <v>0</v>
      </c>
      <c r="H463" s="197">
        <f t="shared" si="269"/>
        <v>4710</v>
      </c>
      <c r="I463" s="523">
        <v>1</v>
      </c>
      <c r="J463" s="533">
        <f>'Monthly DCF'!$I$3</f>
        <v>46418</v>
      </c>
      <c r="K463" s="533">
        <f t="shared" si="270"/>
        <v>47817</v>
      </c>
      <c r="L463" s="536">
        <f t="shared" si="435"/>
        <v>47</v>
      </c>
      <c r="M463" s="20" t="s">
        <v>366</v>
      </c>
      <c r="N463" s="20">
        <f t="shared" si="271"/>
        <v>4.7</v>
      </c>
      <c r="O463" s="537">
        <v>10</v>
      </c>
      <c r="P463" s="528">
        <f t="shared" ref="P463:BM463" si="477">IFERROR(+IF(AND($M463="Flat",P$5&gt;=$J463,P$5&lt;=$K463),$I463/$L463,0)+IF(AND($M463="S-Curve",P$5&gt;=$J463,P$5&lt;=$K463),(_xlfn.NORM.DIST((YEAR(P$5)-YEAR($J463))*12+MONTH(P$5)-MONTH($J463)+1,$L463/2,$N463,TRUE)-_xlfn.NORM.DIST((YEAR(P$5)-YEAR($J463))*12+MONTH(P$5)-MONTH($J463),$L463/2,$N463,TRUE))/(1-2*_xlfn.NORM.DIST(0,$L463/2,$N463,TRUE))*$I463," "),"")</f>
        <v>5.5882674728042517E-7</v>
      </c>
      <c r="Q463" s="528">
        <f t="shared" si="477"/>
        <v>1.5416797577570566E-6</v>
      </c>
      <c r="R463" s="528">
        <f t="shared" si="477"/>
        <v>4.0655701257652049E-6</v>
      </c>
      <c r="S463" s="528">
        <f t="shared" si="477"/>
        <v>1.024847735304471E-5</v>
      </c>
      <c r="T463" s="528">
        <f t="shared" si="477"/>
        <v>2.4694948680009547E-5</v>
      </c>
      <c r="U463" s="528">
        <f t="shared" si="477"/>
        <v>5.6881112345697544E-5</v>
      </c>
      <c r="V463" s="528">
        <f t="shared" si="477"/>
        <v>1.2523896472862564E-4</v>
      </c>
      <c r="W463" s="528">
        <f t="shared" si="477"/>
        <v>2.6358612447986691E-4</v>
      </c>
      <c r="X463" s="528">
        <f t="shared" si="477"/>
        <v>5.302950179232374E-4</v>
      </c>
      <c r="Y463" s="528">
        <f t="shared" si="477"/>
        <v>1.01982276297E-3</v>
      </c>
      <c r="Z463" s="528">
        <f t="shared" si="477"/>
        <v>1.874753703060237E-3</v>
      </c>
      <c r="AA463" s="528">
        <f t="shared" si="477"/>
        <v>3.2943997885050212E-3</v>
      </c>
      <c r="AB463" s="528">
        <f t="shared" si="477"/>
        <v>5.5337703200509089E-3</v>
      </c>
      <c r="AC463" s="528">
        <f t="shared" si="477"/>
        <v>8.885438707635444E-3</v>
      </c>
      <c r="AD463" s="528">
        <f t="shared" si="477"/>
        <v>1.363796886357025E-2</v>
      </c>
      <c r="AE463" s="528">
        <f t="shared" si="477"/>
        <v>2.0009384461590375E-2</v>
      </c>
      <c r="AF463" s="528">
        <f t="shared" si="477"/>
        <v>2.806280673790507E-2</v>
      </c>
      <c r="AG463" s="528">
        <f t="shared" si="477"/>
        <v>3.7622004983771835E-2</v>
      </c>
      <c r="AH463" s="528">
        <f t="shared" si="477"/>
        <v>4.8213240284167798E-2</v>
      </c>
      <c r="AI463" s="528">
        <f t="shared" si="477"/>
        <v>5.9061481834605786E-2</v>
      </c>
      <c r="AJ463" s="528">
        <f t="shared" si="477"/>
        <v>6.9160171413273755E-2</v>
      </c>
      <c r="AK463" s="528">
        <f t="shared" si="477"/>
        <v>7.7414361981636079E-2</v>
      </c>
      <c r="AL463" s="528">
        <f t="shared" si="477"/>
        <v>8.2832507872842992E-2</v>
      </c>
      <c r="AM463" s="528">
        <f t="shared" si="477"/>
        <v>8.472155112454631E-2</v>
      </c>
      <c r="AN463" s="528">
        <f t="shared" si="477"/>
        <v>8.2832507872842992E-2</v>
      </c>
      <c r="AO463" s="528">
        <f t="shared" si="477"/>
        <v>7.7414361981636134E-2</v>
      </c>
      <c r="AP463" s="528">
        <f t="shared" si="477"/>
        <v>6.9160171413273672E-2</v>
      </c>
      <c r="AQ463" s="528">
        <f t="shared" si="477"/>
        <v>5.906148183460587E-2</v>
      </c>
      <c r="AR463" s="528">
        <f t="shared" si="477"/>
        <v>4.8213240284167756E-2</v>
      </c>
      <c r="AS463" s="528">
        <f t="shared" si="477"/>
        <v>3.7622004983771877E-2</v>
      </c>
      <c r="AT463" s="528">
        <f t="shared" si="477"/>
        <v>2.8062806737904965E-2</v>
      </c>
      <c r="AU463" s="528">
        <f t="shared" si="477"/>
        <v>2.0009384461590396E-2</v>
      </c>
      <c r="AV463" s="528">
        <f t="shared" si="477"/>
        <v>1.3637968863570334E-2</v>
      </c>
      <c r="AW463" s="528">
        <f t="shared" si="477"/>
        <v>8.8854387076353469E-3</v>
      </c>
      <c r="AX463" s="528">
        <f t="shared" si="477"/>
        <v>5.533770320050993E-3</v>
      </c>
      <c r="AY463" s="528">
        <f t="shared" si="477"/>
        <v>3.2943997885049822E-3</v>
      </c>
      <c r="AZ463" s="528">
        <f t="shared" si="477"/>
        <v>1.8747537030602834E-3</v>
      </c>
      <c r="BA463" s="528">
        <f t="shared" si="477"/>
        <v>1.0198227629699169E-3</v>
      </c>
      <c r="BB463" s="528">
        <f t="shared" si="477"/>
        <v>5.3029501792322396E-4</v>
      </c>
      <c r="BC463" s="528">
        <f t="shared" si="477"/>
        <v>2.6358612447993066E-4</v>
      </c>
      <c r="BD463" s="528">
        <f t="shared" si="477"/>
        <v>1.2523896472859514E-4</v>
      </c>
      <c r="BE463" s="528">
        <f t="shared" si="477"/>
        <v>5.6881112345680644E-5</v>
      </c>
      <c r="BF463" s="528">
        <f t="shared" si="477"/>
        <v>2.4694948680087396E-5</v>
      </c>
      <c r="BG463" s="528">
        <f t="shared" si="477"/>
        <v>1.0248477352942949E-5</v>
      </c>
      <c r="BH463" s="528">
        <f t="shared" si="477"/>
        <v>4.0655701257793783E-6</v>
      </c>
      <c r="BI463" s="528">
        <f t="shared" si="477"/>
        <v>1.5416797577451875E-6</v>
      </c>
      <c r="BJ463" s="528">
        <f t="shared" si="477"/>
        <v>5.5882674728787229E-7</v>
      </c>
      <c r="BK463" s="528" t="str">
        <f t="shared" si="477"/>
        <v/>
      </c>
      <c r="BL463" s="528" t="str">
        <f t="shared" si="477"/>
        <v/>
      </c>
      <c r="BM463" s="528" t="str">
        <f t="shared" si="477"/>
        <v/>
      </c>
    </row>
    <row r="464" spans="6:65" ht="15.75" customHeight="1" x14ac:dyDescent="0.25">
      <c r="F464" s="197"/>
      <c r="G464" s="197">
        <f t="shared" si="268"/>
        <v>0</v>
      </c>
      <c r="H464" s="197">
        <f t="shared" si="269"/>
        <v>4810</v>
      </c>
      <c r="I464" s="523">
        <v>1</v>
      </c>
      <c r="J464" s="533">
        <f>'Monthly DCF'!$I$3</f>
        <v>46418</v>
      </c>
      <c r="K464" s="533">
        <f t="shared" si="270"/>
        <v>47848</v>
      </c>
      <c r="L464" s="536">
        <f t="shared" si="435"/>
        <v>48</v>
      </c>
      <c r="M464" s="20" t="s">
        <v>366</v>
      </c>
      <c r="N464" s="20">
        <f t="shared" si="271"/>
        <v>4.8</v>
      </c>
      <c r="O464" s="537">
        <v>10</v>
      </c>
      <c r="P464" s="528">
        <f t="shared" ref="P464:BM464" si="478">IFERROR(+IF(AND($M464="Flat",P$5&gt;=$J464,P$5&lt;=$K464),$I464/$L464,0)+IF(AND($M464="S-Curve",P$5&gt;=$J464,P$5&lt;=$K464),(_xlfn.NORM.DIST((YEAR(P$5)-YEAR($J464))*12+MONTH(P$5)-MONTH($J464)+1,$L464/2,$N464,TRUE)-_xlfn.NORM.DIST((YEAR(P$5)-YEAR($J464))*12+MONTH(P$5)-MONTH($J464),$L464/2,$N464,TRUE))/(1-2*_xlfn.NORM.DIST(0,$L464/2,$N464,TRUE))*$I464," "),"")</f>
        <v>5.4035643006973153E-7</v>
      </c>
      <c r="Q464" s="528">
        <f t="shared" si="478"/>
        <v>1.4611014324512725E-6</v>
      </c>
      <c r="R464" s="528">
        <f t="shared" si="478"/>
        <v>3.7835177934751299E-6</v>
      </c>
      <c r="S464" s="528">
        <f t="shared" si="478"/>
        <v>9.3826783500843573E-6</v>
      </c>
      <c r="T464" s="528">
        <f t="shared" si="478"/>
        <v>2.228300517837613E-5</v>
      </c>
      <c r="U464" s="528">
        <f t="shared" si="478"/>
        <v>5.0680024970066233E-5</v>
      </c>
      <c r="V464" s="528">
        <f t="shared" si="478"/>
        <v>1.1038656919918281E-4</v>
      </c>
      <c r="W464" s="528">
        <f t="shared" si="478"/>
        <v>2.3025667408869274E-4</v>
      </c>
      <c r="X464" s="528">
        <f t="shared" si="478"/>
        <v>4.5996522961110704E-4</v>
      </c>
      <c r="Y464" s="528">
        <f t="shared" si="478"/>
        <v>8.7994344447695882E-4</v>
      </c>
      <c r="Z464" s="528">
        <f t="shared" si="478"/>
        <v>1.6121360294545073E-3</v>
      </c>
      <c r="AA464" s="528">
        <f t="shared" si="478"/>
        <v>2.8285636030776378E-3</v>
      </c>
      <c r="AB464" s="528">
        <f t="shared" si="478"/>
        <v>4.7527800481784845E-3</v>
      </c>
      <c r="AC464" s="528">
        <f t="shared" si="478"/>
        <v>7.6479869253304016E-3</v>
      </c>
      <c r="AD464" s="528">
        <f t="shared" si="478"/>
        <v>1.1785943332293405E-2</v>
      </c>
      <c r="AE464" s="528">
        <f t="shared" si="478"/>
        <v>1.739400047958849E-2</v>
      </c>
      <c r="AF464" s="528">
        <f t="shared" si="478"/>
        <v>2.4584005122770484E-2</v>
      </c>
      <c r="AG464" s="528">
        <f t="shared" si="478"/>
        <v>3.3275449442277262E-2</v>
      </c>
      <c r="AH464" s="528">
        <f t="shared" si="478"/>
        <v>4.3133375243396367E-2</v>
      </c>
      <c r="AI464" s="528">
        <f t="shared" si="478"/>
        <v>5.3545287479572684E-2</v>
      </c>
      <c r="AJ464" s="528">
        <f t="shared" si="478"/>
        <v>6.3657184579921505E-2</v>
      </c>
      <c r="AK464" s="528">
        <f t="shared" si="478"/>
        <v>7.2475632012496821E-2</v>
      </c>
      <c r="AL464" s="528">
        <f t="shared" si="478"/>
        <v>7.9023278973082145E-2</v>
      </c>
      <c r="AM464" s="528">
        <f t="shared" si="478"/>
        <v>8.2515694127029332E-2</v>
      </c>
      <c r="AN464" s="528">
        <f t="shared" si="478"/>
        <v>8.2515694127029332E-2</v>
      </c>
      <c r="AO464" s="528">
        <f t="shared" si="478"/>
        <v>7.9023278973082089E-2</v>
      </c>
      <c r="AP464" s="528">
        <f t="shared" si="478"/>
        <v>7.2475632012496821E-2</v>
      </c>
      <c r="AQ464" s="528">
        <f t="shared" si="478"/>
        <v>6.3657184579921561E-2</v>
      </c>
      <c r="AR464" s="528">
        <f t="shared" si="478"/>
        <v>5.3545287479572684E-2</v>
      </c>
      <c r="AS464" s="528">
        <f t="shared" si="478"/>
        <v>4.3133375243396381E-2</v>
      </c>
      <c r="AT464" s="528">
        <f t="shared" si="478"/>
        <v>3.327544944227729E-2</v>
      </c>
      <c r="AU464" s="528">
        <f t="shared" si="478"/>
        <v>2.4584005122770449E-2</v>
      </c>
      <c r="AV464" s="528">
        <f t="shared" si="478"/>
        <v>1.7394000479588459E-2</v>
      </c>
      <c r="AW464" s="528">
        <f t="shared" si="478"/>
        <v>1.1785943332293443E-2</v>
      </c>
      <c r="AX464" s="528">
        <f t="shared" si="478"/>
        <v>7.6479869253303617E-3</v>
      </c>
      <c r="AY464" s="528">
        <f t="shared" si="478"/>
        <v>4.7527800481784845E-3</v>
      </c>
      <c r="AZ464" s="528">
        <f t="shared" si="478"/>
        <v>2.8285636030776096E-3</v>
      </c>
      <c r="BA464" s="528">
        <f t="shared" si="478"/>
        <v>1.6121360294545075E-3</v>
      </c>
      <c r="BB464" s="528">
        <f t="shared" si="478"/>
        <v>8.7994344447705228E-4</v>
      </c>
      <c r="BC464" s="528">
        <f t="shared" si="478"/>
        <v>4.5996522961112E-4</v>
      </c>
      <c r="BD464" s="528">
        <f t="shared" si="478"/>
        <v>2.3025667408862774E-4</v>
      </c>
      <c r="BE464" s="528">
        <f t="shared" si="478"/>
        <v>1.1038656919918443E-4</v>
      </c>
      <c r="BF464" s="528">
        <f t="shared" si="478"/>
        <v>5.0680024970032683E-5</v>
      </c>
      <c r="BG464" s="528">
        <f t="shared" si="478"/>
        <v>2.2283005178394229E-5</v>
      </c>
      <c r="BH464" s="528">
        <f t="shared" si="478"/>
        <v>9.3826783501334666E-6</v>
      </c>
      <c r="BI464" s="528">
        <f t="shared" si="478"/>
        <v>3.7835177934586162E-6</v>
      </c>
      <c r="BJ464" s="528">
        <f t="shared" si="478"/>
        <v>1.4611014325002098E-6</v>
      </c>
      <c r="BK464" s="528">
        <f t="shared" si="478"/>
        <v>5.4035642997025715E-7</v>
      </c>
      <c r="BL464" s="528" t="str">
        <f t="shared" si="478"/>
        <v/>
      </c>
      <c r="BM464" s="528" t="str">
        <f t="shared" si="478"/>
        <v/>
      </c>
    </row>
    <row r="465" spans="6:65" ht="15.75" customHeight="1" x14ac:dyDescent="0.25">
      <c r="F465" s="197"/>
      <c r="G465" s="197">
        <f t="shared" si="268"/>
        <v>0</v>
      </c>
      <c r="H465" s="197">
        <f t="shared" si="269"/>
        <v>4910</v>
      </c>
      <c r="I465" s="523">
        <v>1</v>
      </c>
      <c r="J465" s="533">
        <f>'Monthly DCF'!$I$3</f>
        <v>46418</v>
      </c>
      <c r="K465" s="533">
        <f t="shared" si="270"/>
        <v>47879</v>
      </c>
      <c r="L465" s="536">
        <f t="shared" si="435"/>
        <v>49</v>
      </c>
      <c r="M465" s="20" t="s">
        <v>366</v>
      </c>
      <c r="N465" s="20">
        <f t="shared" si="271"/>
        <v>4.9000000000000004</v>
      </c>
      <c r="O465" s="537">
        <v>10</v>
      </c>
      <c r="P465" s="528">
        <f t="shared" ref="P465:BM465" si="479">IFERROR(+IF(AND($M465="Flat",P$5&gt;=$J465,P$5&lt;=$K465),$I465/$L465,0)+IF(AND($M465="S-Curve",P$5&gt;=$J465,P$5&lt;=$K465),(_xlfn.NORM.DIST((YEAR(P$5)-YEAR($J465))*12+MONTH(P$5)-MONTH($J465)+1,$L465/2,$N465,TRUE)-_xlfn.NORM.DIST((YEAR(P$5)-YEAR($J465))*12+MONTH(P$5)-MONTH($J465),$L465/2,$N465,TRUE))/(1-2*_xlfn.NORM.DIST(0,$L465/2,$N465,TRUE))*$I465," "),"")</f>
        <v>5.2300482750947364E-7</v>
      </c>
      <c r="Q465" s="528">
        <f t="shared" si="479"/>
        <v>1.3871548403780612E-6</v>
      </c>
      <c r="R465" s="528">
        <f t="shared" si="479"/>
        <v>3.529523215080997E-6</v>
      </c>
      <c r="S465" s="528">
        <f t="shared" si="479"/>
        <v>8.6154750430744433E-6</v>
      </c>
      <c r="T465" s="528">
        <f t="shared" si="479"/>
        <v>2.0175054589618822E-5</v>
      </c>
      <c r="U465" s="528">
        <f t="shared" si="479"/>
        <v>4.5323425095146088E-5</v>
      </c>
      <c r="V465" s="528">
        <f t="shared" si="479"/>
        <v>9.7679502799100584E-5</v>
      </c>
      <c r="W465" s="528">
        <f t="shared" si="479"/>
        <v>2.0195614152771366E-4</v>
      </c>
      <c r="X465" s="528">
        <f t="shared" si="479"/>
        <v>4.0057494084509227E-4</v>
      </c>
      <c r="Y465" s="528">
        <f t="shared" si="479"/>
        <v>7.6222598529459857E-4</v>
      </c>
      <c r="Z465" s="528">
        <f t="shared" si="479"/>
        <v>1.3914164925906891E-3</v>
      </c>
      <c r="AA465" s="528">
        <f t="shared" si="479"/>
        <v>2.4367115356703187E-3</v>
      </c>
      <c r="AB465" s="528">
        <f t="shared" si="479"/>
        <v>4.0937829295971005E-3</v>
      </c>
      <c r="AC465" s="528">
        <f t="shared" si="479"/>
        <v>6.5981069947207965E-3</v>
      </c>
      <c r="AD465" s="528">
        <f t="shared" si="479"/>
        <v>1.020205994272117E-2</v>
      </c>
      <c r="AE465" s="528">
        <f t="shared" si="479"/>
        <v>1.5133189637396299E-2</v>
      </c>
      <c r="AF465" s="528">
        <f t="shared" si="479"/>
        <v>2.1535118497834786E-2</v>
      </c>
      <c r="AG465" s="528">
        <f t="shared" si="479"/>
        <v>2.9399391163622848E-2</v>
      </c>
      <c r="AH465" s="528">
        <f t="shared" si="479"/>
        <v>3.8503815486120294E-2</v>
      </c>
      <c r="AI465" s="528">
        <f t="shared" si="479"/>
        <v>4.8377523045918823E-2</v>
      </c>
      <c r="AJ465" s="528">
        <f t="shared" si="479"/>
        <v>5.8312005615027376E-2</v>
      </c>
      <c r="AK465" s="528">
        <f t="shared" si="479"/>
        <v>6.7429023109994282E-2</v>
      </c>
      <c r="AL465" s="528">
        <f t="shared" si="479"/>
        <v>7.4801504442024019E-2</v>
      </c>
      <c r="AM465" s="528">
        <f t="shared" si="479"/>
        <v>7.9606476304713611E-2</v>
      </c>
      <c r="AN465" s="528">
        <f t="shared" si="479"/>
        <v>8.1275769187940591E-2</v>
      </c>
      <c r="AO465" s="528">
        <f t="shared" si="479"/>
        <v>7.9606476304713555E-2</v>
      </c>
      <c r="AP465" s="528">
        <f t="shared" si="479"/>
        <v>7.4801504442023964E-2</v>
      </c>
      <c r="AQ465" s="528">
        <f t="shared" si="479"/>
        <v>6.742902310999431E-2</v>
      </c>
      <c r="AR465" s="528">
        <f t="shared" si="479"/>
        <v>5.8312005615027432E-2</v>
      </c>
      <c r="AS465" s="528">
        <f t="shared" si="479"/>
        <v>4.8377523045918767E-2</v>
      </c>
      <c r="AT465" s="528">
        <f t="shared" si="479"/>
        <v>3.8503815486120377E-2</v>
      </c>
      <c r="AU465" s="528">
        <f t="shared" si="479"/>
        <v>2.9399391163622793E-2</v>
      </c>
      <c r="AV465" s="528">
        <f t="shared" si="479"/>
        <v>2.1535118497834772E-2</v>
      </c>
      <c r="AW465" s="528">
        <f t="shared" si="479"/>
        <v>1.5133189637396271E-2</v>
      </c>
      <c r="AX465" s="528">
        <f t="shared" si="479"/>
        <v>1.020205994272126E-2</v>
      </c>
      <c r="AY465" s="528">
        <f t="shared" si="479"/>
        <v>6.5981069947207514E-3</v>
      </c>
      <c r="AZ465" s="528">
        <f t="shared" si="479"/>
        <v>4.0937829295970684E-3</v>
      </c>
      <c r="BA465" s="528">
        <f t="shared" si="479"/>
        <v>2.436711535670336E-3</v>
      </c>
      <c r="BB465" s="528">
        <f t="shared" si="479"/>
        <v>1.3914164925906598E-3</v>
      </c>
      <c r="BC465" s="528">
        <f t="shared" si="479"/>
        <v>7.6222598529462448E-4</v>
      </c>
      <c r="BD465" s="528">
        <f t="shared" si="479"/>
        <v>4.0057494084512989E-4</v>
      </c>
      <c r="BE465" s="528">
        <f t="shared" si="479"/>
        <v>2.0195614152766631E-4</v>
      </c>
      <c r="BF465" s="528">
        <f t="shared" si="479"/>
        <v>9.767950279913643E-5</v>
      </c>
      <c r="BG465" s="528">
        <f t="shared" si="479"/>
        <v>4.5323425095181135E-5</v>
      </c>
      <c r="BH465" s="528">
        <f t="shared" si="479"/>
        <v>2.0175054589518472E-5</v>
      </c>
      <c r="BI465" s="528">
        <f t="shared" si="479"/>
        <v>8.6154750431687825E-6</v>
      </c>
      <c r="BJ465" s="528">
        <f t="shared" si="479"/>
        <v>3.5295232150232437E-6</v>
      </c>
      <c r="BK465" s="528">
        <f t="shared" si="479"/>
        <v>1.3871548404450882E-6</v>
      </c>
      <c r="BL465" s="528">
        <f t="shared" si="479"/>
        <v>5.2300482741534456E-7</v>
      </c>
      <c r="BM465" s="528" t="str">
        <f t="shared" si="479"/>
        <v/>
      </c>
    </row>
    <row r="466" spans="6:65" ht="15.75" customHeight="1" x14ac:dyDescent="0.25">
      <c r="F466" s="197"/>
      <c r="G466" s="197">
        <f t="shared" si="268"/>
        <v>0</v>
      </c>
      <c r="H466" s="197">
        <f t="shared" si="269"/>
        <v>5010</v>
      </c>
      <c r="I466" s="523">
        <v>1</v>
      </c>
      <c r="J466" s="533">
        <f>'Monthly DCF'!$I$3</f>
        <v>46418</v>
      </c>
      <c r="K466" s="533">
        <f t="shared" si="270"/>
        <v>47907</v>
      </c>
      <c r="L466" s="536">
        <f t="shared" si="435"/>
        <v>50</v>
      </c>
      <c r="M466" s="20" t="s">
        <v>366</v>
      </c>
      <c r="N466" s="20">
        <f t="shared" si="271"/>
        <v>5</v>
      </c>
      <c r="O466" s="537">
        <v>10</v>
      </c>
      <c r="P466" s="528">
        <f t="shared" ref="P466:BM466" si="480">IFERROR(+IF(AND($M466="Flat",P$5&gt;=$J466,P$5&lt;=$K466),$I466/$L466,0)+IF(AND($M466="S-Curve",P$5&gt;=$J466,P$5&lt;=$K466),(_xlfn.NORM.DIST((YEAR(P$5)-YEAR($J466))*12+MONTH(P$5)-MONTH($J466)+1,$L466/2,$N466,TRUE)-_xlfn.NORM.DIST((YEAR(P$5)-YEAR($J466))*12+MONTH(P$5)-MONTH($J466),$L466/2,$N466,TRUE))/(1-2*_xlfn.NORM.DIST(0,$L466/2,$N466,TRUE))*$I466," "),"")</f>
        <v>5.0667687057584424E-7</v>
      </c>
      <c r="Q466" s="528">
        <f t="shared" si="480"/>
        <v>1.3191273067870905E-6</v>
      </c>
      <c r="R466" s="528">
        <f t="shared" si="480"/>
        <v>3.3000910971535888E-6</v>
      </c>
      <c r="S466" s="528">
        <f t="shared" si="480"/>
        <v>7.9332096563365016E-6</v>
      </c>
      <c r="T466" s="528">
        <f t="shared" si="480"/>
        <v>1.8325503323282214E-5</v>
      </c>
      <c r="U466" s="528">
        <f t="shared" si="480"/>
        <v>4.0676825412152021E-5</v>
      </c>
      <c r="V466" s="528">
        <f t="shared" si="480"/>
        <v>8.6760595972536068E-5</v>
      </c>
      <c r="W466" s="528">
        <f t="shared" si="480"/>
        <v>1.778207774645579E-4</v>
      </c>
      <c r="X466" s="528">
        <f t="shared" si="480"/>
        <v>3.5020887301481427E-4</v>
      </c>
      <c r="Y466" s="528">
        <f t="shared" si="480"/>
        <v>6.627604736769092E-4</v>
      </c>
      <c r="Z466" s="528">
        <f t="shared" si="480"/>
        <v>1.2052329897616998E-3</v>
      </c>
      <c r="AA466" s="528">
        <f t="shared" si="480"/>
        <v>2.1060589007010052E-3</v>
      </c>
      <c r="AB466" s="528">
        <f t="shared" si="480"/>
        <v>3.5363499282779149E-3</v>
      </c>
      <c r="AC466" s="528">
        <f t="shared" si="480"/>
        <v>5.7059148601213928E-3</v>
      </c>
      <c r="AD466" s="528">
        <f t="shared" si="480"/>
        <v>8.8466895065154993E-3</v>
      </c>
      <c r="AE466" s="528">
        <f t="shared" si="480"/>
        <v>1.3180194720993667E-2</v>
      </c>
      <c r="AF466" s="528">
        <f t="shared" si="480"/>
        <v>1.8868983404279682E-2</v>
      </c>
      <c r="AG466" s="528">
        <f t="shared" si="480"/>
        <v>2.5957382415662027E-2</v>
      </c>
      <c r="AH466" s="528">
        <f t="shared" si="480"/>
        <v>3.4313030659705569E-2</v>
      </c>
      <c r="AI466" s="528">
        <f t="shared" si="480"/>
        <v>4.3585608697515203E-2</v>
      </c>
      <c r="AJ466" s="528">
        <f t="shared" si="480"/>
        <v>5.3200175151767282E-2</v>
      </c>
      <c r="AK466" s="528">
        <f t="shared" si="480"/>
        <v>6.2397754939506007E-2</v>
      </c>
      <c r="AL466" s="528">
        <f t="shared" si="480"/>
        <v>7.0325180957249545E-2</v>
      </c>
      <c r="AM466" s="528">
        <f t="shared" si="480"/>
        <v>7.61620758351787E-2</v>
      </c>
      <c r="AN466" s="528">
        <f t="shared" si="480"/>
        <v>7.925975487896969E-2</v>
      </c>
      <c r="AO466" s="528">
        <f t="shared" si="480"/>
        <v>7.9259754878969635E-2</v>
      </c>
      <c r="AP466" s="528">
        <f t="shared" si="480"/>
        <v>7.6162075835178811E-2</v>
      </c>
      <c r="AQ466" s="528">
        <f t="shared" si="480"/>
        <v>7.0325180957249489E-2</v>
      </c>
      <c r="AR466" s="528">
        <f t="shared" si="480"/>
        <v>6.239775493950598E-2</v>
      </c>
      <c r="AS466" s="528">
        <f t="shared" si="480"/>
        <v>5.3200175151767337E-2</v>
      </c>
      <c r="AT466" s="528">
        <f t="shared" si="480"/>
        <v>4.3585608697515231E-2</v>
      </c>
      <c r="AU466" s="528">
        <f t="shared" si="480"/>
        <v>3.43130306597055E-2</v>
      </c>
      <c r="AV466" s="528">
        <f t="shared" si="480"/>
        <v>2.5957382415662013E-2</v>
      </c>
      <c r="AW466" s="528">
        <f t="shared" si="480"/>
        <v>1.886898340427973E-2</v>
      </c>
      <c r="AX466" s="528">
        <f t="shared" si="480"/>
        <v>1.3180194720993629E-2</v>
      </c>
      <c r="AY466" s="528">
        <f t="shared" si="480"/>
        <v>8.8466895065155236E-3</v>
      </c>
      <c r="AZ466" s="528">
        <f t="shared" si="480"/>
        <v>5.7059148601213616E-3</v>
      </c>
      <c r="BA466" s="528">
        <f t="shared" si="480"/>
        <v>3.5363499282779548E-3</v>
      </c>
      <c r="BB466" s="528">
        <f t="shared" si="480"/>
        <v>2.1060589007009414E-3</v>
      </c>
      <c r="BC466" s="528">
        <f t="shared" si="480"/>
        <v>1.2052329897617377E-3</v>
      </c>
      <c r="BD466" s="528">
        <f t="shared" si="480"/>
        <v>6.6276047367690616E-4</v>
      </c>
      <c r="BE466" s="528">
        <f t="shared" si="480"/>
        <v>3.5020887301485308E-4</v>
      </c>
      <c r="BF466" s="528">
        <f t="shared" si="480"/>
        <v>1.778207774645131E-4</v>
      </c>
      <c r="BG466" s="528">
        <f t="shared" si="480"/>
        <v>8.6760595972589627E-5</v>
      </c>
      <c r="BH466" s="528">
        <f t="shared" si="480"/>
        <v>4.0676825412117557E-5</v>
      </c>
      <c r="BI466" s="528">
        <f t="shared" si="480"/>
        <v>1.8325503323285846E-5</v>
      </c>
      <c r="BJ466" s="528">
        <f t="shared" si="480"/>
        <v>7.9332096563022307E-6</v>
      </c>
      <c r="BK466" s="528">
        <f t="shared" si="480"/>
        <v>3.3000910971907664E-6</v>
      </c>
      <c r="BL466" s="528">
        <f t="shared" si="480"/>
        <v>1.3191273068072768E-6</v>
      </c>
      <c r="BM466" s="528">
        <f t="shared" si="480"/>
        <v>5.0667687050489856E-7</v>
      </c>
    </row>
  </sheetData>
  <dataValidations count="1">
    <dataValidation type="decimal" allowBlank="1" showErrorMessage="1" sqref="O7:O52" xr:uid="{00000000-0002-0000-0C00-000000000000}">
      <formula1>1</formula1>
      <formula2>10</formula2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showGridLines="0" workbookViewId="0">
      <selection activeCell="B5" sqref="B5:J53"/>
    </sheetView>
  </sheetViews>
  <sheetFormatPr defaultColWidth="14.42578125" defaultRowHeight="15" customHeight="1" outlineLevelCol="1" x14ac:dyDescent="0.25"/>
  <cols>
    <col min="1" max="1" width="8.7109375" customWidth="1"/>
    <col min="2" max="2" width="17.7109375" customWidth="1"/>
    <col min="3" max="3" width="18.85546875" customWidth="1"/>
    <col min="4" max="4" width="10.85546875" customWidth="1"/>
    <col min="5" max="5" width="8.140625" customWidth="1"/>
    <col min="6" max="6" width="11.42578125" customWidth="1"/>
    <col min="7" max="7" width="19.7109375" customWidth="1"/>
    <col min="8" max="8" width="17.85546875" customWidth="1"/>
    <col min="9" max="9" width="16.7109375" customWidth="1"/>
    <col min="10" max="10" width="13.5703125" customWidth="1"/>
    <col min="11" max="13" width="21" customWidth="1"/>
    <col min="14" max="15" width="21" customWidth="1" outlineLevel="1"/>
    <col min="16" max="16" width="10.5703125" customWidth="1"/>
    <col min="17" max="17" width="13.5703125" customWidth="1"/>
    <col min="18" max="18" width="12.85546875" customWidth="1"/>
    <col min="19" max="19" width="15.28515625" customWidth="1"/>
    <col min="20" max="26" width="8.7109375" customWidth="1"/>
  </cols>
  <sheetData>
    <row r="1" spans="1:26" ht="23.25" x14ac:dyDescent="0.35">
      <c r="A1" s="169"/>
      <c r="B1" s="1922" t="str">
        <f>IF(NAME="","Insert Project Name on Prelim Page",NAME)</f>
        <v>Town Center</v>
      </c>
      <c r="C1" s="1924"/>
      <c r="D1" s="1924"/>
      <c r="E1" s="1924"/>
      <c r="F1" s="1924"/>
      <c r="G1" s="1924"/>
      <c r="H1" s="1924"/>
      <c r="I1" s="1924"/>
      <c r="J1" s="1924"/>
      <c r="K1" s="170"/>
      <c r="L1" s="170"/>
      <c r="M1" s="170"/>
      <c r="N1" s="170"/>
      <c r="O1" s="170"/>
    </row>
    <row r="2" spans="1:26" ht="15.75" x14ac:dyDescent="0.25">
      <c r="A2" s="169"/>
      <c r="B2" s="1925" t="str">
        <f>CITY</f>
        <v>Santa Maria, CA 93454</v>
      </c>
      <c r="C2" s="1926"/>
      <c r="D2" s="1926"/>
      <c r="E2" s="1926"/>
      <c r="F2" s="1926"/>
      <c r="G2" s="1926"/>
      <c r="H2" s="1926"/>
      <c r="I2" s="1926"/>
      <c r="J2" s="1926"/>
      <c r="K2" s="171"/>
      <c r="L2" s="171"/>
      <c r="M2" s="171"/>
      <c r="N2" s="171"/>
      <c r="O2" s="171"/>
    </row>
    <row r="3" spans="1:26" x14ac:dyDescent="0.25">
      <c r="A3" s="169"/>
      <c r="B3" s="26" t="s">
        <v>629</v>
      </c>
      <c r="C3" s="168"/>
      <c r="D3" s="167"/>
      <c r="E3" s="167"/>
      <c r="F3" s="168"/>
      <c r="G3" s="168"/>
      <c r="H3" s="168"/>
      <c r="I3" s="172"/>
      <c r="J3" s="173"/>
      <c r="K3" s="168"/>
      <c r="L3" s="168"/>
      <c r="M3" s="168"/>
      <c r="N3" s="168"/>
      <c r="O3" s="168"/>
    </row>
    <row r="4" spans="1:26" ht="5.25" customHeight="1" x14ac:dyDescent="0.25"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26" x14ac:dyDescent="0.25">
      <c r="B5" s="174" t="s">
        <v>716</v>
      </c>
      <c r="C5" s="175"/>
      <c r="D5" s="176"/>
      <c r="E5" s="177"/>
      <c r="F5" s="177"/>
      <c r="G5" s="177"/>
      <c r="H5" s="177"/>
      <c r="I5" s="177"/>
      <c r="J5" s="177"/>
    </row>
    <row r="6" spans="1:26" ht="46.5" customHeight="1" x14ac:dyDescent="0.25">
      <c r="A6" s="43"/>
      <c r="B6" s="1327" t="s">
        <v>124</v>
      </c>
      <c r="C6" s="1328" t="s">
        <v>125</v>
      </c>
      <c r="D6" s="1329" t="s">
        <v>126</v>
      </c>
      <c r="E6" s="1329" t="s">
        <v>127</v>
      </c>
      <c r="F6" s="1329" t="s">
        <v>128</v>
      </c>
      <c r="G6" s="1330" t="str">
        <f ca="1">CONCATENATE(YEAR(TODAY())," MARKET RENT/UNIT")</f>
        <v>2026 MARKET RENT/UNIT</v>
      </c>
      <c r="H6" s="1330" t="str">
        <f ca="1">CONCATENATE(YEAR(TODAY())," MARKET RENT/SF")</f>
        <v>2026 MARKET RENT/SF</v>
      </c>
      <c r="I6" s="1331" t="s">
        <v>129</v>
      </c>
      <c r="J6" s="1332" t="s">
        <v>715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x14ac:dyDescent="0.25">
      <c r="B7" s="1333">
        <f t="shared" ref="B7:B35" si="0">D7/UNITS</f>
        <v>6.097560975609756E-2</v>
      </c>
      <c r="C7" s="1334" t="s">
        <v>539</v>
      </c>
      <c r="D7" s="1335">
        <v>5</v>
      </c>
      <c r="E7" s="1335">
        <v>516</v>
      </c>
      <c r="F7" s="1336">
        <f t="shared" ref="F7:F35" si="1">E7*D7</f>
        <v>2580</v>
      </c>
      <c r="G7" s="1337">
        <v>1985</v>
      </c>
      <c r="H7" s="1338">
        <f t="shared" ref="H7:H35" si="2">IFERROR(G7/E7,0)</f>
        <v>3.8468992248062017</v>
      </c>
      <c r="I7" s="1339">
        <f>G7*D7*12</f>
        <v>119100</v>
      </c>
      <c r="J7" s="1340">
        <f>G7*12/0.3</f>
        <v>79400</v>
      </c>
      <c r="K7" s="178"/>
      <c r="L7" s="178"/>
    </row>
    <row r="8" spans="1:26" ht="18" customHeight="1" x14ac:dyDescent="0.25">
      <c r="B8" s="1333">
        <f t="shared" si="0"/>
        <v>0.81707317073170727</v>
      </c>
      <c r="C8" s="1334" t="s">
        <v>130</v>
      </c>
      <c r="D8" s="1335">
        <v>67</v>
      </c>
      <c r="E8" s="1335">
        <v>594.37</v>
      </c>
      <c r="F8" s="1336">
        <f t="shared" si="1"/>
        <v>39822.79</v>
      </c>
      <c r="G8" s="1337">
        <v>2495</v>
      </c>
      <c r="H8" s="1338">
        <f>IFERROR(G8/E8,0)</f>
        <v>4.1977219577031146</v>
      </c>
      <c r="I8" s="1339">
        <f>G8*D8*12</f>
        <v>2005980</v>
      </c>
      <c r="J8" s="1341">
        <f t="shared" ref="J8:J36" si="3">G8*12/0.3</f>
        <v>99800</v>
      </c>
      <c r="K8" s="178"/>
      <c r="L8" s="178"/>
    </row>
    <row r="9" spans="1:26" x14ac:dyDescent="0.25">
      <c r="B9" s="1333">
        <f t="shared" si="0"/>
        <v>0.12195121951219512</v>
      </c>
      <c r="C9" s="1334" t="s">
        <v>131</v>
      </c>
      <c r="D9" s="1335">
        <v>10</v>
      </c>
      <c r="E9" s="1335">
        <v>948.5</v>
      </c>
      <c r="F9" s="1336">
        <f t="shared" si="1"/>
        <v>9485</v>
      </c>
      <c r="G9" s="1337">
        <v>3295</v>
      </c>
      <c r="H9" s="1338">
        <f t="shared" si="2"/>
        <v>3.4739061676331051</v>
      </c>
      <c r="I9" s="1339">
        <f t="shared" ref="I9:I35" si="4">G9*D9*12</f>
        <v>395400</v>
      </c>
      <c r="J9" s="1341">
        <f t="shared" si="3"/>
        <v>131800</v>
      </c>
      <c r="K9" s="178"/>
      <c r="L9" s="178"/>
    </row>
    <row r="10" spans="1:26" hidden="1" x14ac:dyDescent="0.25">
      <c r="B10" s="1333">
        <f t="shared" si="0"/>
        <v>0</v>
      </c>
      <c r="C10" s="1334"/>
      <c r="D10" s="1335">
        <v>0</v>
      </c>
      <c r="E10" s="1335">
        <v>0</v>
      </c>
      <c r="F10" s="1336">
        <f t="shared" si="1"/>
        <v>0</v>
      </c>
      <c r="G10" s="1337">
        <v>0</v>
      </c>
      <c r="H10" s="1338"/>
      <c r="I10" s="1339">
        <f t="shared" si="4"/>
        <v>0</v>
      </c>
      <c r="J10" s="1341">
        <f t="shared" si="3"/>
        <v>0</v>
      </c>
      <c r="K10" s="178"/>
    </row>
    <row r="11" spans="1:26" hidden="1" x14ac:dyDescent="0.25">
      <c r="B11" s="1333">
        <f t="shared" si="0"/>
        <v>0</v>
      </c>
      <c r="C11" s="1334" t="s">
        <v>132</v>
      </c>
      <c r="D11" s="1335">
        <v>0</v>
      </c>
      <c r="E11" s="1335">
        <v>0</v>
      </c>
      <c r="F11" s="1336">
        <f t="shared" si="1"/>
        <v>0</v>
      </c>
      <c r="G11" s="1337">
        <v>0</v>
      </c>
      <c r="H11" s="1338">
        <f t="shared" si="2"/>
        <v>0</v>
      </c>
      <c r="I11" s="1339">
        <f t="shared" si="4"/>
        <v>0</v>
      </c>
      <c r="J11" s="1341">
        <f t="shared" si="3"/>
        <v>0</v>
      </c>
      <c r="K11" s="178"/>
    </row>
    <row r="12" spans="1:26" hidden="1" x14ac:dyDescent="0.25">
      <c r="B12" s="1333">
        <f t="shared" si="0"/>
        <v>0</v>
      </c>
      <c r="C12" s="1334" t="s">
        <v>132</v>
      </c>
      <c r="D12" s="1335">
        <v>0</v>
      </c>
      <c r="E12" s="1335">
        <v>0</v>
      </c>
      <c r="F12" s="1336">
        <f t="shared" si="1"/>
        <v>0</v>
      </c>
      <c r="G12" s="1337">
        <v>0</v>
      </c>
      <c r="H12" s="1338">
        <f t="shared" si="2"/>
        <v>0</v>
      </c>
      <c r="I12" s="1339">
        <f t="shared" si="4"/>
        <v>0</v>
      </c>
      <c r="J12" s="1341">
        <f t="shared" si="3"/>
        <v>0</v>
      </c>
      <c r="K12" s="178"/>
    </row>
    <row r="13" spans="1:26" hidden="1" x14ac:dyDescent="0.25">
      <c r="B13" s="1333">
        <f t="shared" si="0"/>
        <v>0</v>
      </c>
      <c r="C13" s="1334" t="s">
        <v>132</v>
      </c>
      <c r="D13" s="1335">
        <v>0</v>
      </c>
      <c r="E13" s="1335">
        <v>0</v>
      </c>
      <c r="F13" s="1336">
        <f t="shared" si="1"/>
        <v>0</v>
      </c>
      <c r="G13" s="1337">
        <v>0</v>
      </c>
      <c r="H13" s="1338">
        <f t="shared" si="2"/>
        <v>0</v>
      </c>
      <c r="I13" s="1339">
        <f t="shared" si="4"/>
        <v>0</v>
      </c>
      <c r="J13" s="1341">
        <f t="shared" si="3"/>
        <v>0</v>
      </c>
      <c r="K13" s="178"/>
    </row>
    <row r="14" spans="1:26" hidden="1" x14ac:dyDescent="0.25">
      <c r="B14" s="1333">
        <f t="shared" si="0"/>
        <v>0</v>
      </c>
      <c r="C14" s="1334" t="s">
        <v>132</v>
      </c>
      <c r="D14" s="1335">
        <v>0</v>
      </c>
      <c r="E14" s="1335">
        <v>0</v>
      </c>
      <c r="F14" s="1336">
        <f t="shared" si="1"/>
        <v>0</v>
      </c>
      <c r="G14" s="1337">
        <v>0</v>
      </c>
      <c r="H14" s="1338">
        <f t="shared" si="2"/>
        <v>0</v>
      </c>
      <c r="I14" s="1339">
        <f t="shared" si="4"/>
        <v>0</v>
      </c>
      <c r="J14" s="1341">
        <f t="shared" si="3"/>
        <v>0</v>
      </c>
      <c r="K14" s="178"/>
    </row>
    <row r="15" spans="1:26" hidden="1" x14ac:dyDescent="0.25">
      <c r="B15" s="1333">
        <f t="shared" si="0"/>
        <v>0</v>
      </c>
      <c r="C15" s="1334" t="s">
        <v>132</v>
      </c>
      <c r="D15" s="1335">
        <v>0</v>
      </c>
      <c r="E15" s="1335">
        <v>0</v>
      </c>
      <c r="F15" s="1336">
        <f t="shared" si="1"/>
        <v>0</v>
      </c>
      <c r="G15" s="1337">
        <v>0</v>
      </c>
      <c r="H15" s="1338">
        <f t="shared" si="2"/>
        <v>0</v>
      </c>
      <c r="I15" s="1339">
        <f t="shared" si="4"/>
        <v>0</v>
      </c>
      <c r="J15" s="1341">
        <f t="shared" si="3"/>
        <v>0</v>
      </c>
      <c r="K15" s="178"/>
    </row>
    <row r="16" spans="1:26" hidden="1" x14ac:dyDescent="0.25">
      <c r="B16" s="1333">
        <f t="shared" si="0"/>
        <v>0</v>
      </c>
      <c r="C16" s="1334" t="s">
        <v>132</v>
      </c>
      <c r="D16" s="1335">
        <v>0</v>
      </c>
      <c r="E16" s="1335">
        <v>0</v>
      </c>
      <c r="F16" s="1336">
        <f t="shared" si="1"/>
        <v>0</v>
      </c>
      <c r="G16" s="1337">
        <v>0</v>
      </c>
      <c r="H16" s="1338">
        <f t="shared" si="2"/>
        <v>0</v>
      </c>
      <c r="I16" s="1339">
        <f t="shared" si="4"/>
        <v>0</v>
      </c>
      <c r="J16" s="1341">
        <f t="shared" si="3"/>
        <v>0</v>
      </c>
      <c r="K16" s="178"/>
    </row>
    <row r="17" spans="2:11" hidden="1" x14ac:dyDescent="0.25">
      <c r="B17" s="1333">
        <f t="shared" si="0"/>
        <v>0</v>
      </c>
      <c r="C17" s="1334" t="s">
        <v>132</v>
      </c>
      <c r="D17" s="1335">
        <v>0</v>
      </c>
      <c r="E17" s="1335">
        <v>0</v>
      </c>
      <c r="F17" s="1336">
        <f t="shared" si="1"/>
        <v>0</v>
      </c>
      <c r="G17" s="1337">
        <v>0</v>
      </c>
      <c r="H17" s="1338">
        <f t="shared" si="2"/>
        <v>0</v>
      </c>
      <c r="I17" s="1339">
        <f t="shared" si="4"/>
        <v>0</v>
      </c>
      <c r="J17" s="1341">
        <f t="shared" si="3"/>
        <v>0</v>
      </c>
      <c r="K17" s="178"/>
    </row>
    <row r="18" spans="2:11" hidden="1" x14ac:dyDescent="0.25">
      <c r="B18" s="1333">
        <f t="shared" si="0"/>
        <v>0</v>
      </c>
      <c r="C18" s="1334" t="s">
        <v>132</v>
      </c>
      <c r="D18" s="1335">
        <v>0</v>
      </c>
      <c r="E18" s="1335">
        <v>0</v>
      </c>
      <c r="F18" s="1336">
        <f t="shared" si="1"/>
        <v>0</v>
      </c>
      <c r="G18" s="1337">
        <v>0</v>
      </c>
      <c r="H18" s="1338">
        <f t="shared" si="2"/>
        <v>0</v>
      </c>
      <c r="I18" s="1339">
        <f t="shared" si="4"/>
        <v>0</v>
      </c>
      <c r="J18" s="1341">
        <f t="shared" si="3"/>
        <v>0</v>
      </c>
      <c r="K18" s="178"/>
    </row>
    <row r="19" spans="2:11" hidden="1" x14ac:dyDescent="0.25">
      <c r="B19" s="1333">
        <f t="shared" si="0"/>
        <v>0</v>
      </c>
      <c r="C19" s="1334" t="s">
        <v>132</v>
      </c>
      <c r="D19" s="1335">
        <v>0</v>
      </c>
      <c r="E19" s="1335">
        <v>0</v>
      </c>
      <c r="F19" s="1336">
        <f t="shared" si="1"/>
        <v>0</v>
      </c>
      <c r="G19" s="1337">
        <v>0</v>
      </c>
      <c r="H19" s="1338">
        <f t="shared" si="2"/>
        <v>0</v>
      </c>
      <c r="I19" s="1339">
        <f t="shared" si="4"/>
        <v>0</v>
      </c>
      <c r="J19" s="1341">
        <f t="shared" si="3"/>
        <v>0</v>
      </c>
      <c r="K19" s="178"/>
    </row>
    <row r="20" spans="2:11" hidden="1" x14ac:dyDescent="0.25">
      <c r="B20" s="1333">
        <f t="shared" si="0"/>
        <v>0</v>
      </c>
      <c r="C20" s="1334" t="s">
        <v>132</v>
      </c>
      <c r="D20" s="1335">
        <v>0</v>
      </c>
      <c r="E20" s="1335">
        <v>0</v>
      </c>
      <c r="F20" s="1336">
        <f t="shared" si="1"/>
        <v>0</v>
      </c>
      <c r="G20" s="1337">
        <v>0</v>
      </c>
      <c r="H20" s="1338">
        <f t="shared" si="2"/>
        <v>0</v>
      </c>
      <c r="I20" s="1339">
        <f t="shared" si="4"/>
        <v>0</v>
      </c>
      <c r="J20" s="1341">
        <f t="shared" si="3"/>
        <v>0</v>
      </c>
      <c r="K20" s="178"/>
    </row>
    <row r="21" spans="2:11" ht="15.75" hidden="1" customHeight="1" x14ac:dyDescent="0.25">
      <c r="B21" s="1333">
        <f t="shared" si="0"/>
        <v>0</v>
      </c>
      <c r="C21" s="1334" t="s">
        <v>132</v>
      </c>
      <c r="D21" s="1335">
        <v>0</v>
      </c>
      <c r="E21" s="1335">
        <v>0</v>
      </c>
      <c r="F21" s="1336">
        <f t="shared" si="1"/>
        <v>0</v>
      </c>
      <c r="G21" s="1337">
        <v>0</v>
      </c>
      <c r="H21" s="1338">
        <f t="shared" si="2"/>
        <v>0</v>
      </c>
      <c r="I21" s="1339">
        <f t="shared" si="4"/>
        <v>0</v>
      </c>
      <c r="J21" s="1341">
        <f t="shared" si="3"/>
        <v>0</v>
      </c>
      <c r="K21" s="178"/>
    </row>
    <row r="22" spans="2:11" ht="15.75" hidden="1" customHeight="1" x14ac:dyDescent="0.25">
      <c r="B22" s="1333">
        <f t="shared" si="0"/>
        <v>0</v>
      </c>
      <c r="C22" s="1334" t="s">
        <v>132</v>
      </c>
      <c r="D22" s="1335">
        <v>0</v>
      </c>
      <c r="E22" s="1335">
        <v>0</v>
      </c>
      <c r="F22" s="1336">
        <f t="shared" si="1"/>
        <v>0</v>
      </c>
      <c r="G22" s="1337">
        <v>0</v>
      </c>
      <c r="H22" s="1338">
        <f t="shared" si="2"/>
        <v>0</v>
      </c>
      <c r="I22" s="1339">
        <f t="shared" si="4"/>
        <v>0</v>
      </c>
      <c r="J22" s="1341">
        <f t="shared" si="3"/>
        <v>0</v>
      </c>
      <c r="K22" s="178"/>
    </row>
    <row r="23" spans="2:11" ht="15.75" hidden="1" customHeight="1" x14ac:dyDescent="0.25">
      <c r="B23" s="1333">
        <f t="shared" si="0"/>
        <v>0</v>
      </c>
      <c r="C23" s="1334" t="s">
        <v>132</v>
      </c>
      <c r="D23" s="1335">
        <v>0</v>
      </c>
      <c r="E23" s="1335">
        <v>0</v>
      </c>
      <c r="F23" s="1336">
        <f t="shared" si="1"/>
        <v>0</v>
      </c>
      <c r="G23" s="1337">
        <v>0</v>
      </c>
      <c r="H23" s="1338">
        <f t="shared" si="2"/>
        <v>0</v>
      </c>
      <c r="I23" s="1339">
        <f t="shared" si="4"/>
        <v>0</v>
      </c>
      <c r="J23" s="1341">
        <f t="shared" si="3"/>
        <v>0</v>
      </c>
      <c r="K23" s="178"/>
    </row>
    <row r="24" spans="2:11" ht="15.75" hidden="1" customHeight="1" x14ac:dyDescent="0.25">
      <c r="B24" s="1333">
        <f t="shared" si="0"/>
        <v>0</v>
      </c>
      <c r="C24" s="1334" t="s">
        <v>132</v>
      </c>
      <c r="D24" s="1335">
        <v>0</v>
      </c>
      <c r="E24" s="1335">
        <v>0</v>
      </c>
      <c r="F24" s="1336">
        <f t="shared" si="1"/>
        <v>0</v>
      </c>
      <c r="G24" s="1337">
        <v>0</v>
      </c>
      <c r="H24" s="1338">
        <f t="shared" si="2"/>
        <v>0</v>
      </c>
      <c r="I24" s="1339">
        <f t="shared" si="4"/>
        <v>0</v>
      </c>
      <c r="J24" s="1341">
        <f t="shared" si="3"/>
        <v>0</v>
      </c>
      <c r="K24" s="178"/>
    </row>
    <row r="25" spans="2:11" ht="15.75" hidden="1" customHeight="1" x14ac:dyDescent="0.25">
      <c r="B25" s="1333">
        <f t="shared" si="0"/>
        <v>0</v>
      </c>
      <c r="C25" s="1334" t="s">
        <v>132</v>
      </c>
      <c r="D25" s="1335">
        <v>0</v>
      </c>
      <c r="E25" s="1335">
        <v>0</v>
      </c>
      <c r="F25" s="1336">
        <f t="shared" si="1"/>
        <v>0</v>
      </c>
      <c r="G25" s="1337">
        <v>0</v>
      </c>
      <c r="H25" s="1338">
        <f t="shared" si="2"/>
        <v>0</v>
      </c>
      <c r="I25" s="1339">
        <f t="shared" si="4"/>
        <v>0</v>
      </c>
      <c r="J25" s="1341">
        <f t="shared" si="3"/>
        <v>0</v>
      </c>
      <c r="K25" s="178"/>
    </row>
    <row r="26" spans="2:11" ht="15.75" hidden="1" customHeight="1" x14ac:dyDescent="0.25">
      <c r="B26" s="1333">
        <f t="shared" si="0"/>
        <v>0</v>
      </c>
      <c r="C26" s="1334" t="s">
        <v>132</v>
      </c>
      <c r="D26" s="1335">
        <v>0</v>
      </c>
      <c r="E26" s="1335">
        <v>0</v>
      </c>
      <c r="F26" s="1336">
        <f t="shared" si="1"/>
        <v>0</v>
      </c>
      <c r="G26" s="1337">
        <v>0</v>
      </c>
      <c r="H26" s="1338">
        <f t="shared" si="2"/>
        <v>0</v>
      </c>
      <c r="I26" s="1339">
        <f t="shared" si="4"/>
        <v>0</v>
      </c>
      <c r="J26" s="1341">
        <f t="shared" si="3"/>
        <v>0</v>
      </c>
      <c r="K26" s="178"/>
    </row>
    <row r="27" spans="2:11" ht="15.75" hidden="1" customHeight="1" x14ac:dyDescent="0.25">
      <c r="B27" s="1333">
        <f t="shared" si="0"/>
        <v>0</v>
      </c>
      <c r="C27" s="1334" t="s">
        <v>132</v>
      </c>
      <c r="D27" s="1335">
        <v>0</v>
      </c>
      <c r="E27" s="1335">
        <v>0</v>
      </c>
      <c r="F27" s="1336">
        <f t="shared" si="1"/>
        <v>0</v>
      </c>
      <c r="G27" s="1337">
        <v>0</v>
      </c>
      <c r="H27" s="1338">
        <f t="shared" si="2"/>
        <v>0</v>
      </c>
      <c r="I27" s="1339">
        <f t="shared" si="4"/>
        <v>0</v>
      </c>
      <c r="J27" s="1341">
        <f t="shared" si="3"/>
        <v>0</v>
      </c>
      <c r="K27" s="178"/>
    </row>
    <row r="28" spans="2:11" ht="15.75" hidden="1" customHeight="1" x14ac:dyDescent="0.25">
      <c r="B28" s="1333">
        <f t="shared" si="0"/>
        <v>0</v>
      </c>
      <c r="C28" s="1334" t="s">
        <v>132</v>
      </c>
      <c r="D28" s="1335">
        <v>0</v>
      </c>
      <c r="E28" s="1335">
        <v>0</v>
      </c>
      <c r="F28" s="1336">
        <f t="shared" si="1"/>
        <v>0</v>
      </c>
      <c r="G28" s="1337">
        <v>0</v>
      </c>
      <c r="H28" s="1338">
        <f t="shared" si="2"/>
        <v>0</v>
      </c>
      <c r="I28" s="1339">
        <f t="shared" si="4"/>
        <v>0</v>
      </c>
      <c r="J28" s="1341">
        <f t="shared" si="3"/>
        <v>0</v>
      </c>
      <c r="K28" s="178"/>
    </row>
    <row r="29" spans="2:11" ht="15.75" hidden="1" customHeight="1" x14ac:dyDescent="0.25">
      <c r="B29" s="1333">
        <f t="shared" si="0"/>
        <v>0</v>
      </c>
      <c r="C29" s="1334" t="s">
        <v>132</v>
      </c>
      <c r="D29" s="1335">
        <v>0</v>
      </c>
      <c r="E29" s="1335">
        <v>0</v>
      </c>
      <c r="F29" s="1336">
        <f t="shared" si="1"/>
        <v>0</v>
      </c>
      <c r="G29" s="1337">
        <v>0</v>
      </c>
      <c r="H29" s="1338">
        <f t="shared" si="2"/>
        <v>0</v>
      </c>
      <c r="I29" s="1339">
        <f t="shared" si="4"/>
        <v>0</v>
      </c>
      <c r="J29" s="1341">
        <f t="shared" si="3"/>
        <v>0</v>
      </c>
      <c r="K29" s="178"/>
    </row>
    <row r="30" spans="2:11" ht="15.75" hidden="1" customHeight="1" x14ac:dyDescent="0.25">
      <c r="B30" s="1333">
        <f t="shared" si="0"/>
        <v>0</v>
      </c>
      <c r="C30" s="1334" t="s">
        <v>132</v>
      </c>
      <c r="D30" s="1335">
        <v>0</v>
      </c>
      <c r="E30" s="1335">
        <v>0</v>
      </c>
      <c r="F30" s="1336">
        <f t="shared" si="1"/>
        <v>0</v>
      </c>
      <c r="G30" s="1337">
        <v>0</v>
      </c>
      <c r="H30" s="1338">
        <f t="shared" si="2"/>
        <v>0</v>
      </c>
      <c r="I30" s="1339">
        <f t="shared" si="4"/>
        <v>0</v>
      </c>
      <c r="J30" s="1341">
        <f t="shared" si="3"/>
        <v>0</v>
      </c>
      <c r="K30" s="178"/>
    </row>
    <row r="31" spans="2:11" ht="15.75" hidden="1" customHeight="1" x14ac:dyDescent="0.25">
      <c r="B31" s="1333">
        <f t="shared" si="0"/>
        <v>0</v>
      </c>
      <c r="C31" s="1334" t="s">
        <v>132</v>
      </c>
      <c r="D31" s="1335">
        <v>0</v>
      </c>
      <c r="E31" s="1335">
        <v>0</v>
      </c>
      <c r="F31" s="1336">
        <f t="shared" si="1"/>
        <v>0</v>
      </c>
      <c r="G31" s="1337">
        <v>0</v>
      </c>
      <c r="H31" s="1338">
        <f t="shared" si="2"/>
        <v>0</v>
      </c>
      <c r="I31" s="1339">
        <f t="shared" si="4"/>
        <v>0</v>
      </c>
      <c r="J31" s="1341">
        <f t="shared" si="3"/>
        <v>0</v>
      </c>
      <c r="K31" s="178"/>
    </row>
    <row r="32" spans="2:11" ht="15.75" hidden="1" customHeight="1" x14ac:dyDescent="0.25">
      <c r="B32" s="1333">
        <f t="shared" si="0"/>
        <v>0</v>
      </c>
      <c r="C32" s="1334" t="s">
        <v>132</v>
      </c>
      <c r="D32" s="1335">
        <v>0</v>
      </c>
      <c r="E32" s="1335">
        <v>0</v>
      </c>
      <c r="F32" s="1336">
        <f t="shared" si="1"/>
        <v>0</v>
      </c>
      <c r="G32" s="1337">
        <v>0</v>
      </c>
      <c r="H32" s="1338">
        <f t="shared" si="2"/>
        <v>0</v>
      </c>
      <c r="I32" s="1339">
        <f t="shared" si="4"/>
        <v>0</v>
      </c>
      <c r="J32" s="1341">
        <f t="shared" si="3"/>
        <v>0</v>
      </c>
      <c r="K32" s="178"/>
    </row>
    <row r="33" spans="2:20" ht="15.75" hidden="1" customHeight="1" x14ac:dyDescent="0.25">
      <c r="B33" s="1333">
        <f t="shared" si="0"/>
        <v>0</v>
      </c>
      <c r="C33" s="1334" t="s">
        <v>132</v>
      </c>
      <c r="D33" s="1335">
        <v>0</v>
      </c>
      <c r="E33" s="1335">
        <v>0</v>
      </c>
      <c r="F33" s="1336">
        <f t="shared" si="1"/>
        <v>0</v>
      </c>
      <c r="G33" s="1337">
        <v>0</v>
      </c>
      <c r="H33" s="1338">
        <f t="shared" si="2"/>
        <v>0</v>
      </c>
      <c r="I33" s="1339">
        <f t="shared" si="4"/>
        <v>0</v>
      </c>
      <c r="J33" s="1341">
        <f t="shared" si="3"/>
        <v>0</v>
      </c>
      <c r="K33" s="178"/>
    </row>
    <row r="34" spans="2:20" ht="15.75" hidden="1" customHeight="1" x14ac:dyDescent="0.25">
      <c r="B34" s="1333">
        <f t="shared" si="0"/>
        <v>0</v>
      </c>
      <c r="C34" s="1334" t="s">
        <v>132</v>
      </c>
      <c r="D34" s="1335">
        <v>0</v>
      </c>
      <c r="E34" s="1335">
        <v>0</v>
      </c>
      <c r="F34" s="1336">
        <f t="shared" si="1"/>
        <v>0</v>
      </c>
      <c r="G34" s="1337">
        <v>0</v>
      </c>
      <c r="H34" s="1338">
        <f t="shared" si="2"/>
        <v>0</v>
      </c>
      <c r="I34" s="1339">
        <f t="shared" si="4"/>
        <v>0</v>
      </c>
      <c r="J34" s="1341">
        <f t="shared" si="3"/>
        <v>0</v>
      </c>
      <c r="K34" s="178"/>
    </row>
    <row r="35" spans="2:20" ht="15.75" hidden="1" customHeight="1" x14ac:dyDescent="0.25">
      <c r="B35" s="1333">
        <f t="shared" si="0"/>
        <v>0</v>
      </c>
      <c r="C35" s="1334" t="s">
        <v>132</v>
      </c>
      <c r="D35" s="1335">
        <v>0</v>
      </c>
      <c r="E35" s="1335">
        <v>0</v>
      </c>
      <c r="F35" s="1336">
        <f t="shared" si="1"/>
        <v>0</v>
      </c>
      <c r="G35" s="1337">
        <v>0</v>
      </c>
      <c r="H35" s="1338">
        <f t="shared" si="2"/>
        <v>0</v>
      </c>
      <c r="I35" s="1339">
        <f t="shared" si="4"/>
        <v>0</v>
      </c>
      <c r="J35" s="1341">
        <f t="shared" si="3"/>
        <v>0</v>
      </c>
      <c r="K35" s="178"/>
    </row>
    <row r="36" spans="2:20" ht="15.75" customHeight="1" x14ac:dyDescent="0.25">
      <c r="B36" s="1342">
        <f>SUM(B7:B35)</f>
        <v>0.99999999999999989</v>
      </c>
      <c r="C36" s="1343" t="s">
        <v>133</v>
      </c>
      <c r="D36" s="1344">
        <f>SUM(D7:D35)</f>
        <v>82</v>
      </c>
      <c r="E36" s="1344">
        <f>IFERROR(F36/D36,0)</f>
        <v>632.77792682926827</v>
      </c>
      <c r="F36" s="1344">
        <f>SUM(F7:F35)</f>
        <v>51887.79</v>
      </c>
      <c r="G36" s="1345">
        <f>SUMPRODUCT(G7:G35,D7:D35)/UNITS</f>
        <v>2561.4634146341464</v>
      </c>
      <c r="H36" s="1346">
        <f>SUMPRODUCT($H$7:$H$35,$F$7:$F$35)/NRSF</f>
        <v>4.0479658123809097</v>
      </c>
      <c r="I36" s="1345">
        <f>SUM(I7:I35)</f>
        <v>2520480</v>
      </c>
      <c r="J36" s="1347">
        <f t="shared" si="3"/>
        <v>102458.53658536586</v>
      </c>
      <c r="K36" s="148"/>
      <c r="L36" s="178"/>
      <c r="N36" s="179"/>
      <c r="O36" s="180"/>
    </row>
    <row r="37" spans="2:20" ht="15.75" customHeight="1" x14ac:dyDescent="0.25">
      <c r="B37" s="1348"/>
      <c r="C37" s="1349"/>
      <c r="D37" s="1350"/>
      <c r="E37" s="1350"/>
      <c r="F37" s="1350"/>
      <c r="G37" s="1351"/>
      <c r="H37" s="1352"/>
      <c r="I37" s="1351"/>
      <c r="J37" s="1351"/>
      <c r="K37" s="148"/>
      <c r="L37" s="178"/>
      <c r="N37" s="179"/>
      <c r="O37" s="180"/>
    </row>
    <row r="38" spans="2:20" ht="15.75" customHeight="1" x14ac:dyDescent="0.25">
      <c r="B38" s="1348"/>
      <c r="C38" s="1353"/>
      <c r="D38" s="584"/>
      <c r="E38" s="584"/>
      <c r="F38" s="584"/>
      <c r="G38" s="584"/>
      <c r="H38" s="1354" t="s">
        <v>675</v>
      </c>
      <c r="I38" s="1355"/>
      <c r="J38" s="1356">
        <f>Summary!L91</f>
        <v>84133</v>
      </c>
      <c r="M38" s="181"/>
      <c r="N38" s="182"/>
      <c r="O38" s="148"/>
      <c r="R38" s="180"/>
    </row>
    <row r="39" spans="2:20" ht="18" customHeight="1" x14ac:dyDescent="0.25">
      <c r="B39" s="584"/>
      <c r="C39" s="584"/>
      <c r="D39" s="584"/>
      <c r="E39" s="584"/>
      <c r="F39" s="584"/>
      <c r="G39" s="584"/>
      <c r="H39" s="1927" t="s">
        <v>631</v>
      </c>
      <c r="I39" s="1928"/>
      <c r="J39" s="1928"/>
    </row>
    <row r="40" spans="2:20" ht="15.75" customHeight="1" x14ac:dyDescent="0.25">
      <c r="B40" s="1357"/>
      <c r="C40" s="584"/>
      <c r="D40" s="584"/>
      <c r="E40" s="1349"/>
      <c r="F40" s="1336"/>
      <c r="G40" s="584"/>
      <c r="H40" s="1929"/>
      <c r="I40" s="1929"/>
      <c r="J40" s="1929"/>
      <c r="K40" s="168"/>
      <c r="L40" s="183"/>
      <c r="M40" s="184"/>
      <c r="N40" s="168"/>
      <c r="O40" s="168"/>
      <c r="Q40" s="178"/>
    </row>
    <row r="41" spans="2:20" ht="15.75" customHeight="1" x14ac:dyDescent="0.25">
      <c r="B41" s="1357"/>
      <c r="C41" s="584"/>
      <c r="D41" s="584"/>
      <c r="E41" s="584"/>
      <c r="F41" s="584"/>
      <c r="G41" s="1336"/>
      <c r="H41" s="1358"/>
      <c r="I41" s="584"/>
      <c r="J41" s="584"/>
      <c r="K41" s="168"/>
      <c r="L41" s="183"/>
      <c r="M41" s="184"/>
      <c r="N41" s="185"/>
      <c r="O41" s="168"/>
      <c r="R41" s="178"/>
    </row>
    <row r="42" spans="2:20" ht="15.75" customHeight="1" x14ac:dyDescent="0.25">
      <c r="B42" s="1873" t="s">
        <v>134</v>
      </c>
      <c r="C42" s="1874"/>
      <c r="D42" s="1874"/>
      <c r="E42" s="1874"/>
      <c r="F42" s="1874"/>
      <c r="G42" s="1875"/>
      <c r="H42" s="584"/>
      <c r="I42" s="584"/>
      <c r="J42" s="584"/>
      <c r="L42" s="168"/>
      <c r="M42" s="184"/>
      <c r="N42" s="168"/>
      <c r="O42" s="168"/>
      <c r="S42" s="178"/>
    </row>
    <row r="43" spans="2:20" ht="15.75" customHeight="1" x14ac:dyDescent="0.25">
      <c r="B43" s="1876" t="s">
        <v>122</v>
      </c>
      <c r="C43" s="1877" t="s">
        <v>135</v>
      </c>
      <c r="D43" s="1878" t="s">
        <v>136</v>
      </c>
      <c r="E43" s="1878" t="s">
        <v>137</v>
      </c>
      <c r="F43" s="1879" t="s">
        <v>53</v>
      </c>
      <c r="G43" s="1880" t="s">
        <v>138</v>
      </c>
      <c r="H43" s="584"/>
      <c r="I43" s="584"/>
      <c r="J43" s="584"/>
      <c r="L43" s="168"/>
      <c r="M43" s="184"/>
      <c r="N43" s="168"/>
      <c r="O43" s="168"/>
      <c r="S43" s="186"/>
      <c r="T43" s="15"/>
    </row>
    <row r="44" spans="2:20" ht="15.75" customHeight="1" x14ac:dyDescent="0.25">
      <c r="B44" s="1881" t="s">
        <v>71</v>
      </c>
      <c r="C44" s="1882">
        <f t="shared" ref="C44:C52" si="5">F44*12</f>
        <v>3.6585365853658534</v>
      </c>
      <c r="D44" s="1883">
        <f>E44*12*UNITS</f>
        <v>24600</v>
      </c>
      <c r="E44" s="1360">
        <v>25</v>
      </c>
      <c r="F44" s="1361">
        <f>E44/UNITS</f>
        <v>0.3048780487804878</v>
      </c>
      <c r="G44" s="1884">
        <f t="shared" ref="G44:G53" si="6">D44/12/$E$36</f>
        <v>3.239683170163925</v>
      </c>
      <c r="H44" s="584"/>
      <c r="I44" s="584"/>
      <c r="J44" s="584"/>
      <c r="L44" s="168"/>
      <c r="M44" s="184"/>
      <c r="N44" s="168"/>
      <c r="O44" s="168"/>
      <c r="S44" s="178"/>
    </row>
    <row r="45" spans="2:20" ht="15.75" hidden="1" customHeight="1" x14ac:dyDescent="0.25">
      <c r="B45" s="1881" t="s">
        <v>139</v>
      </c>
      <c r="C45" s="1882">
        <f t="shared" si="5"/>
        <v>0</v>
      </c>
      <c r="D45" s="1883">
        <f t="shared" ref="D45:D52" si="7">+UNITS*F45*12</f>
        <v>0</v>
      </c>
      <c r="E45" s="1885">
        <f t="shared" ref="E45:E52" si="8">D45/12</f>
        <v>0</v>
      </c>
      <c r="F45" s="1886">
        <v>0</v>
      </c>
      <c r="G45" s="1887">
        <f t="shared" si="6"/>
        <v>0</v>
      </c>
      <c r="H45" s="584"/>
      <c r="I45" s="1362"/>
      <c r="J45" s="584"/>
      <c r="L45" s="168"/>
      <c r="M45" s="184"/>
      <c r="N45" s="168"/>
      <c r="O45" s="168"/>
      <c r="S45" s="178"/>
    </row>
    <row r="46" spans="2:20" ht="15.75" hidden="1" customHeight="1" x14ac:dyDescent="0.25">
      <c r="B46" s="1881" t="s">
        <v>75</v>
      </c>
      <c r="C46" s="1882">
        <f t="shared" si="5"/>
        <v>0</v>
      </c>
      <c r="D46" s="1883">
        <f t="shared" si="7"/>
        <v>0</v>
      </c>
      <c r="E46" s="1888">
        <f t="shared" si="8"/>
        <v>0</v>
      </c>
      <c r="F46" s="1886">
        <v>0</v>
      </c>
      <c r="G46" s="1887">
        <f t="shared" si="6"/>
        <v>0</v>
      </c>
      <c r="H46" s="584"/>
      <c r="I46" s="584"/>
      <c r="J46" s="584"/>
      <c r="L46" s="168"/>
      <c r="M46" s="184"/>
      <c r="N46" s="168"/>
      <c r="O46" s="168"/>
      <c r="S46" s="178"/>
    </row>
    <row r="47" spans="2:20" ht="15.75" hidden="1" customHeight="1" x14ac:dyDescent="0.25">
      <c r="B47" s="1881" t="s">
        <v>140</v>
      </c>
      <c r="C47" s="1882">
        <f t="shared" si="5"/>
        <v>0</v>
      </c>
      <c r="D47" s="1883">
        <f t="shared" si="7"/>
        <v>0</v>
      </c>
      <c r="E47" s="1885">
        <f t="shared" si="8"/>
        <v>0</v>
      </c>
      <c r="F47" s="1886">
        <v>0</v>
      </c>
      <c r="G47" s="1887">
        <f t="shared" si="6"/>
        <v>0</v>
      </c>
      <c r="H47" s="584"/>
      <c r="I47" s="584"/>
      <c r="J47" s="584"/>
      <c r="L47" s="168"/>
      <c r="M47" s="184"/>
      <c r="N47" s="168"/>
      <c r="O47" s="168"/>
      <c r="S47" s="178"/>
    </row>
    <row r="48" spans="2:20" ht="15.75" hidden="1" customHeight="1" x14ac:dyDescent="0.25">
      <c r="B48" s="1881" t="s">
        <v>141</v>
      </c>
      <c r="C48" s="1882">
        <f t="shared" si="5"/>
        <v>0</v>
      </c>
      <c r="D48" s="1883">
        <f t="shared" si="7"/>
        <v>0</v>
      </c>
      <c r="E48" s="1885">
        <f t="shared" si="8"/>
        <v>0</v>
      </c>
      <c r="F48" s="1886">
        <v>0</v>
      </c>
      <c r="G48" s="1887">
        <f t="shared" si="6"/>
        <v>0</v>
      </c>
      <c r="H48" s="584"/>
      <c r="I48" s="584"/>
      <c r="J48" s="584"/>
      <c r="L48" s="168"/>
      <c r="M48" s="184"/>
      <c r="N48" s="168"/>
      <c r="O48" s="168"/>
      <c r="S48" s="186"/>
    </row>
    <row r="49" spans="2:20" ht="15.75" hidden="1" customHeight="1" x14ac:dyDescent="0.25">
      <c r="B49" s="1881" t="s">
        <v>142</v>
      </c>
      <c r="C49" s="1882">
        <f t="shared" si="5"/>
        <v>0</v>
      </c>
      <c r="D49" s="1883">
        <f t="shared" si="7"/>
        <v>0</v>
      </c>
      <c r="E49" s="1885">
        <f t="shared" si="8"/>
        <v>0</v>
      </c>
      <c r="F49" s="1886">
        <v>0</v>
      </c>
      <c r="G49" s="1887">
        <f t="shared" si="6"/>
        <v>0</v>
      </c>
      <c r="H49" s="584"/>
      <c r="I49" s="584"/>
      <c r="J49" s="584"/>
      <c r="L49" s="168"/>
      <c r="M49" s="184"/>
      <c r="N49" s="168"/>
      <c r="O49" s="168"/>
    </row>
    <row r="50" spans="2:20" ht="15.75" hidden="1" customHeight="1" x14ac:dyDescent="0.25">
      <c r="B50" s="1881" t="s">
        <v>143</v>
      </c>
      <c r="C50" s="1882">
        <f t="shared" si="5"/>
        <v>0</v>
      </c>
      <c r="D50" s="1883">
        <f t="shared" si="7"/>
        <v>0</v>
      </c>
      <c r="E50" s="1885">
        <f t="shared" si="8"/>
        <v>0</v>
      </c>
      <c r="F50" s="1886">
        <v>0</v>
      </c>
      <c r="G50" s="1887">
        <f t="shared" si="6"/>
        <v>0</v>
      </c>
      <c r="H50" s="584"/>
      <c r="I50" s="584"/>
      <c r="J50" s="584"/>
      <c r="L50" s="168"/>
      <c r="M50" s="184"/>
      <c r="N50" s="168"/>
      <c r="O50" s="168"/>
    </row>
    <row r="51" spans="2:20" ht="15.75" hidden="1" customHeight="1" x14ac:dyDescent="0.25">
      <c r="B51" s="1881"/>
      <c r="C51" s="1882">
        <f t="shared" si="5"/>
        <v>0</v>
      </c>
      <c r="D51" s="1883">
        <f t="shared" si="7"/>
        <v>0</v>
      </c>
      <c r="E51" s="1885">
        <f t="shared" si="8"/>
        <v>0</v>
      </c>
      <c r="F51" s="1886">
        <v>0</v>
      </c>
      <c r="G51" s="1887">
        <f t="shared" si="6"/>
        <v>0</v>
      </c>
      <c r="H51" s="584"/>
      <c r="I51" s="584"/>
      <c r="J51" s="584"/>
      <c r="L51" s="168"/>
      <c r="M51" s="184"/>
      <c r="N51" s="168"/>
      <c r="O51" s="168"/>
      <c r="R51" s="180"/>
      <c r="S51" s="178"/>
    </row>
    <row r="52" spans="2:20" ht="15.75" hidden="1" customHeight="1" x14ac:dyDescent="0.25">
      <c r="B52" s="1881"/>
      <c r="C52" s="1882">
        <f t="shared" si="5"/>
        <v>0</v>
      </c>
      <c r="D52" s="1883">
        <f t="shared" si="7"/>
        <v>0</v>
      </c>
      <c r="E52" s="1889">
        <f t="shared" si="8"/>
        <v>0</v>
      </c>
      <c r="F52" s="1890">
        <v>0</v>
      </c>
      <c r="G52" s="1891">
        <f t="shared" si="6"/>
        <v>0</v>
      </c>
      <c r="H52" s="584"/>
      <c r="I52" s="584"/>
      <c r="J52" s="584"/>
      <c r="L52" s="168"/>
      <c r="M52" s="184"/>
      <c r="N52" s="168"/>
      <c r="O52" s="168"/>
      <c r="R52" s="180"/>
      <c r="S52" s="178"/>
    </row>
    <row r="53" spans="2:20" ht="15.75" customHeight="1" x14ac:dyDescent="0.25">
      <c r="B53" s="1892" t="s">
        <v>144</v>
      </c>
      <c r="C53" s="1893">
        <f>D53/UNITS</f>
        <v>300</v>
      </c>
      <c r="D53" s="1894">
        <f t="shared" ref="D53:E53" si="9">SUM(D44:D52)</f>
        <v>24600</v>
      </c>
      <c r="E53" s="1895">
        <f t="shared" si="9"/>
        <v>25</v>
      </c>
      <c r="F53" s="1896">
        <f>D53/12/UNITS</f>
        <v>25</v>
      </c>
      <c r="G53" s="1897">
        <f t="shared" si="6"/>
        <v>3.239683170163925</v>
      </c>
      <c r="H53" s="584"/>
      <c r="I53" s="584"/>
      <c r="J53" s="584"/>
      <c r="L53" s="168"/>
      <c r="M53" s="184"/>
      <c r="N53" s="168"/>
      <c r="O53" s="168"/>
      <c r="S53" s="178"/>
    </row>
    <row r="54" spans="2:20" ht="15.75" customHeight="1" x14ac:dyDescent="0.25">
      <c r="B54" s="1364"/>
      <c r="C54" s="1365"/>
      <c r="D54" s="1366"/>
      <c r="E54" s="1363"/>
      <c r="F54" s="1367"/>
      <c r="G54" s="1368"/>
      <c r="H54" s="584"/>
      <c r="I54" s="584"/>
      <c r="J54" s="584"/>
      <c r="L54" s="168"/>
      <c r="M54" s="184"/>
      <c r="N54" s="168"/>
      <c r="O54" s="168"/>
      <c r="S54" s="191"/>
    </row>
    <row r="55" spans="2:20" ht="15.75" hidden="1" customHeight="1" x14ac:dyDescent="0.25">
      <c r="B55" s="189" t="s">
        <v>145</v>
      </c>
      <c r="C55" s="168"/>
      <c r="D55" s="168"/>
      <c r="E55" s="185"/>
      <c r="F55" s="188"/>
      <c r="G55" s="168"/>
      <c r="H55" s="168"/>
      <c r="I55" s="168"/>
      <c r="J55" s="192"/>
      <c r="L55" s="192"/>
      <c r="M55" s="192"/>
      <c r="N55" s="192"/>
      <c r="O55" s="192"/>
      <c r="P55" s="178"/>
      <c r="S55" s="178"/>
      <c r="T55" s="178"/>
    </row>
    <row r="56" spans="2:20" ht="15.75" hidden="1" customHeight="1" x14ac:dyDescent="0.25">
      <c r="B56" s="193" t="s">
        <v>146</v>
      </c>
      <c r="C56" s="194"/>
      <c r="D56" s="194"/>
      <c r="E56" s="195">
        <f>Summary!D18</f>
        <v>0</v>
      </c>
      <c r="F56" s="168"/>
      <c r="G56" s="168"/>
      <c r="H56" s="168"/>
      <c r="I56" s="168"/>
      <c r="J56" s="168"/>
      <c r="L56" s="168"/>
      <c r="M56" s="168"/>
      <c r="N56" s="168"/>
      <c r="O56" s="168"/>
    </row>
    <row r="57" spans="2:20" ht="15.75" customHeight="1" x14ac:dyDescent="0.25"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</row>
    <row r="58" spans="2:20" ht="15.75" customHeight="1" x14ac:dyDescent="0.25"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</row>
    <row r="59" spans="2:20" ht="15.75" customHeight="1" x14ac:dyDescent="0.25">
      <c r="I59" s="178"/>
    </row>
    <row r="60" spans="2:20" ht="15.75" customHeight="1" x14ac:dyDescent="0.25">
      <c r="D60" s="196"/>
    </row>
    <row r="61" spans="2:20" ht="15.75" customHeight="1" x14ac:dyDescent="0.25"/>
    <row r="62" spans="2:20" ht="15.75" customHeight="1" x14ac:dyDescent="0.25"/>
    <row r="63" spans="2:20" ht="15.75" customHeight="1" x14ac:dyDescent="0.25"/>
    <row r="64" spans="2:2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">
    <mergeCell ref="B1:J1"/>
    <mergeCell ref="B2:J2"/>
    <mergeCell ref="H39:J40"/>
  </mergeCells>
  <conditionalFormatting sqref="B1">
    <cfRule type="expression" dxfId="90" priority="1">
      <formula>_xludf.isformula()</formula>
    </cfRule>
  </conditionalFormatting>
  <printOptions horizontalCentered="1"/>
  <pageMargins left="0.2" right="0.2" top="0.7" bottom="0.5" header="0" footer="0"/>
  <pageSetup fitToHeight="0" orientation="landscape"/>
  <headerFooter>
    <oddFooter>&amp;CConfidential</oddFooter>
  </headerFooter>
  <ignoredErrors>
    <ignoredError sqref="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8351-8BB5-4067-BAF0-0D8AED6C1A12}">
  <dimension ref="A1:AB82"/>
  <sheetViews>
    <sheetView showGridLines="0" zoomScale="85" zoomScaleNormal="85" workbookViewId="0">
      <selection activeCell="F67" sqref="F67"/>
    </sheetView>
  </sheetViews>
  <sheetFormatPr defaultRowHeight="14.25" x14ac:dyDescent="0.2"/>
  <cols>
    <col min="1" max="1" width="12" style="168" bestFit="1" customWidth="1"/>
    <col min="2" max="2" width="12" style="168" customWidth="1"/>
    <col min="3" max="3" width="13" style="168" customWidth="1"/>
    <col min="4" max="4" width="17" style="168" customWidth="1"/>
    <col min="5" max="5" width="8.5703125" style="168" bestFit="1" customWidth="1"/>
    <col min="6" max="6" width="15.85546875" style="941" bestFit="1" customWidth="1"/>
    <col min="7" max="7" width="17.5703125" style="168" bestFit="1" customWidth="1"/>
    <col min="8" max="8" width="11.85546875" style="168" bestFit="1" customWidth="1"/>
    <col min="9" max="9" width="10.85546875" style="168" bestFit="1" customWidth="1"/>
    <col min="10" max="10" width="12.7109375" style="168" bestFit="1" customWidth="1"/>
    <col min="11" max="11" width="16" style="168" hidden="1" customWidth="1"/>
    <col min="12" max="12" width="16.7109375" style="168" hidden="1" customWidth="1"/>
    <col min="13" max="13" width="12.85546875" style="168" hidden="1" customWidth="1"/>
    <col min="14" max="14" width="15.85546875" style="168" hidden="1" customWidth="1"/>
    <col min="15" max="15" width="17.7109375" style="168" hidden="1" customWidth="1"/>
    <col min="16" max="16" width="24.28515625" style="168" hidden="1" customWidth="1"/>
    <col min="17" max="17" width="15" style="190" customWidth="1"/>
    <col min="18" max="18" width="20.85546875" style="168" hidden="1" customWidth="1"/>
    <col min="19" max="16384" width="9.140625" style="168"/>
  </cols>
  <sheetData>
    <row r="1" spans="1:20" ht="20.25" x14ac:dyDescent="0.3">
      <c r="A1" s="940"/>
      <c r="B1" s="1931" t="str">
        <f>NAME</f>
        <v>Town Center</v>
      </c>
      <c r="C1" s="1931"/>
      <c r="D1" s="1931"/>
      <c r="E1" s="1931"/>
      <c r="F1" s="1931"/>
      <c r="G1" s="1931"/>
      <c r="H1" s="1931"/>
      <c r="I1" s="1931"/>
      <c r="J1" s="1931"/>
      <c r="K1" s="1931"/>
      <c r="L1" s="1931"/>
      <c r="M1" s="1931"/>
      <c r="N1" s="1931"/>
      <c r="O1" s="1931"/>
      <c r="P1" s="1931"/>
      <c r="Q1" s="1931"/>
      <c r="R1" s="1931"/>
    </row>
    <row r="2" spans="1:20" x14ac:dyDescent="0.2">
      <c r="A2" s="940"/>
      <c r="B2" s="1932" t="str">
        <f>CITY</f>
        <v>Santa Maria, CA 93454</v>
      </c>
      <c r="C2" s="1932"/>
      <c r="D2" s="1932"/>
      <c r="E2" s="1932"/>
      <c r="F2" s="1932"/>
      <c r="G2" s="1932"/>
      <c r="H2" s="1932"/>
      <c r="I2" s="1932"/>
      <c r="J2" s="1932"/>
      <c r="K2" s="1932"/>
      <c r="L2" s="1932"/>
      <c r="M2" s="1932"/>
      <c r="N2" s="1932"/>
      <c r="O2" s="1932"/>
      <c r="P2" s="1932"/>
      <c r="Q2" s="1932"/>
      <c r="R2" s="1932"/>
    </row>
    <row r="3" spans="1:20" ht="15" x14ac:dyDescent="0.25">
      <c r="A3" s="940"/>
      <c r="B3" s="1369" t="s">
        <v>630</v>
      </c>
      <c r="C3" s="1370"/>
      <c r="D3" s="1370"/>
      <c r="E3" s="1371"/>
      <c r="F3" s="584"/>
      <c r="G3" s="584"/>
      <c r="H3" s="584"/>
      <c r="I3" s="584"/>
      <c r="J3" s="584"/>
      <c r="K3" s="584"/>
      <c r="L3" s="584"/>
      <c r="M3" s="584"/>
      <c r="N3" s="1372"/>
      <c r="O3" s="584"/>
      <c r="P3" s="584"/>
      <c r="Q3" s="1373"/>
      <c r="R3" s="1374">
        <f ca="1">TODAY()</f>
        <v>46271</v>
      </c>
    </row>
    <row r="4" spans="1:20" ht="15" x14ac:dyDescent="0.25">
      <c r="A4" s="940"/>
      <c r="B4" s="584"/>
      <c r="C4" s="1375"/>
      <c r="D4" s="584"/>
      <c r="E4" s="584"/>
      <c r="F4" s="1376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1368"/>
      <c r="R4" s="584"/>
    </row>
    <row r="5" spans="1:20" ht="31.5" customHeight="1" x14ac:dyDescent="0.2">
      <c r="A5" s="940"/>
      <c r="B5" s="2030" t="s">
        <v>717</v>
      </c>
      <c r="C5" s="2030"/>
      <c r="D5" s="1378"/>
      <c r="E5" s="1378"/>
      <c r="F5" s="1378"/>
      <c r="G5" s="1378"/>
      <c r="H5" s="1378"/>
      <c r="I5" s="1378"/>
      <c r="J5" s="1378"/>
      <c r="K5" s="1378"/>
      <c r="L5" s="1378"/>
      <c r="M5" s="1378"/>
      <c r="N5" s="1378"/>
      <c r="O5" s="1378"/>
      <c r="P5" s="1378"/>
      <c r="Q5" s="1378"/>
      <c r="R5" s="1377"/>
    </row>
    <row r="6" spans="1:20" ht="47.25" x14ac:dyDescent="0.2">
      <c r="A6" s="940"/>
      <c r="B6" s="1378" t="s">
        <v>573</v>
      </c>
      <c r="C6" s="1378" t="s">
        <v>574</v>
      </c>
      <c r="D6" s="1378" t="s">
        <v>575</v>
      </c>
      <c r="E6" s="1379" t="s">
        <v>0</v>
      </c>
      <c r="F6" s="1380" t="s">
        <v>576</v>
      </c>
      <c r="G6" s="1381" t="s">
        <v>577</v>
      </c>
      <c r="H6" s="1381" t="s">
        <v>578</v>
      </c>
      <c r="I6" s="1381" t="s">
        <v>579</v>
      </c>
      <c r="J6" s="1381" t="s">
        <v>580</v>
      </c>
      <c r="K6" s="1381" t="s">
        <v>581</v>
      </c>
      <c r="L6" s="1382" t="s">
        <v>582</v>
      </c>
      <c r="M6" s="1382" t="s">
        <v>583</v>
      </c>
      <c r="N6" s="1381" t="s">
        <v>584</v>
      </c>
      <c r="O6" s="1381" t="s">
        <v>585</v>
      </c>
      <c r="P6" s="1378" t="s">
        <v>586</v>
      </c>
      <c r="Q6" s="1379" t="s">
        <v>587</v>
      </c>
      <c r="R6" s="1378" t="s">
        <v>479</v>
      </c>
    </row>
    <row r="7" spans="1:20" s="943" customFormat="1" ht="127.5" customHeight="1" x14ac:dyDescent="0.25">
      <c r="A7" s="942"/>
      <c r="B7" s="1383">
        <v>1</v>
      </c>
      <c r="C7" s="1384">
        <v>100</v>
      </c>
      <c r="D7" s="1385" t="s">
        <v>592</v>
      </c>
      <c r="E7" s="1385">
        <v>5616</v>
      </c>
      <c r="F7" s="1386">
        <f>G7*12</f>
        <v>117936</v>
      </c>
      <c r="G7" s="1387">
        <f>I7*E7</f>
        <v>9828</v>
      </c>
      <c r="H7" s="1388">
        <f>I7*12</f>
        <v>21</v>
      </c>
      <c r="I7" s="1388">
        <v>1.75</v>
      </c>
      <c r="J7" s="1389" t="s">
        <v>593</v>
      </c>
      <c r="K7" s="1390"/>
      <c r="L7" s="1389"/>
      <c r="M7" s="1389"/>
      <c r="N7" s="1391"/>
      <c r="O7" s="1386"/>
      <c r="P7" s="1392"/>
      <c r="Q7" s="1392" t="s">
        <v>594</v>
      </c>
      <c r="R7" s="1384"/>
      <c r="T7" s="944"/>
    </row>
    <row r="8" spans="1:20" s="943" customFormat="1" ht="42" hidden="1" customHeight="1" x14ac:dyDescent="0.25">
      <c r="A8" s="942"/>
      <c r="B8" s="1383"/>
      <c r="C8" s="1384"/>
      <c r="D8" s="1385"/>
      <c r="E8" s="1385"/>
      <c r="F8" s="1386"/>
      <c r="G8" s="1387"/>
      <c r="H8" s="1388"/>
      <c r="I8" s="1388"/>
      <c r="J8" s="1389"/>
      <c r="K8" s="1389"/>
      <c r="L8" s="1389"/>
      <c r="M8" s="1389"/>
      <c r="N8" s="1391"/>
      <c r="O8" s="1386"/>
      <c r="P8" s="1393"/>
      <c r="Q8" s="1394"/>
      <c r="R8" s="1384"/>
    </row>
    <row r="9" spans="1:20" s="943" customFormat="1" ht="15" hidden="1" x14ac:dyDescent="0.25">
      <c r="A9" s="942"/>
      <c r="B9" s="1383">
        <v>0</v>
      </c>
      <c r="C9" s="1384"/>
      <c r="D9" s="1385"/>
      <c r="E9" s="1385"/>
      <c r="F9" s="1386"/>
      <c r="G9" s="1387">
        <v>0</v>
      </c>
      <c r="H9" s="1388">
        <v>0</v>
      </c>
      <c r="I9" s="1388"/>
      <c r="J9" s="1389"/>
      <c r="K9" s="1389"/>
      <c r="L9" s="1389"/>
      <c r="M9" s="1389"/>
      <c r="N9" s="1391">
        <v>0</v>
      </c>
      <c r="O9" s="1388"/>
      <c r="P9" s="1393"/>
      <c r="Q9" s="1394" t="s">
        <v>588</v>
      </c>
      <c r="R9" s="1384"/>
    </row>
    <row r="10" spans="1:20" s="943" customFormat="1" ht="15" hidden="1" x14ac:dyDescent="0.25">
      <c r="A10" s="942"/>
      <c r="B10" s="1383">
        <v>0</v>
      </c>
      <c r="C10" s="1384"/>
      <c r="D10" s="1385"/>
      <c r="E10" s="1385"/>
      <c r="F10" s="1386"/>
      <c r="G10" s="1387">
        <v>0</v>
      </c>
      <c r="H10" s="1388">
        <v>0</v>
      </c>
      <c r="I10" s="1388"/>
      <c r="J10" s="1389"/>
      <c r="K10" s="1389"/>
      <c r="L10" s="1389"/>
      <c r="M10" s="1389"/>
      <c r="N10" s="1391">
        <v>0</v>
      </c>
      <c r="O10" s="1388"/>
      <c r="P10" s="1393"/>
      <c r="Q10" s="1394" t="s">
        <v>588</v>
      </c>
      <c r="R10" s="1384"/>
    </row>
    <row r="11" spans="1:20" s="943" customFormat="1" ht="15" hidden="1" x14ac:dyDescent="0.25">
      <c r="A11" s="942"/>
      <c r="B11" s="1383">
        <v>0</v>
      </c>
      <c r="C11" s="1384"/>
      <c r="D11" s="1385"/>
      <c r="E11" s="1385"/>
      <c r="F11" s="1386"/>
      <c r="G11" s="1387">
        <v>0</v>
      </c>
      <c r="H11" s="1388">
        <v>0</v>
      </c>
      <c r="I11" s="1388"/>
      <c r="J11" s="1389"/>
      <c r="K11" s="1389"/>
      <c r="L11" s="1389"/>
      <c r="M11" s="1389"/>
      <c r="N11" s="1391">
        <v>0</v>
      </c>
      <c r="O11" s="1388"/>
      <c r="P11" s="1393"/>
      <c r="Q11" s="1394" t="s">
        <v>588</v>
      </c>
      <c r="R11" s="1384"/>
    </row>
    <row r="12" spans="1:20" s="943" customFormat="1" ht="15" hidden="1" x14ac:dyDescent="0.25">
      <c r="A12" s="942"/>
      <c r="B12" s="1383">
        <v>0</v>
      </c>
      <c r="C12" s="1384"/>
      <c r="D12" s="1385"/>
      <c r="E12" s="1385"/>
      <c r="F12" s="1386"/>
      <c r="G12" s="1387">
        <v>0</v>
      </c>
      <c r="H12" s="1388">
        <v>0</v>
      </c>
      <c r="I12" s="1388"/>
      <c r="J12" s="1389"/>
      <c r="K12" s="1389"/>
      <c r="L12" s="1389"/>
      <c r="M12" s="1389"/>
      <c r="N12" s="1391">
        <v>0</v>
      </c>
      <c r="O12" s="1388"/>
      <c r="P12" s="1393"/>
      <c r="Q12" s="1394" t="s">
        <v>588</v>
      </c>
      <c r="R12" s="1384"/>
    </row>
    <row r="13" spans="1:20" s="943" customFormat="1" ht="15" hidden="1" x14ac:dyDescent="0.25">
      <c r="A13" s="942"/>
      <c r="B13" s="1383">
        <v>0</v>
      </c>
      <c r="C13" s="1384"/>
      <c r="D13" s="1385"/>
      <c r="E13" s="1385"/>
      <c r="F13" s="1386"/>
      <c r="G13" s="1387">
        <v>0</v>
      </c>
      <c r="H13" s="1388">
        <v>0</v>
      </c>
      <c r="I13" s="1388"/>
      <c r="J13" s="1389"/>
      <c r="K13" s="1389"/>
      <c r="L13" s="1389"/>
      <c r="M13" s="1389"/>
      <c r="N13" s="1391">
        <v>0</v>
      </c>
      <c r="O13" s="1388"/>
      <c r="P13" s="1393"/>
      <c r="Q13" s="1394" t="s">
        <v>588</v>
      </c>
      <c r="R13" s="1384"/>
    </row>
    <row r="14" spans="1:20" s="943" customFormat="1" ht="15" hidden="1" x14ac:dyDescent="0.25">
      <c r="A14" s="942"/>
      <c r="B14" s="1383">
        <v>0</v>
      </c>
      <c r="C14" s="1384"/>
      <c r="D14" s="1385"/>
      <c r="E14" s="1385"/>
      <c r="F14" s="1386"/>
      <c r="G14" s="1387">
        <v>0</v>
      </c>
      <c r="H14" s="1388">
        <v>0</v>
      </c>
      <c r="I14" s="1388"/>
      <c r="J14" s="1389"/>
      <c r="K14" s="1389"/>
      <c r="L14" s="1389"/>
      <c r="M14" s="1389"/>
      <c r="N14" s="1391">
        <v>0</v>
      </c>
      <c r="O14" s="1388"/>
      <c r="P14" s="1393"/>
      <c r="Q14" s="1394" t="s">
        <v>588</v>
      </c>
      <c r="R14" s="1384"/>
    </row>
    <row r="15" spans="1:20" s="943" customFormat="1" ht="15" hidden="1" x14ac:dyDescent="0.25">
      <c r="A15" s="942"/>
      <c r="B15" s="1383">
        <v>0</v>
      </c>
      <c r="C15" s="1384"/>
      <c r="D15" s="1385"/>
      <c r="E15" s="1385"/>
      <c r="F15" s="1386"/>
      <c r="G15" s="1387">
        <v>0</v>
      </c>
      <c r="H15" s="1388">
        <v>0</v>
      </c>
      <c r="I15" s="1388"/>
      <c r="J15" s="1389"/>
      <c r="K15" s="1389"/>
      <c r="L15" s="1389"/>
      <c r="M15" s="1389"/>
      <c r="N15" s="1391">
        <v>0</v>
      </c>
      <c r="O15" s="1388"/>
      <c r="P15" s="1393"/>
      <c r="Q15" s="1394" t="s">
        <v>588</v>
      </c>
      <c r="R15" s="1384"/>
    </row>
    <row r="16" spans="1:20" s="943" customFormat="1" ht="15" hidden="1" x14ac:dyDescent="0.25">
      <c r="A16" s="942"/>
      <c r="B16" s="1383">
        <v>0</v>
      </c>
      <c r="C16" s="1384"/>
      <c r="D16" s="1385"/>
      <c r="E16" s="1385"/>
      <c r="F16" s="1386"/>
      <c r="G16" s="1387">
        <v>0</v>
      </c>
      <c r="H16" s="1388">
        <v>0</v>
      </c>
      <c r="I16" s="1388"/>
      <c r="J16" s="1389"/>
      <c r="K16" s="1389"/>
      <c r="L16" s="1389"/>
      <c r="M16" s="1389"/>
      <c r="N16" s="1391">
        <v>0</v>
      </c>
      <c r="O16" s="1388"/>
      <c r="P16" s="1393"/>
      <c r="Q16" s="1394" t="s">
        <v>588</v>
      </c>
      <c r="R16" s="1384"/>
    </row>
    <row r="17" spans="1:18" s="943" customFormat="1" ht="15" hidden="1" x14ac:dyDescent="0.25">
      <c r="A17" s="942"/>
      <c r="B17" s="1383">
        <v>0</v>
      </c>
      <c r="C17" s="1384"/>
      <c r="D17" s="1385"/>
      <c r="E17" s="1385"/>
      <c r="F17" s="1386"/>
      <c r="G17" s="1387">
        <v>0</v>
      </c>
      <c r="H17" s="1388">
        <v>0</v>
      </c>
      <c r="I17" s="1388"/>
      <c r="J17" s="1389"/>
      <c r="K17" s="1389"/>
      <c r="L17" s="1389"/>
      <c r="M17" s="1389"/>
      <c r="N17" s="1391">
        <v>0</v>
      </c>
      <c r="O17" s="1388"/>
      <c r="P17" s="1393"/>
      <c r="Q17" s="1394" t="s">
        <v>588</v>
      </c>
      <c r="R17" s="1384"/>
    </row>
    <row r="18" spans="1:18" s="943" customFormat="1" ht="15" hidden="1" x14ac:dyDescent="0.25">
      <c r="A18" s="942"/>
      <c r="B18" s="1383">
        <v>0</v>
      </c>
      <c r="C18" s="1384"/>
      <c r="D18" s="1385"/>
      <c r="E18" s="1385"/>
      <c r="F18" s="1386"/>
      <c r="G18" s="1387">
        <v>0</v>
      </c>
      <c r="H18" s="1388">
        <v>0</v>
      </c>
      <c r="I18" s="1388"/>
      <c r="J18" s="1389"/>
      <c r="K18" s="1389"/>
      <c r="L18" s="1389"/>
      <c r="M18" s="1389"/>
      <c r="N18" s="1391">
        <v>0</v>
      </c>
      <c r="O18" s="1388"/>
      <c r="P18" s="1393"/>
      <c r="Q18" s="1394" t="s">
        <v>588</v>
      </c>
      <c r="R18" s="1384"/>
    </row>
    <row r="19" spans="1:18" s="943" customFormat="1" ht="15" hidden="1" x14ac:dyDescent="0.25">
      <c r="A19" s="942"/>
      <c r="B19" s="1383">
        <v>0</v>
      </c>
      <c r="C19" s="1384"/>
      <c r="D19" s="1385"/>
      <c r="E19" s="1385"/>
      <c r="F19" s="1386"/>
      <c r="G19" s="1387">
        <v>0</v>
      </c>
      <c r="H19" s="1388">
        <v>0</v>
      </c>
      <c r="I19" s="1388"/>
      <c r="J19" s="1389"/>
      <c r="K19" s="1389"/>
      <c r="L19" s="1389"/>
      <c r="M19" s="1389"/>
      <c r="N19" s="1391">
        <v>0</v>
      </c>
      <c r="O19" s="1388"/>
      <c r="P19" s="1393"/>
      <c r="Q19" s="1394" t="s">
        <v>588</v>
      </c>
      <c r="R19" s="1384"/>
    </row>
    <row r="20" spans="1:18" s="943" customFormat="1" ht="15" hidden="1" x14ac:dyDescent="0.25">
      <c r="A20" s="942"/>
      <c r="B20" s="1383">
        <v>0</v>
      </c>
      <c r="C20" s="1384"/>
      <c r="D20" s="1385"/>
      <c r="E20" s="1385"/>
      <c r="F20" s="1386"/>
      <c r="G20" s="1387">
        <v>0</v>
      </c>
      <c r="H20" s="1388">
        <v>0</v>
      </c>
      <c r="I20" s="1388"/>
      <c r="J20" s="1389"/>
      <c r="K20" s="1389"/>
      <c r="L20" s="1389"/>
      <c r="M20" s="1389"/>
      <c r="N20" s="1391">
        <v>0</v>
      </c>
      <c r="O20" s="1388"/>
      <c r="P20" s="1393"/>
      <c r="Q20" s="1394" t="s">
        <v>588</v>
      </c>
      <c r="R20" s="1384"/>
    </row>
    <row r="21" spans="1:18" s="943" customFormat="1" ht="15" hidden="1" x14ac:dyDescent="0.25">
      <c r="A21" s="942"/>
      <c r="B21" s="1383">
        <v>0</v>
      </c>
      <c r="C21" s="1384"/>
      <c r="D21" s="1385"/>
      <c r="E21" s="1385"/>
      <c r="F21" s="1386"/>
      <c r="G21" s="1387">
        <v>0</v>
      </c>
      <c r="H21" s="1388">
        <v>0</v>
      </c>
      <c r="I21" s="1388"/>
      <c r="J21" s="1389"/>
      <c r="K21" s="1389"/>
      <c r="L21" s="1389"/>
      <c r="M21" s="1389"/>
      <c r="N21" s="1391">
        <v>0</v>
      </c>
      <c r="O21" s="1388"/>
      <c r="P21" s="1393"/>
      <c r="Q21" s="1394" t="s">
        <v>588</v>
      </c>
      <c r="R21" s="1384"/>
    </row>
    <row r="22" spans="1:18" s="943" customFormat="1" ht="15" hidden="1" x14ac:dyDescent="0.25">
      <c r="A22" s="942"/>
      <c r="B22" s="1383">
        <v>0</v>
      </c>
      <c r="C22" s="1384"/>
      <c r="D22" s="1385"/>
      <c r="E22" s="1385"/>
      <c r="F22" s="1386"/>
      <c r="G22" s="1387">
        <v>0</v>
      </c>
      <c r="H22" s="1388">
        <v>0</v>
      </c>
      <c r="I22" s="1388"/>
      <c r="J22" s="1389"/>
      <c r="K22" s="1389"/>
      <c r="L22" s="1389"/>
      <c r="M22" s="1389"/>
      <c r="N22" s="1391">
        <v>0</v>
      </c>
      <c r="O22" s="1388"/>
      <c r="P22" s="1393"/>
      <c r="Q22" s="1394" t="s">
        <v>588</v>
      </c>
      <c r="R22" s="1384"/>
    </row>
    <row r="23" spans="1:18" s="943" customFormat="1" ht="15" hidden="1" x14ac:dyDescent="0.25">
      <c r="A23" s="942"/>
      <c r="B23" s="1383">
        <v>0</v>
      </c>
      <c r="C23" s="1384"/>
      <c r="D23" s="1385"/>
      <c r="E23" s="1385"/>
      <c r="F23" s="1386"/>
      <c r="G23" s="1387">
        <v>0</v>
      </c>
      <c r="H23" s="1388">
        <v>0</v>
      </c>
      <c r="I23" s="1388"/>
      <c r="J23" s="1389"/>
      <c r="K23" s="1389"/>
      <c r="L23" s="1389"/>
      <c r="M23" s="1389"/>
      <c r="N23" s="1391">
        <v>0</v>
      </c>
      <c r="O23" s="1388"/>
      <c r="P23" s="1393"/>
      <c r="Q23" s="1394" t="s">
        <v>588</v>
      </c>
      <c r="R23" s="1384"/>
    </row>
    <row r="24" spans="1:18" s="943" customFormat="1" ht="15" hidden="1" x14ac:dyDescent="0.25">
      <c r="A24" s="942"/>
      <c r="B24" s="1383">
        <v>0</v>
      </c>
      <c r="C24" s="1384"/>
      <c r="D24" s="1385"/>
      <c r="E24" s="1385"/>
      <c r="F24" s="1386"/>
      <c r="G24" s="1387">
        <v>0</v>
      </c>
      <c r="H24" s="1388">
        <v>0</v>
      </c>
      <c r="I24" s="1388"/>
      <c r="J24" s="1389"/>
      <c r="K24" s="1389"/>
      <c r="L24" s="1389"/>
      <c r="M24" s="1389"/>
      <c r="N24" s="1391">
        <v>0</v>
      </c>
      <c r="O24" s="1388"/>
      <c r="P24" s="1393"/>
      <c r="Q24" s="1394" t="s">
        <v>588</v>
      </c>
      <c r="R24" s="1384"/>
    </row>
    <row r="25" spans="1:18" s="943" customFormat="1" ht="15" hidden="1" x14ac:dyDescent="0.25">
      <c r="A25" s="942"/>
      <c r="B25" s="1383">
        <v>0</v>
      </c>
      <c r="C25" s="1384"/>
      <c r="D25" s="1385"/>
      <c r="E25" s="1385"/>
      <c r="F25" s="1386"/>
      <c r="G25" s="1387">
        <v>0</v>
      </c>
      <c r="H25" s="1388">
        <v>0</v>
      </c>
      <c r="I25" s="1388"/>
      <c r="J25" s="1389"/>
      <c r="K25" s="1389"/>
      <c r="L25" s="1389"/>
      <c r="M25" s="1389"/>
      <c r="N25" s="1391">
        <v>0</v>
      </c>
      <c r="O25" s="1388"/>
      <c r="P25" s="1393"/>
      <c r="Q25" s="1394" t="s">
        <v>588</v>
      </c>
      <c r="R25" s="1384"/>
    </row>
    <row r="26" spans="1:18" s="943" customFormat="1" ht="15" hidden="1" x14ac:dyDescent="0.25">
      <c r="A26" s="942"/>
      <c r="B26" s="1383">
        <v>0</v>
      </c>
      <c r="C26" s="1384"/>
      <c r="D26" s="1385"/>
      <c r="E26" s="1385"/>
      <c r="F26" s="1386"/>
      <c r="G26" s="1387">
        <v>0</v>
      </c>
      <c r="H26" s="1388">
        <v>0</v>
      </c>
      <c r="I26" s="1388"/>
      <c r="J26" s="1389"/>
      <c r="K26" s="1389"/>
      <c r="L26" s="1389"/>
      <c r="M26" s="1389"/>
      <c r="N26" s="1391">
        <v>0</v>
      </c>
      <c r="O26" s="1388"/>
      <c r="P26" s="1393"/>
      <c r="Q26" s="1394" t="s">
        <v>588</v>
      </c>
      <c r="R26" s="1384"/>
    </row>
    <row r="27" spans="1:18" s="943" customFormat="1" ht="15" hidden="1" x14ac:dyDescent="0.25">
      <c r="A27" s="942"/>
      <c r="B27" s="1383">
        <v>0</v>
      </c>
      <c r="C27" s="1384"/>
      <c r="D27" s="1385"/>
      <c r="E27" s="1385"/>
      <c r="F27" s="1386"/>
      <c r="G27" s="1387">
        <v>0</v>
      </c>
      <c r="H27" s="1388">
        <v>0</v>
      </c>
      <c r="I27" s="1388"/>
      <c r="J27" s="1389"/>
      <c r="K27" s="1389"/>
      <c r="L27" s="1389"/>
      <c r="M27" s="1389"/>
      <c r="N27" s="1391">
        <v>0</v>
      </c>
      <c r="O27" s="1388"/>
      <c r="P27" s="1393"/>
      <c r="Q27" s="1394" t="s">
        <v>588</v>
      </c>
      <c r="R27" s="1384"/>
    </row>
    <row r="28" spans="1:18" s="943" customFormat="1" ht="15" hidden="1" x14ac:dyDescent="0.25">
      <c r="A28" s="942"/>
      <c r="B28" s="1383">
        <v>0</v>
      </c>
      <c r="C28" s="1384"/>
      <c r="D28" s="1385"/>
      <c r="E28" s="1385"/>
      <c r="F28" s="1386"/>
      <c r="G28" s="1387">
        <v>0</v>
      </c>
      <c r="H28" s="1388">
        <v>0</v>
      </c>
      <c r="I28" s="1388"/>
      <c r="J28" s="1389"/>
      <c r="K28" s="1389"/>
      <c r="L28" s="1389"/>
      <c r="M28" s="1389"/>
      <c r="N28" s="1391">
        <v>0</v>
      </c>
      <c r="O28" s="1388"/>
      <c r="P28" s="1393"/>
      <c r="Q28" s="1394" t="s">
        <v>588</v>
      </c>
      <c r="R28" s="1384"/>
    </row>
    <row r="29" spans="1:18" s="943" customFormat="1" ht="15" hidden="1" x14ac:dyDescent="0.25">
      <c r="A29" s="942"/>
      <c r="B29" s="1383">
        <v>0</v>
      </c>
      <c r="C29" s="1384"/>
      <c r="D29" s="1385"/>
      <c r="E29" s="1385"/>
      <c r="F29" s="1386"/>
      <c r="G29" s="1387">
        <v>0</v>
      </c>
      <c r="H29" s="1388">
        <v>0</v>
      </c>
      <c r="I29" s="1388"/>
      <c r="J29" s="1389"/>
      <c r="K29" s="1389"/>
      <c r="L29" s="1389"/>
      <c r="M29" s="1389"/>
      <c r="N29" s="1391">
        <v>0</v>
      </c>
      <c r="O29" s="1388"/>
      <c r="P29" s="1393"/>
      <c r="Q29" s="1394" t="s">
        <v>588</v>
      </c>
      <c r="R29" s="1384"/>
    </row>
    <row r="30" spans="1:18" s="943" customFormat="1" ht="15" hidden="1" x14ac:dyDescent="0.25">
      <c r="A30" s="942"/>
      <c r="B30" s="1383">
        <v>0</v>
      </c>
      <c r="C30" s="1384"/>
      <c r="D30" s="1385"/>
      <c r="E30" s="1385"/>
      <c r="F30" s="1386"/>
      <c r="G30" s="1387">
        <v>0</v>
      </c>
      <c r="H30" s="1388">
        <v>0</v>
      </c>
      <c r="I30" s="1388"/>
      <c r="J30" s="1389"/>
      <c r="K30" s="1389"/>
      <c r="L30" s="1389"/>
      <c r="M30" s="1389"/>
      <c r="N30" s="1391">
        <v>0</v>
      </c>
      <c r="O30" s="1388"/>
      <c r="P30" s="1393"/>
      <c r="Q30" s="1394" t="s">
        <v>588</v>
      </c>
      <c r="R30" s="1384"/>
    </row>
    <row r="31" spans="1:18" s="943" customFormat="1" ht="15" hidden="1" x14ac:dyDescent="0.25">
      <c r="A31" s="942"/>
      <c r="B31" s="1383">
        <v>0</v>
      </c>
      <c r="C31" s="1384"/>
      <c r="D31" s="1385"/>
      <c r="E31" s="1385"/>
      <c r="F31" s="1386"/>
      <c r="G31" s="1387">
        <v>0</v>
      </c>
      <c r="H31" s="1388">
        <v>0</v>
      </c>
      <c r="I31" s="1388"/>
      <c r="J31" s="1389"/>
      <c r="K31" s="1389"/>
      <c r="L31" s="1389"/>
      <c r="M31" s="1389"/>
      <c r="N31" s="1391">
        <v>0</v>
      </c>
      <c r="O31" s="1388"/>
      <c r="P31" s="1393"/>
      <c r="Q31" s="1394" t="s">
        <v>588</v>
      </c>
      <c r="R31" s="1384"/>
    </row>
    <row r="32" spans="1:18" s="943" customFormat="1" ht="15" hidden="1" x14ac:dyDescent="0.25">
      <c r="A32" s="942"/>
      <c r="B32" s="1383">
        <v>0</v>
      </c>
      <c r="C32" s="1384"/>
      <c r="D32" s="1385"/>
      <c r="E32" s="1385"/>
      <c r="F32" s="1386"/>
      <c r="G32" s="1387">
        <v>0</v>
      </c>
      <c r="H32" s="1388">
        <v>0</v>
      </c>
      <c r="I32" s="1388"/>
      <c r="J32" s="1389"/>
      <c r="K32" s="1389"/>
      <c r="L32" s="1389"/>
      <c r="M32" s="1389"/>
      <c r="N32" s="1391">
        <v>0</v>
      </c>
      <c r="O32" s="1388"/>
      <c r="P32" s="1393"/>
      <c r="Q32" s="1394" t="s">
        <v>588</v>
      </c>
      <c r="R32" s="1384"/>
    </row>
    <row r="33" spans="1:18" s="943" customFormat="1" ht="15" hidden="1" x14ac:dyDescent="0.25">
      <c r="A33" s="942"/>
      <c r="B33" s="1383">
        <v>0</v>
      </c>
      <c r="C33" s="1384"/>
      <c r="D33" s="1385"/>
      <c r="E33" s="1385"/>
      <c r="F33" s="1386"/>
      <c r="G33" s="1387">
        <v>0</v>
      </c>
      <c r="H33" s="1388">
        <v>0</v>
      </c>
      <c r="I33" s="1388"/>
      <c r="J33" s="1389"/>
      <c r="K33" s="1389"/>
      <c r="L33" s="1389"/>
      <c r="M33" s="1389"/>
      <c r="N33" s="1391">
        <v>0</v>
      </c>
      <c r="O33" s="1388"/>
      <c r="P33" s="1393"/>
      <c r="Q33" s="1394" t="s">
        <v>588</v>
      </c>
      <c r="R33" s="1384"/>
    </row>
    <row r="34" spans="1:18" s="943" customFormat="1" ht="15" hidden="1" x14ac:dyDescent="0.25">
      <c r="A34" s="942"/>
      <c r="B34" s="1383">
        <v>0</v>
      </c>
      <c r="C34" s="1384"/>
      <c r="D34" s="1385"/>
      <c r="E34" s="1385"/>
      <c r="F34" s="1386"/>
      <c r="G34" s="1387">
        <v>0</v>
      </c>
      <c r="H34" s="1388">
        <v>0</v>
      </c>
      <c r="I34" s="1388"/>
      <c r="J34" s="1389"/>
      <c r="K34" s="1389"/>
      <c r="L34" s="1389"/>
      <c r="M34" s="1389"/>
      <c r="N34" s="1391">
        <v>0</v>
      </c>
      <c r="O34" s="1388"/>
      <c r="P34" s="1393"/>
      <c r="Q34" s="1394" t="s">
        <v>588</v>
      </c>
      <c r="R34" s="1384"/>
    </row>
    <row r="35" spans="1:18" s="943" customFormat="1" ht="15" hidden="1" x14ac:dyDescent="0.25">
      <c r="A35" s="942"/>
      <c r="B35" s="1383">
        <v>0</v>
      </c>
      <c r="C35" s="1384"/>
      <c r="D35" s="1385"/>
      <c r="E35" s="1385"/>
      <c r="F35" s="1386"/>
      <c r="G35" s="1387">
        <v>0</v>
      </c>
      <c r="H35" s="1388">
        <v>0</v>
      </c>
      <c r="I35" s="1388"/>
      <c r="J35" s="1389"/>
      <c r="K35" s="1389"/>
      <c r="L35" s="1389"/>
      <c r="M35" s="1389"/>
      <c r="N35" s="1391">
        <v>0</v>
      </c>
      <c r="O35" s="1388"/>
      <c r="P35" s="1393"/>
      <c r="Q35" s="1394" t="s">
        <v>588</v>
      </c>
      <c r="R35" s="1384"/>
    </row>
    <row r="36" spans="1:18" s="943" customFormat="1" ht="15" hidden="1" x14ac:dyDescent="0.25">
      <c r="A36" s="942"/>
      <c r="B36" s="1383">
        <v>0</v>
      </c>
      <c r="C36" s="1384"/>
      <c r="D36" s="1385"/>
      <c r="E36" s="1385"/>
      <c r="F36" s="1386"/>
      <c r="G36" s="1387">
        <v>0</v>
      </c>
      <c r="H36" s="1388">
        <v>0</v>
      </c>
      <c r="I36" s="1388"/>
      <c r="J36" s="1389"/>
      <c r="K36" s="1389"/>
      <c r="L36" s="1389"/>
      <c r="M36" s="1389"/>
      <c r="N36" s="1391">
        <v>0</v>
      </c>
      <c r="O36" s="1388"/>
      <c r="P36" s="1393"/>
      <c r="Q36" s="1394" t="s">
        <v>588</v>
      </c>
      <c r="R36" s="1384"/>
    </row>
    <row r="37" spans="1:18" s="943" customFormat="1" ht="15" hidden="1" x14ac:dyDescent="0.25">
      <c r="A37" s="942"/>
      <c r="B37" s="1383">
        <v>0</v>
      </c>
      <c r="C37" s="1384"/>
      <c r="D37" s="1385"/>
      <c r="E37" s="1385"/>
      <c r="F37" s="1386"/>
      <c r="G37" s="1387">
        <v>0</v>
      </c>
      <c r="H37" s="1388">
        <v>0</v>
      </c>
      <c r="I37" s="1388"/>
      <c r="J37" s="1389"/>
      <c r="K37" s="1389"/>
      <c r="L37" s="1389"/>
      <c r="M37" s="1389"/>
      <c r="N37" s="1391">
        <v>0</v>
      </c>
      <c r="O37" s="1388"/>
      <c r="P37" s="1393"/>
      <c r="Q37" s="1394" t="s">
        <v>588</v>
      </c>
      <c r="R37" s="1384"/>
    </row>
    <row r="38" spans="1:18" s="943" customFormat="1" ht="15" hidden="1" x14ac:dyDescent="0.25">
      <c r="A38" s="942"/>
      <c r="B38" s="1383">
        <v>0</v>
      </c>
      <c r="C38" s="1384"/>
      <c r="D38" s="1385"/>
      <c r="E38" s="1385"/>
      <c r="F38" s="1386"/>
      <c r="G38" s="1387">
        <v>0</v>
      </c>
      <c r="H38" s="1388">
        <v>0</v>
      </c>
      <c r="I38" s="1388"/>
      <c r="J38" s="1389"/>
      <c r="K38" s="1389"/>
      <c r="L38" s="1389"/>
      <c r="M38" s="1389"/>
      <c r="N38" s="1391">
        <v>0</v>
      </c>
      <c r="O38" s="1388"/>
      <c r="P38" s="1393"/>
      <c r="Q38" s="1394" t="s">
        <v>588</v>
      </c>
      <c r="R38" s="1384"/>
    </row>
    <row r="39" spans="1:18" s="943" customFormat="1" ht="15" hidden="1" x14ac:dyDescent="0.25">
      <c r="A39" s="942"/>
      <c r="B39" s="1383">
        <v>0</v>
      </c>
      <c r="C39" s="1384"/>
      <c r="D39" s="1385"/>
      <c r="E39" s="1385"/>
      <c r="F39" s="1386"/>
      <c r="G39" s="1387">
        <v>0</v>
      </c>
      <c r="H39" s="1388">
        <v>0</v>
      </c>
      <c r="I39" s="1388"/>
      <c r="J39" s="1389"/>
      <c r="K39" s="1389"/>
      <c r="L39" s="1389"/>
      <c r="M39" s="1389"/>
      <c r="N39" s="1391">
        <v>0</v>
      </c>
      <c r="O39" s="1388"/>
      <c r="P39" s="1393"/>
      <c r="Q39" s="1394" t="s">
        <v>588</v>
      </c>
      <c r="R39" s="1384"/>
    </row>
    <row r="40" spans="1:18" s="943" customFormat="1" ht="15" hidden="1" x14ac:dyDescent="0.25">
      <c r="A40" s="942"/>
      <c r="B40" s="1383">
        <v>0</v>
      </c>
      <c r="C40" s="1384"/>
      <c r="D40" s="1385"/>
      <c r="E40" s="1385"/>
      <c r="F40" s="1386"/>
      <c r="G40" s="1387">
        <v>0</v>
      </c>
      <c r="H40" s="1388">
        <v>0</v>
      </c>
      <c r="I40" s="1388"/>
      <c r="J40" s="1389"/>
      <c r="K40" s="1389"/>
      <c r="L40" s="1389"/>
      <c r="M40" s="1389"/>
      <c r="N40" s="1391">
        <v>0</v>
      </c>
      <c r="O40" s="1388"/>
      <c r="P40" s="1393"/>
      <c r="Q40" s="1394" t="s">
        <v>588</v>
      </c>
      <c r="R40" s="1384"/>
    </row>
    <row r="41" spans="1:18" s="943" customFormat="1" ht="15" hidden="1" x14ac:dyDescent="0.25">
      <c r="A41" s="942"/>
      <c r="B41" s="1383">
        <v>0</v>
      </c>
      <c r="C41" s="1384"/>
      <c r="D41" s="1385"/>
      <c r="E41" s="1385"/>
      <c r="F41" s="1386"/>
      <c r="G41" s="1387">
        <v>0</v>
      </c>
      <c r="H41" s="1388">
        <v>0</v>
      </c>
      <c r="I41" s="1388"/>
      <c r="J41" s="1389"/>
      <c r="K41" s="1389"/>
      <c r="L41" s="1389"/>
      <c r="M41" s="1389"/>
      <c r="N41" s="1391">
        <v>0</v>
      </c>
      <c r="O41" s="1388"/>
      <c r="P41" s="1393"/>
      <c r="Q41" s="1394" t="s">
        <v>588</v>
      </c>
      <c r="R41" s="1384"/>
    </row>
    <row r="42" spans="1:18" s="943" customFormat="1" ht="15" hidden="1" x14ac:dyDescent="0.25">
      <c r="A42" s="942"/>
      <c r="B42" s="1395"/>
      <c r="C42" s="1396"/>
      <c r="D42" s="1397"/>
      <c r="E42" s="1397"/>
      <c r="F42" s="1398"/>
      <c r="G42" s="1399"/>
      <c r="H42" s="1400"/>
      <c r="I42" s="1400"/>
      <c r="J42" s="1401"/>
      <c r="K42" s="1401"/>
      <c r="L42" s="1401"/>
      <c r="M42" s="1401"/>
      <c r="N42" s="1402"/>
      <c r="O42" s="1400"/>
      <c r="P42" s="1403"/>
      <c r="Q42" s="1404"/>
      <c r="R42" s="1396"/>
    </row>
    <row r="43" spans="1:18" ht="31.5" x14ac:dyDescent="0.2">
      <c r="B43" s="1405"/>
      <c r="C43" s="1405"/>
      <c r="D43" s="1405"/>
      <c r="E43" s="1406" t="s">
        <v>0</v>
      </c>
      <c r="F43" s="1407" t="s">
        <v>576</v>
      </c>
      <c r="G43" s="1408" t="s">
        <v>577</v>
      </c>
      <c r="H43" s="1407" t="s">
        <v>578</v>
      </c>
      <c r="I43" s="1407"/>
      <c r="J43" s="1408" t="s">
        <v>589</v>
      </c>
      <c r="K43" s="1408"/>
      <c r="L43" s="1382"/>
      <c r="M43" s="1382"/>
      <c r="N43" s="1409"/>
      <c r="O43" s="1408"/>
      <c r="P43" s="1408"/>
      <c r="Q43" s="1406"/>
      <c r="R43" s="1406"/>
    </row>
    <row r="44" spans="1:18" ht="15.75" x14ac:dyDescent="0.25">
      <c r="A44" s="945" t="s">
        <v>292</v>
      </c>
      <c r="B44" s="1933">
        <v>1</v>
      </c>
      <c r="C44" s="1933"/>
      <c r="D44" s="1410" t="s">
        <v>292</v>
      </c>
      <c r="E44" s="1411">
        <f>SUM(E7)</f>
        <v>5616</v>
      </c>
      <c r="F44" s="1412">
        <f>SUM(F7)</f>
        <v>117936</v>
      </c>
      <c r="G44" s="1412">
        <f>SUM(G7)</f>
        <v>9828</v>
      </c>
      <c r="H44" s="1413">
        <f>F44/E44</f>
        <v>21</v>
      </c>
      <c r="I44" s="1413"/>
      <c r="J44" s="1414">
        <f>E44/E44</f>
        <v>1</v>
      </c>
      <c r="K44" s="1414"/>
      <c r="L44" s="1415"/>
      <c r="M44" s="1416"/>
      <c r="N44" s="1415"/>
      <c r="O44" s="1412"/>
      <c r="P44" s="1417"/>
      <c r="Q44" s="1418"/>
      <c r="R44" s="1419"/>
    </row>
    <row r="45" spans="1:18" s="946" customFormat="1" ht="15.75" hidden="1" x14ac:dyDescent="0.2">
      <c r="B45" s="1934"/>
      <c r="C45" s="1934"/>
      <c r="D45" s="958" t="s">
        <v>590</v>
      </c>
      <c r="E45" s="959">
        <f>E44</f>
        <v>5616</v>
      </c>
      <c r="F45" s="973">
        <f t="shared" ref="F45:H45" si="0">F44</f>
        <v>117936</v>
      </c>
      <c r="G45" s="973">
        <f t="shared" si="0"/>
        <v>9828</v>
      </c>
      <c r="H45" s="972">
        <f t="shared" si="0"/>
        <v>21</v>
      </c>
      <c r="I45" s="972"/>
      <c r="J45" s="962">
        <f>E45/E44</f>
        <v>1</v>
      </c>
      <c r="K45" s="962"/>
      <c r="L45" s="963"/>
      <c r="M45" s="964"/>
      <c r="N45" s="965"/>
      <c r="O45" s="960"/>
      <c r="P45" s="966"/>
      <c r="Q45" s="967"/>
      <c r="R45" s="967"/>
    </row>
    <row r="46" spans="1:18" s="946" customFormat="1" ht="15.75" hidden="1" x14ac:dyDescent="0.2">
      <c r="B46" s="1935"/>
      <c r="C46" s="1935"/>
      <c r="D46" s="958" t="s">
        <v>591</v>
      </c>
      <c r="E46" s="959">
        <v>64977</v>
      </c>
      <c r="F46" s="960">
        <v>779724</v>
      </c>
      <c r="G46" s="960">
        <v>64977</v>
      </c>
      <c r="H46" s="961">
        <v>12</v>
      </c>
      <c r="I46" s="961"/>
      <c r="J46" s="962">
        <f>E46/E44</f>
        <v>11.569978632478632</v>
      </c>
      <c r="K46" s="962"/>
      <c r="L46" s="963"/>
      <c r="M46" s="968"/>
      <c r="N46" s="965"/>
      <c r="O46" s="960"/>
      <c r="P46" s="960"/>
      <c r="Q46" s="967"/>
      <c r="R46" s="967"/>
    </row>
    <row r="47" spans="1:18" s="183" customFormat="1" x14ac:dyDescent="0.2">
      <c r="F47" s="947"/>
      <c r="G47" s="948"/>
      <c r="Q47" s="190"/>
    </row>
    <row r="48" spans="1:18" ht="15" x14ac:dyDescent="0.2">
      <c r="M48" s="949"/>
    </row>
    <row r="49" spans="2:28" ht="15.75" hidden="1" x14ac:dyDescent="0.25">
      <c r="C49" s="969" t="s">
        <v>247</v>
      </c>
      <c r="D49" s="970"/>
      <c r="E49" s="970"/>
      <c r="F49" s="971"/>
      <c r="G49" s="970"/>
      <c r="H49" s="970"/>
      <c r="I49" s="970"/>
      <c r="L49" s="950"/>
      <c r="M49" s="949"/>
    </row>
    <row r="50" spans="2:28" ht="16.5" hidden="1" x14ac:dyDescent="0.2">
      <c r="B50" s="951">
        <v>-1</v>
      </c>
      <c r="C50" s="1930"/>
      <c r="D50" s="1930"/>
      <c r="E50" s="1930"/>
      <c r="F50" s="1930"/>
      <c r="G50" s="1930"/>
      <c r="H50" s="1930"/>
      <c r="I50" s="187"/>
      <c r="L50" s="950"/>
      <c r="M50" s="949"/>
    </row>
    <row r="51" spans="2:28" ht="16.5" hidden="1" x14ac:dyDescent="0.2">
      <c r="B51" s="951">
        <v>-2</v>
      </c>
      <c r="C51" s="187"/>
      <c r="D51" s="187"/>
      <c r="E51" s="187"/>
      <c r="F51" s="952"/>
      <c r="G51" s="187"/>
      <c r="H51" s="187"/>
      <c r="I51" s="187"/>
      <c r="L51" s="950"/>
      <c r="M51" s="949"/>
      <c r="O51" s="953"/>
    </row>
    <row r="52" spans="2:28" ht="16.5" hidden="1" x14ac:dyDescent="0.2">
      <c r="B52" s="951">
        <v>-3</v>
      </c>
      <c r="C52" s="187"/>
      <c r="D52" s="187"/>
      <c r="E52" s="187"/>
      <c r="F52" s="952"/>
      <c r="G52" s="187"/>
      <c r="H52" s="187"/>
      <c r="I52" s="187"/>
      <c r="L52" s="950">
        <v>233917.19999999998</v>
      </c>
      <c r="M52" s="949"/>
      <c r="N52" s="953"/>
      <c r="O52" s="953"/>
    </row>
    <row r="53" spans="2:28" ht="16.5" hidden="1" x14ac:dyDescent="0.2">
      <c r="B53" s="951">
        <v>-4</v>
      </c>
      <c r="C53" s="187"/>
      <c r="D53" s="187"/>
      <c r="E53" s="187"/>
      <c r="F53" s="952"/>
      <c r="G53" s="187"/>
      <c r="H53" s="187"/>
      <c r="I53" s="187"/>
      <c r="K53" s="953"/>
      <c r="L53" s="950"/>
      <c r="M53" s="949"/>
    </row>
    <row r="54" spans="2:28" ht="16.5" hidden="1" x14ac:dyDescent="0.2">
      <c r="B54" s="951">
        <v>-5</v>
      </c>
      <c r="C54" s="187"/>
      <c r="D54" s="187"/>
      <c r="E54" s="187"/>
      <c r="F54" s="952"/>
      <c r="G54" s="187"/>
      <c r="H54" s="187"/>
      <c r="I54" s="187"/>
      <c r="L54" s="950"/>
      <c r="M54" s="949"/>
    </row>
    <row r="55" spans="2:28" ht="16.5" hidden="1" x14ac:dyDescent="0.2">
      <c r="B55" s="951">
        <v>-6</v>
      </c>
      <c r="C55" s="187"/>
      <c r="D55" s="187"/>
      <c r="E55" s="187"/>
      <c r="F55" s="952"/>
      <c r="G55" s="187"/>
      <c r="H55" s="187"/>
      <c r="I55" s="187"/>
      <c r="L55" s="950"/>
      <c r="M55" s="949"/>
    </row>
    <row r="56" spans="2:28" ht="16.5" hidden="1" x14ac:dyDescent="0.2">
      <c r="B56" s="951">
        <v>-7</v>
      </c>
      <c r="C56" s="187"/>
      <c r="D56" s="187"/>
      <c r="E56" s="187"/>
      <c r="F56" s="952"/>
      <c r="G56" s="187"/>
      <c r="H56" s="187"/>
      <c r="I56" s="187"/>
      <c r="L56" s="950"/>
      <c r="M56" s="949"/>
      <c r="N56" s="954"/>
    </row>
    <row r="57" spans="2:28" ht="16.5" hidden="1" x14ac:dyDescent="0.2">
      <c r="B57" s="951">
        <v>-8</v>
      </c>
      <c r="C57" s="187"/>
      <c r="D57" s="187"/>
      <c r="E57" s="187"/>
      <c r="F57" s="952"/>
      <c r="G57" s="187"/>
      <c r="H57" s="187"/>
      <c r="I57" s="187"/>
      <c r="L57" s="950"/>
      <c r="M57" s="949"/>
      <c r="N57" s="954"/>
    </row>
    <row r="58" spans="2:28" ht="16.5" hidden="1" x14ac:dyDescent="0.2">
      <c r="B58" s="951">
        <v>-9</v>
      </c>
      <c r="C58" s="187"/>
      <c r="D58" s="187"/>
      <c r="E58" s="187"/>
      <c r="F58" s="952"/>
      <c r="G58" s="187"/>
      <c r="H58" s="187"/>
      <c r="I58" s="187"/>
      <c r="L58" s="950"/>
      <c r="M58" s="949"/>
      <c r="N58" s="955"/>
    </row>
    <row r="59" spans="2:28" ht="16.5" hidden="1" x14ac:dyDescent="0.2">
      <c r="B59" s="951">
        <v>-10</v>
      </c>
      <c r="C59" s="187"/>
      <c r="D59" s="187"/>
      <c r="E59" s="187"/>
      <c r="F59" s="952"/>
      <c r="G59" s="187"/>
      <c r="H59" s="187"/>
      <c r="I59" s="187"/>
      <c r="L59" s="950"/>
      <c r="M59" s="956"/>
      <c r="N59" s="955"/>
    </row>
    <row r="60" spans="2:28" ht="15" x14ac:dyDescent="0.2">
      <c r="L60" s="950"/>
      <c r="M60" s="949"/>
      <c r="N60" s="954"/>
    </row>
    <row r="61" spans="2:28" ht="15" x14ac:dyDescent="0.2">
      <c r="L61" s="950"/>
      <c r="M61" s="949"/>
      <c r="N61" s="954"/>
    </row>
    <row r="62" spans="2:28" ht="6" customHeight="1" x14ac:dyDescent="0.2">
      <c r="L62" s="950"/>
      <c r="M62" s="949"/>
      <c r="N62" s="954"/>
    </row>
    <row r="63" spans="2:28" ht="24" customHeight="1" x14ac:dyDescent="0.25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2:28" ht="15" x14ac:dyDescent="0.25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3:28" ht="15" x14ac:dyDescent="0.25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3:28" ht="15" x14ac:dyDescent="0.25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3:28" ht="15" x14ac:dyDescent="0.25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3:28" ht="15" x14ac:dyDescent="0.25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3:28" ht="15" x14ac:dyDescent="0.25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3:28" ht="15" x14ac:dyDescent="0.25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3:28" ht="15" x14ac:dyDescent="0.25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3:28" ht="15" x14ac:dyDescent="0.25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3:28" ht="15" x14ac:dyDescent="0.25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3:28" ht="15" x14ac:dyDescent="0.25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3:28" ht="15" x14ac:dyDescent="0.2">
      <c r="F75" s="168"/>
      <c r="L75" s="950"/>
      <c r="M75" s="957"/>
      <c r="N75" s="955"/>
    </row>
    <row r="76" spans="3:28" ht="15" x14ac:dyDescent="0.2">
      <c r="F76" s="168"/>
      <c r="L76" s="950"/>
      <c r="M76" s="957"/>
      <c r="N76" s="954"/>
    </row>
    <row r="77" spans="3:28" ht="15" x14ac:dyDescent="0.2">
      <c r="F77" s="168"/>
      <c r="M77" s="957"/>
      <c r="N77" s="954"/>
    </row>
    <row r="78" spans="3:28" ht="15" x14ac:dyDescent="0.2">
      <c r="F78" s="168"/>
      <c r="N78" s="954"/>
    </row>
    <row r="79" spans="3:28" ht="15" x14ac:dyDescent="0.2">
      <c r="F79" s="168"/>
      <c r="N79" s="955"/>
    </row>
    <row r="80" spans="3:28" ht="15" x14ac:dyDescent="0.2">
      <c r="F80" s="168"/>
      <c r="N80" s="954"/>
    </row>
    <row r="81" spans="6:14" ht="15" x14ac:dyDescent="0.2">
      <c r="F81" s="168"/>
      <c r="N81" s="954"/>
    </row>
    <row r="82" spans="6:14" ht="15" x14ac:dyDescent="0.2">
      <c r="F82" s="168"/>
      <c r="N82" s="954"/>
    </row>
  </sheetData>
  <mergeCells count="7">
    <mergeCell ref="C50:H50"/>
    <mergeCell ref="B1:R1"/>
    <mergeCell ref="B2:R2"/>
    <mergeCell ref="B44:C44"/>
    <mergeCell ref="B45:C45"/>
    <mergeCell ref="B46:C46"/>
    <mergeCell ref="B5:C5"/>
  </mergeCells>
  <conditionalFormatting sqref="D7:D42">
    <cfRule type="containsText" dxfId="89" priority="1" operator="containsText" text="vacant">
      <formula>NOT(ISERROR(SEARCH("vacant",D7)))</formula>
    </cfRule>
  </conditionalFormatting>
  <pageMargins left="0.7" right="0.7" top="0.75" bottom="0.75" header="0.3" footer="0.3"/>
  <ignoredErrors>
    <ignoredError sqref="G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6E29-E178-4D02-BF86-B26C6EC123D3}">
  <dimension ref="A1:Z1023"/>
  <sheetViews>
    <sheetView showGridLines="0" zoomScale="70" zoomScaleNormal="70" workbookViewId="0">
      <selection activeCell="C5" sqref="C5:I66"/>
    </sheetView>
  </sheetViews>
  <sheetFormatPr defaultColWidth="14.42578125" defaultRowHeight="15" x14ac:dyDescent="0.25"/>
  <cols>
    <col min="1" max="1" width="13.28515625" customWidth="1"/>
    <col min="2" max="2" width="4.7109375" customWidth="1"/>
    <col min="3" max="3" width="41.5703125" customWidth="1"/>
    <col min="4" max="4" width="10.28515625" hidden="1" customWidth="1"/>
    <col min="5" max="5" width="8.28515625" customWidth="1"/>
    <col min="6" max="6" width="18.28515625" customWidth="1"/>
    <col min="7" max="7" width="29.28515625" customWidth="1"/>
    <col min="8" max="8" width="16.28515625" customWidth="1"/>
    <col min="9" max="9" width="12.5703125" customWidth="1"/>
    <col min="10" max="10" width="9.140625" customWidth="1"/>
    <col min="11" max="11" width="21.140625" customWidth="1"/>
    <col min="12" max="12" width="9.85546875" customWidth="1"/>
    <col min="13" max="13" width="16.42578125" customWidth="1"/>
    <col min="14" max="26" width="9.140625" customWidth="1"/>
  </cols>
  <sheetData>
    <row r="1" spans="1:26" ht="21" x14ac:dyDescent="0.35">
      <c r="A1" s="169"/>
      <c r="B1" s="6"/>
      <c r="C1" s="1922" t="str">
        <f>IF(NAME="","Insert Project Name on Prelim Page",NAME)</f>
        <v>Town Center</v>
      </c>
      <c r="D1" s="1965"/>
      <c r="E1" s="1965"/>
      <c r="F1" s="1965"/>
      <c r="G1" s="1965"/>
      <c r="H1" s="1965"/>
      <c r="I1" s="1965"/>
      <c r="J1" s="1"/>
      <c r="K1" s="1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169"/>
      <c r="B2" s="6"/>
      <c r="C2" s="1925" t="str">
        <f>CITY</f>
        <v>Santa Maria, CA 93454</v>
      </c>
      <c r="D2" s="1926"/>
      <c r="E2" s="1926"/>
      <c r="F2" s="1926"/>
      <c r="G2" s="1926"/>
      <c r="H2" s="1926"/>
      <c r="I2" s="1926"/>
      <c r="J2" s="2"/>
      <c r="K2" s="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169"/>
      <c r="B3" s="6"/>
      <c r="C3" s="23" t="s">
        <v>634</v>
      </c>
      <c r="D3" s="27"/>
      <c r="E3" s="27"/>
      <c r="F3" s="6"/>
      <c r="G3" s="6"/>
      <c r="H3" s="135"/>
      <c r="I3" s="280">
        <f ca="1">TRUNC(NOW())</f>
        <v>46271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.25" customHeight="1" x14ac:dyDescent="0.25">
      <c r="A4" s="169"/>
      <c r="B4" s="6"/>
      <c r="C4" s="13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169"/>
      <c r="B5" s="6"/>
      <c r="C5" s="2032" t="s">
        <v>634</v>
      </c>
      <c r="D5" s="1528"/>
      <c r="E5" s="1528"/>
      <c r="F5" s="1529" t="s">
        <v>233</v>
      </c>
      <c r="G5" s="1529" t="s">
        <v>79</v>
      </c>
      <c r="H5" s="1529" t="s">
        <v>90</v>
      </c>
      <c r="I5" s="1529" t="s">
        <v>55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169"/>
      <c r="B6" s="6"/>
      <c r="C6" s="1365"/>
      <c r="D6" s="584"/>
      <c r="E6" s="584"/>
      <c r="F6" s="584"/>
      <c r="G6" s="584"/>
      <c r="H6" s="584"/>
      <c r="I6" s="58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283"/>
      <c r="B7" s="284"/>
      <c r="C7" s="1365" t="s">
        <v>117</v>
      </c>
      <c r="D7" s="1525" t="s">
        <v>208</v>
      </c>
      <c r="E7" s="584"/>
      <c r="F7" s="584"/>
      <c r="G7" s="584"/>
      <c r="H7" s="584"/>
      <c r="I7" s="584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283"/>
      <c r="B8" s="284"/>
      <c r="C8" s="1530" t="s">
        <v>234</v>
      </c>
      <c r="D8" s="1531">
        <v>-1</v>
      </c>
      <c r="E8" s="1532"/>
      <c r="F8" s="1533">
        <f>Summary!D24</f>
        <v>2520480</v>
      </c>
      <c r="G8" s="1534">
        <f t="shared" ref="G8" si="0">IFERROR(F8/UNITS,0)</f>
        <v>30737.560975609755</v>
      </c>
      <c r="H8" s="1535">
        <f t="shared" ref="H8" si="1">IFERROR(F8/NRSF,0)</f>
        <v>48.575589748570906</v>
      </c>
      <c r="I8" s="1536">
        <f t="shared" ref="I8" si="2">IFERROR(F8/$F$14,0)</f>
        <v>0.99580608425949357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283">
        <v>0</v>
      </c>
      <c r="B9" s="284"/>
      <c r="C9" s="1537" t="s">
        <v>599</v>
      </c>
      <c r="D9" s="1538"/>
      <c r="E9" s="1539"/>
      <c r="F9" s="1540">
        <f>Summary!D25</f>
        <v>117936</v>
      </c>
      <c r="G9" s="1541">
        <f t="shared" ref="G9:G14" si="3">IFERROR(F9/UNITS,0)</f>
        <v>1438.2439024390244</v>
      </c>
      <c r="H9" s="1542">
        <f t="shared" ref="H9:H14" si="4">IFERROR(F9/NRSF,0)</f>
        <v>2.272904666011021</v>
      </c>
      <c r="I9" s="1543">
        <f t="shared" ref="I9:I14" si="5">IFERROR(F9/$F$14,0)</f>
        <v>4.6594849533909272E-2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5">
      <c r="A10" s="283"/>
      <c r="B10" s="284"/>
      <c r="C10" s="1544" t="s">
        <v>596</v>
      </c>
      <c r="D10" s="583">
        <v>-2</v>
      </c>
      <c r="E10" s="1545">
        <f>VAC</f>
        <v>0.05</v>
      </c>
      <c r="F10" s="1546">
        <f>Summary!D27</f>
        <v>126024</v>
      </c>
      <c r="G10" s="1547">
        <f t="shared" si="3"/>
        <v>1536.8780487804879</v>
      </c>
      <c r="H10" s="1548">
        <f t="shared" si="4"/>
        <v>2.4287794874285451</v>
      </c>
      <c r="I10" s="1549">
        <f t="shared" si="5"/>
        <v>4.979030421297468E-2</v>
      </c>
      <c r="J10" s="6"/>
      <c r="K10" s="17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283"/>
      <c r="B11" s="284"/>
      <c r="C11" s="1537" t="s">
        <v>600</v>
      </c>
      <c r="D11" s="1538">
        <v>-3</v>
      </c>
      <c r="E11" s="1550">
        <f>VAC</f>
        <v>0.05</v>
      </c>
      <c r="F11" s="1551">
        <f>Summary!D28</f>
        <v>5896.8</v>
      </c>
      <c r="G11" s="1552">
        <f t="shared" si="3"/>
        <v>71.912195121951228</v>
      </c>
      <c r="H11" s="1553">
        <f t="shared" si="4"/>
        <v>0.11364523330055105</v>
      </c>
      <c r="I11" s="1554">
        <f t="shared" si="5"/>
        <v>2.3297424766954636E-3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5">
      <c r="A12" s="283"/>
      <c r="B12" s="301"/>
      <c r="C12" s="1364" t="s">
        <v>118</v>
      </c>
      <c r="D12" s="583"/>
      <c r="E12" s="1555"/>
      <c r="F12" s="1556">
        <f>F8+F9-F10-F11</f>
        <v>2506495.2000000002</v>
      </c>
      <c r="G12" s="1557">
        <f t="shared" si="3"/>
        <v>30567.014634146344</v>
      </c>
      <c r="H12" s="1558">
        <f t="shared" si="4"/>
        <v>48.306069693852834</v>
      </c>
      <c r="I12" s="1559">
        <f t="shared" si="5"/>
        <v>0.99028088710373285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283"/>
      <c r="B13" s="301"/>
      <c r="C13" s="1537" t="s">
        <v>71</v>
      </c>
      <c r="D13" s="1538">
        <v>-4</v>
      </c>
      <c r="E13" s="1550"/>
      <c r="F13" s="1560">
        <f>'Unit Mix'!D53</f>
        <v>24600</v>
      </c>
      <c r="G13" s="1541">
        <f t="shared" si="3"/>
        <v>300</v>
      </c>
      <c r="H13" s="1542">
        <f t="shared" si="4"/>
        <v>0.47409997612154997</v>
      </c>
      <c r="I13" s="1543">
        <f t="shared" si="5"/>
        <v>9.7191128962671961E-3</v>
      </c>
      <c r="J13" s="6"/>
      <c r="K13" s="1049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7.25" customHeight="1" x14ac:dyDescent="0.25">
      <c r="A14" s="283"/>
      <c r="B14" s="301"/>
      <c r="C14" s="1364" t="s">
        <v>119</v>
      </c>
      <c r="D14" s="583"/>
      <c r="E14" s="1555"/>
      <c r="F14" s="1556">
        <f>SUM(F12:F13)</f>
        <v>2531095.2000000002</v>
      </c>
      <c r="G14" s="1557">
        <f t="shared" si="3"/>
        <v>30867.014634146344</v>
      </c>
      <c r="H14" s="1558">
        <f t="shared" si="4"/>
        <v>48.780169669974384</v>
      </c>
      <c r="I14" s="1559">
        <f t="shared" si="5"/>
        <v>1</v>
      </c>
      <c r="J14" s="23"/>
      <c r="K14" s="1049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5">
      <c r="A15" s="169"/>
      <c r="B15" s="284"/>
      <c r="C15" s="1544"/>
      <c r="D15" s="583"/>
      <c r="E15" s="1545"/>
      <c r="F15" s="1561"/>
      <c r="G15" s="1562"/>
      <c r="H15" s="1563"/>
      <c r="I15" s="156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s="311"/>
      <c r="B16" s="284"/>
      <c r="C16" s="1365" t="s">
        <v>236</v>
      </c>
      <c r="D16" s="583">
        <v>-5</v>
      </c>
      <c r="E16" s="1545"/>
      <c r="F16" s="1561"/>
      <c r="G16" s="1562"/>
      <c r="H16" s="1565"/>
      <c r="I16" s="156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5">
      <c r="A17" s="169"/>
      <c r="B17" s="284"/>
      <c r="C17" s="1544" t="str">
        <f>Summary!C50</f>
        <v>Repairs and Maintenance</v>
      </c>
      <c r="D17" s="583"/>
      <c r="E17" s="1545"/>
      <c r="F17" s="1566">
        <f>Summary!D50+Summary!D65</f>
        <v>75382.728671785691</v>
      </c>
      <c r="G17" s="1547">
        <f t="shared" ref="G17:G27" si="6">IFERROR(F17/UNITS,0)</f>
        <v>919.30156916811814</v>
      </c>
      <c r="H17" s="1567">
        <f t="shared" ref="H17:H27" si="7">IFERROR(F17/NRSF,0)</f>
        <v>1.4528028399703607</v>
      </c>
      <c r="I17" s="1549">
        <f t="shared" ref="I17:I27" si="8">IFERROR(F17/$F$14,0)</f>
        <v>2.9782652454868424E-2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5">
      <c r="A18" s="169"/>
      <c r="B18" s="284"/>
      <c r="C18" s="1544" t="str">
        <f>Summary!C51</f>
        <v>Security</v>
      </c>
      <c r="D18" s="583"/>
      <c r="E18" s="1545"/>
      <c r="F18" s="1566">
        <f>Summary!D51+Summary!D66</f>
        <v>65200.498182214265</v>
      </c>
      <c r="G18" s="1547">
        <f t="shared" si="6"/>
        <v>795.12802661236913</v>
      </c>
      <c r="H18" s="1567">
        <f t="shared" si="7"/>
        <v>1.2565672614349979</v>
      </c>
      <c r="I18" s="1549">
        <f t="shared" si="8"/>
        <v>2.5759796858772544E-2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5">
      <c r="A19" s="169"/>
      <c r="B19" s="284"/>
      <c r="C19" s="1544" t="str">
        <f>Summary!C52</f>
        <v>Landscaping</v>
      </c>
      <c r="D19" s="583"/>
      <c r="E19" s="1545"/>
      <c r="F19" s="1566">
        <f>Summary!D52+Summary!D67</f>
        <v>75382.728671785691</v>
      </c>
      <c r="G19" s="1547">
        <f t="shared" si="6"/>
        <v>919.30156916811814</v>
      </c>
      <c r="H19" s="1567">
        <f t="shared" si="7"/>
        <v>1.4528028399703607</v>
      </c>
      <c r="I19" s="1549">
        <f t="shared" si="8"/>
        <v>2.9782652454868424E-2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5">
      <c r="A20" s="169"/>
      <c r="B20" s="284"/>
      <c r="C20" s="1544" t="str">
        <f>Summary!C53</f>
        <v>Administrative</v>
      </c>
      <c r="D20" s="583"/>
      <c r="E20" s="1545"/>
      <c r="F20" s="1566">
        <f>Summary!D53+Summary!D68</f>
        <v>20364.460979142852</v>
      </c>
      <c r="G20" s="1547">
        <f t="shared" si="6"/>
        <v>248.34708511149819</v>
      </c>
      <c r="H20" s="1567">
        <f t="shared" si="7"/>
        <v>0.39247115707072611</v>
      </c>
      <c r="I20" s="1549">
        <f t="shared" si="8"/>
        <v>8.045711192191763E-3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5">
      <c r="A21" s="169"/>
      <c r="B21" s="284"/>
      <c r="C21" s="1544" t="str">
        <f>Summary!C54</f>
        <v>Advertising/Marketing</v>
      </c>
      <c r="D21" s="583"/>
      <c r="E21" s="1545"/>
      <c r="F21" s="1566">
        <f>Summary!D54+Summary!D69</f>
        <v>34653.806713499987</v>
      </c>
      <c r="G21" s="1547">
        <f t="shared" si="6"/>
        <v>422.60739894512182</v>
      </c>
      <c r="H21" s="1567">
        <f t="shared" si="7"/>
        <v>0.66786052582890865</v>
      </c>
      <c r="I21" s="1549">
        <f t="shared" si="8"/>
        <v>1.3691230070484898E-2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169"/>
      <c r="B22" s="284"/>
      <c r="C22" s="1544" t="str">
        <f>Summary!C55</f>
        <v>Payroll</v>
      </c>
      <c r="D22" s="583"/>
      <c r="E22" s="1545"/>
      <c r="F22" s="1566">
        <f>Summary!D55+Summary!D70</f>
        <v>120218.76587485711</v>
      </c>
      <c r="G22" s="1547">
        <f t="shared" si="6"/>
        <v>1466.0825106689892</v>
      </c>
      <c r="H22" s="1567">
        <f t="shared" si="7"/>
        <v>2.3168989443346328</v>
      </c>
      <c r="I22" s="1549">
        <f t="shared" si="8"/>
        <v>4.7496738121449208E-2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hidden="1" customHeight="1" x14ac:dyDescent="0.25">
      <c r="A23" s="169"/>
      <c r="B23" s="284"/>
      <c r="C23" s="1544" t="str">
        <f>Summary!C56</f>
        <v>Utilities</v>
      </c>
      <c r="D23" s="583"/>
      <c r="E23" s="1545"/>
      <c r="F23" s="1566">
        <f>Summary!D56+Summary!D71</f>
        <v>85564.959161357125</v>
      </c>
      <c r="G23" s="1547">
        <f t="shared" si="6"/>
        <v>1043.4751117238675</v>
      </c>
      <c r="H23" s="1567">
        <f t="shared" si="7"/>
        <v>1.6490384185057241</v>
      </c>
      <c r="I23" s="1549">
        <f t="shared" si="8"/>
        <v>3.3805508050964307E-2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169"/>
      <c r="B24" s="284"/>
      <c r="C24" s="1544" t="str">
        <f>Summary!C57</f>
        <v>Property Insurance</v>
      </c>
      <c r="D24" s="583"/>
      <c r="E24" s="1545"/>
      <c r="F24" s="1566">
        <f>Summary!D57+Summary!D72</f>
        <v>25455.576223928565</v>
      </c>
      <c r="G24" s="1547">
        <f t="shared" si="6"/>
        <v>310.43385638937275</v>
      </c>
      <c r="H24" s="1567">
        <f t="shared" si="7"/>
        <v>0.49058894633840766</v>
      </c>
      <c r="I24" s="1549">
        <f t="shared" si="8"/>
        <v>1.0057138990239705E-2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169"/>
      <c r="B25" s="284"/>
      <c r="C25" s="1544" t="str">
        <f>Summary!C58</f>
        <v>Property Management</v>
      </c>
      <c r="D25" s="583">
        <v>-6</v>
      </c>
      <c r="E25" s="1545"/>
      <c r="F25" s="1566">
        <f>Summary!D58+Summary!D73</f>
        <v>105659.808</v>
      </c>
      <c r="G25" s="1547">
        <f t="shared" si="6"/>
        <v>1288.5342439024391</v>
      </c>
      <c r="H25" s="1567">
        <f t="shared" si="7"/>
        <v>2.0363135142198194</v>
      </c>
      <c r="I25" s="1549">
        <f t="shared" si="8"/>
        <v>4.1744699290646989E-2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169"/>
      <c r="B26" s="284"/>
      <c r="C26" s="1544" t="str">
        <f>Summary!C59</f>
        <v>Real Estate Taxes</v>
      </c>
      <c r="D26" s="583"/>
      <c r="E26" s="1545"/>
      <c r="F26" s="1566">
        <f>Summary!D59+Summary!D74</f>
        <v>258792</v>
      </c>
      <c r="G26" s="1547">
        <f t="shared" si="6"/>
        <v>3156</v>
      </c>
      <c r="H26" s="1567">
        <f t="shared" si="7"/>
        <v>4.9875317487987054</v>
      </c>
      <c r="I26" s="1549">
        <f t="shared" si="8"/>
        <v>0.1022450676687309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169"/>
      <c r="B27" s="6"/>
      <c r="C27" s="1544" t="str">
        <f>Summary!C60</f>
        <v>Replacement Reserves</v>
      </c>
      <c r="D27" s="1538">
        <v>-7</v>
      </c>
      <c r="E27" s="1550"/>
      <c r="F27" s="1551">
        <f>Summary!D60+Summary!D75</f>
        <v>40929.120000000003</v>
      </c>
      <c r="G27" s="1552">
        <f t="shared" si="6"/>
        <v>499.13560975609761</v>
      </c>
      <c r="H27" s="1568">
        <f t="shared" si="7"/>
        <v>0.78880060222260384</v>
      </c>
      <c r="I27" s="1554">
        <f t="shared" si="8"/>
        <v>1.6170517805888927E-2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4.5" customHeight="1" x14ac:dyDescent="0.25">
      <c r="A28" s="169"/>
      <c r="B28" s="6"/>
      <c r="C28" s="584"/>
      <c r="D28" s="583"/>
      <c r="E28" s="1545"/>
      <c r="F28" s="1569"/>
      <c r="G28" s="1569"/>
      <c r="H28" s="1569"/>
      <c r="I28" s="156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169"/>
      <c r="B29" s="6"/>
      <c r="C29" s="1364" t="s">
        <v>123</v>
      </c>
      <c r="D29" s="583"/>
      <c r="E29" s="1545"/>
      <c r="F29" s="1570">
        <f>SUM(F17:F27)</f>
        <v>907604.45247857133</v>
      </c>
      <c r="G29" s="1571">
        <f>IFERROR(F29/UNITS,0)</f>
        <v>11068.346981445991</v>
      </c>
      <c r="H29" s="1572">
        <f>IFERROR(F29/NRSF,0)</f>
        <v>17.491676798695249</v>
      </c>
      <c r="I29" s="1573">
        <f>IFERROR(F29/$F$14,0)</f>
        <v>0.35858171295910612</v>
      </c>
      <c r="J29" s="196"/>
      <c r="K29" s="30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169"/>
      <c r="B30" s="6"/>
      <c r="C30" s="584"/>
      <c r="D30" s="1538"/>
      <c r="E30" s="1545"/>
      <c r="F30" s="1561"/>
      <c r="G30" s="1565"/>
      <c r="H30" s="1565"/>
      <c r="I30" s="1564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169"/>
      <c r="B31" s="6"/>
      <c r="C31" s="1574" t="s">
        <v>120</v>
      </c>
      <c r="D31" s="1575"/>
      <c r="E31" s="1576"/>
      <c r="F31" s="1577">
        <f>F14-F29</f>
        <v>1623490.7475214289</v>
      </c>
      <c r="G31" s="1578">
        <f>IFERROR(F31/UNITS,0)</f>
        <v>19798.667652700351</v>
      </c>
      <c r="H31" s="1579">
        <f>IFERROR(F31/NRSF,0)</f>
        <v>31.288492871279136</v>
      </c>
      <c r="I31" s="1580">
        <f>IFERROR(F31/$F$14,0)</f>
        <v>0.64141828704089388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169"/>
      <c r="B32" s="6"/>
      <c r="C32" s="1365"/>
      <c r="D32" s="583"/>
      <c r="E32" s="1545"/>
      <c r="F32" s="1561"/>
      <c r="G32" s="1565"/>
      <c r="H32" s="1565"/>
      <c r="I32" s="1564"/>
      <c r="J32" s="6"/>
      <c r="K32" s="6"/>
      <c r="L32" s="90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169"/>
      <c r="B33" s="6"/>
      <c r="C33" s="1365" t="s">
        <v>237</v>
      </c>
      <c r="D33" s="583">
        <v>-8</v>
      </c>
      <c r="E33" s="1581">
        <f>CAP</f>
        <v>5.5E-2</v>
      </c>
      <c r="F33" s="1582">
        <f>F31/CAP</f>
        <v>29518013.591298707</v>
      </c>
      <c r="G33" s="1582">
        <f>IFERROR(F33/UNITS,0)</f>
        <v>359975.77550364274</v>
      </c>
      <c r="H33" s="1583">
        <f>F33/NRSF</f>
        <v>568.88168856871152</v>
      </c>
      <c r="I33" s="1564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169"/>
      <c r="B34" s="6"/>
      <c r="C34" s="1359" t="s">
        <v>83</v>
      </c>
      <c r="D34" s="583"/>
      <c r="E34" s="1584"/>
      <c r="F34" s="1585">
        <f>ROUND(F33,-4)</f>
        <v>29520000</v>
      </c>
      <c r="G34" s="1586">
        <f>IFERROR(F34/UNITS,0)</f>
        <v>360000</v>
      </c>
      <c r="H34" s="1587">
        <f>F34/NRSF</f>
        <v>568.91997134585995</v>
      </c>
      <c r="I34" s="1564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169"/>
      <c r="B35" s="6"/>
      <c r="C35" s="1359" t="s">
        <v>84</v>
      </c>
      <c r="D35" s="1588"/>
      <c r="E35" s="1589"/>
      <c r="F35" s="1565">
        <f>'Dev Costs'!C130</f>
        <v>23927400.787674919</v>
      </c>
      <c r="G35" s="1590">
        <f>F35/UNITS</f>
        <v>291797.57058140147</v>
      </c>
      <c r="H35" s="1591">
        <f>F35/NRSF</f>
        <v>461.13740414989576</v>
      </c>
      <c r="I35" s="584"/>
      <c r="J35" s="6"/>
      <c r="K35" s="6"/>
      <c r="L35" s="6"/>
      <c r="M35" s="33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169"/>
      <c r="B36" s="6"/>
      <c r="C36" s="1422"/>
      <c r="D36" s="583"/>
      <c r="E36" s="1589"/>
      <c r="F36" s="1565"/>
      <c r="G36" s="1590"/>
      <c r="H36" s="1591"/>
      <c r="I36" s="584"/>
      <c r="J36" s="6"/>
      <c r="K36" s="6"/>
      <c r="L36" s="6"/>
      <c r="M36" s="19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169"/>
      <c r="B37" s="6"/>
      <c r="C37" s="1592" t="s">
        <v>509</v>
      </c>
      <c r="D37" s="583"/>
      <c r="E37" s="1589"/>
      <c r="F37" s="1565"/>
      <c r="G37" s="1590"/>
      <c r="H37" s="1591"/>
      <c r="I37" s="584"/>
      <c r="J37" s="6"/>
      <c r="K37" s="6"/>
      <c r="L37" s="6"/>
      <c r="M37" s="19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169"/>
      <c r="B38" s="6"/>
      <c r="C38" s="1365" t="s">
        <v>85</v>
      </c>
      <c r="D38" s="1525"/>
      <c r="E38" s="1584"/>
      <c r="F38" s="1556">
        <f>LOAN</f>
        <v>15552810.511988698</v>
      </c>
      <c r="G38" s="1593">
        <f>IFERROR(F38/UNITS,0)</f>
        <v>189668.42087791095</v>
      </c>
      <c r="H38" s="1594">
        <f>IFERROR(F38/NRSF,0)</f>
        <v>299.73931269743224</v>
      </c>
      <c r="I38" s="584"/>
      <c r="J38" s="6"/>
      <c r="K38" s="6"/>
      <c r="L38" s="6"/>
      <c r="M38" s="3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169"/>
      <c r="B39" s="6"/>
      <c r="C39" s="584" t="s">
        <v>47</v>
      </c>
      <c r="D39" s="1525"/>
      <c r="E39" s="1525"/>
      <c r="F39" s="1590">
        <f>ANNPMT</f>
        <v>1244224.8409590959</v>
      </c>
      <c r="G39" s="1590">
        <f>IFERROR(F39/UNITS,0)</f>
        <v>15173.473670232876</v>
      </c>
      <c r="H39" s="1595">
        <f>IFERROR(F39/NRSF,0)</f>
        <v>23.979145015794579</v>
      </c>
      <c r="I39" s="584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169"/>
      <c r="B40" s="6"/>
      <c r="C40" s="584" t="s">
        <v>238</v>
      </c>
      <c r="D40" s="1525"/>
      <c r="E40" s="1525"/>
      <c r="F40" s="1590">
        <f>F39/12</f>
        <v>103685.40341325798</v>
      </c>
      <c r="G40" s="1590">
        <f>IFERROR(F40/UNITS,0)</f>
        <v>1264.456139186073</v>
      </c>
      <c r="H40" s="1595">
        <f>IFERROR(F40/NRSF,0)</f>
        <v>1.9982620846495482</v>
      </c>
      <c r="I40" s="584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169"/>
      <c r="B41" s="6"/>
      <c r="C41" s="1365" t="s">
        <v>15</v>
      </c>
      <c r="D41" s="1596"/>
      <c r="E41" s="1597"/>
      <c r="F41" s="1598">
        <f>RATE</f>
        <v>0.08</v>
      </c>
      <c r="G41" s="1593"/>
      <c r="H41" s="1594"/>
      <c r="I41" s="584"/>
      <c r="J41" s="6"/>
      <c r="K41" s="6"/>
      <c r="L41" s="6"/>
      <c r="M41" s="332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169"/>
      <c r="B42" s="6"/>
      <c r="C42" s="1365" t="s">
        <v>103</v>
      </c>
      <c r="D42" s="1596"/>
      <c r="E42" s="1597"/>
      <c r="F42" s="1599" t="s">
        <v>510</v>
      </c>
      <c r="G42" s="1593"/>
      <c r="H42" s="1594"/>
      <c r="I42" s="584"/>
      <c r="J42" s="6"/>
      <c r="K42" s="6"/>
      <c r="L42" s="6"/>
      <c r="M42" s="33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169"/>
      <c r="B43" s="6"/>
      <c r="C43" s="584"/>
      <c r="D43" s="584"/>
      <c r="E43" s="584"/>
      <c r="F43" s="584"/>
      <c r="G43" s="584"/>
      <c r="H43" s="584"/>
      <c r="I43" s="58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169"/>
      <c r="B44" s="6"/>
      <c r="C44" s="1600" t="s">
        <v>239</v>
      </c>
      <c r="D44" s="1601"/>
      <c r="E44" s="1601"/>
      <c r="F44" s="1601"/>
      <c r="G44" s="1601"/>
      <c r="H44" s="1601"/>
      <c r="I44" s="1602"/>
      <c r="J44" s="6"/>
      <c r="K44" s="6"/>
      <c r="L44" s="139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169"/>
      <c r="B45" s="6"/>
      <c r="C45" s="1603" t="s">
        <v>24</v>
      </c>
      <c r="D45" s="1604"/>
      <c r="E45" s="1604"/>
      <c r="F45" s="1605">
        <f>F38/F33</f>
        <v>0.52689217937664146</v>
      </c>
      <c r="G45" s="1606" t="s">
        <v>240</v>
      </c>
      <c r="H45" s="1604"/>
      <c r="I45" s="1607">
        <f>IFERROR(I46/12,0)</f>
        <v>103685.40341325798</v>
      </c>
      <c r="J45" s="6"/>
      <c r="K45" s="6"/>
      <c r="L45" s="6"/>
      <c r="M45" s="32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 x14ac:dyDescent="0.25">
      <c r="A46" s="169"/>
      <c r="B46" s="6"/>
      <c r="C46" s="1608" t="s">
        <v>28</v>
      </c>
      <c r="D46" s="584"/>
      <c r="E46" s="584"/>
      <c r="F46" s="1609">
        <f>IFERROR(F38/COST,0)</f>
        <v>0.65</v>
      </c>
      <c r="G46" s="1610" t="s">
        <v>241</v>
      </c>
      <c r="H46" s="584"/>
      <c r="I46" s="1611">
        <f>IFERROR(LOAN*K,0)</f>
        <v>1244224.8409590959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25">
      <c r="A47" s="169"/>
      <c r="B47" s="6"/>
      <c r="C47" s="1608" t="s">
        <v>32</v>
      </c>
      <c r="D47" s="584"/>
      <c r="E47" s="584"/>
      <c r="F47" s="1612">
        <f>F31/F39</f>
        <v>1.3048210372250568</v>
      </c>
      <c r="G47" s="1610" t="s">
        <v>242</v>
      </c>
      <c r="H47" s="584"/>
      <c r="I47" s="1613">
        <f>(I48/(F8+F9))</f>
        <v>0.81557619929445058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 x14ac:dyDescent="0.25">
      <c r="A48" s="169"/>
      <c r="B48" s="6"/>
      <c r="C48" s="1608" t="s">
        <v>243</v>
      </c>
      <c r="D48" s="584"/>
      <c r="E48" s="584"/>
      <c r="F48" s="1614">
        <f>F31/F38</f>
        <v>0.10438568297800455</v>
      </c>
      <c r="G48" s="1610" t="s">
        <v>244</v>
      </c>
      <c r="H48" s="584"/>
      <c r="I48" s="1611">
        <f>F29+F39</f>
        <v>2151829.2934376672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25">
      <c r="A49" s="169"/>
      <c r="B49" s="6"/>
      <c r="C49" s="1615" t="s">
        <v>515</v>
      </c>
      <c r="D49" s="584"/>
      <c r="E49" s="584"/>
      <c r="F49" s="1616">
        <f>(F33/F35)^(1/3)-1</f>
        <v>7.2499754409492301E-2</v>
      </c>
      <c r="G49" s="1617" t="s">
        <v>246</v>
      </c>
      <c r="H49" s="584"/>
      <c r="I49" s="1614">
        <f>F31/F35</f>
        <v>6.7850693935702963E-2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25">
      <c r="A50" s="169"/>
      <c r="B50" s="6"/>
      <c r="C50" s="1618" t="s">
        <v>245</v>
      </c>
      <c r="D50" s="1619">
        <v>-9</v>
      </c>
      <c r="E50" s="1620"/>
      <c r="F50" s="1621">
        <f>IFERROR(F34/(F9+F8),0)</f>
        <v>11.188531300598541</v>
      </c>
      <c r="G50" s="1622" t="s">
        <v>503</v>
      </c>
      <c r="H50" s="1623"/>
      <c r="I50" s="1624">
        <f>F31/(COST-Summary!L63)</f>
        <v>7.7725838845367781E-2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25">
      <c r="A51" s="169"/>
      <c r="B51" s="6"/>
      <c r="C51" s="584"/>
      <c r="D51" s="584"/>
      <c r="E51" s="584"/>
      <c r="F51" s="584"/>
      <c r="G51" s="584"/>
      <c r="H51" s="584"/>
      <c r="I51" s="58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9.5" customHeight="1" x14ac:dyDescent="0.25">
      <c r="A52" s="169"/>
      <c r="B52" s="6"/>
      <c r="C52" s="1625" t="s">
        <v>507</v>
      </c>
      <c r="D52" s="584"/>
      <c r="E52" s="584"/>
      <c r="F52" s="584"/>
      <c r="G52" s="584"/>
      <c r="H52" s="584"/>
      <c r="I52" s="5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customHeight="1" x14ac:dyDescent="0.25">
      <c r="A53" s="169"/>
      <c r="B53" s="6"/>
      <c r="C53" s="1365" t="s">
        <v>85</v>
      </c>
      <c r="D53" s="583">
        <v>-10</v>
      </c>
      <c r="E53" s="1584"/>
      <c r="F53" s="1556">
        <f>(F31/(1.25*F58))</f>
        <v>17877660.812510256</v>
      </c>
      <c r="G53" s="1593">
        <f>IFERROR(F53/UNITS,0)</f>
        <v>218020.25381110067</v>
      </c>
      <c r="H53" s="1594">
        <f>IFERROR(F53/NRSF,0)</f>
        <v>344.54465708619034</v>
      </c>
      <c r="I53" s="58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customHeight="1" x14ac:dyDescent="0.25">
      <c r="A54" s="169"/>
      <c r="B54" s="6"/>
      <c r="C54" s="584" t="s">
        <v>47</v>
      </c>
      <c r="D54" s="583"/>
      <c r="E54" s="1525"/>
      <c r="F54" s="1590">
        <f>-PMT(F56,F57,F53)</f>
        <v>1298792.5980171433</v>
      </c>
      <c r="G54" s="1590">
        <f>IFERROR(F54/UNITS,0)</f>
        <v>15838.934122160284</v>
      </c>
      <c r="H54" s="1595">
        <f>IFERROR(F54/NRSF,0)</f>
        <v>25.030794297023313</v>
      </c>
      <c r="I54" s="58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25">
      <c r="A55" s="169"/>
      <c r="B55" s="6"/>
      <c r="C55" s="584" t="s">
        <v>238</v>
      </c>
      <c r="D55" s="583"/>
      <c r="E55" s="1525"/>
      <c r="F55" s="1590">
        <f>F54/12</f>
        <v>108232.71650142861</v>
      </c>
      <c r="G55" s="1590">
        <f>IFERROR(F55/UNITS,0)</f>
        <v>1319.9111768466905</v>
      </c>
      <c r="H55" s="1595">
        <f>IFERROR(F55/NRSF,0)</f>
        <v>2.0858995247519427</v>
      </c>
      <c r="I55" s="58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169"/>
      <c r="B56" s="6"/>
      <c r="C56" s="1365" t="s">
        <v>15</v>
      </c>
      <c r="D56" s="583">
        <v>-11</v>
      </c>
      <c r="E56" s="1597"/>
      <c r="F56" s="1598">
        <v>0.06</v>
      </c>
      <c r="G56" s="1593"/>
      <c r="H56" s="1594"/>
      <c r="I56" s="584"/>
      <c r="J56" s="6"/>
      <c r="K56" s="6"/>
      <c r="L56" s="6"/>
      <c r="M56" s="332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169"/>
      <c r="B57" s="6"/>
      <c r="C57" s="1365" t="s">
        <v>103</v>
      </c>
      <c r="D57" s="1596"/>
      <c r="E57" s="1597"/>
      <c r="F57" s="1626">
        <v>30</v>
      </c>
      <c r="G57" s="1593"/>
      <c r="H57" s="1594"/>
      <c r="I57" s="584"/>
      <c r="J57" s="6"/>
      <c r="K57" s="6"/>
      <c r="L57" s="6"/>
      <c r="M57" s="332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169"/>
      <c r="B58" s="6"/>
      <c r="C58" s="1365" t="s">
        <v>627</v>
      </c>
      <c r="D58" s="1596"/>
      <c r="E58" s="1597"/>
      <c r="F58" s="1598">
        <f>PMT(F56,F57,-1)</f>
        <v>7.2648911490047222E-2</v>
      </c>
      <c r="G58" s="1593"/>
      <c r="H58" s="1594"/>
      <c r="I58" s="584"/>
      <c r="J58" s="6"/>
      <c r="K58" s="6"/>
      <c r="L58" s="6"/>
      <c r="M58" s="332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customHeight="1" x14ac:dyDescent="0.25">
      <c r="A59" s="169"/>
      <c r="B59" s="6"/>
      <c r="C59" s="584"/>
      <c r="D59" s="584"/>
      <c r="E59" s="584"/>
      <c r="F59" s="584"/>
      <c r="G59" s="584"/>
      <c r="H59" s="584"/>
      <c r="I59" s="58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customHeight="1" x14ac:dyDescent="0.25">
      <c r="A60" s="169"/>
      <c r="B60" s="6"/>
      <c r="C60" s="1600" t="s">
        <v>508</v>
      </c>
      <c r="D60" s="1601"/>
      <c r="E60" s="1601"/>
      <c r="F60" s="1601"/>
      <c r="G60" s="1601"/>
      <c r="H60" s="1601"/>
      <c r="I60" s="160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customHeight="1" x14ac:dyDescent="0.25">
      <c r="A61" s="169"/>
      <c r="B61" s="6"/>
      <c r="C61" s="1603" t="s">
        <v>24</v>
      </c>
      <c r="D61" s="1604"/>
      <c r="E61" s="1604"/>
      <c r="F61" s="1605">
        <f>F53/F33</f>
        <v>0.6056525706655348</v>
      </c>
      <c r="G61" s="1606" t="s">
        <v>240</v>
      </c>
      <c r="H61" s="1604"/>
      <c r="I61" s="1607">
        <f>IFERROR(I62/12,0)</f>
        <v>108232.71650142861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customHeight="1" x14ac:dyDescent="0.25">
      <c r="A62" s="169"/>
      <c r="B62" s="6"/>
      <c r="C62" s="1608" t="s">
        <v>28</v>
      </c>
      <c r="D62" s="584"/>
      <c r="E62" s="584"/>
      <c r="F62" s="1609">
        <f>F53/COST</f>
        <v>0.74716267642907108</v>
      </c>
      <c r="G62" s="1610" t="s">
        <v>241</v>
      </c>
      <c r="H62" s="584"/>
      <c r="I62" s="1611">
        <f>F54</f>
        <v>1298792.5980171433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customHeight="1" x14ac:dyDescent="0.25">
      <c r="A63" s="169"/>
      <c r="B63" s="6"/>
      <c r="C63" s="1608" t="s">
        <v>32</v>
      </c>
      <c r="D63" s="584"/>
      <c r="E63" s="584"/>
      <c r="F63" s="1612">
        <f>F31/I62</f>
        <v>1.2499999999999998</v>
      </c>
      <c r="G63" s="1610" t="s">
        <v>242</v>
      </c>
      <c r="H63" s="584"/>
      <c r="I63" s="1613">
        <f>(I64/(F8+F9))</f>
        <v>0.83625821344917362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customHeight="1" x14ac:dyDescent="0.25">
      <c r="A64" s="169"/>
      <c r="B64" s="6"/>
      <c r="C64" s="1608" t="s">
        <v>243</v>
      </c>
      <c r="D64" s="584"/>
      <c r="E64" s="584"/>
      <c r="F64" s="1614">
        <f>F31/F53</f>
        <v>9.081113936255901E-2</v>
      </c>
      <c r="G64" s="1610" t="s">
        <v>244</v>
      </c>
      <c r="H64" s="584"/>
      <c r="I64" s="1611">
        <f>F29+F54</f>
        <v>2206397.0504957149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 x14ac:dyDescent="0.25">
      <c r="A65" s="169"/>
      <c r="B65" s="6"/>
      <c r="C65" s="1615" t="s">
        <v>515</v>
      </c>
      <c r="D65" s="584"/>
      <c r="E65" s="584"/>
      <c r="F65" s="1616">
        <f>(F33/F35)^(1/3)-1</f>
        <v>7.2499754409492301E-2</v>
      </c>
      <c r="G65" s="1617" t="s">
        <v>246</v>
      </c>
      <c r="H65" s="584"/>
      <c r="I65" s="1614">
        <f>F31/F35</f>
        <v>6.7850693935702963E-2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25">
      <c r="A66" s="169"/>
      <c r="B66" s="6"/>
      <c r="C66" s="1618" t="s">
        <v>245</v>
      </c>
      <c r="D66" s="1619"/>
      <c r="E66" s="1620"/>
      <c r="F66" s="1621">
        <f>IFERROR(F34/(F9+F8),0)</f>
        <v>11.188531300598541</v>
      </c>
      <c r="G66" s="1622" t="s">
        <v>503</v>
      </c>
      <c r="H66" s="1623"/>
      <c r="I66" s="1624">
        <f>F31/(COST-Summary!L63)</f>
        <v>7.7725838845367781E-2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 x14ac:dyDescent="0.25">
      <c r="A67" s="169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169"/>
      <c r="B68" s="6"/>
      <c r="C68" s="1966" t="s">
        <v>247</v>
      </c>
      <c r="D68" s="1947"/>
      <c r="E68" s="1947"/>
      <c r="F68" s="1947"/>
      <c r="G68" s="1947"/>
      <c r="H68" s="1947"/>
      <c r="I68" s="194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s="584" customFormat="1" x14ac:dyDescent="0.25">
      <c r="A69" s="582"/>
      <c r="B69" s="583">
        <v>-1</v>
      </c>
      <c r="C69" s="1959"/>
      <c r="D69" s="1960"/>
      <c r="E69" s="1960"/>
      <c r="F69" s="1960"/>
      <c r="G69" s="1960"/>
      <c r="H69" s="1960"/>
      <c r="I69" s="1961"/>
    </row>
    <row r="70" spans="1:26" s="584" customFormat="1" x14ac:dyDescent="0.25">
      <c r="A70" s="582"/>
      <c r="B70" s="583">
        <v>-2</v>
      </c>
      <c r="C70" s="1959"/>
      <c r="D70" s="1960"/>
      <c r="E70" s="1960"/>
      <c r="F70" s="1960"/>
      <c r="G70" s="1960"/>
      <c r="H70" s="1960"/>
      <c r="I70" s="1961"/>
    </row>
    <row r="71" spans="1:26" s="584" customFormat="1" x14ac:dyDescent="0.25">
      <c r="A71" s="582"/>
      <c r="B71" s="583">
        <v>-3</v>
      </c>
      <c r="C71" s="585"/>
      <c r="D71" s="586"/>
      <c r="E71" s="586"/>
      <c r="F71" s="586"/>
      <c r="G71" s="586"/>
      <c r="H71" s="586"/>
      <c r="I71" s="586"/>
    </row>
    <row r="72" spans="1:26" s="584" customFormat="1" x14ac:dyDescent="0.25">
      <c r="A72" s="582"/>
      <c r="B72" s="583">
        <v>-4</v>
      </c>
      <c r="C72" s="1959"/>
      <c r="D72" s="1960"/>
      <c r="E72" s="1960"/>
      <c r="F72" s="1960"/>
      <c r="G72" s="1960"/>
      <c r="H72" s="1960"/>
      <c r="I72" s="1961"/>
    </row>
    <row r="73" spans="1:26" s="584" customFormat="1" x14ac:dyDescent="0.25">
      <c r="A73" s="582"/>
      <c r="B73" s="583">
        <v>-5</v>
      </c>
      <c r="C73" s="585"/>
      <c r="D73" s="586"/>
      <c r="E73" s="586"/>
      <c r="F73" s="586"/>
      <c r="G73" s="586"/>
      <c r="H73" s="586"/>
      <c r="I73" s="586"/>
    </row>
    <row r="74" spans="1:26" s="584" customFormat="1" x14ac:dyDescent="0.25">
      <c r="A74" s="582"/>
      <c r="B74" s="583">
        <v>-6</v>
      </c>
      <c r="C74" s="1959"/>
      <c r="D74" s="1960"/>
      <c r="E74" s="1960"/>
      <c r="F74" s="1960"/>
      <c r="G74" s="1960"/>
      <c r="H74" s="1960"/>
      <c r="I74" s="1961"/>
    </row>
    <row r="75" spans="1:26" s="584" customFormat="1" x14ac:dyDescent="0.25">
      <c r="A75" s="582"/>
      <c r="B75" s="583">
        <v>-7</v>
      </c>
      <c r="C75" s="1959"/>
      <c r="D75" s="1960"/>
      <c r="E75" s="1960"/>
      <c r="F75" s="1960"/>
      <c r="G75" s="1960"/>
      <c r="H75" s="1960"/>
      <c r="I75" s="1961"/>
    </row>
    <row r="76" spans="1:26" s="584" customFormat="1" x14ac:dyDescent="0.25">
      <c r="A76" s="582"/>
      <c r="B76" s="583">
        <v>-8</v>
      </c>
    </row>
    <row r="77" spans="1:26" s="584" customFormat="1" x14ac:dyDescent="0.25">
      <c r="A77" s="582"/>
      <c r="B77" s="587">
        <v>-9</v>
      </c>
      <c r="C77" s="1962"/>
      <c r="D77" s="1960"/>
      <c r="E77" s="1960"/>
      <c r="F77" s="1960"/>
      <c r="G77" s="1960"/>
      <c r="H77" s="1960"/>
      <c r="I77" s="1961"/>
    </row>
    <row r="78" spans="1:26" s="584" customFormat="1" x14ac:dyDescent="0.25">
      <c r="A78" s="582"/>
      <c r="B78" s="587">
        <v>-10</v>
      </c>
      <c r="C78" s="1963"/>
      <c r="D78" s="1937"/>
      <c r="E78" s="1937"/>
      <c r="F78" s="1937"/>
      <c r="G78" s="1937"/>
      <c r="H78" s="1937"/>
      <c r="I78" s="1937"/>
    </row>
    <row r="79" spans="1:26" s="584" customFormat="1" x14ac:dyDescent="0.25">
      <c r="B79" s="587">
        <v>-11</v>
      </c>
      <c r="C79" s="1963"/>
      <c r="D79" s="1937"/>
      <c r="E79" s="1937"/>
      <c r="F79" s="1937"/>
      <c r="G79" s="1937"/>
      <c r="H79" s="1937"/>
      <c r="I79" s="1937"/>
      <c r="K79" s="588"/>
    </row>
    <row r="80" spans="1:26" ht="15.75" customHeight="1" x14ac:dyDescent="0.25">
      <c r="A80" s="6"/>
      <c r="B80" s="343"/>
      <c r="C80" s="1964"/>
      <c r="D80" s="1956"/>
      <c r="E80" s="1956"/>
      <c r="F80" s="1956"/>
      <c r="G80" s="1956"/>
      <c r="H80" s="1956"/>
      <c r="I80" s="195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78" customHeight="1" x14ac:dyDescent="0.25">
      <c r="A81" s="6"/>
      <c r="B81" s="343"/>
      <c r="C81" s="1958"/>
      <c r="D81" s="1956"/>
      <c r="E81" s="1956"/>
      <c r="F81" s="1956"/>
      <c r="G81" s="1956"/>
      <c r="H81" s="1956"/>
      <c r="I81" s="1956"/>
      <c r="J81" s="6"/>
      <c r="K81" s="6"/>
      <c r="L81" s="6"/>
      <c r="M81" s="6"/>
      <c r="N81" s="1958"/>
      <c r="O81" s="1956"/>
      <c r="P81" s="1956"/>
      <c r="Q81" s="1956"/>
      <c r="R81" s="1956"/>
      <c r="S81" s="1956"/>
      <c r="T81" s="195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34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16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6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16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16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16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16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6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16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16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16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16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16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16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16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16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16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16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16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16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16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16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16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16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16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16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16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16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16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16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16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16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169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169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169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169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169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169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169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169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169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169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169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169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169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169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169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169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169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169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169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169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169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169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169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169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169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169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169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169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169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169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169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169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169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169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169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169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169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169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169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169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169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169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169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169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169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169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169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169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169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169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169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169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169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169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169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169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169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169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169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169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169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169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169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169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169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169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169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169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169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169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169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169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169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169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169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169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169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169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169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169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169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169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169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169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169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169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169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169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169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169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169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169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169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169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169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169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169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169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169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169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169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169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169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169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169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169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169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169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169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169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169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169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169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169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169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169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169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169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169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169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169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169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169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169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169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169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169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169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169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169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169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169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169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169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169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169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169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169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169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169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169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169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169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169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169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169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169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169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169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169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169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169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169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169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169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169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169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169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169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169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169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169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169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169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169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169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169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169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169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169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169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169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169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169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169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169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169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169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169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169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169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169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169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169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169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169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169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169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169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169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169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169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169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169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169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169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169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169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169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169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169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169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169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169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169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169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169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169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169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169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169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169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169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169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169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169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169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169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169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169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169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169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169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169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169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169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169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169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169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169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169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169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169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169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169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169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169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169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169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169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169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169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169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169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169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169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169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169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169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169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169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169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169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169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169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169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169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169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169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169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169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169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169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169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169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169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169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169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169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169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169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169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169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169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169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169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169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169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169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169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169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169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169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169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169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169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169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169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169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169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169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169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169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169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169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169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169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169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169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169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169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169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169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169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169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169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169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169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169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169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169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169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169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169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169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169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169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169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169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169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169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169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169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169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169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169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169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169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169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169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169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169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169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169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169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169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169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169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169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169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169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169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169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169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169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169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169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169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169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169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169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169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169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169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169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169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169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169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169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169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169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169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169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169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169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169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169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169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169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169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169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169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169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169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169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169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169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169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169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169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169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169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169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169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169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169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169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169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169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169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169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169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169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169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169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169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169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169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169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169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169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169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169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169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169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169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169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169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169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169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169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169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169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169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169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169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169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169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169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169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169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169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169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169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169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169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169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169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169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169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169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169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169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169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169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169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169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169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169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169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169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169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169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169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169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169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169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169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169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169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169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169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169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169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169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169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169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169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169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169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169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169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169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169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169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169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169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169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169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169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169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169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169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169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169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169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169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169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169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169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169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169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169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169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169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169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169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169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169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169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169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169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169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169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169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169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169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169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169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169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169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169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169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169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169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169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169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169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169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169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169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169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169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169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169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169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169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169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169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169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169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169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169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169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169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169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169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169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169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169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169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169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169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169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169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169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169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169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169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169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169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169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169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169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169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169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169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169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169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169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169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169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169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169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169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169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169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169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169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169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169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169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169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169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169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169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169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169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169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169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169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169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169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169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169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169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169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169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169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169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169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169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169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169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169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169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169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169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169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169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169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169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169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169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169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169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169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169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169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169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169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169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169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169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169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169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169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169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169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169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169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169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169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169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169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169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169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169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169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169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169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169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169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169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169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169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169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169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169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169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169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169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169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169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169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169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169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169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169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169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169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169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169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169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169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169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169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169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169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169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169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169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169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169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169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169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169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169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169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169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169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169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169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169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169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169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169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169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169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169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169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169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169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169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169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169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169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169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169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169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169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169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169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169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169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169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169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169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169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169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169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169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169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169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169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169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169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169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169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169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169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169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169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169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169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169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169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169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169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169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169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169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169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169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169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169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169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169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169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169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169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169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169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169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169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169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169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169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169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169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169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169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169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169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169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169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169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169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169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169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169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169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169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169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169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169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169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169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169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169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169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169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169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169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169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169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169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169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169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169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169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169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169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169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169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169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169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169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169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169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169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169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169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169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169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169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169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169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169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169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169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169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169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169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169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169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169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169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169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169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169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169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169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169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169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169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169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169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169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169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169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169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169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169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169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169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169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169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169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169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169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169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169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169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169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169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169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169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169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169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169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169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169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169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169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169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169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169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169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169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169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169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169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169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169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169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169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169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169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169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169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169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169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169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169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169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169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169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169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169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169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169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169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169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169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169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169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169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169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169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169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169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169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169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169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169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169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169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169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169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169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169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169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169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169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169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169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169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169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169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169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169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169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169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169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169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169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25">
      <c r="A1001" s="169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75" customHeight="1" x14ac:dyDescent="0.25">
      <c r="A1002" s="169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75" customHeight="1" x14ac:dyDescent="0.25">
      <c r="A1003" s="169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.75" customHeight="1" x14ac:dyDescent="0.25">
      <c r="A1004" s="169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5.75" customHeight="1" x14ac:dyDescent="0.25">
      <c r="A1005" s="169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5.75" customHeight="1" x14ac:dyDescent="0.25">
      <c r="A1006" s="169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5.75" customHeight="1" x14ac:dyDescent="0.25">
      <c r="A1007" s="169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5.75" customHeight="1" x14ac:dyDescent="0.25">
      <c r="A1008" s="169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5.75" customHeight="1" x14ac:dyDescent="0.25">
      <c r="A1009" s="169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5.75" customHeight="1" x14ac:dyDescent="0.25">
      <c r="A1010" s="169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5.75" customHeight="1" x14ac:dyDescent="0.25">
      <c r="A1011" s="169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5.75" customHeight="1" x14ac:dyDescent="0.25">
      <c r="A1012" s="169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.75" customHeight="1" x14ac:dyDescent="0.25">
      <c r="A1013" s="169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5.75" customHeight="1" x14ac:dyDescent="0.25">
      <c r="A1014" s="169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5.75" customHeight="1" x14ac:dyDescent="0.25">
      <c r="A1015" s="169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5.75" customHeight="1" x14ac:dyDescent="0.25">
      <c r="A1016" s="169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5.75" customHeight="1" x14ac:dyDescent="0.25">
      <c r="A1017" s="169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5.75" customHeight="1" x14ac:dyDescent="0.25">
      <c r="A1018" s="169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5.75" customHeight="1" x14ac:dyDescent="0.25">
      <c r="A1019" s="169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5.75" customHeight="1" x14ac:dyDescent="0.25">
      <c r="A1020" s="169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5.75" customHeight="1" x14ac:dyDescent="0.25">
      <c r="A1021" s="169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15.75" customHeight="1" x14ac:dyDescent="0.25">
      <c r="A1022" s="169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15.75" customHeight="1" x14ac:dyDescent="0.25">
      <c r="A1023" s="169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</sheetData>
  <mergeCells count="14">
    <mergeCell ref="C72:I72"/>
    <mergeCell ref="C1:I1"/>
    <mergeCell ref="C2:I2"/>
    <mergeCell ref="C68:I68"/>
    <mergeCell ref="C69:I69"/>
    <mergeCell ref="C70:I70"/>
    <mergeCell ref="C81:I81"/>
    <mergeCell ref="N81:T81"/>
    <mergeCell ref="C74:I74"/>
    <mergeCell ref="C75:I75"/>
    <mergeCell ref="C77:I77"/>
    <mergeCell ref="C78:I78"/>
    <mergeCell ref="C79:I79"/>
    <mergeCell ref="C80:I80"/>
  </mergeCells>
  <conditionalFormatting sqref="C1">
    <cfRule type="expression" dxfId="86" priority="1">
      <formula>_xludf.isformula()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21"/>
  <sheetViews>
    <sheetView showGridLines="0" zoomScale="70" zoomScaleNormal="70" workbookViewId="0">
      <selection activeCell="C5" sqref="C5:I66"/>
    </sheetView>
  </sheetViews>
  <sheetFormatPr defaultColWidth="14.42578125" defaultRowHeight="15" customHeight="1" x14ac:dyDescent="0.25"/>
  <cols>
    <col min="1" max="1" width="15.85546875" customWidth="1"/>
    <col min="2" max="2" width="4.7109375" customWidth="1"/>
    <col min="3" max="3" width="36.28515625" customWidth="1"/>
    <col min="4" max="4" width="10.28515625" hidden="1" customWidth="1"/>
    <col min="5" max="5" width="8.28515625" bestFit="1" customWidth="1"/>
    <col min="6" max="6" width="18.28515625" customWidth="1"/>
    <col min="7" max="7" width="29.28515625" customWidth="1"/>
    <col min="8" max="8" width="16.28515625" customWidth="1"/>
    <col min="9" max="9" width="12.5703125" customWidth="1"/>
    <col min="10" max="10" width="9.140625" customWidth="1"/>
    <col min="11" max="11" width="11.5703125" customWidth="1"/>
    <col min="12" max="12" width="9.140625" customWidth="1"/>
    <col min="13" max="13" width="16.42578125" customWidth="1"/>
    <col min="14" max="26" width="9.140625" customWidth="1"/>
  </cols>
  <sheetData>
    <row r="1" spans="1:26" ht="21" x14ac:dyDescent="0.35">
      <c r="A1" s="169"/>
      <c r="B1" s="6"/>
      <c r="C1" s="1967" t="str">
        <f>IF(NAME="","Insert Project Name on Prelim Page",NAME)</f>
        <v>Town Center</v>
      </c>
      <c r="D1" s="1956"/>
      <c r="E1" s="1956"/>
      <c r="F1" s="1956"/>
      <c r="G1" s="1956"/>
      <c r="H1" s="1956"/>
      <c r="I1" s="1956"/>
      <c r="J1" s="1"/>
      <c r="K1" s="1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169"/>
      <c r="B2" s="6"/>
      <c r="C2" s="1968" t="str">
        <f>CITY</f>
        <v>Santa Maria, CA 93454</v>
      </c>
      <c r="D2" s="1969"/>
      <c r="E2" s="1969"/>
      <c r="F2" s="1969"/>
      <c r="G2" s="1969"/>
      <c r="H2" s="1969"/>
      <c r="I2" s="1969"/>
      <c r="J2" s="2"/>
      <c r="K2" s="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169"/>
      <c r="B3" s="6"/>
      <c r="C3" s="23" t="s">
        <v>635</v>
      </c>
      <c r="D3" s="27"/>
      <c r="E3" s="27"/>
      <c r="F3" s="6"/>
      <c r="G3" s="6"/>
      <c r="H3" s="135"/>
      <c r="I3" s="280">
        <f ca="1">TRUNC(NOW())</f>
        <v>46271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.25" customHeight="1" x14ac:dyDescent="0.25">
      <c r="A4" s="169"/>
      <c r="B4" s="6"/>
      <c r="C4" s="13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169"/>
      <c r="B5" s="6"/>
      <c r="C5" s="2031" t="s">
        <v>718</v>
      </c>
      <c r="D5" s="281"/>
      <c r="E5" s="281"/>
      <c r="F5" s="282" t="s">
        <v>233</v>
      </c>
      <c r="G5" s="282" t="s">
        <v>79</v>
      </c>
      <c r="H5" s="282" t="s">
        <v>90</v>
      </c>
      <c r="I5" s="282" t="s">
        <v>55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169"/>
      <c r="B6" s="6"/>
      <c r="C6" s="2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283"/>
      <c r="B7" s="284"/>
      <c r="C7" s="23" t="s">
        <v>117</v>
      </c>
      <c r="D7" s="217" t="s">
        <v>208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283"/>
      <c r="B8" s="284"/>
      <c r="C8" s="981" t="s">
        <v>234</v>
      </c>
      <c r="D8" s="982">
        <v>-1</v>
      </c>
      <c r="E8" s="983"/>
      <c r="F8" s="984">
        <f>SUMIFS('Monthly DCF'!H39:DX39, 'Monthly DCF'!H3:DX3, "&gt;"&amp;'Monthly DCF'!$D$4)</f>
        <v>2995833.6232860666</v>
      </c>
      <c r="G8" s="985">
        <f>IFERROR(F8/UNITS,0)</f>
        <v>36534.556381537397</v>
      </c>
      <c r="H8" s="986">
        <f>IFERROR(F8/NRSF,0)</f>
        <v>57.736774360327672</v>
      </c>
      <c r="I8" s="987">
        <f>IFERROR(F8/$F$14,0)</f>
        <v>0.99555938925483278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283"/>
      <c r="B9" s="284"/>
      <c r="C9" s="1039" t="s">
        <v>599</v>
      </c>
      <c r="D9" s="903"/>
      <c r="E9" s="903"/>
      <c r="F9" s="988">
        <f>SUMIFS('Monthly DCF'!H45:DX45, 'Monthly DCF'!H3:DX3, "&gt;"&amp;'Monthly DCF'!$D$4)</f>
        <v>140821.75164344409</v>
      </c>
      <c r="G9" s="1040">
        <f>IFERROR(F9/UNITS,0)</f>
        <v>1717.3384346761475</v>
      </c>
      <c r="H9" s="1041">
        <f>IFERROR(F9/NRSF,0)</f>
        <v>2.7139670362419386</v>
      </c>
      <c r="I9" s="1042">
        <f>IFERROR(F9/$F$14,0)</f>
        <v>4.679713051159512E-2</v>
      </c>
      <c r="J9" s="6"/>
      <c r="K9" s="60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5">
      <c r="A10" s="283"/>
      <c r="B10" s="284"/>
      <c r="C10" s="1043" t="str">
        <f>'Monthly DCF'!B49</f>
        <v>Less: Vacancy</v>
      </c>
      <c r="D10" s="215">
        <v>-2</v>
      </c>
      <c r="E10" s="1045">
        <f>'Monthly DCF'!G49</f>
        <v>0.05</v>
      </c>
      <c r="F10" s="292">
        <f>-SUMIFS('Monthly DCF'!H49:DX49, 'Monthly DCF'!H3:DX3, "&gt;"&amp;'Monthly DCF'!$D$4)</f>
        <v>149791.68116430339</v>
      </c>
      <c r="G10" s="293">
        <f t="shared" ref="G10:G14" si="0">IFERROR(F10/UNITS,0)</f>
        <v>1826.7278190768707</v>
      </c>
      <c r="H10" s="294">
        <f t="shared" ref="H10:H14" si="1">IFERROR(F10/NRSF,0)</f>
        <v>2.8868387180163846</v>
      </c>
      <c r="I10" s="295">
        <f t="shared" ref="I10:I31" si="2">IFERROR(F10/$F$14,0)</f>
        <v>4.9777969462741656E-2</v>
      </c>
      <c r="J10" s="6"/>
      <c r="K10" s="17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283"/>
      <c r="B11" s="284"/>
      <c r="C11" s="1044" t="str">
        <f>'Monthly DCF'!B50</f>
        <v>Less: Commercial Vacancy</v>
      </c>
      <c r="D11" s="286">
        <v>-3</v>
      </c>
      <c r="E11" s="1046">
        <f>'Monthly DCF'!G50</f>
        <v>0.05</v>
      </c>
      <c r="F11" s="297">
        <f>-SUMIFS('Monthly DCF'!H50:DX50, 'Monthly DCF'!H3:DX3, "&gt;"&amp;'Monthly DCF'!$D$4)</f>
        <v>7041.0875821722066</v>
      </c>
      <c r="G11" s="298">
        <f t="shared" si="0"/>
        <v>85.866921733807402</v>
      </c>
      <c r="H11" s="299">
        <f t="shared" si="1"/>
        <v>0.13569835181209697</v>
      </c>
      <c r="I11" s="1047">
        <f t="shared" si="2"/>
        <v>2.3398565255797568E-3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5">
      <c r="A12" s="283"/>
      <c r="B12" s="301"/>
      <c r="C12" s="16" t="s">
        <v>118</v>
      </c>
      <c r="D12" s="215"/>
      <c r="E12" s="302"/>
      <c r="F12" s="303">
        <f>F8+F9-F10-F11</f>
        <v>2979822.6061830348</v>
      </c>
      <c r="G12" s="304">
        <f t="shared" si="0"/>
        <v>36339.300075402862</v>
      </c>
      <c r="H12" s="305">
        <f t="shared" si="1"/>
        <v>57.428204326741124</v>
      </c>
      <c r="I12" s="306">
        <f t="shared" si="2"/>
        <v>0.99023869377810636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283"/>
      <c r="B13" s="301"/>
      <c r="C13" s="285" t="s">
        <v>71</v>
      </c>
      <c r="D13" s="286">
        <v>-4</v>
      </c>
      <c r="E13" s="296"/>
      <c r="F13" s="307">
        <f>SUMIFS('Monthly DCF'!H43:DX43, 'Monthly DCF'!H3:DX3, "&gt;"&amp;'Monthly DCF'!$D$4)</f>
        <v>29373.68649461339</v>
      </c>
      <c r="G13" s="288">
        <f t="shared" si="0"/>
        <v>358.2156889586999</v>
      </c>
      <c r="H13" s="289">
        <f t="shared" si="1"/>
        <v>0.56610016527228058</v>
      </c>
      <c r="I13" s="290">
        <f t="shared" si="2"/>
        <v>9.7613062218935686E-3</v>
      </c>
      <c r="J13" s="6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7.25" customHeight="1" x14ac:dyDescent="0.25">
      <c r="A14" s="283"/>
      <c r="B14" s="301"/>
      <c r="C14" s="16" t="s">
        <v>119</v>
      </c>
      <c r="D14" s="215"/>
      <c r="E14" s="302"/>
      <c r="F14" s="303">
        <f>F12+F13</f>
        <v>3009196.2926776484</v>
      </c>
      <c r="G14" s="304">
        <f t="shared" si="0"/>
        <v>36697.515764361568</v>
      </c>
      <c r="H14" s="305">
        <f t="shared" si="1"/>
        <v>57.994304492013406</v>
      </c>
      <c r="I14" s="306">
        <f t="shared" si="2"/>
        <v>1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5">
      <c r="A15" s="169"/>
      <c r="B15" s="284"/>
      <c r="C15" s="120"/>
      <c r="D15" s="215"/>
      <c r="E15" s="291"/>
      <c r="F15" s="308"/>
      <c r="G15" s="309"/>
      <c r="H15" s="310"/>
      <c r="I15" s="19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s="311"/>
      <c r="B16" s="284"/>
      <c r="C16" s="23" t="s">
        <v>236</v>
      </c>
      <c r="D16" s="215">
        <v>-5</v>
      </c>
      <c r="E16" s="291"/>
      <c r="F16" s="308"/>
      <c r="G16" s="309"/>
      <c r="H16" s="152"/>
      <c r="I16" s="19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5">
      <c r="A17" s="169"/>
      <c r="B17" s="284"/>
      <c r="C17" s="120" t="str">
        <f>Summary!C50</f>
        <v>Repairs and Maintenance</v>
      </c>
      <c r="D17" s="215"/>
      <c r="E17" s="291"/>
      <c r="F17" s="292">
        <f>-SUMIFS('Monthly DCF'!H56:DX56, 'Monthly DCF'!$H$3:$DX$3, "&gt;"&amp;'Monthly DCF'!$D$4)</f>
        <v>90010.920289168193</v>
      </c>
      <c r="G17" s="293">
        <f t="shared" ref="G17:G29" si="3">IFERROR(F17/UNITS,0)</f>
        <v>1097.6941498679048</v>
      </c>
      <c r="H17" s="312">
        <f t="shared" ref="H17:H29" si="4">IFERROR(F17/NRSF,0)</f>
        <v>1.7347225674704625</v>
      </c>
      <c r="I17" s="295">
        <f t="shared" si="2"/>
        <v>2.9911947089724254E-2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5">
      <c r="A18" s="169"/>
      <c r="B18" s="284"/>
      <c r="C18" s="120" t="str">
        <f>Summary!C51</f>
        <v>Security</v>
      </c>
      <c r="D18" s="215"/>
      <c r="E18" s="291"/>
      <c r="F18" s="292">
        <f>-SUMIFS('Monthly DCF'!H57:DX57, 'Monthly DCF'!$H$3:$DX$3, "&gt;"&amp;'Monthly DCF'!$D$4)</f>
        <v>77852.804589307852</v>
      </c>
      <c r="G18" s="293">
        <f t="shared" si="3"/>
        <v>949.42444621107143</v>
      </c>
      <c r="H18" s="312">
        <f t="shared" si="4"/>
        <v>1.5004070242596159</v>
      </c>
      <c r="I18" s="295">
        <f t="shared" si="2"/>
        <v>2.5871627177910927E-2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5">
      <c r="A19" s="169"/>
      <c r="B19" s="284"/>
      <c r="C19" s="120" t="str">
        <f>Summary!C52</f>
        <v>Landscaping</v>
      </c>
      <c r="D19" s="215"/>
      <c r="E19" s="291"/>
      <c r="F19" s="292">
        <f>-SUMIFS('Monthly DCF'!H58:DX58, 'Monthly DCF'!$H$3:$DX$3, "&gt;"&amp;'Monthly DCF'!$D$4)</f>
        <v>90010.920289168193</v>
      </c>
      <c r="G19" s="293">
        <f t="shared" si="3"/>
        <v>1097.6941498679048</v>
      </c>
      <c r="H19" s="312">
        <f t="shared" si="4"/>
        <v>1.7347225674704625</v>
      </c>
      <c r="I19" s="295">
        <f t="shared" si="2"/>
        <v>2.9911947089724254E-2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5">
      <c r="A20" s="169"/>
      <c r="B20" s="284"/>
      <c r="C20" s="120" t="str">
        <f>Summary!C53</f>
        <v>Administrative</v>
      </c>
      <c r="D20" s="215"/>
      <c r="E20" s="291"/>
      <c r="F20" s="292">
        <f>-SUMIFS('Monthly DCF'!H59:DX59, 'Monthly DCF'!$H$3:$DX$3, "&gt;"&amp;'Monthly DCF'!$D$4)</f>
        <v>24316.231399720735</v>
      </c>
      <c r="G20" s="293">
        <f t="shared" si="3"/>
        <v>296.53940731366748</v>
      </c>
      <c r="H20" s="312">
        <f t="shared" si="4"/>
        <v>0.46863108642169449</v>
      </c>
      <c r="I20" s="295">
        <f t="shared" si="2"/>
        <v>8.0806398236266674E-3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5">
      <c r="A21" s="169"/>
      <c r="B21" s="284"/>
      <c r="C21" s="120" t="str">
        <f>Summary!C54</f>
        <v>Advertising/Marketing</v>
      </c>
      <c r="D21" s="215"/>
      <c r="E21" s="291"/>
      <c r="F21" s="292">
        <f>-SUMIFS('Monthly DCF'!H60:DX60, 'Monthly DCF'!$H$3:$DX$3, "&gt;"&amp;'Monthly DCF'!$D$4)</f>
        <v>41378.457489726723</v>
      </c>
      <c r="G21" s="293">
        <f t="shared" si="3"/>
        <v>504.61533524056978</v>
      </c>
      <c r="H21" s="312">
        <f t="shared" si="4"/>
        <v>0.79746039462707363</v>
      </c>
      <c r="I21" s="295">
        <f t="shared" si="2"/>
        <v>1.3750667442470917E-2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169"/>
      <c r="B22" s="284"/>
      <c r="C22" s="120" t="str">
        <f>Summary!C55</f>
        <v>Payroll</v>
      </c>
      <c r="D22" s="215"/>
      <c r="E22" s="291"/>
      <c r="F22" s="292">
        <f>-SUMIFS('Monthly DCF'!H61:DX61, 'Monthly DCF'!$H$3:$DX$3, "&gt;"&amp;'Monthly DCF'!$D$4)</f>
        <v>143547.49347875526</v>
      </c>
      <c r="G22" s="293">
        <f t="shared" si="3"/>
        <v>1750.5791887653081</v>
      </c>
      <c r="H22" s="312">
        <f t="shared" si="4"/>
        <v>2.766498505308383</v>
      </c>
      <c r="I22" s="295">
        <f t="shared" si="2"/>
        <v>4.7702934444008499E-2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hidden="1" customHeight="1" x14ac:dyDescent="0.25">
      <c r="A23" s="169"/>
      <c r="B23" s="284"/>
      <c r="C23" s="120" t="str">
        <f>Summary!C56</f>
        <v>Utilities</v>
      </c>
      <c r="D23" s="215"/>
      <c r="E23" s="291"/>
      <c r="F23" s="292">
        <f>-SUMIFS('Monthly DCF'!H62:DX62, 'Monthly DCF'!$H$3:$DX$3, "&gt;"&amp;'Monthly DCF'!$D$4)</f>
        <v>102169.03598902853</v>
      </c>
      <c r="G23" s="293">
        <f t="shared" si="3"/>
        <v>1245.9638535247382</v>
      </c>
      <c r="H23" s="312">
        <f t="shared" si="4"/>
        <v>1.9690381106813093</v>
      </c>
      <c r="I23" s="295">
        <f t="shared" si="2"/>
        <v>3.3952267001537577E-2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169"/>
      <c r="B24" s="284"/>
      <c r="C24" s="120" t="str">
        <f>Summary!C57</f>
        <v>Property Insurance</v>
      </c>
      <c r="D24" s="215"/>
      <c r="E24" s="291"/>
      <c r="F24" s="292">
        <f>-SUMIFS('Monthly DCF'!H63:DX63, 'Monthly DCF'!$H$3:$DX$3, "&gt;"&amp;'Monthly DCF'!$D$4)</f>
        <v>30395.289249650905</v>
      </c>
      <c r="G24" s="293">
        <f t="shared" si="3"/>
        <v>370.67425914208422</v>
      </c>
      <c r="H24" s="312">
        <f t="shared" si="4"/>
        <v>0.58578885802711778</v>
      </c>
      <c r="I24" s="295">
        <f t="shared" si="2"/>
        <v>1.0100799779533331E-2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169"/>
      <c r="B25" s="284"/>
      <c r="C25" s="120" t="str">
        <f>Summary!C58</f>
        <v>Property Management</v>
      </c>
      <c r="D25" s="215">
        <v>-6</v>
      </c>
      <c r="E25" s="291"/>
      <c r="F25" s="292">
        <f>-SUMIFS('Monthly DCF'!H64:DX64, 'Monthly DCF'!$H$3:$DX$3, "&gt;"&amp;'Monthly DCF'!$D$4)</f>
        <v>126163.33639321323</v>
      </c>
      <c r="G25" s="293">
        <f t="shared" si="3"/>
        <v>1538.5772730879662</v>
      </c>
      <c r="H25" s="312">
        <f t="shared" si="4"/>
        <v>2.4314648281072144</v>
      </c>
      <c r="I25" s="295">
        <f t="shared" si="2"/>
        <v>4.1925924440426032E-2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169"/>
      <c r="B26" s="284"/>
      <c r="C26" s="120" t="str">
        <f>Summary!C59</f>
        <v>Real Estate Taxes</v>
      </c>
      <c r="D26" s="215"/>
      <c r="E26" s="291"/>
      <c r="F26" s="974">
        <f>-SUMIFS('Monthly DCF'!H65:DX65, 'Monthly DCF'!$H$3:$DX$3, "&gt;"&amp;'Monthly DCF'!$D$4)</f>
        <v>309011.18192333292</v>
      </c>
      <c r="G26" s="293">
        <f t="shared" si="3"/>
        <v>3768.4290478455232</v>
      </c>
      <c r="H26" s="312">
        <f t="shared" si="4"/>
        <v>5.9553737386643935</v>
      </c>
      <c r="I26" s="295">
        <f t="shared" si="2"/>
        <v>0.10268894145432036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.5" customHeight="1" x14ac:dyDescent="0.25">
      <c r="A27" s="169"/>
      <c r="B27" s="6"/>
      <c r="C27" s="120" t="str">
        <f>Summary!C60</f>
        <v>Replacement Reserves</v>
      </c>
      <c r="D27" s="286">
        <v>-7</v>
      </c>
      <c r="E27" s="296"/>
      <c r="F27" s="975">
        <f>-SUMIFS('Monthly DCF'!H66:DX66, 'Monthly DCF'!$H$3:$DX$3, "&gt;"&amp;'Monthly DCF'!$D$4)</f>
        <v>48871.509730911021</v>
      </c>
      <c r="G27" s="298">
        <f t="shared" si="3"/>
        <v>595.99402110867095</v>
      </c>
      <c r="H27" s="313">
        <f t="shared" si="4"/>
        <v>0.9418691705873582</v>
      </c>
      <c r="I27" s="300">
        <f t="shared" si="2"/>
        <v>1.6240718443602788E-2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.5" hidden="1" customHeight="1" x14ac:dyDescent="0.25">
      <c r="A28" s="169"/>
      <c r="B28" s="6"/>
      <c r="C28" s="6"/>
      <c r="D28" s="215"/>
      <c r="E28" s="291"/>
      <c r="F28" s="314"/>
      <c r="G28" s="314"/>
      <c r="H28" s="314"/>
      <c r="I28" s="314">
        <f t="shared" si="2"/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.5" customHeight="1" x14ac:dyDescent="0.25">
      <c r="A29" s="169"/>
      <c r="B29" s="6"/>
      <c r="C29" s="16" t="s">
        <v>123</v>
      </c>
      <c r="D29" s="215"/>
      <c r="E29" s="291"/>
      <c r="F29" s="315">
        <f>SUM(F17:F27)</f>
        <v>1083727.1808219836</v>
      </c>
      <c r="G29" s="316">
        <f t="shared" si="3"/>
        <v>13216.18513197541</v>
      </c>
      <c r="H29" s="317">
        <f t="shared" si="4"/>
        <v>20.885976851625085</v>
      </c>
      <c r="I29" s="318">
        <f t="shared" si="2"/>
        <v>0.36013841418688564</v>
      </c>
      <c r="J29" s="196"/>
      <c r="K29" s="30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169"/>
      <c r="B30" s="6"/>
      <c r="C30" s="6"/>
      <c r="D30" s="286"/>
      <c r="E30" s="291"/>
      <c r="F30" s="308"/>
      <c r="G30" s="152"/>
      <c r="H30" s="152"/>
      <c r="I30" s="19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169"/>
      <c r="B31" s="6"/>
      <c r="C31" s="319" t="s">
        <v>80</v>
      </c>
      <c r="D31" s="320"/>
      <c r="E31" s="321"/>
      <c r="F31" s="322">
        <f>F14-F29</f>
        <v>1925469.1118556648</v>
      </c>
      <c r="G31" s="323">
        <f>IFERROR(F31/UNITS,0)</f>
        <v>23481.330632386154</v>
      </c>
      <c r="H31" s="324">
        <f>IFERROR(F31/NRSF,0)</f>
        <v>37.108327640388325</v>
      </c>
      <c r="I31" s="325">
        <f t="shared" si="2"/>
        <v>0.63986158581311436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169"/>
      <c r="B32" s="6"/>
      <c r="C32" s="23"/>
      <c r="D32" s="215"/>
      <c r="E32" s="291"/>
      <c r="F32" s="308"/>
      <c r="G32" s="152"/>
      <c r="H32" s="152"/>
      <c r="I32" s="19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169"/>
      <c r="B33" s="6"/>
      <c r="C33" s="23" t="s">
        <v>237</v>
      </c>
      <c r="D33" s="215">
        <v>-8</v>
      </c>
      <c r="E33" s="278">
        <f>CAP</f>
        <v>5.5E-2</v>
      </c>
      <c r="F33" s="573">
        <f>F31/CAP</f>
        <v>35008529.306466632</v>
      </c>
      <c r="G33" s="573">
        <f>IFERROR(F33/UNITS,0)</f>
        <v>426933.28422520281</v>
      </c>
      <c r="H33" s="574">
        <f>F33/NRSF</f>
        <v>674.69686618887852</v>
      </c>
      <c r="I33" s="19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169"/>
      <c r="B34" s="6"/>
      <c r="C34" s="7" t="s">
        <v>83</v>
      </c>
      <c r="D34" s="215"/>
      <c r="E34" s="328"/>
      <c r="F34" s="575">
        <f>ROUND(F33,-4)</f>
        <v>35010000</v>
      </c>
      <c r="G34" s="576">
        <f>IFERROR(F34/UNITS,0)</f>
        <v>426951.21951219509</v>
      </c>
      <c r="H34" s="577">
        <f>F34/NRSF</f>
        <v>674.72520991932788</v>
      </c>
      <c r="I34" s="19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169"/>
      <c r="B35" s="6"/>
      <c r="C35" s="7" t="s">
        <v>248</v>
      </c>
      <c r="D35" s="330"/>
      <c r="E35" s="331"/>
      <c r="F35" s="152">
        <f>COST</f>
        <v>23927400.787674919</v>
      </c>
      <c r="G35" s="326">
        <f>F35/UNITS</f>
        <v>291797.57058140147</v>
      </c>
      <c r="H35" s="327">
        <f>F35/NRSF</f>
        <v>461.13740414989576</v>
      </c>
      <c r="I35" s="6"/>
      <c r="J35" s="6"/>
      <c r="K35" s="6"/>
      <c r="L35" s="6"/>
      <c r="M35" s="33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169"/>
      <c r="B36" s="6"/>
      <c r="C36" s="569"/>
      <c r="D36" s="215"/>
      <c r="E36" s="331"/>
      <c r="F36" s="152"/>
      <c r="G36" s="326"/>
      <c r="H36" s="327"/>
      <c r="I36" s="6"/>
      <c r="J36" s="6"/>
      <c r="K36" s="6"/>
      <c r="L36" s="6"/>
      <c r="M36" s="19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169"/>
      <c r="B37" s="6"/>
      <c r="C37" s="570" t="s">
        <v>509</v>
      </c>
      <c r="D37" s="215"/>
      <c r="E37" s="331"/>
      <c r="F37" s="152"/>
      <c r="G37" s="326"/>
      <c r="H37" s="327"/>
      <c r="I37" s="6"/>
      <c r="J37" s="6"/>
      <c r="K37" s="6"/>
      <c r="L37" s="6"/>
      <c r="M37" s="19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169"/>
      <c r="B38" s="6"/>
      <c r="C38" s="563" t="s">
        <v>121</v>
      </c>
      <c r="D38" s="215"/>
      <c r="E38" s="328"/>
      <c r="F38" s="303">
        <f>LOAN</f>
        <v>15552810.511988698</v>
      </c>
      <c r="G38" s="329">
        <f>IFERROR(F38/UNITS,0)</f>
        <v>189668.42087791095</v>
      </c>
      <c r="H38" s="333">
        <f>IFERROR(F38/NRSF,0)</f>
        <v>299.73931269743224</v>
      </c>
      <c r="I38" s="6"/>
      <c r="J38" s="6"/>
      <c r="K38" s="6"/>
      <c r="L38" s="6"/>
      <c r="M38" s="3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169"/>
      <c r="B39" s="6"/>
      <c r="C39" s="6" t="s">
        <v>47</v>
      </c>
      <c r="D39" s="217"/>
      <c r="E39" s="217"/>
      <c r="F39" s="326">
        <f>ANNPMT</f>
        <v>1244224.8409590959</v>
      </c>
      <c r="G39" s="326">
        <f>IFERROR(F39/UNITS,0)</f>
        <v>15173.473670232876</v>
      </c>
      <c r="H39" s="334">
        <f>IFERROR(F39/NRSF,0)</f>
        <v>23.979145015794579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169"/>
      <c r="B40" s="6"/>
      <c r="C40" s="6" t="s">
        <v>238</v>
      </c>
      <c r="D40" s="217"/>
      <c r="E40" s="217"/>
      <c r="F40" s="326">
        <f>F39/12</f>
        <v>103685.40341325798</v>
      </c>
      <c r="G40" s="326">
        <f>IFERROR(F40/UNITS,0)</f>
        <v>1264.456139186073</v>
      </c>
      <c r="H40" s="334">
        <f>IFERROR(F40/NRSF,0)</f>
        <v>1.9982620846495482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169"/>
      <c r="B41" s="6"/>
      <c r="C41" s="563" t="s">
        <v>15</v>
      </c>
      <c r="D41" s="217"/>
      <c r="E41" s="217"/>
      <c r="F41" s="567">
        <f>RATE</f>
        <v>0.08</v>
      </c>
      <c r="G41" s="326"/>
      <c r="H41" s="33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169"/>
      <c r="B42" s="6"/>
      <c r="C42" s="563" t="s">
        <v>103</v>
      </c>
      <c r="D42" s="566"/>
      <c r="F42" s="571" t="s">
        <v>510</v>
      </c>
      <c r="G42" s="326"/>
      <c r="H42" s="33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169"/>
      <c r="B43" s="6"/>
      <c r="C43" s="6"/>
      <c r="D43" s="6"/>
      <c r="E43" s="6"/>
      <c r="F43" s="139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169"/>
      <c r="B44" s="6"/>
      <c r="C44" s="3" t="s">
        <v>239</v>
      </c>
      <c r="D44" s="18"/>
      <c r="E44" s="18"/>
      <c r="F44" s="18"/>
      <c r="G44" s="18"/>
      <c r="H44" s="18"/>
      <c r="I44" s="44"/>
      <c r="J44" s="6"/>
      <c r="K44" s="6"/>
      <c r="L44" s="139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169"/>
      <c r="B45" s="6"/>
      <c r="C45" s="14" t="s">
        <v>24</v>
      </c>
      <c r="D45" s="85"/>
      <c r="E45" s="85"/>
      <c r="F45" s="335">
        <f>F38/F33</f>
        <v>0.44425775147074936</v>
      </c>
      <c r="G45" s="5" t="s">
        <v>240</v>
      </c>
      <c r="H45" s="85"/>
      <c r="I45" s="336">
        <f>IFERROR(I46/12,0)</f>
        <v>103685.40341325798</v>
      </c>
      <c r="J45" s="6"/>
      <c r="K45" s="6"/>
      <c r="L45" s="6"/>
      <c r="M45" s="32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 x14ac:dyDescent="0.25">
      <c r="A46" s="169"/>
      <c r="B46" s="6"/>
      <c r="C46" s="4" t="s">
        <v>28</v>
      </c>
      <c r="D46" s="6"/>
      <c r="E46" s="6"/>
      <c r="F46" s="337">
        <f>IFERROR(F38/COST,0)</f>
        <v>0.65</v>
      </c>
      <c r="G46" s="8" t="s">
        <v>241</v>
      </c>
      <c r="H46" s="6"/>
      <c r="I46" s="338">
        <f>IFERROR(LOAN*K,0)</f>
        <v>1244224.8409590959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25">
      <c r="A47" s="169"/>
      <c r="B47" s="6"/>
      <c r="C47" s="4" t="s">
        <v>32</v>
      </c>
      <c r="D47" s="6"/>
      <c r="E47" s="6"/>
      <c r="F47" s="339">
        <f>F31/F39</f>
        <v>1.5475250521211583</v>
      </c>
      <c r="G47" s="8" t="s">
        <v>242</v>
      </c>
      <c r="H47" s="6"/>
      <c r="I47" s="340">
        <f>I48/(F8+F13)</f>
        <v>0.76951817954910673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 x14ac:dyDescent="0.25">
      <c r="A48" s="169"/>
      <c r="B48" s="6"/>
      <c r="C48" s="4" t="s">
        <v>243</v>
      </c>
      <c r="D48" s="6"/>
      <c r="E48" s="6"/>
      <c r="F48" s="341">
        <f>F31/F38</f>
        <v>0.12380200416969267</v>
      </c>
      <c r="G48" s="8" t="s">
        <v>244</v>
      </c>
      <c r="H48" s="6"/>
      <c r="I48" s="338">
        <f>F29+F39</f>
        <v>2327952.0217810795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25">
      <c r="A49" s="169"/>
      <c r="B49" s="6"/>
      <c r="C49" s="572" t="s">
        <v>515</v>
      </c>
      <c r="D49" s="6"/>
      <c r="E49" s="6"/>
      <c r="F49" s="555">
        <f>(F33/F35)^(1/3)-1</f>
        <v>0.13525332045084437</v>
      </c>
      <c r="G49" s="581" t="s">
        <v>246</v>
      </c>
      <c r="H49" s="6"/>
      <c r="I49" s="341">
        <f>F31/COST</f>
        <v>8.0471302710300244E-2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25">
      <c r="A50" s="169"/>
      <c r="B50" s="6"/>
      <c r="C50" s="19" t="s">
        <v>245</v>
      </c>
      <c r="D50" s="557">
        <v>-9</v>
      </c>
      <c r="E50" s="78"/>
      <c r="F50" s="342">
        <f>IFERROR(F33/F8,0)</f>
        <v>11.685738832207416</v>
      </c>
      <c r="G50" s="648" t="s">
        <v>503</v>
      </c>
      <c r="H50" s="554"/>
      <c r="I50" s="647">
        <f>F31/(COST-Summary!L63)</f>
        <v>9.2183279835939713E-2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25">
      <c r="A51" s="169"/>
      <c r="B51" s="6"/>
      <c r="C51" s="578"/>
      <c r="D51" s="6"/>
      <c r="E51" s="579"/>
      <c r="F51" s="580"/>
      <c r="G51" s="578"/>
      <c r="H51" s="579"/>
      <c r="I51" s="55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 x14ac:dyDescent="0.25">
      <c r="A52" s="169"/>
      <c r="B52" s="6"/>
      <c r="C52" s="564" t="s">
        <v>507</v>
      </c>
      <c r="D52" s="6"/>
      <c r="E52" s="579"/>
      <c r="F52" s="580"/>
      <c r="G52" s="578"/>
      <c r="H52" s="579"/>
      <c r="I52" s="55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customHeight="1" x14ac:dyDescent="0.25">
      <c r="A53" s="169"/>
      <c r="B53" s="6"/>
      <c r="C53" s="563" t="s">
        <v>85</v>
      </c>
      <c r="D53" s="215">
        <v>-10</v>
      </c>
      <c r="E53" s="579"/>
      <c r="F53" s="303">
        <f>(F31/(F58*1.25))</f>
        <v>21203005.769681226</v>
      </c>
      <c r="G53" s="329">
        <f>IFERROR(F53/UNITS,0)</f>
        <v>258573.24109367348</v>
      </c>
      <c r="H53" s="333">
        <f>IFERROR(F53/NRSF,0)</f>
        <v>408.63189142727464</v>
      </c>
      <c r="I53" s="55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customHeight="1" x14ac:dyDescent="0.25">
      <c r="A54" s="169"/>
      <c r="B54" s="6"/>
      <c r="C54" s="6" t="s">
        <v>47</v>
      </c>
      <c r="D54" s="215"/>
      <c r="E54" s="328"/>
      <c r="F54" s="326">
        <f>-PMT(F56,F57,F53)</f>
        <v>1540375.2894845319</v>
      </c>
      <c r="G54" s="326">
        <f>IFERROR(F54/UNITS,0)</f>
        <v>18785.064505908926</v>
      </c>
      <c r="H54" s="334">
        <f>IFERROR(F54/NRSF,0)</f>
        <v>29.686662112310657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25">
      <c r="A55" s="1048"/>
      <c r="B55" s="6"/>
      <c r="C55" s="6" t="s">
        <v>238</v>
      </c>
      <c r="D55" s="215"/>
      <c r="E55" s="217"/>
      <c r="F55" s="326">
        <f>F54/12</f>
        <v>128364.60745704432</v>
      </c>
      <c r="G55" s="326">
        <f>IFERROR(F55/UNITS,0)</f>
        <v>1565.4220421590771</v>
      </c>
      <c r="H55" s="334">
        <f>IFERROR(F55/NRSF,0)</f>
        <v>2.4738885093592216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customHeight="1" x14ac:dyDescent="0.25">
      <c r="A56" s="1325"/>
      <c r="B56" s="6"/>
      <c r="C56" s="563" t="s">
        <v>15</v>
      </c>
      <c r="D56" s="215">
        <v>-11</v>
      </c>
      <c r="E56" s="217"/>
      <c r="F56" s="567">
        <v>0.06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169"/>
      <c r="B57" s="6"/>
      <c r="C57" s="563" t="s">
        <v>103</v>
      </c>
      <c r="F57" s="568">
        <v>30</v>
      </c>
      <c r="J57" s="6"/>
      <c r="K57" s="6"/>
      <c r="L57" s="6"/>
      <c r="M57" s="332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169"/>
      <c r="B58" s="6"/>
      <c r="C58" s="23" t="s">
        <v>627</v>
      </c>
      <c r="F58" s="567">
        <f>PMT(F56,F57,-1)</f>
        <v>7.2648911490047222E-2</v>
      </c>
      <c r="J58" s="6"/>
      <c r="K58" s="6"/>
      <c r="L58" s="6"/>
      <c r="M58" s="332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169"/>
      <c r="B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169"/>
      <c r="B60" s="6"/>
      <c r="C60" s="565" t="s">
        <v>508</v>
      </c>
      <c r="D60" s="18"/>
      <c r="E60" s="18"/>
      <c r="F60" s="18"/>
      <c r="G60" s="18"/>
      <c r="H60" s="18"/>
      <c r="I60" s="44"/>
      <c r="J60" s="6"/>
      <c r="K60" s="6"/>
      <c r="L60" s="139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169"/>
      <c r="B61" s="6"/>
      <c r="C61" s="14" t="s">
        <v>24</v>
      </c>
      <c r="D61" s="85"/>
      <c r="E61" s="85"/>
      <c r="F61" s="335">
        <f>F53/F33</f>
        <v>0.6056525706655348</v>
      </c>
      <c r="G61" s="5" t="s">
        <v>240</v>
      </c>
      <c r="H61" s="85"/>
      <c r="I61" s="336">
        <f>IFERROR(I62/12,0)</f>
        <v>128364.60745704432</v>
      </c>
      <c r="J61" s="6"/>
      <c r="K61" s="6"/>
      <c r="L61" s="6"/>
      <c r="M61" s="32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customHeight="1" x14ac:dyDescent="0.25">
      <c r="A62" s="169"/>
      <c r="B62" s="6"/>
      <c r="C62" s="4" t="s">
        <v>28</v>
      </c>
      <c r="D62" s="6"/>
      <c r="E62" s="6"/>
      <c r="F62" s="337">
        <f>IFERROR(F53/COST,0)</f>
        <v>0.88613911547814095</v>
      </c>
      <c r="G62" s="8" t="s">
        <v>241</v>
      </c>
      <c r="H62" s="6"/>
      <c r="I62" s="338">
        <f>F54</f>
        <v>1540375.2894845319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customHeight="1" x14ac:dyDescent="0.25">
      <c r="A63" s="169"/>
      <c r="B63" s="6"/>
      <c r="C63" s="4" t="s">
        <v>32</v>
      </c>
      <c r="D63" s="6"/>
      <c r="E63" s="6"/>
      <c r="F63" s="339">
        <f>F31/F54</f>
        <v>1.25</v>
      </c>
      <c r="G63" s="8" t="s">
        <v>242</v>
      </c>
      <c r="H63" s="6"/>
      <c r="I63" s="340">
        <f>I64/(F8+F13)</f>
        <v>0.86741244536287876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customHeight="1" x14ac:dyDescent="0.25">
      <c r="A64" s="169"/>
      <c r="B64" s="6"/>
      <c r="C64" s="4" t="s">
        <v>243</v>
      </c>
      <c r="D64" s="6"/>
      <c r="E64" s="6"/>
      <c r="F64" s="341">
        <f>F31/F53</f>
        <v>9.081113936255901E-2</v>
      </c>
      <c r="G64" s="8" t="s">
        <v>244</v>
      </c>
      <c r="H64" s="6"/>
      <c r="I64" s="338">
        <f>F29+F54</f>
        <v>2624102.4703065157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 x14ac:dyDescent="0.25">
      <c r="A65" s="169"/>
      <c r="B65" s="6"/>
      <c r="C65" s="572" t="s">
        <v>515</v>
      </c>
      <c r="D65" s="6"/>
      <c r="E65" s="6"/>
      <c r="F65" s="555">
        <f>(F33/F35)^(1/3)-1</f>
        <v>0.13525332045084437</v>
      </c>
      <c r="G65" s="581" t="s">
        <v>246</v>
      </c>
      <c r="H65" s="6"/>
      <c r="I65" s="341">
        <f>F31/COST</f>
        <v>8.0471302710300244E-2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25">
      <c r="A66" s="169"/>
      <c r="B66" s="6"/>
      <c r="C66" s="19" t="s">
        <v>245</v>
      </c>
      <c r="D66" s="78"/>
      <c r="E66" s="78"/>
      <c r="F66" s="342">
        <f>IFERROR(F33/F8,0)</f>
        <v>11.685738832207416</v>
      </c>
      <c r="G66" s="648" t="s">
        <v>503</v>
      </c>
      <c r="H66" s="554"/>
      <c r="I66" s="647">
        <f>F31/(COST-Summary!L63)</f>
        <v>9.2183279835939713E-2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 x14ac:dyDescent="0.25">
      <c r="A67" s="169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hidden="1" customHeight="1" x14ac:dyDescent="0.25">
      <c r="A68" s="169"/>
      <c r="B68" s="6"/>
      <c r="C68" s="1966" t="s">
        <v>247</v>
      </c>
      <c r="D68" s="1947"/>
      <c r="E68" s="1947"/>
      <c r="F68" s="1947"/>
      <c r="G68" s="1947"/>
      <c r="H68" s="1947"/>
      <c r="I68" s="194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" hidden="1" customHeight="1" x14ac:dyDescent="0.25">
      <c r="A69" s="169"/>
      <c r="B69" s="215">
        <v>-1</v>
      </c>
      <c r="C69" s="1970"/>
      <c r="D69" s="1971"/>
      <c r="E69" s="1971"/>
      <c r="F69" s="1971"/>
      <c r="G69" s="1971"/>
      <c r="H69" s="1971"/>
      <c r="I69" s="197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hidden="1" customHeight="1" x14ac:dyDescent="0.25">
      <c r="A70" s="169"/>
      <c r="B70" s="583">
        <v>-2</v>
      </c>
      <c r="C70" s="1959"/>
      <c r="D70" s="1960"/>
      <c r="E70" s="1960"/>
      <c r="F70" s="1960"/>
      <c r="G70" s="1960"/>
      <c r="H70" s="1960"/>
      <c r="I70" s="196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hidden="1" customHeight="1" x14ac:dyDescent="0.25">
      <c r="A71" s="169"/>
      <c r="B71" s="583">
        <v>-3</v>
      </c>
      <c r="C71" s="585"/>
      <c r="D71" s="586"/>
      <c r="E71" s="586"/>
      <c r="F71" s="586"/>
      <c r="G71" s="586"/>
      <c r="H71" s="586"/>
      <c r="I71" s="58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hidden="1" customHeight="1" x14ac:dyDescent="0.25">
      <c r="A72" s="169"/>
      <c r="B72" s="583">
        <v>-4</v>
      </c>
      <c r="C72" s="1959"/>
      <c r="D72" s="1960"/>
      <c r="E72" s="1960"/>
      <c r="F72" s="1960"/>
      <c r="G72" s="1960"/>
      <c r="H72" s="1960"/>
      <c r="I72" s="196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" hidden="1" customHeight="1" x14ac:dyDescent="0.25">
      <c r="A73" s="169"/>
      <c r="B73" s="583">
        <v>-5</v>
      </c>
      <c r="C73" s="585"/>
      <c r="D73" s="586"/>
      <c r="E73" s="586"/>
      <c r="F73" s="586"/>
      <c r="G73" s="586"/>
      <c r="H73" s="586"/>
      <c r="I73" s="58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" hidden="1" customHeight="1" x14ac:dyDescent="0.25">
      <c r="A74" s="169"/>
      <c r="B74" s="583">
        <v>-6</v>
      </c>
      <c r="C74" s="1959"/>
      <c r="D74" s="1960"/>
      <c r="E74" s="1960"/>
      <c r="F74" s="1960"/>
      <c r="G74" s="1960"/>
      <c r="H74" s="1960"/>
      <c r="I74" s="196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idden="1" x14ac:dyDescent="0.25">
      <c r="A75" s="169"/>
      <c r="B75" s="583">
        <v>-7</v>
      </c>
      <c r="C75" s="1959"/>
      <c r="D75" s="1960"/>
      <c r="E75" s="1960"/>
      <c r="F75" s="1960"/>
      <c r="G75" s="1960"/>
      <c r="H75" s="1960"/>
      <c r="I75" s="196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idden="1" x14ac:dyDescent="0.25">
      <c r="A76" s="169"/>
      <c r="B76" s="583">
        <v>-8</v>
      </c>
      <c r="C76" s="584"/>
      <c r="D76" s="584"/>
      <c r="E76" s="584"/>
      <c r="F76" s="584"/>
      <c r="G76" s="584"/>
      <c r="H76" s="584"/>
      <c r="I76" s="58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hidden="1" customHeight="1" x14ac:dyDescent="0.25">
      <c r="A77" s="6"/>
      <c r="B77" s="587">
        <v>-9</v>
      </c>
      <c r="C77" s="1962"/>
      <c r="D77" s="1960"/>
      <c r="E77" s="1960"/>
      <c r="F77" s="1960"/>
      <c r="G77" s="1960"/>
      <c r="H77" s="1960"/>
      <c r="I77" s="1961"/>
      <c r="J77" s="6"/>
      <c r="K77" s="23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hidden="1" customHeight="1" x14ac:dyDescent="0.25">
      <c r="A78" s="6"/>
      <c r="B78" s="587">
        <v>-10</v>
      </c>
      <c r="C78" s="1963"/>
      <c r="D78" s="1937"/>
      <c r="E78" s="1937"/>
      <c r="F78" s="1937"/>
      <c r="G78" s="1937"/>
      <c r="H78" s="1937"/>
      <c r="I78" s="193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78" hidden="1" customHeight="1" x14ac:dyDescent="0.25">
      <c r="A79" s="6"/>
      <c r="B79" s="587">
        <v>-11</v>
      </c>
      <c r="C79" s="1963"/>
      <c r="D79" s="1937"/>
      <c r="E79" s="1937"/>
      <c r="F79" s="1937"/>
      <c r="G79" s="1937"/>
      <c r="H79" s="1937"/>
      <c r="I79" s="1937"/>
      <c r="J79" s="6"/>
      <c r="K79" s="6"/>
      <c r="L79" s="6"/>
      <c r="M79" s="6"/>
      <c r="N79" s="1958"/>
      <c r="O79" s="1956"/>
      <c r="P79" s="1956"/>
      <c r="Q79" s="1956"/>
      <c r="R79" s="1956"/>
      <c r="S79" s="1956"/>
      <c r="T79" s="195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34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16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16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16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6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16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16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16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16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6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16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16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16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16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16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16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16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16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16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16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16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16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16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16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16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16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16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16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16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16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16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16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16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16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169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169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169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169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169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169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169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169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169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169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169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169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169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169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169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169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169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169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169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169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169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169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169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169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169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169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169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169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169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169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169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169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169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169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169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169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169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169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169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169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169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169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169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169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169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169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169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169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169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169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169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169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169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169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169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169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169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169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169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169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169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169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169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169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169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169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169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169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169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169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169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169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169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169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169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169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169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169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169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169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169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169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169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169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169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169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169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169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169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169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169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169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169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169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169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169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169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169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169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169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169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169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169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169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169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169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169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169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169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169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169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169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169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169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169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169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169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169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169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169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169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169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169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169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169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169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169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169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169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169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169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169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169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169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169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169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169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169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169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169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169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169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169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169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169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169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169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169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169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169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169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169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169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169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169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169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169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169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169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169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169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169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169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169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169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169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169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169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169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169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169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169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169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169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169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169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169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169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169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169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169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169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169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169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169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169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169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169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169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169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169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169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169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169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169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169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169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169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169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169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169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169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169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169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169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169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169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169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169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169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169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169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169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169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169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169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169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169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169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169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169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169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169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169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169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169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169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169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169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169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169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169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169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169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169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169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169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169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169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169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169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169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169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169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169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169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169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169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169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169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169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169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169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169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169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169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169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169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169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169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169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169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169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169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169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169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169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169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169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169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169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169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169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169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169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169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169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169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169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169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169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169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169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169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169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169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169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169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169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169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169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169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169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169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169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169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169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169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169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169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169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169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169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169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169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169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169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169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169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169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169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169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169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169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169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169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169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169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169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169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169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169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169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169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169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169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169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169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169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169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169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169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169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169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169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169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169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169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169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169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169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169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169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169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169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169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169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169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169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169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169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169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169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169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169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169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169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169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169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169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169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169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169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169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169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169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169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169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169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169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169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169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169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169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169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169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169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169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169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169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169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169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169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169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169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169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169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169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169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169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169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169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169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169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169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169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169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169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169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169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169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169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169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169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169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169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169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169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169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169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169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169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169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169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169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169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169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169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169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169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169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169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169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169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169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169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169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169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169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169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169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169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169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169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169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169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169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169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169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169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169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169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169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169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169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169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169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169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169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169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169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169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169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169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169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169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169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169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169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169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169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169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169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169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169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169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169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169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169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169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169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169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169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169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169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169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169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169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169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169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169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169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169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169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169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169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169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169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169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169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169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169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169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169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169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169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169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169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169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169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169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169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169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169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169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169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169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169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169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169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169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169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169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169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169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169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169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169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169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169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169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169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169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169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169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169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169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169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169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169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169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169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169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169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169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169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169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169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169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169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169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169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169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169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169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169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169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169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169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169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169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169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169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169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169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169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169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169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169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169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169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169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169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169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169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169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169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169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169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169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169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169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169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169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169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169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169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169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169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169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169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169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169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169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169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169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169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169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169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169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169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169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169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169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169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169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169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169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169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169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169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169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169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169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169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169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169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169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169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169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169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169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169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169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169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169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169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169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169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169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169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169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169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169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169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169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169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169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169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169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169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169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169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169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169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169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169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169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169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169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169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169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169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169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169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169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169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169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169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169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169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169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169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169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169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169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169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169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169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169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169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169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169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169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169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169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169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169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169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169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169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169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169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169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169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169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169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169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169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169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169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169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169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169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169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169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169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169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169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169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169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169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169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169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169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169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169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169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169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169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169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169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169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169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169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169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169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169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169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169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169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169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169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169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169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169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169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169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169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169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169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169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169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169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169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169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169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169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169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169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169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169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169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169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169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169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169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169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169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169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169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169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169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169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169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169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169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169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169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169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169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169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169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169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169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169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169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169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169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169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169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169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169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169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169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169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169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169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169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169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169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169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169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169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169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169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169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169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169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169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169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169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169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169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169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169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169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169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169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169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169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169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169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169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169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169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169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169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169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169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169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169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169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169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169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169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169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169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169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169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169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169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169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169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169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169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169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169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169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169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169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169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169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169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169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169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169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169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169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169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169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169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169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169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169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169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169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169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169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169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169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169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169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169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169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169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169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169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169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169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169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169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169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169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169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169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169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169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169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169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169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169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169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169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169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169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169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169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169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169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169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169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169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169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169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169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169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169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169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169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169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169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169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169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169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169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169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25">
      <c r="A1001" s="169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75" customHeight="1" x14ac:dyDescent="0.25">
      <c r="A1002" s="169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75" customHeight="1" x14ac:dyDescent="0.25">
      <c r="A1003" s="169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.75" customHeight="1" x14ac:dyDescent="0.25">
      <c r="A1004" s="169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5.75" customHeight="1" x14ac:dyDescent="0.25">
      <c r="A1005" s="169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5.75" customHeight="1" x14ac:dyDescent="0.25">
      <c r="A1006" s="169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5.75" customHeight="1" x14ac:dyDescent="0.25">
      <c r="A1007" s="169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5.75" customHeight="1" x14ac:dyDescent="0.25">
      <c r="A1008" s="169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5.75" customHeight="1" x14ac:dyDescent="0.25">
      <c r="A1009" s="169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5.75" customHeight="1" x14ac:dyDescent="0.25">
      <c r="A1010" s="169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5.75" customHeight="1" x14ac:dyDescent="0.25">
      <c r="A1011" s="169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5.75" customHeight="1" x14ac:dyDescent="0.25">
      <c r="A1012" s="169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.75" customHeight="1" x14ac:dyDescent="0.25">
      <c r="A1013" s="169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5.75" customHeight="1" x14ac:dyDescent="0.25">
      <c r="A1014" s="169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5.75" customHeight="1" x14ac:dyDescent="0.25">
      <c r="A1015" s="169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5.75" customHeight="1" x14ac:dyDescent="0.25">
      <c r="A1016" s="169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5.75" customHeight="1" x14ac:dyDescent="0.25">
      <c r="A1017" s="169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5.75" customHeight="1" x14ac:dyDescent="0.25">
      <c r="A1018" s="169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5.75" customHeight="1" x14ac:dyDescent="0.25">
      <c r="A1019" s="169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5.75" customHeight="1" x14ac:dyDescent="0.25">
      <c r="A1020" s="169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5.75" customHeight="1" x14ac:dyDescent="0.25">
      <c r="A1021" s="169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</sheetData>
  <mergeCells count="12">
    <mergeCell ref="C78:I78"/>
    <mergeCell ref="C79:I79"/>
    <mergeCell ref="N79:T79"/>
    <mergeCell ref="C1:I1"/>
    <mergeCell ref="C2:I2"/>
    <mergeCell ref="C68:I68"/>
    <mergeCell ref="C69:I69"/>
    <mergeCell ref="C70:I70"/>
    <mergeCell ref="C72:I72"/>
    <mergeCell ref="C74:I74"/>
    <mergeCell ref="C75:I75"/>
    <mergeCell ref="C77:I77"/>
  </mergeCells>
  <conditionalFormatting sqref="C1">
    <cfRule type="expression" dxfId="85" priority="1">
      <formula>_xludf.isformula()</formula>
    </cfRule>
  </conditionalFormatting>
  <printOptions horizontalCentered="1"/>
  <pageMargins left="0.45" right="0.45" top="0.5" bottom="0.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2"/>
  <sheetViews>
    <sheetView showGridLines="0" topLeftCell="A109" zoomScale="85" zoomScaleNormal="85" workbookViewId="0">
      <selection activeCell="B130" sqref="B5:H130"/>
    </sheetView>
  </sheetViews>
  <sheetFormatPr defaultColWidth="14.42578125" defaultRowHeight="15" customHeight="1" x14ac:dyDescent="0.25"/>
  <cols>
    <col min="1" max="1" width="16.42578125" customWidth="1"/>
    <col min="2" max="2" width="46.85546875" customWidth="1"/>
    <col min="3" max="3" width="16.85546875" customWidth="1"/>
    <col min="4" max="4" width="13.5703125" hidden="1" customWidth="1"/>
    <col min="5" max="5" width="11.85546875" hidden="1" customWidth="1"/>
    <col min="6" max="6" width="17.28515625" style="562" customWidth="1"/>
    <col min="7" max="7" width="15.85546875" customWidth="1"/>
    <col min="8" max="8" width="12.42578125" customWidth="1"/>
    <col min="9" max="9" width="13.85546875" customWidth="1"/>
    <col min="10" max="10" width="14" customWidth="1"/>
    <col min="11" max="11" width="23.28515625" hidden="1" customWidth="1"/>
    <col min="12" max="12" width="9.140625" customWidth="1"/>
    <col min="13" max="13" width="16.5703125" customWidth="1"/>
    <col min="14" max="14" width="21.42578125" customWidth="1"/>
    <col min="15" max="15" width="20.85546875" customWidth="1"/>
    <col min="16" max="16" width="22.42578125" customWidth="1"/>
    <col min="17" max="25" width="9.140625" customWidth="1"/>
  </cols>
  <sheetData>
    <row r="1" spans="1:17" ht="23.25" x14ac:dyDescent="0.35">
      <c r="A1" s="197"/>
      <c r="B1" s="1922" t="str">
        <f>IF(NAME="","Insert Project Name on Prelim Page",NAME)</f>
        <v>Town Center</v>
      </c>
      <c r="C1" s="1924"/>
      <c r="D1" s="1924"/>
      <c r="E1" s="1924"/>
      <c r="F1" s="1924"/>
      <c r="G1" s="1924"/>
      <c r="H1" s="1924"/>
      <c r="I1" s="170"/>
      <c r="J1" s="198"/>
    </row>
    <row r="2" spans="1:17" ht="15.75" x14ac:dyDescent="0.25">
      <c r="A2" s="197"/>
      <c r="B2" s="1925" t="str">
        <f>CITY</f>
        <v>Santa Maria, CA 93454</v>
      </c>
      <c r="C2" s="1926"/>
      <c r="D2" s="1926"/>
      <c r="E2" s="1926"/>
      <c r="F2" s="1926"/>
      <c r="G2" s="1926"/>
      <c r="H2" s="1926"/>
      <c r="I2" s="171"/>
      <c r="J2" s="198"/>
    </row>
    <row r="3" spans="1:17" ht="21" x14ac:dyDescent="0.25">
      <c r="A3" s="199"/>
      <c r="B3" s="1420" t="s">
        <v>632</v>
      </c>
      <c r="C3" s="1421"/>
      <c r="D3" s="1422"/>
      <c r="E3" s="1422"/>
      <c r="F3" s="1423"/>
      <c r="G3" s="1422"/>
      <c r="H3" s="1424"/>
      <c r="J3" s="201"/>
      <c r="Q3" s="166"/>
    </row>
    <row r="4" spans="1:17" x14ac:dyDescent="0.25">
      <c r="A4" s="202"/>
      <c r="B4" s="584"/>
      <c r="C4" s="1421"/>
      <c r="D4" s="1425"/>
      <c r="E4" s="1425"/>
      <c r="F4" s="1426"/>
      <c r="G4" s="1425"/>
      <c r="H4" s="1425"/>
      <c r="J4" s="203"/>
    </row>
    <row r="5" spans="1:17" x14ac:dyDescent="0.25">
      <c r="A5" s="197"/>
      <c r="B5" s="1429" t="s">
        <v>638</v>
      </c>
      <c r="C5" s="1938" t="s">
        <v>147</v>
      </c>
      <c r="D5" s="1428"/>
      <c r="E5" s="1428"/>
      <c r="F5" s="1940" t="s">
        <v>79</v>
      </c>
      <c r="G5" s="1938" t="s">
        <v>148</v>
      </c>
      <c r="H5" s="1942" t="s">
        <v>149</v>
      </c>
      <c r="J5" s="198"/>
      <c r="Q5" s="204"/>
    </row>
    <row r="6" spans="1:17" x14ac:dyDescent="0.25">
      <c r="B6" s="1429" t="s">
        <v>150</v>
      </c>
      <c r="C6" s="1939"/>
      <c r="D6" s="1430" t="s">
        <v>151</v>
      </c>
      <c r="E6" s="1430" t="s">
        <v>152</v>
      </c>
      <c r="F6" s="1941"/>
      <c r="G6" s="1939"/>
      <c r="H6" s="1943"/>
      <c r="J6" s="198"/>
    </row>
    <row r="7" spans="1:17" x14ac:dyDescent="0.25">
      <c r="A7" s="197"/>
      <c r="B7" s="1431" t="s">
        <v>153</v>
      </c>
      <c r="C7" s="1432">
        <v>240000</v>
      </c>
      <c r="D7" s="1433"/>
      <c r="E7" s="1433">
        <f t="shared" ref="E7:E18" si="0">C7-D7</f>
        <v>240000</v>
      </c>
      <c r="F7" s="1434">
        <f t="shared" ref="F7" si="1">C7/UNITS</f>
        <v>2926.8292682926831</v>
      </c>
      <c r="G7" s="1435">
        <f t="shared" ref="G7" si="2">C7/NRSF</f>
        <v>4.6253656206980489</v>
      </c>
      <c r="H7" s="1436">
        <f>C7/COST</f>
        <v>1.0030341453703771E-2</v>
      </c>
      <c r="J7" s="198"/>
      <c r="K7" s="23"/>
    </row>
    <row r="8" spans="1:17" x14ac:dyDescent="0.25">
      <c r="A8" s="197"/>
      <c r="B8" s="1431" t="s">
        <v>540</v>
      </c>
      <c r="C8" s="1432">
        <v>3040000</v>
      </c>
      <c r="D8" s="1433"/>
      <c r="E8" s="1433">
        <f t="shared" si="0"/>
        <v>3040000</v>
      </c>
      <c r="F8" s="1434">
        <f t="shared" ref="F8" si="3">C8/UNITS</f>
        <v>37073.170731707316</v>
      </c>
      <c r="G8" s="1435">
        <f t="shared" ref="G8" si="4">C8/NRSF</f>
        <v>58.587964528841951</v>
      </c>
      <c r="H8" s="1437">
        <f>C8/COST</f>
        <v>0.12705099174691442</v>
      </c>
      <c r="J8" s="198"/>
    </row>
    <row r="9" spans="1:17" hidden="1" x14ac:dyDescent="0.25">
      <c r="A9" s="197"/>
      <c r="B9" s="1431" t="s">
        <v>154</v>
      </c>
      <c r="C9" s="1432">
        <v>0</v>
      </c>
      <c r="D9" s="1433">
        <f>C9</f>
        <v>0</v>
      </c>
      <c r="E9" s="1433">
        <f t="shared" si="0"/>
        <v>0</v>
      </c>
      <c r="F9" s="1434">
        <v>0</v>
      </c>
      <c r="G9" s="1435">
        <v>0</v>
      </c>
      <c r="H9" s="1436">
        <v>0</v>
      </c>
      <c r="I9" s="24"/>
      <c r="J9" s="81"/>
      <c r="M9" s="198"/>
      <c r="N9" s="196"/>
    </row>
    <row r="10" spans="1:17" hidden="1" x14ac:dyDescent="0.25">
      <c r="A10" s="197"/>
      <c r="B10" s="1431" t="s">
        <v>155</v>
      </c>
      <c r="C10" s="1432">
        <v>0</v>
      </c>
      <c r="D10" s="1433"/>
      <c r="E10" s="1433">
        <f t="shared" si="0"/>
        <v>0</v>
      </c>
      <c r="F10" s="1434">
        <v>0</v>
      </c>
      <c r="G10" s="1435">
        <v>0</v>
      </c>
      <c r="H10" s="1436">
        <v>0</v>
      </c>
      <c r="I10" s="24"/>
      <c r="J10" s="81"/>
      <c r="M10" s="198"/>
    </row>
    <row r="11" spans="1:17" hidden="1" x14ac:dyDescent="0.25">
      <c r="A11" s="197"/>
      <c r="B11" s="1431" t="s">
        <v>156</v>
      </c>
      <c r="C11" s="1432">
        <v>0</v>
      </c>
      <c r="D11" s="1433">
        <f>C11</f>
        <v>0</v>
      </c>
      <c r="E11" s="1433">
        <f t="shared" si="0"/>
        <v>0</v>
      </c>
      <c r="F11" s="1434">
        <v>0</v>
      </c>
      <c r="G11" s="1435">
        <v>0</v>
      </c>
      <c r="H11" s="1436">
        <v>0</v>
      </c>
      <c r="I11" s="24"/>
      <c r="J11" s="81"/>
    </row>
    <row r="12" spans="1:17" hidden="1" x14ac:dyDescent="0.25">
      <c r="A12" s="197"/>
      <c r="B12" s="1431" t="s">
        <v>157</v>
      </c>
      <c r="C12" s="1432">
        <v>0</v>
      </c>
      <c r="D12" s="1433"/>
      <c r="E12" s="1433">
        <f t="shared" si="0"/>
        <v>0</v>
      </c>
      <c r="F12" s="1434">
        <v>0</v>
      </c>
      <c r="G12" s="1435">
        <v>0</v>
      </c>
      <c r="H12" s="1436">
        <v>0</v>
      </c>
      <c r="I12" s="24"/>
      <c r="J12" s="81"/>
    </row>
    <row r="13" spans="1:17" hidden="1" x14ac:dyDescent="0.25">
      <c r="A13" s="197"/>
      <c r="B13" s="1431" t="s">
        <v>158</v>
      </c>
      <c r="C13" s="1432">
        <v>0</v>
      </c>
      <c r="D13" s="1433">
        <f>C13</f>
        <v>0</v>
      </c>
      <c r="E13" s="1433">
        <f t="shared" si="0"/>
        <v>0</v>
      </c>
      <c r="F13" s="1434">
        <v>0</v>
      </c>
      <c r="G13" s="1435">
        <v>0</v>
      </c>
      <c r="H13" s="1436">
        <v>0</v>
      </c>
      <c r="I13" s="24"/>
      <c r="J13" s="81"/>
    </row>
    <row r="14" spans="1:17" hidden="1" x14ac:dyDescent="0.25">
      <c r="A14" s="197"/>
      <c r="B14" s="1431" t="s">
        <v>159</v>
      </c>
      <c r="C14" s="1432">
        <v>0</v>
      </c>
      <c r="D14" s="1433"/>
      <c r="E14" s="1433">
        <f t="shared" si="0"/>
        <v>0</v>
      </c>
      <c r="F14" s="1434">
        <v>0</v>
      </c>
      <c r="G14" s="1435">
        <v>0</v>
      </c>
      <c r="H14" s="1436">
        <v>0</v>
      </c>
      <c r="I14" s="24"/>
      <c r="J14" s="81"/>
      <c r="L14" s="198"/>
      <c r="M14" s="24"/>
    </row>
    <row r="15" spans="1:17" hidden="1" x14ac:dyDescent="0.25">
      <c r="A15" s="197"/>
      <c r="B15" s="1431" t="s">
        <v>160</v>
      </c>
      <c r="C15" s="1432">
        <v>0</v>
      </c>
      <c r="D15" s="1433"/>
      <c r="E15" s="1433">
        <f t="shared" si="0"/>
        <v>0</v>
      </c>
      <c r="F15" s="1434">
        <v>0</v>
      </c>
      <c r="G15" s="1435">
        <v>0</v>
      </c>
      <c r="H15" s="1436">
        <v>0</v>
      </c>
      <c r="I15" s="24"/>
      <c r="J15" s="81"/>
    </row>
    <row r="16" spans="1:17" hidden="1" x14ac:dyDescent="0.25">
      <c r="A16" s="197"/>
      <c r="B16" s="1431" t="s">
        <v>161</v>
      </c>
      <c r="C16" s="1432">
        <v>0</v>
      </c>
      <c r="D16" s="1433"/>
      <c r="E16" s="1433">
        <f t="shared" si="0"/>
        <v>0</v>
      </c>
      <c r="F16" s="1434">
        <v>0</v>
      </c>
      <c r="G16" s="1435">
        <v>0</v>
      </c>
      <c r="H16" s="1436">
        <v>0</v>
      </c>
      <c r="I16" s="24"/>
      <c r="J16" s="81"/>
    </row>
    <row r="17" spans="1:25" hidden="1" x14ac:dyDescent="0.25">
      <c r="A17" s="197"/>
      <c r="B17" s="1431" t="s">
        <v>162</v>
      </c>
      <c r="C17" s="1432">
        <v>0</v>
      </c>
      <c r="D17" s="1433"/>
      <c r="E17" s="1433">
        <f t="shared" si="0"/>
        <v>0</v>
      </c>
      <c r="F17" s="1434">
        <v>0</v>
      </c>
      <c r="G17" s="1435">
        <v>0</v>
      </c>
      <c r="H17" s="1436">
        <v>0</v>
      </c>
      <c r="I17" s="24"/>
      <c r="J17" s="81"/>
      <c r="N17" s="24"/>
      <c r="O17" s="24"/>
      <c r="P17" s="24"/>
    </row>
    <row r="18" spans="1:25" hidden="1" x14ac:dyDescent="0.25">
      <c r="A18" s="197"/>
      <c r="B18" s="1431" t="s">
        <v>163</v>
      </c>
      <c r="C18" s="1432">
        <v>0</v>
      </c>
      <c r="D18" s="1433"/>
      <c r="E18" s="1433">
        <f t="shared" si="0"/>
        <v>0</v>
      </c>
      <c r="F18" s="1434">
        <v>0</v>
      </c>
      <c r="G18" s="1435">
        <v>0</v>
      </c>
      <c r="H18" s="1438">
        <v>0</v>
      </c>
      <c r="I18" s="24"/>
      <c r="J18" s="81"/>
    </row>
    <row r="19" spans="1:25" x14ac:dyDescent="0.25">
      <c r="A19" s="197"/>
      <c r="B19" s="1439" t="s">
        <v>164</v>
      </c>
      <c r="C19" s="1440">
        <f t="shared" ref="C19:E19" si="5">SUM(C7:C18)</f>
        <v>3280000</v>
      </c>
      <c r="D19" s="1440">
        <f t="shared" si="5"/>
        <v>0</v>
      </c>
      <c r="E19" s="1440">
        <f t="shared" si="5"/>
        <v>3280000</v>
      </c>
      <c r="F19" s="1441">
        <f>C19/UNITS</f>
        <v>40000</v>
      </c>
      <c r="G19" s="1442">
        <f>C19/NRSF</f>
        <v>63.213330149539999</v>
      </c>
      <c r="H19" s="1443">
        <f>C19/$C$130</f>
        <v>0.13708133320061822</v>
      </c>
      <c r="I19" s="24"/>
      <c r="J19" s="81"/>
      <c r="M19" s="24"/>
    </row>
    <row r="20" spans="1:25" x14ac:dyDescent="0.25">
      <c r="B20" s="1427"/>
      <c r="C20" s="1428"/>
      <c r="D20" s="1428"/>
      <c r="E20" s="1428"/>
      <c r="F20" s="1444"/>
      <c r="G20" s="1445"/>
      <c r="H20" s="1446"/>
      <c r="I20" s="24"/>
      <c r="J20" s="206"/>
    </row>
    <row r="21" spans="1:25" ht="15.75" customHeight="1" x14ac:dyDescent="0.25">
      <c r="B21" s="1427" t="s">
        <v>165</v>
      </c>
      <c r="C21" s="1428"/>
      <c r="D21" s="1428"/>
      <c r="E21" s="1428"/>
      <c r="F21" s="1444"/>
      <c r="G21" s="1447"/>
      <c r="H21" s="1448"/>
      <c r="I21" s="24"/>
      <c r="J21" s="81"/>
      <c r="M21" s="24"/>
    </row>
    <row r="22" spans="1:25" ht="15.75" customHeight="1" x14ac:dyDescent="0.25">
      <c r="B22" s="1449" t="s">
        <v>166</v>
      </c>
      <c r="C22" s="1450"/>
      <c r="D22" s="1451">
        <f t="shared" ref="D22:D24" si="6">C22</f>
        <v>0</v>
      </c>
      <c r="E22" s="1451">
        <f t="shared" ref="E22:E24" si="7">C22-D22</f>
        <v>0</v>
      </c>
      <c r="F22" s="1452"/>
      <c r="G22" s="1453"/>
      <c r="H22" s="1454"/>
      <c r="I22" s="24"/>
      <c r="J22" s="81"/>
    </row>
    <row r="23" spans="1:25" ht="15.75" customHeight="1" x14ac:dyDescent="0.25">
      <c r="B23" s="1431" t="s">
        <v>167</v>
      </c>
      <c r="C23" s="1432">
        <v>67240</v>
      </c>
      <c r="D23" s="1433">
        <f t="shared" si="6"/>
        <v>67240</v>
      </c>
      <c r="E23" s="1433">
        <f t="shared" si="7"/>
        <v>0</v>
      </c>
      <c r="F23" s="1434">
        <f t="shared" ref="F23:F54" si="8">C23/UNITS</f>
        <v>820</v>
      </c>
      <c r="G23" s="1435">
        <f t="shared" ref="G23:G54" si="9">C23/NRSF</f>
        <v>1.29587326806557</v>
      </c>
      <c r="H23" s="1436">
        <f>C23/COST</f>
        <v>2.8101673306126732E-3</v>
      </c>
      <c r="I23" s="24"/>
      <c r="J23" s="81"/>
      <c r="M23" s="24"/>
    </row>
    <row r="24" spans="1:25" ht="15.75" hidden="1" customHeight="1" x14ac:dyDescent="0.25">
      <c r="B24" s="1431" t="s">
        <v>168</v>
      </c>
      <c r="C24" s="1432">
        <v>0</v>
      </c>
      <c r="D24" s="1433">
        <f t="shared" si="6"/>
        <v>0</v>
      </c>
      <c r="E24" s="1433">
        <f t="shared" si="7"/>
        <v>0</v>
      </c>
      <c r="F24" s="1434">
        <f t="shared" si="8"/>
        <v>0</v>
      </c>
      <c r="G24" s="1435">
        <f t="shared" si="9"/>
        <v>0</v>
      </c>
      <c r="H24" s="1436">
        <f>C24/$C$130</f>
        <v>0</v>
      </c>
      <c r="I24" s="24"/>
      <c r="J24" s="81"/>
    </row>
    <row r="25" spans="1:25" ht="15.75" hidden="1" customHeight="1" x14ac:dyDescent="0.25">
      <c r="A25" s="6"/>
      <c r="B25" s="1431" t="s">
        <v>169</v>
      </c>
      <c r="C25" s="1432">
        <v>0</v>
      </c>
      <c r="D25" s="1433"/>
      <c r="E25" s="1433"/>
      <c r="F25" s="1434">
        <f t="shared" si="8"/>
        <v>0</v>
      </c>
      <c r="G25" s="1435">
        <f t="shared" si="9"/>
        <v>0</v>
      </c>
      <c r="H25" s="1436">
        <f>C25/$C$130</f>
        <v>0</v>
      </c>
      <c r="I25" s="24"/>
      <c r="J25" s="8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hidden="1" customHeight="1" x14ac:dyDescent="0.25">
      <c r="A26" s="6"/>
      <c r="B26" s="1431" t="s">
        <v>170</v>
      </c>
      <c r="C26" s="1432">
        <v>0</v>
      </c>
      <c r="D26" s="1433"/>
      <c r="E26" s="1433"/>
      <c r="F26" s="1434">
        <f t="shared" si="8"/>
        <v>0</v>
      </c>
      <c r="G26" s="1435">
        <f t="shared" si="9"/>
        <v>0</v>
      </c>
      <c r="H26" s="1436">
        <f>C26/$C$130</f>
        <v>0</v>
      </c>
      <c r="I26" s="24"/>
      <c r="J26" s="8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6"/>
      <c r="B27" s="1455" t="s">
        <v>171</v>
      </c>
      <c r="C27" s="1432"/>
      <c r="D27" s="1433"/>
      <c r="E27" s="1433"/>
      <c r="F27" s="1434"/>
      <c r="G27" s="1435"/>
      <c r="H27" s="1436"/>
      <c r="I27" s="24"/>
      <c r="J27" s="8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6"/>
      <c r="B28" s="1431" t="s">
        <v>172</v>
      </c>
      <c r="C28" s="1432">
        <v>123000</v>
      </c>
      <c r="D28" s="1433"/>
      <c r="E28" s="1433"/>
      <c r="F28" s="1434">
        <f t="shared" si="8"/>
        <v>1500</v>
      </c>
      <c r="G28" s="1435">
        <f t="shared" si="9"/>
        <v>2.37049988060775</v>
      </c>
      <c r="H28" s="1436">
        <f t="shared" ref="H28:H34" si="10">C28/$C$130</f>
        <v>5.1405499950231822E-3</v>
      </c>
      <c r="I28" s="24"/>
      <c r="J28" s="8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6"/>
      <c r="B29" s="1431" t="s">
        <v>173</v>
      </c>
      <c r="C29" s="1432">
        <v>156115.38461538462</v>
      </c>
      <c r="D29" s="1433"/>
      <c r="E29" s="1433"/>
      <c r="F29" s="1434">
        <f t="shared" si="8"/>
        <v>1903.846153846154</v>
      </c>
      <c r="G29" s="1435">
        <f t="shared" si="9"/>
        <v>3.0087113869252211</v>
      </c>
      <c r="H29" s="1436">
        <f t="shared" si="10"/>
        <v>6.524544224452501E-3</v>
      </c>
      <c r="I29" s="24"/>
      <c r="J29" s="8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6"/>
      <c r="B30" s="1431" t="s">
        <v>174</v>
      </c>
      <c r="C30" s="1432">
        <v>6895.0961538461543</v>
      </c>
      <c r="D30" s="1433"/>
      <c r="E30" s="1433"/>
      <c r="F30" s="1434">
        <f t="shared" si="8"/>
        <v>84.086538461538467</v>
      </c>
      <c r="G30" s="1435">
        <f t="shared" si="9"/>
        <v>0.1328847529225306</v>
      </c>
      <c r="H30" s="1436">
        <f t="shared" si="10"/>
        <v>2.8816736991331882E-4</v>
      </c>
      <c r="I30" s="24"/>
      <c r="J30" s="8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25">
      <c r="A31" s="6"/>
      <c r="B31" s="1431" t="s">
        <v>175</v>
      </c>
      <c r="C31" s="1432">
        <v>12300</v>
      </c>
      <c r="D31" s="1433"/>
      <c r="E31" s="1433"/>
      <c r="F31" s="1434">
        <f t="shared" si="8"/>
        <v>150</v>
      </c>
      <c r="G31" s="1435">
        <f t="shared" si="9"/>
        <v>0.23704998806077499</v>
      </c>
      <c r="H31" s="1436">
        <f t="shared" si="10"/>
        <v>5.1405499950231827E-4</v>
      </c>
      <c r="I31" s="24"/>
      <c r="J31" s="8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25">
      <c r="A32" s="6"/>
      <c r="B32" s="1431" t="s">
        <v>176</v>
      </c>
      <c r="C32" s="1432">
        <v>106442.30769230769</v>
      </c>
      <c r="D32" s="1433"/>
      <c r="E32" s="1433"/>
      <c r="F32" s="1434">
        <f t="shared" si="8"/>
        <v>1298.0769230769231</v>
      </c>
      <c r="G32" s="1435">
        <f t="shared" si="9"/>
        <v>2.0513941274490142</v>
      </c>
      <c r="H32" s="1436">
        <f t="shared" si="10"/>
        <v>4.4485528803085228E-3</v>
      </c>
      <c r="I32" s="24"/>
      <c r="J32" s="8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25">
      <c r="A33" s="6"/>
      <c r="B33" s="1431" t="s">
        <v>177</v>
      </c>
      <c r="C33" s="1432">
        <v>85802.75</v>
      </c>
      <c r="D33" s="1433"/>
      <c r="E33" s="1433"/>
      <c r="F33" s="1434">
        <f t="shared" si="8"/>
        <v>1046.375</v>
      </c>
      <c r="G33" s="1435">
        <f t="shared" si="9"/>
        <v>1.6536212083806228</v>
      </c>
      <c r="H33" s="1436">
        <f t="shared" si="10"/>
        <v>3.5859620006949218E-3</v>
      </c>
      <c r="I33" s="24"/>
      <c r="J33" s="8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hidden="1" customHeight="1" x14ac:dyDescent="0.25">
      <c r="A34" s="6"/>
      <c r="B34" s="1431" t="s">
        <v>178</v>
      </c>
      <c r="C34" s="1432">
        <v>0</v>
      </c>
      <c r="D34" s="1433"/>
      <c r="E34" s="1433"/>
      <c r="F34" s="1434">
        <f t="shared" si="8"/>
        <v>0</v>
      </c>
      <c r="G34" s="1435">
        <f t="shared" si="9"/>
        <v>0</v>
      </c>
      <c r="H34" s="1436">
        <f t="shared" si="10"/>
        <v>0</v>
      </c>
      <c r="I34" s="24"/>
      <c r="J34" s="8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6"/>
      <c r="B35" s="1455" t="s">
        <v>500</v>
      </c>
      <c r="C35" s="1432"/>
      <c r="D35" s="1433"/>
      <c r="E35" s="1433"/>
      <c r="F35" s="1434"/>
      <c r="G35" s="1435"/>
      <c r="H35" s="1436"/>
      <c r="I35" s="24"/>
      <c r="J35" s="8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25">
      <c r="A36" s="6"/>
      <c r="B36" s="1431" t="s">
        <v>179</v>
      </c>
      <c r="C36" s="1432">
        <v>4076.4000060000003</v>
      </c>
      <c r="D36" s="1433"/>
      <c r="E36" s="1433"/>
      <c r="F36" s="1434">
        <f t="shared" si="8"/>
        <v>49.712195195121957</v>
      </c>
      <c r="G36" s="1435">
        <f t="shared" si="9"/>
        <v>7.8561835183190501E-2</v>
      </c>
      <c r="H36" s="1436">
        <f t="shared" ref="H36:H48" si="11">C36/$C$130</f>
        <v>1.7036534984191711E-4</v>
      </c>
      <c r="I36" s="24"/>
      <c r="J36" s="8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25">
      <c r="A37" s="6"/>
      <c r="B37" s="1431" t="s">
        <v>180</v>
      </c>
      <c r="C37" s="1432">
        <v>3057.3000044999999</v>
      </c>
      <c r="D37" s="1433"/>
      <c r="E37" s="1433"/>
      <c r="F37" s="1434">
        <f t="shared" si="8"/>
        <v>37.284146396341463</v>
      </c>
      <c r="G37" s="1435">
        <f t="shared" si="9"/>
        <v>5.8921376387392872E-2</v>
      </c>
      <c r="H37" s="1436">
        <f t="shared" si="11"/>
        <v>1.2777401238143782E-4</v>
      </c>
      <c r="I37" s="24"/>
      <c r="J37" s="8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6"/>
      <c r="B38" s="1431" t="s">
        <v>181</v>
      </c>
      <c r="C38" s="1432">
        <v>111081.9001635</v>
      </c>
      <c r="D38" s="1433"/>
      <c r="E38" s="1433"/>
      <c r="F38" s="1434">
        <f t="shared" si="8"/>
        <v>1354.6573190670731</v>
      </c>
      <c r="G38" s="1435">
        <f t="shared" si="9"/>
        <v>2.1408100087419411</v>
      </c>
      <c r="H38" s="1436">
        <f t="shared" si="11"/>
        <v>4.6424557831922404E-3</v>
      </c>
      <c r="I38" s="24"/>
      <c r="J38" s="8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6"/>
      <c r="B39" s="1431" t="s">
        <v>182</v>
      </c>
      <c r="C39" s="1432">
        <v>12908.600019000001</v>
      </c>
      <c r="D39" s="1433"/>
      <c r="E39" s="1433"/>
      <c r="F39" s="1434">
        <f t="shared" si="8"/>
        <v>157.42195145121954</v>
      </c>
      <c r="G39" s="1435">
        <f t="shared" si="9"/>
        <v>0.24877914474676993</v>
      </c>
      <c r="H39" s="1436">
        <f t="shared" si="11"/>
        <v>5.3949027449940422E-4</v>
      </c>
      <c r="I39" s="24"/>
      <c r="J39" s="8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6"/>
      <c r="B40" s="1431" t="s">
        <v>183</v>
      </c>
      <c r="C40" s="1432">
        <v>19362.9000285</v>
      </c>
      <c r="D40" s="1433"/>
      <c r="E40" s="1433"/>
      <c r="F40" s="1434">
        <f t="shared" si="8"/>
        <v>236.13292717682927</v>
      </c>
      <c r="G40" s="1435">
        <f t="shared" si="9"/>
        <v>0.37316871712015487</v>
      </c>
      <c r="H40" s="1436">
        <f t="shared" si="11"/>
        <v>8.0923541174910622E-4</v>
      </c>
      <c r="I40" s="24"/>
      <c r="J40" s="8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6"/>
      <c r="B41" s="1431" t="s">
        <v>184</v>
      </c>
      <c r="C41" s="1432">
        <v>9511.6000140000015</v>
      </c>
      <c r="D41" s="1433"/>
      <c r="E41" s="1433"/>
      <c r="F41" s="1434">
        <f t="shared" si="8"/>
        <v>115.99512212195124</v>
      </c>
      <c r="G41" s="1435">
        <f t="shared" si="9"/>
        <v>0.18331094876077786</v>
      </c>
      <c r="H41" s="1436">
        <f t="shared" si="11"/>
        <v>3.9751914963113993E-4</v>
      </c>
      <c r="I41" s="24"/>
      <c r="J41" s="8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6"/>
      <c r="B42" s="1431" t="s">
        <v>185</v>
      </c>
      <c r="C42" s="1432">
        <v>132143.30019450001</v>
      </c>
      <c r="D42" s="1433"/>
      <c r="E42" s="1433"/>
      <c r="F42" s="1434">
        <f t="shared" si="8"/>
        <v>1611.5036609085369</v>
      </c>
      <c r="G42" s="1435">
        <f t="shared" si="9"/>
        <v>2.546712823855092</v>
      </c>
      <c r="H42" s="1436">
        <f t="shared" si="11"/>
        <v>5.5226767573754798E-3</v>
      </c>
      <c r="I42" s="24"/>
      <c r="J42" s="8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6"/>
      <c r="B43" s="1431" t="s">
        <v>186</v>
      </c>
      <c r="C43" s="1432">
        <v>728996.20107300009</v>
      </c>
      <c r="D43" s="1433"/>
      <c r="E43" s="1433"/>
      <c r="F43" s="1434">
        <f t="shared" si="8"/>
        <v>8890.197574060976</v>
      </c>
      <c r="G43" s="1435">
        <f t="shared" si="9"/>
        <v>14.049474858593902</v>
      </c>
      <c r="H43" s="1436">
        <f t="shared" si="11"/>
        <v>3.046700339672951E-2</v>
      </c>
      <c r="I43" s="24"/>
      <c r="J43" s="8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6"/>
      <c r="B44" s="1431" t="s">
        <v>187</v>
      </c>
      <c r="C44" s="1432">
        <v>53785</v>
      </c>
      <c r="D44" s="1433"/>
      <c r="E44" s="1433"/>
      <c r="F44" s="1434">
        <f t="shared" si="8"/>
        <v>655.91463414634143</v>
      </c>
      <c r="G44" s="1435">
        <f t="shared" si="9"/>
        <v>1.0365637079551855</v>
      </c>
      <c r="H44" s="1436">
        <f t="shared" si="11"/>
        <v>2.2478413128644054E-3</v>
      </c>
      <c r="I44" s="24"/>
      <c r="J44" s="8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6"/>
      <c r="B45" s="1431" t="s">
        <v>188</v>
      </c>
      <c r="C45" s="1432">
        <v>3837</v>
      </c>
      <c r="D45" s="1433"/>
      <c r="E45" s="1433"/>
      <c r="F45" s="1434">
        <f t="shared" si="8"/>
        <v>46.792682926829265</v>
      </c>
      <c r="G45" s="1435">
        <f t="shared" si="9"/>
        <v>7.3948032860910048E-2</v>
      </c>
      <c r="H45" s="1436">
        <f t="shared" si="11"/>
        <v>1.6036008399108903E-4</v>
      </c>
      <c r="I45" s="24"/>
      <c r="J45" s="8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6"/>
      <c r="B46" s="1431" t="s">
        <v>189</v>
      </c>
      <c r="C46" s="1432">
        <v>258581</v>
      </c>
      <c r="D46" s="1433"/>
      <c r="E46" s="1433"/>
      <c r="F46" s="1434">
        <f t="shared" si="8"/>
        <v>3153.4268292682927</v>
      </c>
      <c r="G46" s="1435">
        <f t="shared" si="9"/>
        <v>4.9834652815238423</v>
      </c>
      <c r="H46" s="1436">
        <f t="shared" si="11"/>
        <v>1.0806898847667395E-2</v>
      </c>
      <c r="I46" s="24"/>
      <c r="J46" s="8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6"/>
      <c r="B47" s="1431" t="s">
        <v>190</v>
      </c>
      <c r="C47" s="1432">
        <v>226648</v>
      </c>
      <c r="D47" s="1433"/>
      <c r="E47" s="1433"/>
      <c r="F47" s="1434">
        <f t="shared" si="8"/>
        <v>2764</v>
      </c>
      <c r="G47" s="1435">
        <f t="shared" si="9"/>
        <v>4.3680411133332138</v>
      </c>
      <c r="H47" s="1436">
        <f t="shared" si="11"/>
        <v>9.4723201241627177E-3</v>
      </c>
      <c r="I47" s="24"/>
      <c r="J47" s="8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hidden="1" customHeight="1" x14ac:dyDescent="0.25">
      <c r="A48" s="6"/>
      <c r="B48" s="1431" t="s">
        <v>541</v>
      </c>
      <c r="C48" s="1432">
        <v>0</v>
      </c>
      <c r="D48" s="1433"/>
      <c r="E48" s="1433"/>
      <c r="F48" s="1434">
        <f t="shared" si="8"/>
        <v>0</v>
      </c>
      <c r="G48" s="1435">
        <f t="shared" si="9"/>
        <v>0</v>
      </c>
      <c r="H48" s="1436">
        <f t="shared" si="11"/>
        <v>0</v>
      </c>
      <c r="I48" s="24"/>
      <c r="J48" s="8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6"/>
      <c r="B49" s="1455" t="s">
        <v>191</v>
      </c>
      <c r="C49" s="1432"/>
      <c r="D49" s="1433"/>
      <c r="E49" s="1433"/>
      <c r="F49" s="1434"/>
      <c r="G49" s="1435"/>
      <c r="H49" s="1436"/>
      <c r="I49" s="24"/>
      <c r="J49" s="8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hidden="1" customHeight="1" x14ac:dyDescent="0.25">
      <c r="A50" s="6"/>
      <c r="B50" s="1431" t="s">
        <v>192</v>
      </c>
      <c r="C50" s="1432">
        <v>0</v>
      </c>
      <c r="D50" s="1433"/>
      <c r="E50" s="1433"/>
      <c r="F50" s="1434">
        <f t="shared" si="8"/>
        <v>0</v>
      </c>
      <c r="G50" s="1435">
        <f t="shared" si="9"/>
        <v>0</v>
      </c>
      <c r="H50" s="1436">
        <f>C50/$C$130</f>
        <v>0</v>
      </c>
      <c r="I50" s="24"/>
      <c r="J50" s="8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6"/>
      <c r="B51" s="1431" t="s">
        <v>193</v>
      </c>
      <c r="C51" s="1432">
        <v>147557.02521037505</v>
      </c>
      <c r="D51" s="1433"/>
      <c r="E51" s="1433"/>
      <c r="F51" s="1434">
        <f t="shared" si="8"/>
        <v>1799.4759171996957</v>
      </c>
      <c r="G51" s="1435">
        <f t="shared" si="9"/>
        <v>2.8437716312522667</v>
      </c>
      <c r="H51" s="1436">
        <f>C51/$C$130</f>
        <v>6.1668639448034888E-3</v>
      </c>
      <c r="I51" s="24"/>
      <c r="J51" s="8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hidden="1" customHeight="1" x14ac:dyDescent="0.25">
      <c r="B52" s="1431" t="s">
        <v>194</v>
      </c>
      <c r="C52" s="1432">
        <v>0</v>
      </c>
      <c r="D52" s="1433">
        <f>C52</f>
        <v>0</v>
      </c>
      <c r="E52" s="1433">
        <f t="shared" ref="E52:E53" si="12">C52-D52</f>
        <v>0</v>
      </c>
      <c r="F52" s="1434">
        <f t="shared" si="8"/>
        <v>0</v>
      </c>
      <c r="G52" s="1435">
        <f t="shared" si="9"/>
        <v>0</v>
      </c>
      <c r="H52" s="1436">
        <f>C52/$C$130</f>
        <v>0</v>
      </c>
      <c r="I52" s="24"/>
      <c r="J52" s="81"/>
    </row>
    <row r="53" spans="1:25" ht="15.75" customHeight="1" x14ac:dyDescent="0.25">
      <c r="B53" s="1431" t="s">
        <v>195</v>
      </c>
      <c r="C53" s="1456">
        <v>113467</v>
      </c>
      <c r="D53" s="1433"/>
      <c r="E53" s="1433">
        <f t="shared" si="12"/>
        <v>113467</v>
      </c>
      <c r="F53" s="1434">
        <f t="shared" si="8"/>
        <v>1383.7439024390244</v>
      </c>
      <c r="G53" s="1435">
        <f t="shared" si="9"/>
        <v>2.1867765036822728</v>
      </c>
      <c r="H53" s="1436">
        <f>C53/$C$130</f>
        <v>4.742136473864191E-3</v>
      </c>
      <c r="I53" s="24"/>
      <c r="J53" s="81"/>
    </row>
    <row r="54" spans="1:25" ht="15.75" customHeight="1" x14ac:dyDescent="0.25">
      <c r="A54" s="197"/>
      <c r="B54" s="1457" t="s">
        <v>196</v>
      </c>
      <c r="C54" s="1458">
        <f>SUM(C22:C53)</f>
        <v>2382808.7651749132</v>
      </c>
      <c r="D54" s="1459">
        <f t="shared" ref="D54:E54" si="13">SUM(D21:D53)</f>
        <v>67240</v>
      </c>
      <c r="E54" s="1459">
        <f t="shared" si="13"/>
        <v>113467</v>
      </c>
      <c r="F54" s="1460">
        <f t="shared" si="8"/>
        <v>29058.643477742844</v>
      </c>
      <c r="G54" s="1461">
        <f t="shared" si="9"/>
        <v>45.92234059640839</v>
      </c>
      <c r="H54" s="1462">
        <f>C54/$C$130</f>
        <v>9.9584939723260948E-2</v>
      </c>
      <c r="I54" s="24"/>
      <c r="J54" s="81"/>
      <c r="M54" s="24"/>
    </row>
    <row r="55" spans="1:25" ht="15.75" customHeight="1" x14ac:dyDescent="0.25">
      <c r="B55" s="1463"/>
      <c r="C55" s="1464"/>
      <c r="D55" s="1464"/>
      <c r="E55" s="1464"/>
      <c r="F55" s="1465"/>
      <c r="G55" s="1466"/>
      <c r="H55" s="1467"/>
      <c r="I55" s="24"/>
      <c r="J55" s="208"/>
    </row>
    <row r="56" spans="1:25" ht="15.75" customHeight="1" x14ac:dyDescent="0.25">
      <c r="B56" s="1468" t="s">
        <v>197</v>
      </c>
      <c r="C56" s="1469"/>
      <c r="D56" s="1469"/>
      <c r="E56" s="1469"/>
      <c r="F56" s="1944"/>
      <c r="G56" s="1944"/>
      <c r="H56" s="1945"/>
      <c r="I56" s="24"/>
      <c r="J56" s="81"/>
    </row>
    <row r="57" spans="1:25" ht="15.75" customHeight="1" x14ac:dyDescent="0.25">
      <c r="B57" s="1470" t="s">
        <v>542</v>
      </c>
      <c r="C57" s="1471">
        <v>305730.00045000005</v>
      </c>
      <c r="D57" s="1472"/>
      <c r="E57" s="1472">
        <v>0</v>
      </c>
      <c r="F57" s="1473">
        <f t="shared" ref="F57:F88" si="14">C57/UNITS</f>
        <v>3728.4146396341471</v>
      </c>
      <c r="G57" s="1474">
        <f t="shared" ref="G57:G88" si="15">C57/NRSF</f>
        <v>5.8921376387392881</v>
      </c>
      <c r="H57" s="1475">
        <f t="shared" ref="H57:H88" si="16">C57/$C$130</f>
        <v>1.2777401238143783E-2</v>
      </c>
      <c r="I57" s="24"/>
      <c r="J57" s="208"/>
    </row>
    <row r="58" spans="1:25" ht="15.75" hidden="1" customHeight="1" x14ac:dyDescent="0.25">
      <c r="A58" s="6"/>
      <c r="B58" s="1431" t="s">
        <v>543</v>
      </c>
      <c r="C58" s="1432">
        <v>152865.00022500003</v>
      </c>
      <c r="D58" s="1433"/>
      <c r="E58" s="1433"/>
      <c r="F58" s="1476">
        <f t="shared" si="14"/>
        <v>1864.2073198170735</v>
      </c>
      <c r="G58" s="1435">
        <f t="shared" si="15"/>
        <v>2.946068819369644</v>
      </c>
      <c r="H58" s="1436">
        <f t="shared" si="16"/>
        <v>6.3887006190718916E-3</v>
      </c>
      <c r="I58" s="24"/>
      <c r="J58" s="20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6"/>
      <c r="B59" s="1431" t="s">
        <v>544</v>
      </c>
      <c r="C59" s="1432">
        <v>1375785.0020250001</v>
      </c>
      <c r="D59" s="1433"/>
      <c r="E59" s="1433"/>
      <c r="F59" s="1476">
        <f t="shared" si="14"/>
        <v>16777.865878353659</v>
      </c>
      <c r="G59" s="1435">
        <f t="shared" si="15"/>
        <v>26.514619374326792</v>
      </c>
      <c r="H59" s="1436">
        <f t="shared" si="16"/>
        <v>5.7498305571647021E-2</v>
      </c>
      <c r="I59" s="24"/>
      <c r="J59" s="208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6"/>
      <c r="B60" s="1431" t="s">
        <v>545</v>
      </c>
      <c r="C60" s="1432">
        <v>305730.00045000005</v>
      </c>
      <c r="D60" s="1433"/>
      <c r="E60" s="1433"/>
      <c r="F60" s="1476">
        <f t="shared" si="14"/>
        <v>3728.4146396341471</v>
      </c>
      <c r="G60" s="1435">
        <f t="shared" si="15"/>
        <v>5.8921376387392881</v>
      </c>
      <c r="H60" s="1436">
        <f t="shared" si="16"/>
        <v>1.2777401238143783E-2</v>
      </c>
      <c r="I60" s="24"/>
      <c r="J60" s="208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6"/>
      <c r="B61" s="1431" t="s">
        <v>546</v>
      </c>
      <c r="C61" s="1432">
        <v>611460.0009000001</v>
      </c>
      <c r="D61" s="1433"/>
      <c r="E61" s="1433"/>
      <c r="F61" s="1476">
        <f t="shared" si="14"/>
        <v>7456.8292792682942</v>
      </c>
      <c r="G61" s="1435">
        <f t="shared" si="15"/>
        <v>11.784275277478576</v>
      </c>
      <c r="H61" s="1436">
        <f t="shared" si="16"/>
        <v>2.5554802476287566E-2</v>
      </c>
      <c r="I61" s="24"/>
      <c r="J61" s="208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hidden="1" customHeight="1" x14ac:dyDescent="0.25">
      <c r="A62" s="6"/>
      <c r="B62" s="1431" t="s">
        <v>547</v>
      </c>
      <c r="C62" s="1432">
        <v>2140110.0031500002</v>
      </c>
      <c r="D62" s="1433"/>
      <c r="E62" s="1433"/>
      <c r="F62" s="1476">
        <f t="shared" si="14"/>
        <v>26098.902477439027</v>
      </c>
      <c r="G62" s="1435">
        <f t="shared" si="15"/>
        <v>41.244963471175012</v>
      </c>
      <c r="H62" s="1436">
        <f t="shared" si="16"/>
        <v>8.9441808667006475E-2</v>
      </c>
      <c r="I62" s="24"/>
      <c r="J62" s="208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6"/>
      <c r="B63" s="1431" t="s">
        <v>548</v>
      </c>
      <c r="C63" s="1432">
        <v>611460.0009000001</v>
      </c>
      <c r="D63" s="1433"/>
      <c r="E63" s="1433"/>
      <c r="F63" s="1476">
        <f t="shared" si="14"/>
        <v>7456.8292792682942</v>
      </c>
      <c r="G63" s="1435">
        <f t="shared" si="15"/>
        <v>11.784275277478576</v>
      </c>
      <c r="H63" s="1436">
        <f t="shared" si="16"/>
        <v>2.5554802476287566E-2</v>
      </c>
      <c r="I63" s="24"/>
      <c r="J63" s="208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6"/>
      <c r="B64" s="1431" t="s">
        <v>549</v>
      </c>
      <c r="C64" s="1432">
        <v>917190.00135000004</v>
      </c>
      <c r="D64" s="1433"/>
      <c r="E64" s="1433"/>
      <c r="F64" s="1476">
        <f t="shared" si="14"/>
        <v>11185.243918902439</v>
      </c>
      <c r="G64" s="1435">
        <f t="shared" si="15"/>
        <v>17.676412916217863</v>
      </c>
      <c r="H64" s="1436">
        <f t="shared" si="16"/>
        <v>3.8332203714431343E-2</v>
      </c>
      <c r="I64" s="24"/>
      <c r="J64" s="20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/>
      <c r="B65" s="1431" t="s">
        <v>550</v>
      </c>
      <c r="C65" s="1432">
        <v>1834380.0027000001</v>
      </c>
      <c r="D65" s="1433"/>
      <c r="E65" s="1433"/>
      <c r="F65" s="1476">
        <f t="shared" si="14"/>
        <v>22370.487837804878</v>
      </c>
      <c r="G65" s="1435">
        <f t="shared" si="15"/>
        <v>35.352825832435727</v>
      </c>
      <c r="H65" s="1436">
        <f t="shared" si="16"/>
        <v>7.6664407428862685E-2</v>
      </c>
      <c r="I65" s="24"/>
      <c r="J65" s="208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hidden="1" customHeight="1" x14ac:dyDescent="0.25">
      <c r="A66" s="6"/>
      <c r="B66" s="1431" t="s">
        <v>551</v>
      </c>
      <c r="C66" s="1432">
        <v>0</v>
      </c>
      <c r="D66" s="1433"/>
      <c r="E66" s="1433"/>
      <c r="F66" s="1476">
        <f t="shared" si="14"/>
        <v>0</v>
      </c>
      <c r="G66" s="1435">
        <f t="shared" si="15"/>
        <v>0</v>
      </c>
      <c r="H66" s="1436">
        <f t="shared" si="16"/>
        <v>0</v>
      </c>
      <c r="I66" s="24"/>
      <c r="J66" s="208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1431" t="s">
        <v>552</v>
      </c>
      <c r="C67" s="1432">
        <v>152865.00022500003</v>
      </c>
      <c r="D67" s="1433"/>
      <c r="E67" s="1433"/>
      <c r="F67" s="1476">
        <f t="shared" si="14"/>
        <v>1864.2073198170735</v>
      </c>
      <c r="G67" s="1435">
        <f t="shared" si="15"/>
        <v>2.946068819369644</v>
      </c>
      <c r="H67" s="1436">
        <f t="shared" si="16"/>
        <v>6.3887006190718916E-3</v>
      </c>
      <c r="I67" s="24"/>
      <c r="J67" s="208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hidden="1" customHeight="1" x14ac:dyDescent="0.25">
      <c r="A68" s="6"/>
      <c r="B68" s="1431" t="s">
        <v>553</v>
      </c>
      <c r="C68" s="1432">
        <v>76432.500112500013</v>
      </c>
      <c r="D68" s="1433"/>
      <c r="E68" s="1433"/>
      <c r="F68" s="1476">
        <f t="shared" si="14"/>
        <v>932.10365990853677</v>
      </c>
      <c r="G68" s="1435">
        <f t="shared" si="15"/>
        <v>1.473034409684822</v>
      </c>
      <c r="H68" s="1436">
        <f t="shared" si="16"/>
        <v>3.1943503095359458E-3</v>
      </c>
      <c r="I68" s="24"/>
      <c r="J68" s="208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1431" t="s">
        <v>554</v>
      </c>
      <c r="C69" s="1432">
        <v>152865.00022500003</v>
      </c>
      <c r="D69" s="1433"/>
      <c r="E69" s="1433"/>
      <c r="F69" s="1476">
        <f t="shared" si="14"/>
        <v>1864.2073198170735</v>
      </c>
      <c r="G69" s="1435">
        <f t="shared" si="15"/>
        <v>2.946068819369644</v>
      </c>
      <c r="H69" s="1436">
        <f t="shared" si="16"/>
        <v>6.3887006190718916E-3</v>
      </c>
      <c r="I69" s="24"/>
      <c r="J69" s="208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1431" t="s">
        <v>555</v>
      </c>
      <c r="C70" s="1432">
        <v>76432.500112500013</v>
      </c>
      <c r="D70" s="1433"/>
      <c r="E70" s="1433"/>
      <c r="F70" s="1476">
        <f t="shared" si="14"/>
        <v>932.10365990853677</v>
      </c>
      <c r="G70" s="1435">
        <f t="shared" si="15"/>
        <v>1.473034409684822</v>
      </c>
      <c r="H70" s="1436">
        <f t="shared" si="16"/>
        <v>3.1943503095359458E-3</v>
      </c>
      <c r="I70" s="24"/>
      <c r="J70" s="208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1431" t="s">
        <v>556</v>
      </c>
      <c r="C71" s="1432">
        <v>305730.00045000005</v>
      </c>
      <c r="D71" s="1433"/>
      <c r="E71" s="1433"/>
      <c r="F71" s="1476">
        <f t="shared" si="14"/>
        <v>3728.4146396341471</v>
      </c>
      <c r="G71" s="1435">
        <f t="shared" si="15"/>
        <v>5.8921376387392881</v>
      </c>
      <c r="H71" s="1436">
        <f t="shared" si="16"/>
        <v>1.2777401238143783E-2</v>
      </c>
      <c r="I71" s="24"/>
      <c r="J71" s="208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1431" t="s">
        <v>557</v>
      </c>
      <c r="C72" s="1432">
        <v>1222920.0018000002</v>
      </c>
      <c r="D72" s="1433"/>
      <c r="E72" s="1433"/>
      <c r="F72" s="1476">
        <f t="shared" si="14"/>
        <v>14913.658558536588</v>
      </c>
      <c r="G72" s="1435">
        <f t="shared" si="15"/>
        <v>23.568550554957152</v>
      </c>
      <c r="H72" s="1436">
        <f t="shared" si="16"/>
        <v>5.1109604952575133E-2</v>
      </c>
      <c r="I72" s="24"/>
      <c r="J72" s="208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/>
      <c r="B73" s="1431" t="s">
        <v>558</v>
      </c>
      <c r="C73" s="1432">
        <v>1375785.0020250001</v>
      </c>
      <c r="D73" s="1433"/>
      <c r="E73" s="1433"/>
      <c r="F73" s="1476">
        <f t="shared" si="14"/>
        <v>16777.865878353659</v>
      </c>
      <c r="G73" s="1435">
        <f t="shared" si="15"/>
        <v>26.514619374326792</v>
      </c>
      <c r="H73" s="1436">
        <f t="shared" si="16"/>
        <v>5.7498305571647021E-2</v>
      </c>
      <c r="I73" s="24"/>
      <c r="J73" s="208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/>
      <c r="B74" s="1431" t="s">
        <v>559</v>
      </c>
      <c r="C74" s="1432">
        <v>1070055.0015750001</v>
      </c>
      <c r="D74" s="1433"/>
      <c r="E74" s="1433"/>
      <c r="F74" s="1476">
        <f t="shared" si="14"/>
        <v>13049.451238719514</v>
      </c>
      <c r="G74" s="1435">
        <f t="shared" si="15"/>
        <v>20.622481735587506</v>
      </c>
      <c r="H74" s="1436">
        <f t="shared" si="16"/>
        <v>4.4720904333503238E-2</v>
      </c>
      <c r="I74" s="24"/>
      <c r="J74" s="208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1431" t="s">
        <v>560</v>
      </c>
      <c r="C75" s="1432">
        <v>152865.00022500003</v>
      </c>
      <c r="D75" s="1433"/>
      <c r="E75" s="1433"/>
      <c r="F75" s="1476">
        <f t="shared" si="14"/>
        <v>1864.2073198170735</v>
      </c>
      <c r="G75" s="1435">
        <f t="shared" si="15"/>
        <v>2.946068819369644</v>
      </c>
      <c r="H75" s="1436">
        <f t="shared" si="16"/>
        <v>6.3887006190718916E-3</v>
      </c>
      <c r="I75" s="24"/>
      <c r="J75" s="208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hidden="1" customHeight="1" x14ac:dyDescent="0.25">
      <c r="A76" s="6"/>
      <c r="B76" s="1431" t="s">
        <v>561</v>
      </c>
      <c r="C76" s="1432">
        <v>152865.00022500003</v>
      </c>
      <c r="D76" s="1433"/>
      <c r="E76" s="1433"/>
      <c r="F76" s="1476">
        <f t="shared" si="14"/>
        <v>1864.2073198170735</v>
      </c>
      <c r="G76" s="1435">
        <f t="shared" si="15"/>
        <v>2.946068819369644</v>
      </c>
      <c r="H76" s="1436">
        <f t="shared" si="16"/>
        <v>6.3887006190718916E-3</v>
      </c>
      <c r="I76" s="24"/>
      <c r="J76" s="208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1431" t="s">
        <v>562</v>
      </c>
      <c r="C77" s="1432">
        <v>458595.00067500002</v>
      </c>
      <c r="D77" s="1433"/>
      <c r="E77" s="1433"/>
      <c r="F77" s="1476">
        <f t="shared" si="14"/>
        <v>5592.6219594512195</v>
      </c>
      <c r="G77" s="1435">
        <f t="shared" si="15"/>
        <v>8.8382064581089317</v>
      </c>
      <c r="H77" s="1436">
        <f t="shared" si="16"/>
        <v>1.9166101857215671E-2</v>
      </c>
      <c r="I77" s="24"/>
      <c r="J77" s="208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1431" t="s">
        <v>563</v>
      </c>
      <c r="C78" s="1432">
        <v>611460.0009000001</v>
      </c>
      <c r="D78" s="1433"/>
      <c r="E78" s="1433"/>
      <c r="F78" s="1476">
        <f t="shared" si="14"/>
        <v>7456.8292792682942</v>
      </c>
      <c r="G78" s="1435">
        <f t="shared" si="15"/>
        <v>11.784275277478576</v>
      </c>
      <c r="H78" s="1436">
        <f t="shared" si="16"/>
        <v>2.5554802476287566E-2</v>
      </c>
      <c r="I78" s="24"/>
      <c r="J78" s="208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1431" t="s">
        <v>564</v>
      </c>
      <c r="C79" s="1432">
        <v>764325.00112500007</v>
      </c>
      <c r="D79" s="1433"/>
      <c r="E79" s="1433"/>
      <c r="F79" s="1476">
        <f t="shared" si="14"/>
        <v>9321.0365990853661</v>
      </c>
      <c r="G79" s="1435">
        <f t="shared" si="15"/>
        <v>14.730344096848219</v>
      </c>
      <c r="H79" s="1436">
        <f t="shared" si="16"/>
        <v>3.1943503095359455E-2</v>
      </c>
      <c r="I79" s="24"/>
      <c r="J79" s="208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1431" t="s">
        <v>565</v>
      </c>
      <c r="C80" s="1432">
        <v>305730.00045000005</v>
      </c>
      <c r="D80" s="1433"/>
      <c r="E80" s="1433"/>
      <c r="F80" s="1476">
        <f t="shared" si="14"/>
        <v>3728.4146396341471</v>
      </c>
      <c r="G80" s="1435">
        <f t="shared" si="15"/>
        <v>5.8921376387392881</v>
      </c>
      <c r="H80" s="1436">
        <f t="shared" si="16"/>
        <v>1.2777401238143783E-2</v>
      </c>
      <c r="I80" s="24"/>
      <c r="J80" s="208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1431" t="s">
        <v>566</v>
      </c>
      <c r="C81" s="1432">
        <v>152865.00022500003</v>
      </c>
      <c r="D81" s="1433"/>
      <c r="E81" s="1433"/>
      <c r="F81" s="1476">
        <f t="shared" si="14"/>
        <v>1864.2073198170735</v>
      </c>
      <c r="G81" s="1435">
        <f t="shared" si="15"/>
        <v>2.946068819369644</v>
      </c>
      <c r="H81" s="1436">
        <f t="shared" si="16"/>
        <v>6.3887006190718916E-3</v>
      </c>
      <c r="I81" s="24"/>
      <c r="J81" s="20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hidden="1" customHeight="1" x14ac:dyDescent="0.25">
      <c r="A82" s="6"/>
      <c r="B82" s="1431" t="s">
        <v>567</v>
      </c>
      <c r="C82" s="1432">
        <v>0</v>
      </c>
      <c r="D82" s="1433"/>
      <c r="E82" s="1433"/>
      <c r="F82" s="1476">
        <f t="shared" si="14"/>
        <v>0</v>
      </c>
      <c r="G82" s="1435">
        <f t="shared" si="15"/>
        <v>0</v>
      </c>
      <c r="H82" s="1436">
        <f t="shared" si="16"/>
        <v>0</v>
      </c>
      <c r="I82" s="24"/>
      <c r="J82" s="208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1431" t="s">
        <v>568</v>
      </c>
      <c r="C83" s="1432">
        <v>495000</v>
      </c>
      <c r="D83" s="1433"/>
      <c r="E83" s="1433"/>
      <c r="F83" s="1476">
        <f t="shared" si="14"/>
        <v>6036.5853658536589</v>
      </c>
      <c r="G83" s="1435">
        <f t="shared" si="15"/>
        <v>9.5398165926897249</v>
      </c>
      <c r="H83" s="1436">
        <f t="shared" si="16"/>
        <v>2.0687579248264028E-2</v>
      </c>
      <c r="I83" s="24"/>
      <c r="J83" s="208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1431" t="s">
        <v>517</v>
      </c>
      <c r="C84" s="1432">
        <v>789075</v>
      </c>
      <c r="D84" s="1433"/>
      <c r="E84" s="1433"/>
      <c r="F84" s="1476">
        <f t="shared" si="14"/>
        <v>9622.8658536585372</v>
      </c>
      <c r="G84" s="1435">
        <f t="shared" si="15"/>
        <v>15.207334904801304</v>
      </c>
      <c r="H84" s="1436">
        <f t="shared" si="16"/>
        <v>3.2977882010755431E-2</v>
      </c>
      <c r="I84" s="24"/>
      <c r="J84" s="20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hidden="1" customHeight="1" x14ac:dyDescent="0.25">
      <c r="A85" s="548"/>
      <c r="B85" s="1431"/>
      <c r="C85" s="1477"/>
      <c r="D85" s="1433"/>
      <c r="E85" s="1433"/>
      <c r="F85" s="1476">
        <f t="shared" si="14"/>
        <v>0</v>
      </c>
      <c r="G85" s="1435">
        <f t="shared" si="15"/>
        <v>0</v>
      </c>
      <c r="H85" s="1436">
        <f t="shared" si="16"/>
        <v>0</v>
      </c>
      <c r="I85" s="24"/>
      <c r="J85" s="208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hidden="1" customHeight="1" x14ac:dyDescent="0.25">
      <c r="A86" s="548"/>
      <c r="B86" s="1431"/>
      <c r="C86" s="1432"/>
      <c r="D86" s="1433"/>
      <c r="E86" s="1433"/>
      <c r="F86" s="1476">
        <f t="shared" si="14"/>
        <v>0</v>
      </c>
      <c r="G86" s="1435">
        <f t="shared" si="15"/>
        <v>0</v>
      </c>
      <c r="H86" s="1436">
        <f t="shared" si="16"/>
        <v>0</v>
      </c>
      <c r="I86" s="24"/>
      <c r="J86" s="208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hidden="1" customHeight="1" x14ac:dyDescent="0.25">
      <c r="A87" s="548"/>
      <c r="B87" s="1431"/>
      <c r="C87" s="1432"/>
      <c r="D87" s="1433"/>
      <c r="E87" s="1433"/>
      <c r="F87" s="1476">
        <f t="shared" si="14"/>
        <v>0</v>
      </c>
      <c r="G87" s="1435">
        <f t="shared" si="15"/>
        <v>0</v>
      </c>
      <c r="H87" s="1436">
        <f t="shared" si="16"/>
        <v>0</v>
      </c>
      <c r="I87" s="24"/>
      <c r="J87" s="208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hidden="1" customHeight="1" x14ac:dyDescent="0.25">
      <c r="A88" s="548"/>
      <c r="B88" s="1431"/>
      <c r="C88" s="1432"/>
      <c r="D88" s="1433"/>
      <c r="E88" s="1433"/>
      <c r="F88" s="1476">
        <f t="shared" si="14"/>
        <v>0</v>
      </c>
      <c r="G88" s="1435">
        <f t="shared" si="15"/>
        <v>0</v>
      </c>
      <c r="H88" s="1436">
        <f t="shared" si="16"/>
        <v>0</v>
      </c>
      <c r="I88" s="24"/>
      <c r="J88" s="20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hidden="1" customHeight="1" x14ac:dyDescent="0.25">
      <c r="A89" s="548"/>
      <c r="B89" s="1431"/>
      <c r="C89" s="1432"/>
      <c r="D89" s="1433"/>
      <c r="E89" s="1433"/>
      <c r="F89" s="1476">
        <f t="shared" ref="F89:F109" si="17">C89/UNITS</f>
        <v>0</v>
      </c>
      <c r="G89" s="1435">
        <f t="shared" ref="G89:G109" si="18">C89/NRSF</f>
        <v>0</v>
      </c>
      <c r="H89" s="1436">
        <f t="shared" ref="H89:H109" si="19">C89/$C$130</f>
        <v>0</v>
      </c>
      <c r="I89" s="24"/>
      <c r="J89" s="208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hidden="1" customHeight="1" x14ac:dyDescent="0.25">
      <c r="A90" s="548"/>
      <c r="B90" s="1431"/>
      <c r="C90" s="1432"/>
      <c r="D90" s="1433"/>
      <c r="E90" s="1433"/>
      <c r="F90" s="1476">
        <f t="shared" si="17"/>
        <v>0</v>
      </c>
      <c r="G90" s="1435">
        <f t="shared" si="18"/>
        <v>0</v>
      </c>
      <c r="H90" s="1436">
        <f t="shared" si="19"/>
        <v>0</v>
      </c>
      <c r="I90" s="24"/>
      <c r="J90" s="208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hidden="1" customHeight="1" x14ac:dyDescent="0.25">
      <c r="A91" s="549"/>
      <c r="B91" s="1431"/>
      <c r="C91" s="1432"/>
      <c r="D91" s="1433"/>
      <c r="E91" s="1433">
        <v>0</v>
      </c>
      <c r="F91" s="1476">
        <f t="shared" si="17"/>
        <v>0</v>
      </c>
      <c r="G91" s="1435">
        <f t="shared" si="18"/>
        <v>0</v>
      </c>
      <c r="H91" s="1436">
        <f t="shared" si="19"/>
        <v>0</v>
      </c>
      <c r="I91" s="24"/>
      <c r="J91" s="208"/>
    </row>
    <row r="92" spans="1:25" ht="15.75" hidden="1" customHeight="1" x14ac:dyDescent="0.25">
      <c r="B92" s="1431"/>
      <c r="C92" s="1432"/>
      <c r="D92" s="1433">
        <v>0</v>
      </c>
      <c r="E92" s="1433">
        <f t="shared" ref="E92:E93" si="20">C92-D92</f>
        <v>0</v>
      </c>
      <c r="F92" s="1476">
        <f t="shared" si="17"/>
        <v>0</v>
      </c>
      <c r="G92" s="1435">
        <f t="shared" si="18"/>
        <v>0</v>
      </c>
      <c r="H92" s="1436">
        <f t="shared" si="19"/>
        <v>0</v>
      </c>
      <c r="I92" s="24"/>
      <c r="J92" s="208"/>
    </row>
    <row r="93" spans="1:25" ht="15.75" hidden="1" customHeight="1" x14ac:dyDescent="0.25">
      <c r="B93" s="1431"/>
      <c r="C93" s="1432"/>
      <c r="D93" s="1433">
        <v>0</v>
      </c>
      <c r="E93" s="1433">
        <f t="shared" si="20"/>
        <v>0</v>
      </c>
      <c r="F93" s="1476">
        <f t="shared" si="17"/>
        <v>0</v>
      </c>
      <c r="G93" s="1435">
        <f t="shared" si="18"/>
        <v>0</v>
      </c>
      <c r="H93" s="1436">
        <f t="shared" si="19"/>
        <v>0</v>
      </c>
      <c r="I93" s="24"/>
      <c r="J93" s="208"/>
    </row>
    <row r="94" spans="1:25" ht="15.75" hidden="1" customHeight="1" x14ac:dyDescent="0.25">
      <c r="A94" s="6"/>
      <c r="B94" s="1431"/>
      <c r="C94" s="1432"/>
      <c r="D94" s="1433"/>
      <c r="E94" s="1433"/>
      <c r="F94" s="1476">
        <f t="shared" si="17"/>
        <v>0</v>
      </c>
      <c r="G94" s="1435">
        <f t="shared" si="18"/>
        <v>0</v>
      </c>
      <c r="H94" s="1436">
        <f t="shared" si="19"/>
        <v>0</v>
      </c>
      <c r="I94" s="24"/>
      <c r="J94" s="208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hidden="1" customHeight="1" x14ac:dyDescent="0.25">
      <c r="A95" s="6"/>
      <c r="B95" s="1431"/>
      <c r="C95" s="1432"/>
      <c r="D95" s="1433"/>
      <c r="E95" s="1433"/>
      <c r="F95" s="1476">
        <f t="shared" si="17"/>
        <v>0</v>
      </c>
      <c r="G95" s="1435">
        <f t="shared" si="18"/>
        <v>0</v>
      </c>
      <c r="H95" s="1436">
        <f t="shared" si="19"/>
        <v>0</v>
      </c>
      <c r="I95" s="24"/>
      <c r="J95" s="208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hidden="1" customHeight="1" x14ac:dyDescent="0.25">
      <c r="A96" s="6"/>
      <c r="B96" s="1431"/>
      <c r="C96" s="1432"/>
      <c r="D96" s="1433"/>
      <c r="E96" s="1433"/>
      <c r="F96" s="1476">
        <f t="shared" si="17"/>
        <v>0</v>
      </c>
      <c r="G96" s="1435">
        <f t="shared" si="18"/>
        <v>0</v>
      </c>
      <c r="H96" s="1436">
        <f t="shared" si="19"/>
        <v>0</v>
      </c>
      <c r="I96" s="24"/>
      <c r="J96" s="208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hidden="1" customHeight="1" x14ac:dyDescent="0.25">
      <c r="A97" s="6"/>
      <c r="B97" s="1431"/>
      <c r="C97" s="1432"/>
      <c r="D97" s="1433"/>
      <c r="E97" s="1433"/>
      <c r="F97" s="1476">
        <f t="shared" si="17"/>
        <v>0</v>
      </c>
      <c r="G97" s="1435">
        <f t="shared" si="18"/>
        <v>0</v>
      </c>
      <c r="H97" s="1436">
        <f t="shared" si="19"/>
        <v>0</v>
      </c>
      <c r="I97" s="24"/>
      <c r="J97" s="208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hidden="1" customHeight="1" x14ac:dyDescent="0.25">
      <c r="A98" s="548" t="s">
        <v>506</v>
      </c>
      <c r="B98" s="1431"/>
      <c r="C98" s="1432"/>
      <c r="D98" s="1433"/>
      <c r="E98" s="1433"/>
      <c r="F98" s="1476">
        <f t="shared" si="17"/>
        <v>0</v>
      </c>
      <c r="G98" s="1435">
        <f t="shared" si="18"/>
        <v>0</v>
      </c>
      <c r="H98" s="1436">
        <f t="shared" si="19"/>
        <v>0</v>
      </c>
      <c r="I98" s="24"/>
      <c r="J98" s="208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hidden="1" customHeight="1" x14ac:dyDescent="0.25">
      <c r="A99" s="548"/>
      <c r="B99" s="1431"/>
      <c r="C99" s="1432"/>
      <c r="D99" s="1433"/>
      <c r="E99" s="1433"/>
      <c r="F99" s="1476">
        <f t="shared" si="17"/>
        <v>0</v>
      </c>
      <c r="G99" s="1435">
        <f t="shared" si="18"/>
        <v>0</v>
      </c>
      <c r="H99" s="1436">
        <f t="shared" si="19"/>
        <v>0</v>
      </c>
      <c r="I99" s="24"/>
      <c r="J99" s="208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hidden="1" customHeight="1" x14ac:dyDescent="0.25">
      <c r="A100" s="548"/>
      <c r="B100" s="1431"/>
      <c r="C100" s="1432"/>
      <c r="D100" s="1433"/>
      <c r="E100" s="1433"/>
      <c r="F100" s="1476">
        <f t="shared" si="17"/>
        <v>0</v>
      </c>
      <c r="G100" s="1435">
        <f t="shared" si="18"/>
        <v>0</v>
      </c>
      <c r="H100" s="1436">
        <f t="shared" si="19"/>
        <v>0</v>
      </c>
      <c r="I100" s="24"/>
      <c r="J100" s="208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hidden="1" customHeight="1" x14ac:dyDescent="0.25">
      <c r="A101" s="548"/>
      <c r="B101" s="1431"/>
      <c r="C101" s="1432"/>
      <c r="D101" s="1433"/>
      <c r="E101" s="1433"/>
      <c r="F101" s="1476">
        <f t="shared" si="17"/>
        <v>0</v>
      </c>
      <c r="G101" s="1435">
        <f t="shared" si="18"/>
        <v>0</v>
      </c>
      <c r="H101" s="1436">
        <f t="shared" si="19"/>
        <v>0</v>
      </c>
      <c r="I101" s="24"/>
      <c r="J101" s="208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hidden="1" customHeight="1" x14ac:dyDescent="0.25">
      <c r="A102" s="548"/>
      <c r="B102" s="1431"/>
      <c r="C102" s="1432"/>
      <c r="D102" s="1433"/>
      <c r="E102" s="1433"/>
      <c r="F102" s="1476">
        <f t="shared" si="17"/>
        <v>0</v>
      </c>
      <c r="G102" s="1435">
        <f t="shared" si="18"/>
        <v>0</v>
      </c>
      <c r="H102" s="1436">
        <f t="shared" si="19"/>
        <v>0</v>
      </c>
      <c r="I102" s="24"/>
      <c r="J102" s="208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hidden="1" customHeight="1" x14ac:dyDescent="0.25">
      <c r="A103" s="548"/>
      <c r="B103" s="1431"/>
      <c r="C103" s="1432"/>
      <c r="D103" s="1433"/>
      <c r="E103" s="1433"/>
      <c r="F103" s="1476">
        <f t="shared" si="17"/>
        <v>0</v>
      </c>
      <c r="G103" s="1435">
        <f t="shared" si="18"/>
        <v>0</v>
      </c>
      <c r="H103" s="1436">
        <f t="shared" si="19"/>
        <v>0</v>
      </c>
      <c r="I103" s="24"/>
      <c r="J103" s="208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hidden="1" customHeight="1" x14ac:dyDescent="0.25">
      <c r="A104" s="6"/>
      <c r="B104" s="1431"/>
      <c r="C104" s="1432"/>
      <c r="D104" s="1433"/>
      <c r="E104" s="1433"/>
      <c r="F104" s="1476">
        <f t="shared" si="17"/>
        <v>0</v>
      </c>
      <c r="G104" s="1435">
        <f t="shared" si="18"/>
        <v>0</v>
      </c>
      <c r="H104" s="1436">
        <f t="shared" si="19"/>
        <v>0</v>
      </c>
      <c r="I104" s="24"/>
      <c r="J104" s="208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hidden="1" customHeight="1" x14ac:dyDescent="0.25">
      <c r="A105" s="6"/>
      <c r="B105" s="1431"/>
      <c r="C105" s="1432"/>
      <c r="D105" s="1433"/>
      <c r="E105" s="1433"/>
      <c r="F105" s="1476">
        <f t="shared" si="17"/>
        <v>0</v>
      </c>
      <c r="G105" s="1435">
        <f t="shared" si="18"/>
        <v>0</v>
      </c>
      <c r="H105" s="1436">
        <f t="shared" si="19"/>
        <v>0</v>
      </c>
      <c r="I105" s="24"/>
      <c r="J105" s="208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hidden="1" customHeight="1" x14ac:dyDescent="0.25">
      <c r="A106" s="6"/>
      <c r="B106" s="1431"/>
      <c r="C106" s="1432"/>
      <c r="D106" s="1433"/>
      <c r="E106" s="1433"/>
      <c r="F106" s="1476">
        <f t="shared" si="17"/>
        <v>0</v>
      </c>
      <c r="G106" s="1435">
        <f t="shared" si="18"/>
        <v>0</v>
      </c>
      <c r="H106" s="1436">
        <f t="shared" si="19"/>
        <v>0</v>
      </c>
      <c r="I106" s="24"/>
      <c r="J106" s="208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hidden="1" customHeight="1" x14ac:dyDescent="0.25">
      <c r="A107" s="6"/>
      <c r="B107" s="1431"/>
      <c r="C107" s="1432"/>
      <c r="D107" s="1433"/>
      <c r="E107" s="1433"/>
      <c r="F107" s="1476">
        <f t="shared" si="17"/>
        <v>0</v>
      </c>
      <c r="G107" s="1435">
        <f t="shared" si="18"/>
        <v>0</v>
      </c>
      <c r="H107" s="1436">
        <f t="shared" si="19"/>
        <v>0</v>
      </c>
      <c r="I107" s="24"/>
      <c r="J107" s="208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hidden="1" customHeight="1" x14ac:dyDescent="0.25">
      <c r="A108" s="6"/>
      <c r="B108" s="1431"/>
      <c r="C108" s="1432"/>
      <c r="D108" s="1433"/>
      <c r="E108" s="1433"/>
      <c r="F108" s="1478">
        <f t="shared" si="17"/>
        <v>0</v>
      </c>
      <c r="G108" s="1479">
        <f t="shared" si="18"/>
        <v>0</v>
      </c>
      <c r="H108" s="1438">
        <f t="shared" si="19"/>
        <v>0</v>
      </c>
      <c r="I108" s="551"/>
      <c r="J108" s="208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197"/>
      <c r="B109" s="1439" t="s">
        <v>198</v>
      </c>
      <c r="C109" s="1440">
        <f>SUM(C57:C108)</f>
        <v>16570575.022500005</v>
      </c>
      <c r="D109" s="1440">
        <f>SUM(D92:D108)</f>
        <v>0</v>
      </c>
      <c r="E109" s="1440" t="str">
        <f>IF(SUM(E56:E108)=C109-D109,C109-D109,"Check")</f>
        <v>Check</v>
      </c>
      <c r="F109" s="1441">
        <f t="shared" si="17"/>
        <v>202080.18320121957</v>
      </c>
      <c r="G109" s="1442">
        <f t="shared" si="18"/>
        <v>319.35403343445546</v>
      </c>
      <c r="H109" s="1480">
        <f t="shared" si="19"/>
        <v>0.6925355231662087</v>
      </c>
      <c r="I109" s="24"/>
      <c r="J109" s="208"/>
      <c r="L109" s="209"/>
      <c r="M109" s="24"/>
    </row>
    <row r="110" spans="1:25" ht="15.75" customHeight="1" x14ac:dyDescent="0.25">
      <c r="B110" s="1427"/>
      <c r="C110" s="1428"/>
      <c r="D110" s="1428"/>
      <c r="E110" s="1428"/>
      <c r="F110" s="1444"/>
      <c r="G110" s="1445"/>
      <c r="H110" s="1446"/>
      <c r="I110" s="24"/>
      <c r="J110" s="208"/>
    </row>
    <row r="111" spans="1:25" ht="15.75" customHeight="1" x14ac:dyDescent="0.25">
      <c r="B111" s="1427" t="s">
        <v>199</v>
      </c>
      <c r="C111" s="1428"/>
      <c r="D111" s="1428"/>
      <c r="E111" s="1428"/>
      <c r="F111" s="1444"/>
      <c r="G111" s="1447"/>
      <c r="H111" s="1448"/>
      <c r="I111" s="24"/>
      <c r="J111" s="208"/>
      <c r="O111" s="210"/>
    </row>
    <row r="112" spans="1:25" ht="15.75" customHeight="1" x14ac:dyDescent="0.25">
      <c r="B112" s="1481" t="s">
        <v>200</v>
      </c>
      <c r="C112" s="1450">
        <v>789075</v>
      </c>
      <c r="D112" s="1451">
        <v>0</v>
      </c>
      <c r="E112" s="1451">
        <f>C112-D112</f>
        <v>789075</v>
      </c>
      <c r="F112" s="1482">
        <f>C112/UNITS</f>
        <v>9622.8658536585372</v>
      </c>
      <c r="G112" s="1483">
        <f>C112/NRSF</f>
        <v>15.207334904801304</v>
      </c>
      <c r="H112" s="1484">
        <f>C112/$C$130</f>
        <v>3.2977882010755431E-2</v>
      </c>
      <c r="I112" s="24"/>
      <c r="J112" s="81"/>
    </row>
    <row r="113" spans="1:25" ht="15.75" customHeight="1" x14ac:dyDescent="0.25">
      <c r="A113" s="6"/>
      <c r="B113" s="1431" t="s">
        <v>201</v>
      </c>
      <c r="C113" s="1432">
        <v>2400</v>
      </c>
      <c r="D113" s="1433"/>
      <c r="E113" s="1433"/>
      <c r="F113" s="1485">
        <f>C113/UNITS</f>
        <v>29.26829268292683</v>
      </c>
      <c r="G113" s="1474">
        <f>C113/NRSF</f>
        <v>4.6253656206980485E-2</v>
      </c>
      <c r="H113" s="1486">
        <f>C113/$C$130</f>
        <v>1.003034145370377E-4</v>
      </c>
      <c r="I113" s="24"/>
      <c r="J113" s="8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B114" s="1431" t="s">
        <v>202</v>
      </c>
      <c r="C114" s="1432">
        <v>902542</v>
      </c>
      <c r="D114" s="1433"/>
      <c r="E114" s="1433">
        <v>0</v>
      </c>
      <c r="F114" s="1487">
        <f>C114/UNITS</f>
        <v>11006.609756097561</v>
      </c>
      <c r="G114" s="1488">
        <f>C114/NRSF</f>
        <v>17.394111408483575</v>
      </c>
      <c r="H114" s="1489">
        <f>C114/$C$130</f>
        <v>3.7720018484619623E-2</v>
      </c>
      <c r="I114" s="24"/>
    </row>
    <row r="115" spans="1:25" ht="15.75" customHeight="1" x14ac:dyDescent="0.25">
      <c r="A115" s="197"/>
      <c r="B115" s="1457" t="s">
        <v>203</v>
      </c>
      <c r="C115" s="1459">
        <f>SUM(C112:C114)</f>
        <v>1694017</v>
      </c>
      <c r="D115" s="1459">
        <f>SUM(D112:D114)</f>
        <v>0</v>
      </c>
      <c r="E115" s="1459">
        <f>SUM(E112)</f>
        <v>789075</v>
      </c>
      <c r="F115" s="1490">
        <f>C115/UNITS</f>
        <v>20658.743902439026</v>
      </c>
      <c r="G115" s="1491">
        <f>C115/NRSF</f>
        <v>32.64769996949186</v>
      </c>
      <c r="H115" s="1492">
        <f>C115/$C$130</f>
        <v>7.0798203909912094E-2</v>
      </c>
      <c r="I115" s="24"/>
      <c r="J115" s="81"/>
    </row>
    <row r="116" spans="1:25" ht="15.75" customHeight="1" x14ac:dyDescent="0.25">
      <c r="A116" s="6"/>
      <c r="B116" s="1463"/>
      <c r="C116" s="1464"/>
      <c r="D116" s="1464"/>
      <c r="E116" s="1464"/>
      <c r="F116" s="1465"/>
      <c r="G116" s="1466"/>
      <c r="H116" s="1467"/>
      <c r="I116" s="24"/>
      <c r="J116" s="208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1493" t="s">
        <v>204</v>
      </c>
      <c r="C117" s="1494"/>
      <c r="D117" s="1469"/>
      <c r="E117" s="1469"/>
      <c r="F117" s="1495"/>
      <c r="G117" s="1496"/>
      <c r="H117" s="1497"/>
      <c r="I117" s="24"/>
      <c r="J117" s="208"/>
      <c r="K117" s="6"/>
      <c r="L117" s="6"/>
      <c r="M117" s="6"/>
      <c r="N117" s="6"/>
      <c r="O117" s="210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1498" t="s">
        <v>205</v>
      </c>
      <c r="C118" s="1499">
        <f>LOAN*RATE</f>
        <v>1244224.8409590959</v>
      </c>
      <c r="D118" s="1500">
        <v>0</v>
      </c>
      <c r="E118" s="1500">
        <f>C118-D118</f>
        <v>1244224.8409590959</v>
      </c>
      <c r="F118" s="1482">
        <f t="shared" ref="F118:F128" si="21">C118/UNITS</f>
        <v>15173.473670232876</v>
      </c>
      <c r="G118" s="1483">
        <f t="shared" ref="G118:G128" si="22">C118/NRSF</f>
        <v>23.979145015794579</v>
      </c>
      <c r="H118" s="1484">
        <f t="shared" ref="H118:H123" si="23">C118/$C$130</f>
        <v>5.2000000000000005E-2</v>
      </c>
      <c r="I118" s="24"/>
      <c r="J118" s="8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hidden="1" customHeight="1" x14ac:dyDescent="0.25">
      <c r="A119" s="6"/>
      <c r="B119" s="1501" t="s">
        <v>206</v>
      </c>
      <c r="C119" s="1502"/>
      <c r="D119" s="1472"/>
      <c r="E119" s="1472"/>
      <c r="F119" s="1485">
        <f t="shared" si="21"/>
        <v>0</v>
      </c>
      <c r="G119" s="1474">
        <f t="shared" si="22"/>
        <v>0</v>
      </c>
      <c r="H119" s="1486">
        <f t="shared" si="23"/>
        <v>0</v>
      </c>
      <c r="I119" s="24"/>
      <c r="J119" s="8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1501" t="str">
        <f>'Source &amp; Use'!B30</f>
        <v>Lender Origination Fee</v>
      </c>
      <c r="C120" s="1502">
        <f>'Source &amp; Use'!C30</f>
        <v>155528.10511988698</v>
      </c>
      <c r="D120" s="1472"/>
      <c r="E120" s="1472"/>
      <c r="F120" s="1485">
        <f t="shared" si="21"/>
        <v>1896.6842087791094</v>
      </c>
      <c r="G120" s="1474">
        <f t="shared" si="22"/>
        <v>2.9973931269743224</v>
      </c>
      <c r="H120" s="1486">
        <f t="shared" si="23"/>
        <v>6.5000000000000006E-3</v>
      </c>
      <c r="I120" s="24"/>
      <c r="J120" s="8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1501" t="str">
        <f>'Source &amp; Use'!B31</f>
        <v>Debt Placement Fee</v>
      </c>
      <c r="C121" s="1502">
        <f>'Source &amp; Use'!C31</f>
        <v>155528.10511988698</v>
      </c>
      <c r="D121" s="1503"/>
      <c r="E121" s="1503"/>
      <c r="F121" s="1485">
        <f t="shared" si="21"/>
        <v>1896.6842087791094</v>
      </c>
      <c r="G121" s="1474">
        <f t="shared" si="22"/>
        <v>2.9973931269743224</v>
      </c>
      <c r="H121" s="1486">
        <f t="shared" si="23"/>
        <v>6.5000000000000006E-3</v>
      </c>
      <c r="I121" s="24"/>
      <c r="J121" s="8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1501" t="str">
        <f>'Source &amp; Use'!B32</f>
        <v>Equity Placement Fee</v>
      </c>
      <c r="C122" s="1502">
        <f>'Source &amp; Use'!C32</f>
        <v>110000</v>
      </c>
      <c r="D122" s="1472"/>
      <c r="E122" s="1472"/>
      <c r="F122" s="1485">
        <f t="shared" si="21"/>
        <v>1341.4634146341464</v>
      </c>
      <c r="G122" s="1474">
        <f t="shared" si="22"/>
        <v>2.119959242819939</v>
      </c>
      <c r="H122" s="1486">
        <f t="shared" si="23"/>
        <v>4.597239832947562E-3</v>
      </c>
      <c r="I122" s="24"/>
      <c r="J122" s="8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1501" t="str">
        <f>'Source &amp; Use'!B33</f>
        <v>Legal Fees</v>
      </c>
      <c r="C123" s="1504">
        <f>'Source &amp; Use'!C33</f>
        <v>20000</v>
      </c>
      <c r="D123" s="1472"/>
      <c r="E123" s="1472"/>
      <c r="F123" s="1485">
        <f t="shared" si="21"/>
        <v>243.90243902439025</v>
      </c>
      <c r="G123" s="1474">
        <f t="shared" si="22"/>
        <v>0.38544713505817069</v>
      </c>
      <c r="H123" s="1486">
        <f t="shared" si="23"/>
        <v>8.3586178780864755E-4</v>
      </c>
      <c r="I123" s="24"/>
      <c r="J123" s="8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1501" t="str">
        <f>'Source &amp; Use'!B34</f>
        <v>Inspection / Draw Fees</v>
      </c>
      <c r="C124" s="1504">
        <f>'Source &amp; Use'!C34</f>
        <v>15000</v>
      </c>
      <c r="D124" s="1472"/>
      <c r="E124" s="1472"/>
      <c r="F124" s="1485">
        <f t="shared" ref="F124:F127" si="24">C124/UNITS</f>
        <v>182.92682926829269</v>
      </c>
      <c r="G124" s="1474">
        <f t="shared" ref="G124:G127" si="25">C124/NRSF</f>
        <v>0.28908535129362806</v>
      </c>
      <c r="H124" s="1486">
        <f t="shared" ref="H124:H127" si="26">C124/$C$130</f>
        <v>6.2689634085648567E-4</v>
      </c>
      <c r="I124" s="24"/>
      <c r="J124" s="8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1501" t="str">
        <f>'Source &amp; Use'!B35</f>
        <v>Title Insurance</v>
      </c>
      <c r="C125" s="1504">
        <f>'Source &amp; Use'!C35</f>
        <v>10000</v>
      </c>
      <c r="D125" s="1472"/>
      <c r="E125" s="1472"/>
      <c r="F125" s="1485">
        <f t="shared" si="24"/>
        <v>121.95121951219512</v>
      </c>
      <c r="G125" s="1474">
        <f t="shared" si="25"/>
        <v>0.19272356752908534</v>
      </c>
      <c r="H125" s="1486">
        <f t="shared" si="26"/>
        <v>4.1793089390432378E-4</v>
      </c>
      <c r="I125" s="24"/>
      <c r="J125" s="8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1505" t="str">
        <f>'Source &amp; Use'!B36</f>
        <v>Appraisal</v>
      </c>
      <c r="C126" s="1506">
        <f>'Source &amp; Use'!C36</f>
        <v>7500</v>
      </c>
      <c r="D126" s="1503"/>
      <c r="E126" s="1503"/>
      <c r="F126" s="1487">
        <f t="shared" si="24"/>
        <v>91.463414634146346</v>
      </c>
      <c r="G126" s="1488">
        <f t="shared" si="25"/>
        <v>0.14454267564681403</v>
      </c>
      <c r="H126" s="1489">
        <f t="shared" si="26"/>
        <v>3.1344817042824283E-4</v>
      </c>
      <c r="I126" s="24"/>
      <c r="J126" s="8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hidden="1" customHeight="1" x14ac:dyDescent="0.25">
      <c r="A127" s="6"/>
      <c r="B127" s="1505" t="str">
        <f>'Source &amp; Use'!B37</f>
        <v>Processing Fee</v>
      </c>
      <c r="C127" s="1506">
        <f>'Source &amp; Use'!C37</f>
        <v>0</v>
      </c>
      <c r="D127" s="1433"/>
      <c r="E127" s="1433">
        <v>0</v>
      </c>
      <c r="F127" s="1487">
        <f t="shared" si="24"/>
        <v>0</v>
      </c>
      <c r="G127" s="1488">
        <f t="shared" si="25"/>
        <v>0</v>
      </c>
      <c r="H127" s="1489">
        <f t="shared" si="26"/>
        <v>0</v>
      </c>
      <c r="I127" s="2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197"/>
      <c r="B128" s="1507" t="s">
        <v>207</v>
      </c>
      <c r="C128" s="1508">
        <f>SUM(C118:C127)</f>
        <v>1717781.0511988699</v>
      </c>
      <c r="D128" s="1440">
        <f>SUM(D118:D127)</f>
        <v>0</v>
      </c>
      <c r="E128" s="1440">
        <f>SUM(E118)</f>
        <v>1244224.8409590959</v>
      </c>
      <c r="F128" s="1509">
        <f t="shared" si="21"/>
        <v>20948.549404864269</v>
      </c>
      <c r="G128" s="1510">
        <f t="shared" si="22"/>
        <v>33.105689242090861</v>
      </c>
      <c r="H128" s="1443">
        <f>C128/$C$130</f>
        <v>7.1791377025945277E-2</v>
      </c>
      <c r="I128" s="24"/>
      <c r="J128" s="8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15" ht="15.75" customHeight="1" x14ac:dyDescent="0.25">
      <c r="B129" s="1511"/>
      <c r="C129" s="1512"/>
      <c r="D129" s="1512"/>
      <c r="E129" s="1512"/>
      <c r="F129" s="1513"/>
      <c r="G129" s="1514"/>
      <c r="H129" s="1515"/>
      <c r="I129" s="24"/>
      <c r="J129" s="81"/>
    </row>
    <row r="130" spans="1:15" ht="15.75" customHeight="1" x14ac:dyDescent="0.25">
      <c r="A130" s="197"/>
      <c r="B130" s="1439" t="s">
        <v>620</v>
      </c>
      <c r="C130" s="1516">
        <f>C115+C109+C54+C19+C131</f>
        <v>23927400.787674919</v>
      </c>
      <c r="D130" s="1440" t="e">
        <f t="shared" ref="D130:E130" si="27">D115+D109+#REF!</f>
        <v>#REF!</v>
      </c>
      <c r="E130" s="1440" t="e">
        <f t="shared" si="27"/>
        <v>#VALUE!</v>
      </c>
      <c r="F130" s="1441">
        <f>C130/UNITS</f>
        <v>291797.57058140147</v>
      </c>
      <c r="G130" s="1442">
        <f>C130/NRSF</f>
        <v>461.13740414989576</v>
      </c>
      <c r="H130" s="1480">
        <f>C130/COST</f>
        <v>1</v>
      </c>
      <c r="I130" s="24"/>
      <c r="J130" s="198"/>
    </row>
    <row r="131" spans="1:15" ht="15.75" customHeight="1" x14ac:dyDescent="0.25">
      <c r="A131" s="197"/>
      <c r="B131" s="1422"/>
      <c r="C131" s="1517"/>
      <c r="D131" s="1517"/>
      <c r="E131" s="1517"/>
      <c r="F131" s="1426"/>
      <c r="G131" s="1518"/>
      <c r="H131" s="1519"/>
      <c r="J131" s="198"/>
    </row>
    <row r="132" spans="1:15" ht="15.75" customHeight="1" x14ac:dyDescent="0.25">
      <c r="A132" s="197"/>
      <c r="B132" s="584"/>
      <c r="C132" s="1520"/>
      <c r="D132" s="1520">
        <v>6640921</v>
      </c>
      <c r="E132" s="1520"/>
      <c r="F132" s="1433"/>
      <c r="G132" s="1521"/>
      <c r="H132" s="1521"/>
      <c r="J132" s="198"/>
      <c r="O132" s="562"/>
    </row>
    <row r="133" spans="1:15" ht="15.75" hidden="1" customHeight="1" x14ac:dyDescent="0.25">
      <c r="A133" s="213"/>
      <c r="B133" s="1522" t="s">
        <v>208</v>
      </c>
      <c r="C133" s="1523"/>
      <c r="D133" s="1523"/>
      <c r="E133" s="1523"/>
      <c r="F133" s="1524"/>
      <c r="G133" s="1523"/>
      <c r="H133" s="1523"/>
      <c r="J133" s="214"/>
    </row>
    <row r="134" spans="1:15" ht="15.75" hidden="1" customHeight="1" x14ac:dyDescent="0.25">
      <c r="A134" s="215">
        <v>-1</v>
      </c>
      <c r="B134" s="1936"/>
      <c r="C134" s="1937"/>
      <c r="D134" s="1937"/>
      <c r="E134" s="1937"/>
      <c r="F134" s="1937"/>
      <c r="G134" s="1937"/>
      <c r="H134" s="1937"/>
      <c r="J134" s="216"/>
    </row>
    <row r="135" spans="1:15" ht="15.75" hidden="1" customHeight="1" x14ac:dyDescent="0.25">
      <c r="A135" s="215">
        <v>-2</v>
      </c>
      <c r="B135" s="1525"/>
      <c r="C135" s="1521"/>
      <c r="D135" s="584"/>
      <c r="E135" s="584"/>
      <c r="F135" s="1526"/>
      <c r="G135" s="584"/>
      <c r="H135" s="1527"/>
      <c r="J135" s="214"/>
    </row>
    <row r="136" spans="1:15" ht="15.75" hidden="1" customHeight="1" x14ac:dyDescent="0.25">
      <c r="A136" s="215">
        <v>-3</v>
      </c>
      <c r="B136" s="584"/>
      <c r="C136" s="1521"/>
      <c r="D136" s="584"/>
      <c r="E136" s="584"/>
      <c r="F136" s="1526"/>
      <c r="G136" s="584"/>
      <c r="H136" s="1527"/>
      <c r="J136" s="216"/>
    </row>
    <row r="137" spans="1:15" ht="15.75" hidden="1" customHeight="1" x14ac:dyDescent="0.25">
      <c r="A137" s="215">
        <v>-4</v>
      </c>
      <c r="B137" s="584"/>
      <c r="C137" s="1521"/>
      <c r="D137" s="584"/>
      <c r="E137" s="584"/>
      <c r="F137" s="1526"/>
      <c r="G137" s="584"/>
      <c r="H137" s="1527"/>
      <c r="J137" s="198"/>
    </row>
    <row r="138" spans="1:15" ht="15.75" hidden="1" customHeight="1" x14ac:dyDescent="0.25">
      <c r="A138" s="215">
        <v>-5</v>
      </c>
      <c r="B138" s="584"/>
      <c r="C138" s="1521"/>
      <c r="D138" s="584"/>
      <c r="E138" s="584"/>
      <c r="F138" s="1526"/>
      <c r="G138" s="584"/>
      <c r="H138" s="1527"/>
      <c r="J138" s="218"/>
    </row>
    <row r="139" spans="1:15" ht="15.75" hidden="1" customHeight="1" x14ac:dyDescent="0.25">
      <c r="A139" s="215">
        <v>-6</v>
      </c>
      <c r="B139" s="584"/>
      <c r="C139" s="1521"/>
      <c r="D139" s="584"/>
      <c r="E139" s="584"/>
      <c r="F139" s="1526"/>
      <c r="G139" s="584"/>
      <c r="H139" s="1527"/>
      <c r="J139" s="216"/>
    </row>
    <row r="140" spans="1:15" ht="15.75" customHeight="1" x14ac:dyDescent="0.25">
      <c r="A140" s="213"/>
      <c r="B140" s="584"/>
      <c r="C140" s="1521"/>
      <c r="D140" s="584"/>
      <c r="E140" s="584"/>
      <c r="F140" s="1526"/>
      <c r="G140" s="584"/>
      <c r="H140" s="1527"/>
      <c r="J140" s="214"/>
    </row>
    <row r="141" spans="1:15" ht="15.75" customHeight="1" x14ac:dyDescent="0.25">
      <c r="A141" s="213"/>
      <c r="B141" s="584"/>
      <c r="C141" s="1521"/>
      <c r="D141" s="584"/>
      <c r="E141" s="584"/>
      <c r="F141" s="1526"/>
      <c r="G141" s="584"/>
      <c r="H141" s="1527"/>
      <c r="J141" s="216"/>
    </row>
    <row r="142" spans="1:15" ht="15.75" customHeight="1" x14ac:dyDescent="0.25">
      <c r="A142" s="213"/>
      <c r="B142" s="584"/>
      <c r="C142" s="1521"/>
      <c r="D142" s="584"/>
      <c r="E142" s="584"/>
      <c r="F142" s="1526"/>
      <c r="G142" s="584"/>
      <c r="H142" s="1527"/>
      <c r="J142" s="218"/>
    </row>
    <row r="143" spans="1:15" ht="15.75" customHeight="1" x14ac:dyDescent="0.25">
      <c r="A143" s="197"/>
      <c r="B143" s="584"/>
      <c r="C143" s="1521"/>
      <c r="D143" s="584"/>
      <c r="E143" s="584"/>
      <c r="F143" s="1526"/>
      <c r="G143" s="584"/>
      <c r="H143" s="1368"/>
      <c r="J143" s="198"/>
    </row>
    <row r="144" spans="1:15" ht="15.75" customHeight="1" x14ac:dyDescent="0.25">
      <c r="A144" s="197"/>
      <c r="B144" s="584"/>
      <c r="C144" s="1521"/>
      <c r="D144" s="584"/>
      <c r="E144" s="584"/>
      <c r="F144" s="1526"/>
      <c r="G144" s="584"/>
      <c r="H144" s="1368"/>
      <c r="J144" s="198"/>
    </row>
    <row r="145" spans="1:10" ht="15.75" customHeight="1" x14ac:dyDescent="0.25">
      <c r="A145" s="197"/>
      <c r="B145" s="584"/>
      <c r="C145" s="1521"/>
      <c r="D145" s="584"/>
      <c r="E145" s="584"/>
      <c r="F145" s="1526"/>
      <c r="G145" s="584"/>
      <c r="H145" s="1368"/>
      <c r="J145" s="198"/>
    </row>
    <row r="146" spans="1:10" ht="15.75" customHeight="1" x14ac:dyDescent="0.25">
      <c r="A146" s="197"/>
      <c r="B146" s="584"/>
      <c r="C146" s="1521"/>
      <c r="D146" s="584"/>
      <c r="E146" s="584"/>
      <c r="F146" s="1526"/>
      <c r="G146" s="584"/>
      <c r="H146" s="1368"/>
      <c r="J146" s="198"/>
    </row>
    <row r="147" spans="1:10" ht="15.75" customHeight="1" x14ac:dyDescent="0.25">
      <c r="A147" s="197"/>
      <c r="B147" s="584"/>
      <c r="C147" s="1521"/>
      <c r="D147" s="584"/>
      <c r="E147" s="584"/>
      <c r="F147" s="1526"/>
      <c r="G147" s="584"/>
      <c r="H147" s="1368"/>
      <c r="J147" s="198"/>
    </row>
    <row r="148" spans="1:10" ht="15.75" customHeight="1" x14ac:dyDescent="0.25">
      <c r="A148" s="197"/>
      <c r="B148" s="584"/>
      <c r="C148" s="1521"/>
      <c r="D148" s="584"/>
      <c r="E148" s="584"/>
      <c r="F148" s="1434"/>
      <c r="G148" s="1368"/>
      <c r="H148" s="1368"/>
      <c r="J148" s="198"/>
    </row>
    <row r="149" spans="1:10" ht="15.75" customHeight="1" x14ac:dyDescent="0.25">
      <c r="A149" s="197"/>
      <c r="B149" s="584"/>
      <c r="C149" s="1521"/>
      <c r="D149" s="584"/>
      <c r="E149" s="584"/>
      <c r="F149" s="1526"/>
      <c r="G149" s="1368"/>
      <c r="H149" s="1368"/>
      <c r="J149" s="198"/>
    </row>
    <row r="150" spans="1:10" ht="15.75" customHeight="1" x14ac:dyDescent="0.25">
      <c r="A150" s="197"/>
      <c r="B150" s="584"/>
      <c r="C150" s="1521"/>
      <c r="D150" s="584"/>
      <c r="E150" s="584"/>
      <c r="F150" s="1526"/>
      <c r="G150" s="1368"/>
      <c r="H150" s="1368"/>
      <c r="J150" s="198"/>
    </row>
    <row r="151" spans="1:10" ht="15.75" customHeight="1" x14ac:dyDescent="0.25">
      <c r="A151" s="197"/>
      <c r="B151" s="584"/>
      <c r="C151" s="1521"/>
      <c r="D151" s="584"/>
      <c r="E151" s="584"/>
      <c r="F151" s="1526"/>
      <c r="G151" s="1368"/>
      <c r="H151" s="1368"/>
      <c r="J151" s="198"/>
    </row>
    <row r="152" spans="1:10" ht="15.75" customHeight="1" x14ac:dyDescent="0.25">
      <c r="A152" s="197"/>
      <c r="B152" s="584"/>
      <c r="C152" s="1521"/>
      <c r="D152" s="584"/>
      <c r="E152" s="584"/>
      <c r="F152" s="1526"/>
      <c r="G152" s="1368"/>
      <c r="H152" s="1368"/>
      <c r="J152" s="198"/>
    </row>
    <row r="153" spans="1:10" ht="15.75" customHeight="1" x14ac:dyDescent="0.25">
      <c r="A153" s="197"/>
      <c r="B153" s="584"/>
      <c r="C153" s="1521"/>
      <c r="D153" s="584"/>
      <c r="E153" s="584"/>
      <c r="F153" s="1526"/>
      <c r="G153" s="1368"/>
      <c r="H153" s="1368"/>
      <c r="J153" s="198"/>
    </row>
    <row r="154" spans="1:10" ht="15.75" customHeight="1" x14ac:dyDescent="0.25">
      <c r="A154" s="197"/>
      <c r="B154" s="584"/>
      <c r="C154" s="1521"/>
      <c r="D154" s="584"/>
      <c r="E154" s="584"/>
      <c r="F154" s="1526"/>
      <c r="G154" s="1368"/>
      <c r="H154" s="1368"/>
      <c r="J154" s="198"/>
    </row>
    <row r="155" spans="1:10" ht="15.75" customHeight="1" x14ac:dyDescent="0.25">
      <c r="A155" s="197"/>
      <c r="B155" s="584"/>
      <c r="C155" s="1521"/>
      <c r="D155" s="584"/>
      <c r="E155" s="584"/>
      <c r="F155" s="1526"/>
      <c r="G155" s="1368"/>
      <c r="H155" s="1368"/>
      <c r="J155" s="198"/>
    </row>
    <row r="156" spans="1:10" ht="15.75" customHeight="1" x14ac:dyDescent="0.25">
      <c r="A156" s="197"/>
      <c r="B156" s="584"/>
      <c r="C156" s="1521"/>
      <c r="D156" s="584"/>
      <c r="E156" s="584"/>
      <c r="F156" s="1526"/>
      <c r="G156" s="1368"/>
      <c r="H156" s="1368"/>
      <c r="J156" s="198"/>
    </row>
    <row r="157" spans="1:10" ht="15.75" customHeight="1" x14ac:dyDescent="0.25">
      <c r="A157" s="197"/>
      <c r="B157" s="584"/>
      <c r="C157" s="1521"/>
      <c r="D157" s="584"/>
      <c r="E157" s="584"/>
      <c r="F157" s="1526"/>
      <c r="G157" s="1368"/>
      <c r="H157" s="1368"/>
      <c r="J157" s="198"/>
    </row>
    <row r="158" spans="1:10" ht="15.75" customHeight="1" x14ac:dyDescent="0.25">
      <c r="A158" s="197"/>
      <c r="B158" s="584"/>
      <c r="C158" s="1521"/>
      <c r="D158" s="584"/>
      <c r="E158" s="584"/>
      <c r="F158" s="1526"/>
      <c r="G158" s="1368"/>
      <c r="H158" s="1368"/>
      <c r="J158" s="198"/>
    </row>
    <row r="159" spans="1:10" ht="15.75" customHeight="1" x14ac:dyDescent="0.25">
      <c r="A159" s="197"/>
      <c r="B159" s="584"/>
      <c r="C159" s="1521"/>
      <c r="D159" s="584"/>
      <c r="E159" s="584"/>
      <c r="F159" s="1526"/>
      <c r="G159" s="1368"/>
      <c r="H159" s="1368"/>
      <c r="J159" s="198"/>
    </row>
    <row r="160" spans="1:10" ht="15.75" customHeight="1" x14ac:dyDescent="0.25">
      <c r="A160" s="197"/>
      <c r="B160" s="584"/>
      <c r="C160" s="1521"/>
      <c r="D160" s="584"/>
      <c r="E160" s="584"/>
      <c r="F160" s="1526"/>
      <c r="G160" s="1368"/>
      <c r="H160" s="1368"/>
      <c r="J160" s="198"/>
    </row>
    <row r="161" spans="1:10" ht="15.75" customHeight="1" x14ac:dyDescent="0.25">
      <c r="A161" s="197"/>
      <c r="B161" s="584"/>
      <c r="C161" s="1521"/>
      <c r="D161" s="584"/>
      <c r="E161" s="584"/>
      <c r="F161" s="1526"/>
      <c r="G161" s="1368"/>
      <c r="H161" s="1368"/>
      <c r="J161" s="198"/>
    </row>
    <row r="162" spans="1:10" ht="15.75" customHeight="1" x14ac:dyDescent="0.25">
      <c r="A162" s="197"/>
      <c r="B162" s="584"/>
      <c r="C162" s="1521"/>
      <c r="D162" s="584"/>
      <c r="E162" s="584"/>
      <c r="F162" s="1526"/>
      <c r="G162" s="1368"/>
      <c r="H162" s="1368"/>
      <c r="J162" s="198"/>
    </row>
    <row r="163" spans="1:10" ht="15.75" customHeight="1" x14ac:dyDescent="0.25">
      <c r="A163" s="197"/>
      <c r="B163" s="584"/>
      <c r="C163" s="1521"/>
      <c r="D163" s="584"/>
      <c r="E163" s="584"/>
      <c r="F163" s="1526"/>
      <c r="G163" s="1368"/>
      <c r="H163" s="1368"/>
      <c r="J163" s="198"/>
    </row>
    <row r="164" spans="1:10" ht="15.75" customHeight="1" x14ac:dyDescent="0.25">
      <c r="A164" s="197"/>
      <c r="B164" s="584"/>
      <c r="C164" s="1521"/>
      <c r="D164" s="584"/>
      <c r="E164" s="584"/>
      <c r="F164" s="1526"/>
      <c r="G164" s="1368"/>
      <c r="H164" s="1368"/>
      <c r="J164" s="198"/>
    </row>
    <row r="165" spans="1:10" ht="15.75" customHeight="1" x14ac:dyDescent="0.25">
      <c r="A165" s="197"/>
      <c r="B165" s="584"/>
      <c r="C165" s="1521"/>
      <c r="D165" s="584"/>
      <c r="E165" s="584"/>
      <c r="F165" s="1526"/>
      <c r="G165" s="1368"/>
      <c r="H165" s="1368"/>
      <c r="J165" s="198"/>
    </row>
    <row r="166" spans="1:10" ht="15.75" customHeight="1" x14ac:dyDescent="0.25">
      <c r="A166" s="197"/>
      <c r="B166" s="584"/>
      <c r="C166" s="1521"/>
      <c r="D166" s="584"/>
      <c r="E166" s="584"/>
      <c r="F166" s="1526"/>
      <c r="G166" s="1368"/>
      <c r="H166" s="1368"/>
      <c r="J166" s="198"/>
    </row>
    <row r="167" spans="1:10" ht="15.75" customHeight="1" x14ac:dyDescent="0.25">
      <c r="A167" s="197"/>
      <c r="B167" s="584"/>
      <c r="C167" s="1521"/>
      <c r="D167" s="584"/>
      <c r="E167" s="584"/>
      <c r="F167" s="1526"/>
      <c r="G167" s="1368"/>
      <c r="H167" s="1368"/>
      <c r="J167" s="198"/>
    </row>
    <row r="168" spans="1:10" ht="15.75" customHeight="1" x14ac:dyDescent="0.25">
      <c r="A168" s="197"/>
      <c r="B168" s="584"/>
      <c r="C168" s="1521"/>
      <c r="D168" s="584"/>
      <c r="E168" s="584"/>
      <c r="F168" s="1526"/>
      <c r="G168" s="1368"/>
      <c r="H168" s="1368"/>
      <c r="J168" s="198"/>
    </row>
    <row r="169" spans="1:10" ht="15.75" customHeight="1" x14ac:dyDescent="0.25">
      <c r="A169" s="197"/>
      <c r="B169" s="584"/>
      <c r="C169" s="1521"/>
      <c r="D169" s="584"/>
      <c r="E169" s="584"/>
      <c r="F169" s="1526"/>
      <c r="G169" s="1368"/>
      <c r="H169" s="1368"/>
      <c r="J169" s="198"/>
    </row>
    <row r="170" spans="1:10" ht="15.75" customHeight="1" x14ac:dyDescent="0.25">
      <c r="A170" s="197"/>
      <c r="B170" s="584"/>
      <c r="C170" s="1521"/>
      <c r="D170" s="584"/>
      <c r="E170" s="584"/>
      <c r="F170" s="1526"/>
      <c r="G170" s="1368"/>
      <c r="H170" s="1368"/>
      <c r="J170" s="198"/>
    </row>
    <row r="171" spans="1:10" ht="15.75" customHeight="1" x14ac:dyDescent="0.25">
      <c r="A171" s="197"/>
      <c r="B171" s="584"/>
      <c r="C171" s="1521"/>
      <c r="D171" s="584"/>
      <c r="E171" s="584"/>
      <c r="F171" s="1526"/>
      <c r="G171" s="1368"/>
      <c r="H171" s="1368"/>
      <c r="J171" s="198"/>
    </row>
    <row r="172" spans="1:10" ht="15.75" customHeight="1" x14ac:dyDescent="0.25">
      <c r="A172" s="197"/>
      <c r="B172" s="584"/>
      <c r="C172" s="1521"/>
      <c r="D172" s="584"/>
      <c r="E172" s="584"/>
      <c r="F172" s="1526"/>
      <c r="G172" s="1368"/>
      <c r="H172" s="1368"/>
      <c r="J172" s="198"/>
    </row>
    <row r="173" spans="1:10" ht="15.75" customHeight="1" x14ac:dyDescent="0.25">
      <c r="A173" s="197"/>
      <c r="B173" s="584"/>
      <c r="C173" s="1521"/>
      <c r="D173" s="584"/>
      <c r="E173" s="584"/>
      <c r="F173" s="1526"/>
      <c r="G173" s="1368"/>
      <c r="H173" s="1368"/>
      <c r="J173" s="198"/>
    </row>
    <row r="174" spans="1:10" ht="15.75" customHeight="1" x14ac:dyDescent="0.25">
      <c r="A174" s="197"/>
      <c r="B174" s="584"/>
      <c r="C174" s="1521"/>
      <c r="D174" s="584"/>
      <c r="E174" s="584"/>
      <c r="F174" s="1526"/>
      <c r="G174" s="1368"/>
      <c r="H174" s="1368"/>
      <c r="J174" s="198"/>
    </row>
    <row r="175" spans="1:10" ht="15.75" customHeight="1" x14ac:dyDescent="0.25">
      <c r="A175" s="197"/>
      <c r="B175" s="584"/>
      <c r="C175" s="1521"/>
      <c r="D175" s="584"/>
      <c r="E175" s="584"/>
      <c r="F175" s="1526"/>
      <c r="G175" s="1368"/>
      <c r="H175" s="1368"/>
      <c r="J175" s="198"/>
    </row>
    <row r="176" spans="1:10" ht="15.75" customHeight="1" x14ac:dyDescent="0.25">
      <c r="A176" s="197"/>
      <c r="B176" s="584"/>
      <c r="C176" s="1521"/>
      <c r="D176" s="584"/>
      <c r="E176" s="584"/>
      <c r="F176" s="1526"/>
      <c r="G176" s="1368"/>
      <c r="H176" s="1368"/>
      <c r="J176" s="198"/>
    </row>
    <row r="177" spans="1:10" ht="15.75" customHeight="1" x14ac:dyDescent="0.25">
      <c r="A177" s="197"/>
      <c r="B177" s="584"/>
      <c r="C177" s="1521"/>
      <c r="D177" s="584"/>
      <c r="E177" s="584"/>
      <c r="F177" s="1526"/>
      <c r="G177" s="1368"/>
      <c r="H177" s="1368"/>
      <c r="J177" s="198"/>
    </row>
    <row r="178" spans="1:10" ht="15.75" customHeight="1" x14ac:dyDescent="0.25">
      <c r="A178" s="197"/>
      <c r="B178" s="584"/>
      <c r="C178" s="1521"/>
      <c r="D178" s="584"/>
      <c r="E178" s="584"/>
      <c r="F178" s="1526"/>
      <c r="G178" s="1368"/>
      <c r="H178" s="1368"/>
      <c r="J178" s="198"/>
    </row>
    <row r="179" spans="1:10" ht="15.75" customHeight="1" x14ac:dyDescent="0.25">
      <c r="A179" s="197"/>
      <c r="B179" s="584"/>
      <c r="C179" s="1521"/>
      <c r="D179" s="584"/>
      <c r="E179" s="584"/>
      <c r="F179" s="1526"/>
      <c r="G179" s="1368"/>
      <c r="H179" s="1368"/>
      <c r="J179" s="198"/>
    </row>
    <row r="180" spans="1:10" ht="15.75" customHeight="1" x14ac:dyDescent="0.25">
      <c r="A180" s="197"/>
      <c r="B180" s="584"/>
      <c r="C180" s="1521"/>
      <c r="D180" s="584"/>
      <c r="E180" s="584"/>
      <c r="F180" s="1526"/>
      <c r="G180" s="1368"/>
      <c r="H180" s="1368"/>
      <c r="J180" s="198"/>
    </row>
    <row r="181" spans="1:10" ht="15.75" customHeight="1" x14ac:dyDescent="0.25">
      <c r="A181" s="197"/>
      <c r="B181" s="584"/>
      <c r="C181" s="1521"/>
      <c r="D181" s="584"/>
      <c r="E181" s="584"/>
      <c r="F181" s="1526"/>
      <c r="G181" s="1368"/>
      <c r="H181" s="1368"/>
      <c r="J181" s="198"/>
    </row>
    <row r="182" spans="1:10" ht="15.75" customHeight="1" x14ac:dyDescent="0.25">
      <c r="A182" s="197"/>
      <c r="B182" s="584"/>
      <c r="C182" s="1521"/>
      <c r="D182" s="584"/>
      <c r="E182" s="584"/>
      <c r="F182" s="1526"/>
      <c r="G182" s="1368"/>
      <c r="H182" s="1368"/>
      <c r="J182" s="198"/>
    </row>
    <row r="183" spans="1:10" ht="15.75" customHeight="1" x14ac:dyDescent="0.25">
      <c r="A183" s="197"/>
      <c r="B183" s="584"/>
      <c r="C183" s="1521"/>
      <c r="D183" s="584"/>
      <c r="E183" s="584"/>
      <c r="F183" s="1526"/>
      <c r="G183" s="1368"/>
      <c r="H183" s="1368"/>
      <c r="J183" s="198"/>
    </row>
    <row r="184" spans="1:10" ht="15.75" customHeight="1" x14ac:dyDescent="0.25">
      <c r="A184" s="197"/>
      <c r="B184" s="584"/>
      <c r="C184" s="1521"/>
      <c r="D184" s="584"/>
      <c r="E184" s="584"/>
      <c r="F184" s="1526"/>
      <c r="G184" s="1368"/>
      <c r="H184" s="1368"/>
      <c r="J184" s="198"/>
    </row>
    <row r="185" spans="1:10" ht="15.75" customHeight="1" x14ac:dyDescent="0.25">
      <c r="A185" s="197"/>
      <c r="B185" s="584"/>
      <c r="C185" s="1521"/>
      <c r="D185" s="584"/>
      <c r="E185" s="584"/>
      <c r="F185" s="1526"/>
      <c r="G185" s="1368"/>
      <c r="H185" s="1368"/>
      <c r="J185" s="198"/>
    </row>
    <row r="186" spans="1:10" ht="15.75" customHeight="1" x14ac:dyDescent="0.25">
      <c r="A186" s="197"/>
      <c r="B186" s="584"/>
      <c r="C186" s="1521"/>
      <c r="D186" s="584"/>
      <c r="E186" s="584"/>
      <c r="F186" s="1526"/>
      <c r="G186" s="1368"/>
      <c r="H186" s="1368"/>
      <c r="J186" s="198"/>
    </row>
    <row r="187" spans="1:10" ht="15.75" customHeight="1" x14ac:dyDescent="0.25">
      <c r="A187" s="197"/>
      <c r="B187" s="584"/>
      <c r="C187" s="1521"/>
      <c r="D187" s="584"/>
      <c r="E187" s="584"/>
      <c r="F187" s="1526"/>
      <c r="G187" s="1368"/>
      <c r="H187" s="1368"/>
      <c r="J187" s="198"/>
    </row>
    <row r="188" spans="1:10" ht="15.75" customHeight="1" x14ac:dyDescent="0.25">
      <c r="A188" s="197"/>
      <c r="B188" s="584"/>
      <c r="C188" s="1521"/>
      <c r="D188" s="584"/>
      <c r="E188" s="584"/>
      <c r="F188" s="1526"/>
      <c r="G188" s="1368"/>
      <c r="H188" s="1368"/>
      <c r="J188" s="198"/>
    </row>
    <row r="189" spans="1:10" ht="15.75" customHeight="1" x14ac:dyDescent="0.25">
      <c r="A189" s="197"/>
      <c r="B189" s="584"/>
      <c r="C189" s="1521"/>
      <c r="D189" s="584"/>
      <c r="E189" s="584"/>
      <c r="F189" s="1526"/>
      <c r="G189" s="1368"/>
      <c r="H189" s="1368"/>
      <c r="J189" s="198"/>
    </row>
    <row r="190" spans="1:10" ht="15.75" customHeight="1" x14ac:dyDescent="0.25">
      <c r="A190" s="197"/>
      <c r="B190" s="584"/>
      <c r="C190" s="1521"/>
      <c r="D190" s="584"/>
      <c r="E190" s="584"/>
      <c r="F190" s="1526"/>
      <c r="G190" s="1368"/>
      <c r="H190" s="1368"/>
      <c r="J190" s="198"/>
    </row>
    <row r="191" spans="1:10" ht="15.75" customHeight="1" x14ac:dyDescent="0.25">
      <c r="A191" s="197"/>
      <c r="B191" s="584"/>
      <c r="C191" s="1521"/>
      <c r="D191" s="584"/>
      <c r="E191" s="584"/>
      <c r="F191" s="1526"/>
      <c r="G191" s="1368"/>
      <c r="H191" s="1368"/>
      <c r="J191" s="198"/>
    </row>
    <row r="192" spans="1:10" ht="15.75" customHeight="1" x14ac:dyDescent="0.25">
      <c r="A192" s="197"/>
      <c r="B192" s="584"/>
      <c r="C192" s="1521"/>
      <c r="D192" s="584"/>
      <c r="E192" s="584"/>
      <c r="F192" s="1526"/>
      <c r="G192" s="1368"/>
      <c r="H192" s="1368"/>
      <c r="J192" s="198"/>
    </row>
    <row r="193" spans="1:10" ht="15.75" customHeight="1" x14ac:dyDescent="0.25">
      <c r="A193" s="197"/>
      <c r="B193" s="584"/>
      <c r="C193" s="1521"/>
      <c r="D193" s="584"/>
      <c r="E193" s="584"/>
      <c r="F193" s="1526"/>
      <c r="G193" s="1368"/>
      <c r="H193" s="1368"/>
      <c r="J193" s="198"/>
    </row>
    <row r="194" spans="1:10" ht="15.75" customHeight="1" x14ac:dyDescent="0.25">
      <c r="A194" s="197"/>
      <c r="B194" s="584"/>
      <c r="C194" s="1521"/>
      <c r="D194" s="584"/>
      <c r="E194" s="584"/>
      <c r="F194" s="1526"/>
      <c r="G194" s="1368"/>
      <c r="H194" s="1368"/>
      <c r="J194" s="198"/>
    </row>
    <row r="195" spans="1:10" ht="15.75" customHeight="1" x14ac:dyDescent="0.25">
      <c r="A195" s="197"/>
      <c r="B195" s="584"/>
      <c r="C195" s="1521"/>
      <c r="D195" s="584"/>
      <c r="E195" s="584"/>
      <c r="F195" s="1526"/>
      <c r="G195" s="1368"/>
      <c r="H195" s="1368"/>
      <c r="J195" s="198"/>
    </row>
    <row r="196" spans="1:10" ht="15.75" customHeight="1" x14ac:dyDescent="0.25">
      <c r="A196" s="197"/>
      <c r="B196" s="584"/>
      <c r="C196" s="1521"/>
      <c r="D196" s="584"/>
      <c r="E196" s="584"/>
      <c r="F196" s="1526"/>
      <c r="G196" s="1368"/>
      <c r="H196" s="1368"/>
      <c r="J196" s="198"/>
    </row>
    <row r="197" spans="1:10" ht="15.75" customHeight="1" x14ac:dyDescent="0.25">
      <c r="A197" s="197"/>
      <c r="B197" s="584"/>
      <c r="C197" s="1521"/>
      <c r="D197" s="584"/>
      <c r="E197" s="584"/>
      <c r="F197" s="1526"/>
      <c r="G197" s="1368"/>
      <c r="H197" s="1368"/>
      <c r="J197" s="198"/>
    </row>
    <row r="198" spans="1:10" ht="15.75" customHeight="1" x14ac:dyDescent="0.25">
      <c r="A198" s="197"/>
      <c r="B198" s="584"/>
      <c r="C198" s="1521"/>
      <c r="D198" s="584"/>
      <c r="E198" s="584"/>
      <c r="F198" s="1526"/>
      <c r="G198" s="1368"/>
      <c r="H198" s="1368"/>
      <c r="J198" s="198"/>
    </row>
    <row r="199" spans="1:10" ht="15.75" customHeight="1" x14ac:dyDescent="0.25">
      <c r="A199" s="197"/>
      <c r="B199" s="584"/>
      <c r="C199" s="1521"/>
      <c r="D199" s="584"/>
      <c r="E199" s="584"/>
      <c r="F199" s="1526"/>
      <c r="G199" s="1368"/>
      <c r="H199" s="1368"/>
      <c r="J199" s="198"/>
    </row>
    <row r="200" spans="1:10" ht="15.75" customHeight="1" x14ac:dyDescent="0.25">
      <c r="A200" s="197"/>
      <c r="B200" s="584"/>
      <c r="C200" s="1521"/>
      <c r="D200" s="584"/>
      <c r="E200" s="584"/>
      <c r="F200" s="1526"/>
      <c r="G200" s="1368"/>
      <c r="H200" s="1368"/>
      <c r="J200" s="198"/>
    </row>
    <row r="201" spans="1:10" ht="15.75" customHeight="1" x14ac:dyDescent="0.25">
      <c r="A201" s="197"/>
      <c r="B201" s="584"/>
      <c r="C201" s="1521"/>
      <c r="D201" s="584"/>
      <c r="E201" s="584"/>
      <c r="F201" s="1526"/>
      <c r="G201" s="1368"/>
      <c r="H201" s="1368"/>
      <c r="J201" s="198"/>
    </row>
    <row r="202" spans="1:10" ht="15.75" customHeight="1" x14ac:dyDescent="0.25">
      <c r="A202" s="197"/>
      <c r="B202" s="584"/>
      <c r="C202" s="1521"/>
      <c r="D202" s="584"/>
      <c r="E202" s="584"/>
      <c r="F202" s="1526"/>
      <c r="G202" s="1368"/>
      <c r="H202" s="1368"/>
      <c r="J202" s="198"/>
    </row>
    <row r="203" spans="1:10" ht="15.75" customHeight="1" x14ac:dyDescent="0.25">
      <c r="A203" s="197"/>
      <c r="C203" s="12"/>
      <c r="D203" s="6"/>
      <c r="E203" s="168"/>
      <c r="G203" s="10"/>
      <c r="H203" s="10"/>
      <c r="J203" s="198"/>
    </row>
    <row r="204" spans="1:10" ht="15.75" customHeight="1" x14ac:dyDescent="0.25">
      <c r="A204" s="197"/>
      <c r="C204" s="12"/>
      <c r="D204" s="6"/>
      <c r="E204" s="168"/>
      <c r="G204" s="10"/>
      <c r="H204" s="10"/>
      <c r="J204" s="198"/>
    </row>
    <row r="205" spans="1:10" ht="15.75" customHeight="1" x14ac:dyDescent="0.25">
      <c r="A205" s="197"/>
      <c r="C205" s="12"/>
      <c r="D205" s="6"/>
      <c r="E205" s="168"/>
      <c r="G205" s="10"/>
      <c r="H205" s="10"/>
      <c r="J205" s="198"/>
    </row>
    <row r="206" spans="1:10" ht="15.75" customHeight="1" x14ac:dyDescent="0.25">
      <c r="A206" s="197"/>
      <c r="C206" s="12"/>
      <c r="D206" s="6"/>
      <c r="E206" s="168"/>
      <c r="G206" s="10"/>
      <c r="H206" s="10"/>
      <c r="J206" s="198"/>
    </row>
    <row r="207" spans="1:10" ht="15.75" customHeight="1" x14ac:dyDescent="0.25">
      <c r="A207" s="197"/>
      <c r="C207" s="12"/>
      <c r="D207" s="6"/>
      <c r="E207" s="168"/>
      <c r="G207" s="10"/>
      <c r="H207" s="10"/>
      <c r="J207" s="198"/>
    </row>
    <row r="208" spans="1:10" ht="15.75" customHeight="1" x14ac:dyDescent="0.25">
      <c r="A208" s="197"/>
      <c r="C208" s="12"/>
      <c r="D208" s="6"/>
      <c r="E208" s="168"/>
      <c r="G208" s="10"/>
      <c r="H208" s="10"/>
      <c r="J208" s="198"/>
    </row>
    <row r="209" spans="1:10" ht="15.75" customHeight="1" x14ac:dyDescent="0.25">
      <c r="A209" s="197"/>
      <c r="C209" s="12"/>
      <c r="D209" s="6"/>
      <c r="E209" s="168"/>
      <c r="G209" s="10"/>
      <c r="H209" s="10"/>
      <c r="J209" s="198"/>
    </row>
    <row r="210" spans="1:10" ht="15.75" customHeight="1" x14ac:dyDescent="0.25">
      <c r="A210" s="197"/>
      <c r="C210" s="12"/>
      <c r="D210" s="6"/>
      <c r="E210" s="168"/>
      <c r="G210" s="10"/>
      <c r="H210" s="10"/>
      <c r="J210" s="198"/>
    </row>
    <row r="211" spans="1:10" ht="15.75" customHeight="1" x14ac:dyDescent="0.25">
      <c r="A211" s="197"/>
      <c r="C211" s="12"/>
      <c r="D211" s="6"/>
      <c r="E211" s="168"/>
      <c r="G211" s="10"/>
      <c r="H211" s="10"/>
      <c r="J211" s="198"/>
    </row>
    <row r="212" spans="1:10" ht="15.75" customHeight="1" x14ac:dyDescent="0.25">
      <c r="A212" s="197"/>
      <c r="C212" s="12"/>
      <c r="D212" s="6"/>
      <c r="E212" s="168"/>
      <c r="G212" s="10"/>
      <c r="H212" s="10"/>
      <c r="J212" s="198"/>
    </row>
    <row r="213" spans="1:10" ht="15.75" customHeight="1" x14ac:dyDescent="0.25">
      <c r="A213" s="197"/>
      <c r="C213" s="12"/>
      <c r="D213" s="6"/>
      <c r="E213" s="168"/>
      <c r="G213" s="10"/>
      <c r="H213" s="10"/>
      <c r="J213" s="198"/>
    </row>
    <row r="214" spans="1:10" ht="15.75" customHeight="1" x14ac:dyDescent="0.25">
      <c r="A214" s="197"/>
      <c r="C214" s="12"/>
      <c r="D214" s="6"/>
      <c r="E214" s="168"/>
      <c r="G214" s="10"/>
      <c r="H214" s="10"/>
      <c r="J214" s="198"/>
    </row>
    <row r="215" spans="1:10" ht="15.75" customHeight="1" x14ac:dyDescent="0.25">
      <c r="A215" s="197"/>
      <c r="C215" s="12"/>
      <c r="D215" s="6"/>
      <c r="E215" s="168"/>
      <c r="G215" s="10"/>
      <c r="H215" s="10"/>
      <c r="J215" s="198"/>
    </row>
    <row r="216" spans="1:10" ht="15.75" customHeight="1" x14ac:dyDescent="0.25">
      <c r="A216" s="197"/>
      <c r="C216" s="12"/>
      <c r="D216" s="6"/>
      <c r="E216" s="168"/>
      <c r="G216" s="10"/>
      <c r="H216" s="10"/>
      <c r="J216" s="198"/>
    </row>
    <row r="217" spans="1:10" ht="15.75" customHeight="1" x14ac:dyDescent="0.25">
      <c r="A217" s="197"/>
      <c r="C217" s="12"/>
      <c r="D217" s="6"/>
      <c r="E217" s="168"/>
      <c r="G217" s="10"/>
      <c r="H217" s="10"/>
      <c r="J217" s="198"/>
    </row>
    <row r="218" spans="1:10" ht="15.75" customHeight="1" x14ac:dyDescent="0.25">
      <c r="A218" s="197"/>
      <c r="C218" s="12"/>
      <c r="D218" s="6"/>
      <c r="E218" s="168"/>
      <c r="G218" s="10"/>
      <c r="H218" s="10"/>
      <c r="J218" s="198"/>
    </row>
    <row r="219" spans="1:10" ht="15.75" customHeight="1" x14ac:dyDescent="0.25">
      <c r="A219" s="197"/>
      <c r="C219" s="12"/>
      <c r="D219" s="6"/>
      <c r="E219" s="168"/>
      <c r="G219" s="10"/>
      <c r="H219" s="10"/>
      <c r="J219" s="198"/>
    </row>
    <row r="220" spans="1:10" ht="15.75" customHeight="1" x14ac:dyDescent="0.25">
      <c r="A220" s="197"/>
      <c r="C220" s="12"/>
      <c r="D220" s="6"/>
      <c r="E220" s="168"/>
      <c r="G220" s="10"/>
      <c r="H220" s="10"/>
      <c r="J220" s="198"/>
    </row>
    <row r="221" spans="1:10" ht="15.75" customHeight="1" x14ac:dyDescent="0.25">
      <c r="A221" s="197"/>
      <c r="C221" s="12"/>
      <c r="D221" s="6"/>
      <c r="E221" s="168"/>
      <c r="G221" s="10"/>
      <c r="H221" s="10"/>
      <c r="J221" s="198"/>
    </row>
    <row r="222" spans="1:10" ht="15.75" customHeight="1" x14ac:dyDescent="0.25">
      <c r="A222" s="197"/>
      <c r="C222" s="12"/>
      <c r="D222" s="6"/>
      <c r="E222" s="168"/>
      <c r="G222" s="10"/>
      <c r="H222" s="10"/>
      <c r="J222" s="198"/>
    </row>
    <row r="223" spans="1:10" ht="15.75" customHeight="1" x14ac:dyDescent="0.25">
      <c r="A223" s="197"/>
      <c r="C223" s="12"/>
      <c r="D223" s="6"/>
      <c r="E223" s="168"/>
      <c r="G223" s="10"/>
      <c r="H223" s="10"/>
      <c r="J223" s="198"/>
    </row>
    <row r="224" spans="1:10" ht="15.75" customHeight="1" x14ac:dyDescent="0.25">
      <c r="A224" s="197"/>
      <c r="C224" s="12"/>
      <c r="D224" s="6"/>
      <c r="E224" s="168"/>
      <c r="G224" s="10"/>
      <c r="H224" s="10"/>
      <c r="J224" s="198"/>
    </row>
    <row r="225" spans="1:10" ht="15.75" customHeight="1" x14ac:dyDescent="0.25">
      <c r="A225" s="197"/>
      <c r="C225" s="12"/>
      <c r="D225" s="6"/>
      <c r="E225" s="168"/>
      <c r="G225" s="10"/>
      <c r="H225" s="10"/>
      <c r="J225" s="198"/>
    </row>
    <row r="226" spans="1:10" ht="15.75" customHeight="1" x14ac:dyDescent="0.25">
      <c r="A226" s="197"/>
      <c r="C226" s="12"/>
      <c r="D226" s="6"/>
      <c r="E226" s="168"/>
      <c r="G226" s="10"/>
      <c r="H226" s="10"/>
      <c r="J226" s="198"/>
    </row>
    <row r="227" spans="1:10" ht="15.75" customHeight="1" x14ac:dyDescent="0.25">
      <c r="A227" s="197"/>
      <c r="C227" s="12"/>
      <c r="D227" s="6"/>
      <c r="E227" s="168"/>
      <c r="G227" s="10"/>
      <c r="H227" s="10"/>
      <c r="J227" s="198"/>
    </row>
    <row r="228" spans="1:10" ht="15.75" customHeight="1" x14ac:dyDescent="0.25">
      <c r="A228" s="197"/>
      <c r="C228" s="12"/>
      <c r="D228" s="6"/>
      <c r="E228" s="168"/>
      <c r="G228" s="10"/>
      <c r="H228" s="10"/>
      <c r="J228" s="198"/>
    </row>
    <row r="229" spans="1:10" ht="15.75" customHeight="1" x14ac:dyDescent="0.25">
      <c r="A229" s="197"/>
      <c r="C229" s="12"/>
      <c r="D229" s="6"/>
      <c r="E229" s="168"/>
      <c r="G229" s="10"/>
      <c r="H229" s="10"/>
      <c r="J229" s="198"/>
    </row>
    <row r="230" spans="1:10" ht="15.75" customHeight="1" x14ac:dyDescent="0.25">
      <c r="A230" s="197"/>
      <c r="C230" s="12"/>
      <c r="D230" s="6"/>
      <c r="E230" s="168"/>
      <c r="G230" s="10"/>
      <c r="H230" s="10"/>
      <c r="J230" s="198"/>
    </row>
    <row r="231" spans="1:10" ht="15.75" customHeight="1" x14ac:dyDescent="0.25">
      <c r="A231" s="197"/>
      <c r="C231" s="12"/>
      <c r="D231" s="6"/>
      <c r="E231" s="168"/>
      <c r="G231" s="10"/>
      <c r="H231" s="10"/>
      <c r="J231" s="198"/>
    </row>
    <row r="232" spans="1:10" ht="15.75" customHeight="1" x14ac:dyDescent="0.25">
      <c r="A232" s="197"/>
      <c r="C232" s="12"/>
      <c r="D232" s="6"/>
      <c r="E232" s="168"/>
      <c r="G232" s="10"/>
      <c r="H232" s="10"/>
      <c r="J232" s="198"/>
    </row>
    <row r="233" spans="1:10" ht="15.75" customHeight="1" x14ac:dyDescent="0.25">
      <c r="A233" s="197"/>
      <c r="C233" s="12"/>
      <c r="D233" s="6"/>
      <c r="E233" s="168"/>
      <c r="G233" s="10"/>
      <c r="H233" s="10"/>
      <c r="J233" s="198"/>
    </row>
    <row r="234" spans="1:10" ht="15.75" customHeight="1" x14ac:dyDescent="0.25">
      <c r="A234" s="197"/>
      <c r="C234" s="12"/>
      <c r="D234" s="6"/>
      <c r="E234" s="168"/>
      <c r="G234" s="10"/>
      <c r="H234" s="10"/>
      <c r="J234" s="198"/>
    </row>
    <row r="235" spans="1:10" ht="15.75" customHeight="1" x14ac:dyDescent="0.25">
      <c r="A235" s="197"/>
      <c r="C235" s="12"/>
      <c r="D235" s="6"/>
      <c r="E235" s="168"/>
      <c r="G235" s="10"/>
      <c r="H235" s="10"/>
      <c r="J235" s="198"/>
    </row>
    <row r="236" spans="1:10" ht="15.75" customHeight="1" x14ac:dyDescent="0.25">
      <c r="A236" s="197"/>
      <c r="C236" s="12"/>
      <c r="D236" s="6"/>
      <c r="E236" s="168"/>
      <c r="G236" s="10"/>
      <c r="H236" s="10"/>
      <c r="J236" s="198"/>
    </row>
    <row r="237" spans="1:10" ht="15.75" customHeight="1" x14ac:dyDescent="0.25">
      <c r="A237" s="197"/>
      <c r="C237" s="12"/>
      <c r="D237" s="6"/>
      <c r="E237" s="168"/>
      <c r="G237" s="10"/>
      <c r="H237" s="10"/>
      <c r="J237" s="198"/>
    </row>
    <row r="238" spans="1:10" ht="15.75" customHeight="1" x14ac:dyDescent="0.25">
      <c r="A238" s="197"/>
      <c r="C238" s="12"/>
      <c r="D238" s="6"/>
      <c r="E238" s="168"/>
      <c r="G238" s="10"/>
      <c r="H238" s="10"/>
      <c r="J238" s="198"/>
    </row>
    <row r="239" spans="1:10" ht="15.75" customHeight="1" x14ac:dyDescent="0.25">
      <c r="A239" s="197"/>
      <c r="C239" s="12"/>
      <c r="D239" s="6"/>
      <c r="E239" s="168"/>
      <c r="G239" s="10"/>
      <c r="H239" s="10"/>
      <c r="J239" s="198"/>
    </row>
    <row r="240" spans="1:10" ht="15.75" customHeight="1" x14ac:dyDescent="0.25">
      <c r="A240" s="197"/>
      <c r="C240" s="12"/>
      <c r="D240" s="6"/>
      <c r="E240" s="168"/>
      <c r="G240" s="10"/>
      <c r="H240" s="10"/>
      <c r="J240" s="198"/>
    </row>
    <row r="241" spans="1:10" ht="15.75" customHeight="1" x14ac:dyDescent="0.25">
      <c r="A241" s="197"/>
      <c r="C241" s="12"/>
      <c r="D241" s="6"/>
      <c r="E241" s="168"/>
      <c r="G241" s="10"/>
      <c r="H241" s="10"/>
      <c r="J241" s="198"/>
    </row>
    <row r="242" spans="1:10" ht="15.75" customHeight="1" x14ac:dyDescent="0.25">
      <c r="A242" s="197"/>
      <c r="C242" s="12"/>
      <c r="D242" s="6"/>
      <c r="E242" s="168"/>
      <c r="G242" s="10"/>
      <c r="H242" s="10"/>
      <c r="J242" s="198"/>
    </row>
    <row r="243" spans="1:10" ht="15.75" customHeight="1" x14ac:dyDescent="0.25">
      <c r="A243" s="197"/>
      <c r="C243" s="12"/>
      <c r="D243" s="6"/>
      <c r="E243" s="168"/>
      <c r="G243" s="10"/>
      <c r="H243" s="10"/>
      <c r="J243" s="198"/>
    </row>
    <row r="244" spans="1:10" ht="15.75" customHeight="1" x14ac:dyDescent="0.25">
      <c r="A244" s="197"/>
      <c r="C244" s="12"/>
      <c r="D244" s="6"/>
      <c r="E244" s="168"/>
      <c r="G244" s="10"/>
      <c r="H244" s="10"/>
      <c r="J244" s="198"/>
    </row>
    <row r="245" spans="1:10" ht="15.75" customHeight="1" x14ac:dyDescent="0.25">
      <c r="A245" s="197"/>
      <c r="C245" s="12"/>
      <c r="D245" s="6"/>
      <c r="E245" s="168"/>
      <c r="G245" s="10"/>
      <c r="H245" s="10"/>
      <c r="J245" s="198"/>
    </row>
    <row r="246" spans="1:10" ht="15.75" customHeight="1" x14ac:dyDescent="0.25">
      <c r="A246" s="197"/>
      <c r="C246" s="12"/>
      <c r="D246" s="6"/>
      <c r="E246" s="168"/>
      <c r="G246" s="10"/>
      <c r="H246" s="10"/>
      <c r="J246" s="198"/>
    </row>
    <row r="247" spans="1:10" ht="15.75" customHeight="1" x14ac:dyDescent="0.25">
      <c r="A247" s="197"/>
      <c r="C247" s="12"/>
      <c r="D247" s="6"/>
      <c r="E247" s="168"/>
      <c r="G247" s="10"/>
      <c r="H247" s="10"/>
      <c r="J247" s="198"/>
    </row>
    <row r="248" spans="1:10" ht="15.75" customHeight="1" x14ac:dyDescent="0.25">
      <c r="A248" s="197"/>
      <c r="C248" s="12"/>
      <c r="D248" s="6"/>
      <c r="E248" s="168"/>
      <c r="G248" s="10"/>
      <c r="H248" s="10"/>
      <c r="J248" s="198"/>
    </row>
    <row r="249" spans="1:10" ht="15.75" customHeight="1" x14ac:dyDescent="0.25">
      <c r="A249" s="197"/>
      <c r="C249" s="12"/>
      <c r="D249" s="6"/>
      <c r="E249" s="168"/>
      <c r="G249" s="10"/>
      <c r="H249" s="10"/>
      <c r="J249" s="198"/>
    </row>
    <row r="250" spans="1:10" ht="15.75" customHeight="1" x14ac:dyDescent="0.25">
      <c r="A250" s="197"/>
      <c r="C250" s="12"/>
      <c r="D250" s="6"/>
      <c r="E250" s="168"/>
      <c r="G250" s="10"/>
      <c r="H250" s="10"/>
      <c r="J250" s="198"/>
    </row>
    <row r="251" spans="1:10" ht="15.75" customHeight="1" x14ac:dyDescent="0.25">
      <c r="A251" s="197"/>
      <c r="C251" s="12"/>
      <c r="D251" s="6"/>
      <c r="E251" s="168"/>
      <c r="G251" s="10"/>
      <c r="H251" s="10"/>
      <c r="J251" s="198"/>
    </row>
    <row r="252" spans="1:10" ht="15.75" customHeight="1" x14ac:dyDescent="0.25">
      <c r="A252" s="197"/>
      <c r="C252" s="12"/>
      <c r="D252" s="6"/>
      <c r="E252" s="168"/>
      <c r="G252" s="10"/>
      <c r="H252" s="10"/>
      <c r="J252" s="198"/>
    </row>
    <row r="253" spans="1:10" ht="15.75" customHeight="1" x14ac:dyDescent="0.25">
      <c r="A253" s="197"/>
      <c r="C253" s="12"/>
      <c r="D253" s="6"/>
      <c r="E253" s="168"/>
      <c r="G253" s="10"/>
      <c r="H253" s="10"/>
      <c r="J253" s="198"/>
    </row>
    <row r="254" spans="1:10" ht="15.75" customHeight="1" x14ac:dyDescent="0.25">
      <c r="A254" s="197"/>
      <c r="C254" s="12"/>
      <c r="D254" s="6"/>
      <c r="E254" s="168"/>
      <c r="G254" s="10"/>
      <c r="H254" s="10"/>
      <c r="J254" s="198"/>
    </row>
    <row r="255" spans="1:10" ht="15.75" customHeight="1" x14ac:dyDescent="0.25">
      <c r="A255" s="197"/>
      <c r="C255" s="12"/>
      <c r="D255" s="6"/>
      <c r="E255" s="168"/>
      <c r="G255" s="10"/>
      <c r="H255" s="10"/>
      <c r="J255" s="198"/>
    </row>
    <row r="256" spans="1:10" ht="15.75" customHeight="1" x14ac:dyDescent="0.25">
      <c r="A256" s="197"/>
      <c r="C256" s="12"/>
      <c r="D256" s="6"/>
      <c r="E256" s="168"/>
      <c r="G256" s="10"/>
      <c r="H256" s="10"/>
      <c r="J256" s="198"/>
    </row>
    <row r="257" spans="1:10" ht="15.75" customHeight="1" x14ac:dyDescent="0.25">
      <c r="A257" s="197"/>
      <c r="C257" s="12"/>
      <c r="D257" s="6"/>
      <c r="E257" s="168"/>
      <c r="G257" s="10"/>
      <c r="H257" s="10"/>
      <c r="J257" s="198"/>
    </row>
    <row r="258" spans="1:10" ht="15.75" customHeight="1" x14ac:dyDescent="0.25">
      <c r="A258" s="197"/>
      <c r="C258" s="12"/>
      <c r="D258" s="6"/>
      <c r="E258" s="168"/>
      <c r="G258" s="10"/>
      <c r="H258" s="10"/>
      <c r="J258" s="198"/>
    </row>
    <row r="259" spans="1:10" ht="15.75" customHeight="1" x14ac:dyDescent="0.25">
      <c r="A259" s="197"/>
      <c r="C259" s="12"/>
      <c r="D259" s="6"/>
      <c r="E259" s="168"/>
      <c r="G259" s="10"/>
      <c r="H259" s="10"/>
      <c r="J259" s="198"/>
    </row>
    <row r="260" spans="1:10" ht="15.75" customHeight="1" x14ac:dyDescent="0.25">
      <c r="A260" s="197"/>
      <c r="C260" s="12"/>
      <c r="D260" s="6"/>
      <c r="E260" s="168"/>
      <c r="G260" s="10"/>
      <c r="H260" s="10"/>
      <c r="J260" s="198"/>
    </row>
    <row r="261" spans="1:10" ht="15.75" customHeight="1" x14ac:dyDescent="0.25">
      <c r="A261" s="197"/>
      <c r="C261" s="12"/>
      <c r="D261" s="6"/>
      <c r="E261" s="168"/>
      <c r="G261" s="10"/>
      <c r="H261" s="10"/>
      <c r="J261" s="198"/>
    </row>
    <row r="262" spans="1:10" ht="15.75" customHeight="1" x14ac:dyDescent="0.25">
      <c r="A262" s="197"/>
      <c r="C262" s="12"/>
      <c r="D262" s="6"/>
      <c r="E262" s="168"/>
      <c r="G262" s="10"/>
      <c r="H262" s="10"/>
      <c r="J262" s="198"/>
    </row>
    <row r="263" spans="1:10" ht="15.75" customHeight="1" x14ac:dyDescent="0.25">
      <c r="A263" s="197"/>
      <c r="C263" s="12"/>
      <c r="D263" s="6"/>
      <c r="E263" s="168"/>
      <c r="G263" s="10"/>
      <c r="H263" s="10"/>
      <c r="J263" s="198"/>
    </row>
    <row r="264" spans="1:10" ht="15.75" customHeight="1" x14ac:dyDescent="0.25">
      <c r="A264" s="197"/>
      <c r="C264" s="12"/>
      <c r="D264" s="6"/>
      <c r="E264" s="168"/>
      <c r="G264" s="10"/>
      <c r="H264" s="10"/>
      <c r="J264" s="198"/>
    </row>
    <row r="265" spans="1:10" ht="15.75" customHeight="1" x14ac:dyDescent="0.25">
      <c r="A265" s="197"/>
      <c r="C265" s="12"/>
      <c r="D265" s="6"/>
      <c r="E265" s="168"/>
      <c r="G265" s="10"/>
      <c r="H265" s="10"/>
      <c r="J265" s="198"/>
    </row>
    <row r="266" spans="1:10" ht="15.75" customHeight="1" x14ac:dyDescent="0.25">
      <c r="A266" s="197"/>
      <c r="C266" s="12"/>
      <c r="D266" s="6"/>
      <c r="E266" s="168"/>
      <c r="G266" s="10"/>
      <c r="H266" s="10"/>
      <c r="J266" s="198"/>
    </row>
    <row r="267" spans="1:10" ht="15.75" customHeight="1" x14ac:dyDescent="0.25">
      <c r="A267" s="197"/>
      <c r="C267" s="12"/>
      <c r="D267" s="6"/>
      <c r="E267" s="168"/>
      <c r="G267" s="10"/>
      <c r="H267" s="10"/>
      <c r="J267" s="198"/>
    </row>
    <row r="268" spans="1:10" ht="15.75" customHeight="1" x14ac:dyDescent="0.25">
      <c r="A268" s="197"/>
      <c r="C268" s="12"/>
      <c r="D268" s="6"/>
      <c r="E268" s="168"/>
      <c r="G268" s="10"/>
      <c r="H268" s="10"/>
      <c r="J268" s="198"/>
    </row>
    <row r="269" spans="1:10" ht="15.75" customHeight="1" x14ac:dyDescent="0.25">
      <c r="A269" s="197"/>
      <c r="C269" s="12"/>
      <c r="D269" s="6"/>
      <c r="E269" s="168"/>
      <c r="G269" s="10"/>
      <c r="H269" s="10"/>
      <c r="J269" s="198"/>
    </row>
    <row r="270" spans="1:10" ht="15.75" customHeight="1" x14ac:dyDescent="0.25">
      <c r="A270" s="197"/>
      <c r="C270" s="12"/>
      <c r="D270" s="6"/>
      <c r="E270" s="168"/>
      <c r="G270" s="10"/>
      <c r="H270" s="10"/>
      <c r="J270" s="198"/>
    </row>
    <row r="271" spans="1:10" ht="15.75" customHeight="1" x14ac:dyDescent="0.25">
      <c r="A271" s="197"/>
      <c r="C271" s="12"/>
      <c r="D271" s="6"/>
      <c r="E271" s="168"/>
      <c r="G271" s="10"/>
      <c r="H271" s="10"/>
      <c r="J271" s="198"/>
    </row>
    <row r="272" spans="1:10" ht="15.75" customHeight="1" x14ac:dyDescent="0.25">
      <c r="A272" s="197"/>
      <c r="C272" s="12"/>
      <c r="D272" s="6"/>
      <c r="E272" s="168"/>
      <c r="G272" s="10"/>
      <c r="H272" s="10"/>
      <c r="J272" s="198"/>
    </row>
    <row r="273" spans="1:10" ht="15.75" customHeight="1" x14ac:dyDescent="0.25">
      <c r="A273" s="197"/>
      <c r="C273" s="12"/>
      <c r="D273" s="6"/>
      <c r="E273" s="168"/>
      <c r="G273" s="10"/>
      <c r="H273" s="10"/>
      <c r="J273" s="198"/>
    </row>
    <row r="274" spans="1:10" ht="15.75" customHeight="1" x14ac:dyDescent="0.25">
      <c r="A274" s="197"/>
      <c r="C274" s="12"/>
      <c r="D274" s="6"/>
      <c r="E274" s="168"/>
      <c r="G274" s="10"/>
      <c r="H274" s="10"/>
      <c r="J274" s="198"/>
    </row>
    <row r="275" spans="1:10" ht="15.75" customHeight="1" x14ac:dyDescent="0.25">
      <c r="A275" s="197"/>
      <c r="C275" s="12"/>
      <c r="D275" s="6"/>
      <c r="E275" s="168"/>
      <c r="G275" s="10"/>
      <c r="H275" s="10"/>
      <c r="J275" s="198"/>
    </row>
    <row r="276" spans="1:10" ht="15.75" customHeight="1" x14ac:dyDescent="0.25">
      <c r="A276" s="197"/>
      <c r="C276" s="12"/>
      <c r="D276" s="6"/>
      <c r="E276" s="168"/>
      <c r="G276" s="10"/>
      <c r="H276" s="10"/>
      <c r="J276" s="198"/>
    </row>
    <row r="277" spans="1:10" ht="15.75" customHeight="1" x14ac:dyDescent="0.25">
      <c r="A277" s="197"/>
      <c r="C277" s="12"/>
      <c r="D277" s="6"/>
      <c r="E277" s="168"/>
      <c r="G277" s="10"/>
      <c r="H277" s="10"/>
      <c r="J277" s="198"/>
    </row>
    <row r="278" spans="1:10" ht="15.75" customHeight="1" x14ac:dyDescent="0.25">
      <c r="A278" s="197"/>
      <c r="C278" s="12"/>
      <c r="D278" s="6"/>
      <c r="E278" s="168"/>
      <c r="G278" s="10"/>
      <c r="H278" s="10"/>
      <c r="J278" s="198"/>
    </row>
    <row r="279" spans="1:10" ht="15.75" customHeight="1" x14ac:dyDescent="0.25">
      <c r="A279" s="197"/>
      <c r="C279" s="12"/>
      <c r="D279" s="6"/>
      <c r="E279" s="168"/>
      <c r="G279" s="10"/>
      <c r="H279" s="10"/>
      <c r="J279" s="198"/>
    </row>
    <row r="280" spans="1:10" ht="15.75" customHeight="1" x14ac:dyDescent="0.25">
      <c r="A280" s="197"/>
      <c r="C280" s="12"/>
      <c r="D280" s="6"/>
      <c r="E280" s="168"/>
      <c r="G280" s="10"/>
      <c r="H280" s="10"/>
      <c r="J280" s="198"/>
    </row>
    <row r="281" spans="1:10" ht="15.75" customHeight="1" x14ac:dyDescent="0.25">
      <c r="A281" s="197"/>
      <c r="C281" s="12"/>
      <c r="D281" s="6"/>
      <c r="E281" s="168"/>
      <c r="G281" s="10"/>
      <c r="H281" s="10"/>
      <c r="J281" s="198"/>
    </row>
    <row r="282" spans="1:10" ht="15.75" customHeight="1" x14ac:dyDescent="0.25">
      <c r="A282" s="197"/>
      <c r="C282" s="12"/>
      <c r="D282" s="6"/>
      <c r="E282" s="168"/>
      <c r="G282" s="10"/>
      <c r="H282" s="10"/>
      <c r="J282" s="198"/>
    </row>
    <row r="283" spans="1:10" ht="15.75" customHeight="1" x14ac:dyDescent="0.25">
      <c r="A283" s="197"/>
      <c r="C283" s="12"/>
      <c r="D283" s="6"/>
      <c r="E283" s="168"/>
      <c r="G283" s="10"/>
      <c r="H283" s="10"/>
      <c r="J283" s="198"/>
    </row>
    <row r="284" spans="1:10" ht="15.75" customHeight="1" x14ac:dyDescent="0.25">
      <c r="A284" s="197"/>
      <c r="C284" s="12"/>
      <c r="D284" s="6"/>
      <c r="E284" s="168"/>
      <c r="G284" s="10"/>
      <c r="H284" s="10"/>
      <c r="J284" s="198"/>
    </row>
    <row r="285" spans="1:10" ht="15.75" customHeight="1" x14ac:dyDescent="0.25">
      <c r="A285" s="197"/>
      <c r="C285" s="12"/>
      <c r="D285" s="6"/>
      <c r="E285" s="168"/>
      <c r="G285" s="10"/>
      <c r="H285" s="10"/>
      <c r="J285" s="198"/>
    </row>
    <row r="286" spans="1:10" ht="15.75" customHeight="1" x14ac:dyDescent="0.25">
      <c r="A286" s="197"/>
      <c r="C286" s="12"/>
      <c r="D286" s="6"/>
      <c r="E286" s="168"/>
      <c r="G286" s="10"/>
      <c r="H286" s="10"/>
      <c r="J286" s="198"/>
    </row>
    <row r="287" spans="1:10" ht="15.75" customHeight="1" x14ac:dyDescent="0.25">
      <c r="A287" s="197"/>
      <c r="C287" s="12"/>
      <c r="D287" s="6"/>
      <c r="E287" s="168"/>
      <c r="G287" s="10"/>
      <c r="H287" s="10"/>
      <c r="J287" s="198"/>
    </row>
    <row r="288" spans="1:10" ht="15.75" customHeight="1" x14ac:dyDescent="0.25">
      <c r="A288" s="197"/>
      <c r="C288" s="12"/>
      <c r="D288" s="6"/>
      <c r="E288" s="168"/>
      <c r="G288" s="10"/>
      <c r="H288" s="10"/>
      <c r="J288" s="198"/>
    </row>
    <row r="289" spans="1:10" ht="15.75" customHeight="1" x14ac:dyDescent="0.25">
      <c r="A289" s="197"/>
      <c r="C289" s="12"/>
      <c r="D289" s="6"/>
      <c r="E289" s="168"/>
      <c r="G289" s="10"/>
      <c r="H289" s="10"/>
      <c r="J289" s="198"/>
    </row>
    <row r="290" spans="1:10" ht="15.75" customHeight="1" x14ac:dyDescent="0.25">
      <c r="A290" s="197"/>
      <c r="C290" s="12"/>
      <c r="D290" s="6"/>
      <c r="E290" s="168"/>
      <c r="G290" s="10"/>
      <c r="H290" s="10"/>
      <c r="J290" s="198"/>
    </row>
    <row r="291" spans="1:10" ht="15.75" customHeight="1" x14ac:dyDescent="0.25">
      <c r="A291" s="197"/>
      <c r="C291" s="12"/>
      <c r="D291" s="6"/>
      <c r="E291" s="168"/>
      <c r="G291" s="10"/>
      <c r="H291" s="10"/>
      <c r="J291" s="198"/>
    </row>
    <row r="292" spans="1:10" ht="15.75" customHeight="1" x14ac:dyDescent="0.25">
      <c r="A292" s="197"/>
      <c r="C292" s="12"/>
      <c r="D292" s="6"/>
      <c r="E292" s="168"/>
      <c r="G292" s="10"/>
      <c r="H292" s="10"/>
      <c r="J292" s="198"/>
    </row>
    <row r="293" spans="1:10" ht="15.75" customHeight="1" x14ac:dyDescent="0.25">
      <c r="A293" s="197"/>
      <c r="C293" s="12"/>
      <c r="D293" s="6"/>
      <c r="E293" s="168"/>
      <c r="G293" s="10"/>
      <c r="H293" s="10"/>
      <c r="J293" s="198"/>
    </row>
    <row r="294" spans="1:10" ht="15.75" customHeight="1" x14ac:dyDescent="0.25">
      <c r="A294" s="197"/>
      <c r="C294" s="12"/>
      <c r="D294" s="6"/>
      <c r="E294" s="168"/>
      <c r="G294" s="10"/>
      <c r="H294" s="10"/>
      <c r="J294" s="198"/>
    </row>
    <row r="295" spans="1:10" ht="15.75" customHeight="1" x14ac:dyDescent="0.25">
      <c r="A295" s="197"/>
      <c r="C295" s="12"/>
      <c r="D295" s="6"/>
      <c r="E295" s="168"/>
      <c r="G295" s="10"/>
      <c r="H295" s="10"/>
      <c r="J295" s="198"/>
    </row>
    <row r="296" spans="1:10" ht="15.75" customHeight="1" x14ac:dyDescent="0.25">
      <c r="A296" s="197"/>
      <c r="C296" s="12"/>
      <c r="D296" s="6"/>
      <c r="E296" s="168"/>
      <c r="G296" s="10"/>
      <c r="H296" s="10"/>
      <c r="J296" s="198"/>
    </row>
    <row r="297" spans="1:10" ht="15.75" customHeight="1" x14ac:dyDescent="0.25">
      <c r="A297" s="197"/>
      <c r="C297" s="12"/>
      <c r="D297" s="6"/>
      <c r="E297" s="168"/>
      <c r="G297" s="10"/>
      <c r="H297" s="10"/>
      <c r="J297" s="198"/>
    </row>
    <row r="298" spans="1:10" ht="15.75" customHeight="1" x14ac:dyDescent="0.25">
      <c r="A298" s="197"/>
      <c r="C298" s="12"/>
      <c r="D298" s="6"/>
      <c r="E298" s="168"/>
      <c r="G298" s="10"/>
      <c r="H298" s="10"/>
      <c r="J298" s="198"/>
    </row>
    <row r="299" spans="1:10" ht="15.75" customHeight="1" x14ac:dyDescent="0.25">
      <c r="A299" s="197"/>
      <c r="C299" s="12"/>
      <c r="D299" s="6"/>
      <c r="E299" s="168"/>
      <c r="G299" s="10"/>
      <c r="H299" s="10"/>
      <c r="J299" s="198"/>
    </row>
    <row r="300" spans="1:10" ht="15.75" customHeight="1" x14ac:dyDescent="0.25">
      <c r="A300" s="197"/>
      <c r="C300" s="12"/>
      <c r="D300" s="6"/>
      <c r="E300" s="168"/>
      <c r="G300" s="10"/>
      <c r="H300" s="10"/>
      <c r="J300" s="198"/>
    </row>
    <row r="301" spans="1:10" ht="15.75" customHeight="1" x14ac:dyDescent="0.25">
      <c r="A301" s="197"/>
      <c r="C301" s="12"/>
      <c r="D301" s="6"/>
      <c r="E301" s="168"/>
      <c r="G301" s="10"/>
      <c r="H301" s="10"/>
      <c r="J301" s="198"/>
    </row>
    <row r="302" spans="1:10" ht="15.75" customHeight="1" x14ac:dyDescent="0.25">
      <c r="A302" s="197"/>
      <c r="C302" s="12"/>
      <c r="D302" s="6"/>
      <c r="E302" s="168"/>
      <c r="G302" s="10"/>
      <c r="H302" s="10"/>
      <c r="J302" s="198"/>
    </row>
    <row r="303" spans="1:10" ht="15.75" customHeight="1" x14ac:dyDescent="0.25">
      <c r="A303" s="197"/>
      <c r="C303" s="12"/>
      <c r="D303" s="6"/>
      <c r="E303" s="168"/>
      <c r="G303" s="10"/>
      <c r="H303" s="10"/>
      <c r="J303" s="198"/>
    </row>
    <row r="304" spans="1:10" ht="15.75" customHeight="1" x14ac:dyDescent="0.25">
      <c r="A304" s="197"/>
      <c r="C304" s="12"/>
      <c r="D304" s="6"/>
      <c r="E304" s="168"/>
      <c r="G304" s="10"/>
      <c r="H304" s="10"/>
      <c r="J304" s="198"/>
    </row>
    <row r="305" spans="1:10" ht="15.75" customHeight="1" x14ac:dyDescent="0.25">
      <c r="A305" s="197"/>
      <c r="C305" s="12"/>
      <c r="D305" s="6"/>
      <c r="E305" s="168"/>
      <c r="G305" s="10"/>
      <c r="H305" s="10"/>
      <c r="J305" s="198"/>
    </row>
    <row r="306" spans="1:10" ht="15.75" customHeight="1" x14ac:dyDescent="0.25">
      <c r="A306" s="197"/>
      <c r="C306" s="12"/>
      <c r="D306" s="6"/>
      <c r="E306" s="168"/>
      <c r="G306" s="10"/>
      <c r="H306" s="10"/>
      <c r="J306" s="198"/>
    </row>
    <row r="307" spans="1:10" ht="15.75" customHeight="1" x14ac:dyDescent="0.25">
      <c r="A307" s="197"/>
      <c r="C307" s="12"/>
      <c r="D307" s="6"/>
      <c r="E307" s="168"/>
      <c r="G307" s="10"/>
      <c r="H307" s="10"/>
      <c r="J307" s="198"/>
    </row>
    <row r="308" spans="1:10" ht="15.75" customHeight="1" x14ac:dyDescent="0.25">
      <c r="A308" s="197"/>
      <c r="C308" s="12"/>
      <c r="D308" s="6"/>
      <c r="E308" s="168"/>
      <c r="G308" s="10"/>
      <c r="H308" s="10"/>
      <c r="J308" s="198"/>
    </row>
    <row r="309" spans="1:10" ht="15.75" customHeight="1" x14ac:dyDescent="0.25">
      <c r="A309" s="197"/>
      <c r="C309" s="12"/>
      <c r="D309" s="6"/>
      <c r="E309" s="168"/>
      <c r="G309" s="10"/>
      <c r="H309" s="10"/>
      <c r="J309" s="198"/>
    </row>
    <row r="310" spans="1:10" ht="15.75" customHeight="1" x14ac:dyDescent="0.25">
      <c r="A310" s="197"/>
      <c r="C310" s="12"/>
      <c r="D310" s="6"/>
      <c r="E310" s="168"/>
      <c r="G310" s="10"/>
      <c r="H310" s="10"/>
      <c r="J310" s="198"/>
    </row>
    <row r="311" spans="1:10" ht="15.75" customHeight="1" x14ac:dyDescent="0.25">
      <c r="A311" s="197"/>
      <c r="C311" s="12"/>
      <c r="D311" s="6"/>
      <c r="E311" s="168"/>
      <c r="G311" s="10"/>
      <c r="H311" s="10"/>
      <c r="J311" s="198"/>
    </row>
    <row r="312" spans="1:10" ht="15.75" customHeight="1" x14ac:dyDescent="0.25">
      <c r="A312" s="197"/>
      <c r="C312" s="12"/>
      <c r="D312" s="6"/>
      <c r="E312" s="168"/>
      <c r="G312" s="10"/>
      <c r="H312" s="10"/>
      <c r="J312" s="198"/>
    </row>
    <row r="313" spans="1:10" ht="15.75" customHeight="1" x14ac:dyDescent="0.25">
      <c r="A313" s="197"/>
      <c r="C313" s="12"/>
      <c r="D313" s="6"/>
      <c r="E313" s="168"/>
      <c r="G313" s="10"/>
      <c r="H313" s="10"/>
      <c r="J313" s="198"/>
    </row>
    <row r="314" spans="1:10" ht="15.75" customHeight="1" x14ac:dyDescent="0.25">
      <c r="A314" s="197"/>
      <c r="C314" s="12"/>
      <c r="D314" s="6"/>
      <c r="E314" s="168"/>
      <c r="G314" s="10"/>
      <c r="H314" s="10"/>
      <c r="J314" s="198"/>
    </row>
    <row r="315" spans="1:10" ht="15.75" customHeight="1" x14ac:dyDescent="0.25">
      <c r="A315" s="197"/>
      <c r="C315" s="12"/>
      <c r="D315" s="6"/>
      <c r="E315" s="168"/>
      <c r="G315" s="10"/>
      <c r="H315" s="10"/>
      <c r="J315" s="198"/>
    </row>
    <row r="316" spans="1:10" ht="15.75" customHeight="1" x14ac:dyDescent="0.25">
      <c r="A316" s="197"/>
      <c r="C316" s="12"/>
      <c r="D316" s="6"/>
      <c r="E316" s="168"/>
      <c r="G316" s="10"/>
      <c r="H316" s="10"/>
      <c r="J316" s="198"/>
    </row>
    <row r="317" spans="1:10" ht="15.75" customHeight="1" x14ac:dyDescent="0.25">
      <c r="A317" s="197"/>
      <c r="C317" s="12"/>
      <c r="D317" s="6"/>
      <c r="E317" s="168"/>
      <c r="G317" s="10"/>
      <c r="H317" s="10"/>
      <c r="J317" s="198"/>
    </row>
    <row r="318" spans="1:10" ht="15.75" customHeight="1" x14ac:dyDescent="0.25">
      <c r="A318" s="197"/>
      <c r="C318" s="12"/>
      <c r="D318" s="6"/>
      <c r="E318" s="168"/>
      <c r="G318" s="10"/>
      <c r="H318" s="10"/>
      <c r="J318" s="198"/>
    </row>
    <row r="319" spans="1:10" ht="15.75" customHeight="1" x14ac:dyDescent="0.25">
      <c r="A319" s="197"/>
      <c r="C319" s="12"/>
      <c r="D319" s="6"/>
      <c r="E319" s="168"/>
      <c r="G319" s="10"/>
      <c r="H319" s="10"/>
      <c r="J319" s="198"/>
    </row>
    <row r="320" spans="1:10" ht="15.75" customHeight="1" x14ac:dyDescent="0.25">
      <c r="A320" s="197"/>
      <c r="C320" s="12"/>
      <c r="D320" s="6"/>
      <c r="E320" s="168"/>
      <c r="G320" s="10"/>
      <c r="H320" s="10"/>
      <c r="J320" s="198"/>
    </row>
    <row r="321" spans="1:10" ht="15.75" customHeight="1" x14ac:dyDescent="0.25">
      <c r="A321" s="197"/>
      <c r="C321" s="12"/>
      <c r="D321" s="6"/>
      <c r="E321" s="168"/>
      <c r="G321" s="10"/>
      <c r="H321" s="10"/>
      <c r="J321" s="198"/>
    </row>
    <row r="322" spans="1:10" ht="15.75" customHeight="1" x14ac:dyDescent="0.25">
      <c r="A322" s="197"/>
      <c r="C322" s="12"/>
      <c r="D322" s="6"/>
      <c r="E322" s="168"/>
      <c r="G322" s="10"/>
      <c r="H322" s="10"/>
      <c r="J322" s="198"/>
    </row>
    <row r="323" spans="1:10" ht="15.75" customHeight="1" x14ac:dyDescent="0.25">
      <c r="A323" s="197"/>
      <c r="C323" s="12"/>
      <c r="D323" s="6"/>
      <c r="E323" s="168"/>
      <c r="G323" s="10"/>
      <c r="H323" s="10"/>
      <c r="J323" s="198"/>
    </row>
    <row r="324" spans="1:10" ht="15.75" customHeight="1" x14ac:dyDescent="0.25">
      <c r="A324" s="197"/>
      <c r="C324" s="12"/>
      <c r="D324" s="6"/>
      <c r="E324" s="168"/>
      <c r="G324" s="10"/>
      <c r="H324" s="10"/>
      <c r="J324" s="198"/>
    </row>
    <row r="325" spans="1:10" ht="15.75" customHeight="1" x14ac:dyDescent="0.25">
      <c r="A325" s="197"/>
      <c r="C325" s="12"/>
      <c r="D325" s="6"/>
      <c r="E325" s="168"/>
      <c r="G325" s="10"/>
      <c r="H325" s="10"/>
      <c r="J325" s="198"/>
    </row>
    <row r="326" spans="1:10" ht="15.75" customHeight="1" x14ac:dyDescent="0.25">
      <c r="A326" s="197"/>
      <c r="C326" s="12"/>
      <c r="D326" s="6"/>
      <c r="E326" s="168"/>
      <c r="G326" s="10"/>
      <c r="H326" s="10"/>
      <c r="J326" s="198"/>
    </row>
    <row r="327" spans="1:10" ht="15.75" customHeight="1" x14ac:dyDescent="0.25">
      <c r="A327" s="197"/>
      <c r="C327" s="12"/>
      <c r="D327" s="6"/>
      <c r="E327" s="168"/>
      <c r="G327" s="10"/>
      <c r="H327" s="10"/>
      <c r="J327" s="198"/>
    </row>
    <row r="328" spans="1:10" ht="15.75" customHeight="1" x14ac:dyDescent="0.25">
      <c r="A328" s="197"/>
      <c r="C328" s="12"/>
      <c r="D328" s="6"/>
      <c r="E328" s="168"/>
      <c r="G328" s="10"/>
      <c r="H328" s="10"/>
      <c r="J328" s="198"/>
    </row>
    <row r="329" spans="1:10" ht="15.75" customHeight="1" x14ac:dyDescent="0.25">
      <c r="A329" s="197"/>
      <c r="C329" s="12"/>
      <c r="D329" s="6"/>
      <c r="E329" s="168"/>
      <c r="G329" s="10"/>
      <c r="H329" s="10"/>
      <c r="J329" s="198"/>
    </row>
    <row r="330" spans="1:10" ht="15.75" customHeight="1" x14ac:dyDescent="0.25">
      <c r="A330" s="197"/>
      <c r="C330" s="12"/>
      <c r="D330" s="6"/>
      <c r="E330" s="168"/>
      <c r="G330" s="10"/>
      <c r="H330" s="10"/>
      <c r="J330" s="198"/>
    </row>
    <row r="331" spans="1:10" ht="15.75" customHeight="1" x14ac:dyDescent="0.25">
      <c r="A331" s="197"/>
      <c r="C331" s="12"/>
      <c r="D331" s="6"/>
      <c r="E331" s="168"/>
      <c r="G331" s="10"/>
      <c r="H331" s="10"/>
      <c r="J331" s="198"/>
    </row>
    <row r="332" spans="1:10" ht="15.75" customHeight="1" x14ac:dyDescent="0.25">
      <c r="A332" s="197"/>
      <c r="C332" s="12"/>
      <c r="D332" s="6"/>
      <c r="E332" s="168"/>
      <c r="G332" s="10"/>
      <c r="H332" s="10"/>
      <c r="J332" s="198"/>
    </row>
    <row r="333" spans="1:10" ht="15.75" customHeight="1" x14ac:dyDescent="0.25">
      <c r="A333" s="197"/>
      <c r="C333" s="12"/>
      <c r="D333" s="6"/>
      <c r="E333" s="168"/>
      <c r="G333" s="10"/>
      <c r="H333" s="10"/>
      <c r="J333" s="198"/>
    </row>
    <row r="334" spans="1:10" ht="15.75" customHeight="1" x14ac:dyDescent="0.25">
      <c r="A334" s="197"/>
      <c r="C334" s="12"/>
      <c r="D334" s="6"/>
      <c r="E334" s="168"/>
      <c r="G334" s="10"/>
      <c r="H334" s="10"/>
      <c r="J334" s="198"/>
    </row>
    <row r="335" spans="1:10" ht="15.75" customHeight="1" x14ac:dyDescent="0.25">
      <c r="A335" s="197"/>
      <c r="C335" s="12"/>
      <c r="D335" s="6"/>
      <c r="E335" s="168"/>
      <c r="G335" s="10"/>
      <c r="H335" s="10"/>
      <c r="J335" s="198"/>
    </row>
    <row r="336" spans="1:10" ht="15.75" customHeight="1" x14ac:dyDescent="0.25">
      <c r="A336" s="197"/>
      <c r="C336" s="12"/>
      <c r="D336" s="6"/>
      <c r="E336" s="168"/>
      <c r="G336" s="10"/>
      <c r="H336" s="10"/>
      <c r="J336" s="198"/>
    </row>
    <row r="337" spans="1:10" ht="15.75" customHeight="1" x14ac:dyDescent="0.25">
      <c r="A337" s="197"/>
      <c r="C337" s="12"/>
      <c r="D337" s="6"/>
      <c r="E337" s="168"/>
      <c r="G337" s="10"/>
      <c r="H337" s="10"/>
      <c r="J337" s="198"/>
    </row>
    <row r="338" spans="1:10" ht="15.75" customHeight="1" x14ac:dyDescent="0.25">
      <c r="A338" s="197"/>
      <c r="C338" s="12"/>
      <c r="D338" s="6"/>
      <c r="E338" s="168"/>
      <c r="G338" s="10"/>
      <c r="H338" s="10"/>
      <c r="J338" s="198"/>
    </row>
    <row r="339" spans="1:10" ht="15.75" customHeight="1" x14ac:dyDescent="0.25">
      <c r="A339" s="197"/>
      <c r="C339" s="12"/>
      <c r="D339" s="6"/>
      <c r="E339" s="168"/>
      <c r="G339" s="10"/>
      <c r="H339" s="10"/>
      <c r="J339" s="198"/>
    </row>
    <row r="340" spans="1:10" ht="15.75" customHeight="1" x14ac:dyDescent="0.25">
      <c r="A340" s="197"/>
      <c r="C340" s="12"/>
      <c r="D340" s="6"/>
      <c r="E340" s="168"/>
      <c r="G340" s="10"/>
      <c r="H340" s="10"/>
      <c r="J340" s="198"/>
    </row>
    <row r="341" spans="1:10" ht="15.75" customHeight="1" x14ac:dyDescent="0.25">
      <c r="A341" s="197"/>
      <c r="C341" s="12"/>
      <c r="D341" s="6"/>
      <c r="E341" s="168"/>
      <c r="G341" s="10"/>
      <c r="H341" s="10"/>
      <c r="J341" s="198"/>
    </row>
    <row r="342" spans="1:10" ht="15.75" customHeight="1" x14ac:dyDescent="0.25">
      <c r="A342" s="197"/>
      <c r="C342" s="12"/>
      <c r="D342" s="6"/>
      <c r="E342" s="168"/>
      <c r="G342" s="10"/>
      <c r="H342" s="10"/>
      <c r="J342" s="198"/>
    </row>
    <row r="343" spans="1:10" ht="15.75" customHeight="1" x14ac:dyDescent="0.25">
      <c r="A343" s="197"/>
      <c r="C343" s="12"/>
      <c r="D343" s="6"/>
      <c r="E343" s="168"/>
      <c r="G343" s="10"/>
      <c r="H343" s="10"/>
      <c r="J343" s="198"/>
    </row>
    <row r="344" spans="1:10" ht="15.75" customHeight="1" x14ac:dyDescent="0.25">
      <c r="A344" s="197"/>
      <c r="C344" s="12"/>
      <c r="D344" s="6"/>
      <c r="E344" s="168"/>
      <c r="G344" s="10"/>
      <c r="H344" s="10"/>
      <c r="J344" s="198"/>
    </row>
    <row r="345" spans="1:10" ht="15.75" customHeight="1" x14ac:dyDescent="0.25">
      <c r="A345" s="197"/>
      <c r="C345" s="12"/>
      <c r="D345" s="6"/>
      <c r="E345" s="168"/>
      <c r="G345" s="10"/>
      <c r="H345" s="10"/>
      <c r="J345" s="198"/>
    </row>
    <row r="346" spans="1:10" ht="15.75" customHeight="1" x14ac:dyDescent="0.25">
      <c r="A346" s="197"/>
      <c r="C346" s="12"/>
      <c r="D346" s="6"/>
      <c r="E346" s="168"/>
      <c r="G346" s="10"/>
      <c r="H346" s="10"/>
      <c r="J346" s="198"/>
    </row>
    <row r="347" spans="1:10" ht="15.75" customHeight="1" x14ac:dyDescent="0.25">
      <c r="A347" s="197"/>
      <c r="C347" s="12"/>
      <c r="D347" s="6"/>
      <c r="E347" s="168"/>
      <c r="G347" s="10"/>
      <c r="H347" s="10"/>
      <c r="J347" s="198"/>
    </row>
    <row r="348" spans="1:10" ht="15.75" customHeight="1" x14ac:dyDescent="0.25">
      <c r="A348" s="197"/>
      <c r="C348" s="12"/>
      <c r="D348" s="6"/>
      <c r="E348" s="168"/>
      <c r="G348" s="10"/>
      <c r="H348" s="10"/>
      <c r="J348" s="198"/>
    </row>
    <row r="349" spans="1:10" ht="15.75" customHeight="1" x14ac:dyDescent="0.25">
      <c r="A349" s="197"/>
      <c r="C349" s="12"/>
      <c r="D349" s="6"/>
      <c r="E349" s="168"/>
      <c r="G349" s="10"/>
      <c r="H349" s="10"/>
      <c r="J349" s="198"/>
    </row>
    <row r="350" spans="1:10" ht="15.75" customHeight="1" x14ac:dyDescent="0.25">
      <c r="A350" s="197"/>
      <c r="C350" s="12"/>
      <c r="D350" s="6"/>
      <c r="E350" s="168"/>
      <c r="G350" s="10"/>
      <c r="H350" s="10"/>
      <c r="J350" s="198"/>
    </row>
    <row r="351" spans="1:10" ht="15.75" customHeight="1" x14ac:dyDescent="0.25">
      <c r="A351" s="197"/>
      <c r="C351" s="12"/>
      <c r="D351" s="6"/>
      <c r="E351" s="168"/>
      <c r="G351" s="10"/>
      <c r="H351" s="10"/>
      <c r="J351" s="198"/>
    </row>
    <row r="352" spans="1:10" ht="15.75" customHeight="1" x14ac:dyDescent="0.25">
      <c r="A352" s="197"/>
      <c r="C352" s="12"/>
      <c r="D352" s="6"/>
      <c r="E352" s="168"/>
      <c r="G352" s="10"/>
      <c r="H352" s="10"/>
      <c r="J352" s="198"/>
    </row>
    <row r="353" spans="1:10" ht="15.75" customHeight="1" x14ac:dyDescent="0.25">
      <c r="A353" s="197"/>
      <c r="C353" s="12"/>
      <c r="D353" s="6"/>
      <c r="E353" s="168"/>
      <c r="G353" s="10"/>
      <c r="H353" s="10"/>
      <c r="J353" s="198"/>
    </row>
    <row r="354" spans="1:10" ht="15.75" customHeight="1" x14ac:dyDescent="0.25">
      <c r="A354" s="197"/>
      <c r="C354" s="12"/>
      <c r="D354" s="6"/>
      <c r="E354" s="168"/>
      <c r="G354" s="10"/>
      <c r="H354" s="10"/>
      <c r="J354" s="198"/>
    </row>
    <row r="355" spans="1:10" ht="15.75" customHeight="1" x14ac:dyDescent="0.25">
      <c r="A355" s="197"/>
      <c r="C355" s="12"/>
      <c r="D355" s="6"/>
      <c r="E355" s="168"/>
      <c r="G355" s="10"/>
      <c r="H355" s="10"/>
      <c r="J355" s="198"/>
    </row>
    <row r="356" spans="1:10" ht="15.75" customHeight="1" x14ac:dyDescent="0.25">
      <c r="A356" s="197"/>
      <c r="C356" s="12"/>
      <c r="D356" s="6"/>
      <c r="E356" s="168"/>
      <c r="G356" s="10"/>
      <c r="H356" s="10"/>
      <c r="J356" s="198"/>
    </row>
    <row r="357" spans="1:10" ht="15.75" customHeight="1" x14ac:dyDescent="0.25">
      <c r="A357" s="197"/>
      <c r="C357" s="12"/>
      <c r="D357" s="6"/>
      <c r="E357" s="168"/>
      <c r="G357" s="10"/>
      <c r="H357" s="10"/>
      <c r="J357" s="198"/>
    </row>
    <row r="358" spans="1:10" ht="15.75" customHeight="1" x14ac:dyDescent="0.25">
      <c r="A358" s="197"/>
      <c r="C358" s="12"/>
      <c r="D358" s="6"/>
      <c r="E358" s="168"/>
      <c r="G358" s="10"/>
      <c r="H358" s="10"/>
      <c r="J358" s="198"/>
    </row>
    <row r="359" spans="1:10" ht="15.75" customHeight="1" x14ac:dyDescent="0.25">
      <c r="A359" s="197"/>
      <c r="C359" s="12"/>
      <c r="D359" s="6"/>
      <c r="E359" s="168"/>
      <c r="G359" s="10"/>
      <c r="H359" s="10"/>
      <c r="J359" s="198"/>
    </row>
    <row r="360" spans="1:10" ht="15.75" customHeight="1" x14ac:dyDescent="0.25">
      <c r="A360" s="197"/>
      <c r="C360" s="12"/>
      <c r="D360" s="6"/>
      <c r="E360" s="168"/>
      <c r="G360" s="10"/>
      <c r="H360" s="10"/>
      <c r="J360" s="198"/>
    </row>
    <row r="361" spans="1:10" ht="15.75" customHeight="1" x14ac:dyDescent="0.25">
      <c r="A361" s="197"/>
      <c r="C361" s="12"/>
      <c r="D361" s="6"/>
      <c r="E361" s="168"/>
      <c r="G361" s="10"/>
      <c r="H361" s="10"/>
      <c r="J361" s="198"/>
    </row>
    <row r="362" spans="1:10" ht="15.75" customHeight="1" x14ac:dyDescent="0.25">
      <c r="A362" s="197"/>
      <c r="C362" s="12"/>
      <c r="D362" s="6"/>
      <c r="E362" s="168"/>
      <c r="G362" s="10"/>
      <c r="H362" s="10"/>
      <c r="J362" s="198"/>
    </row>
    <row r="363" spans="1:10" ht="15.75" customHeight="1" x14ac:dyDescent="0.25">
      <c r="A363" s="197"/>
      <c r="C363" s="12"/>
      <c r="D363" s="6"/>
      <c r="E363" s="168"/>
      <c r="G363" s="10"/>
      <c r="H363" s="10"/>
      <c r="J363" s="198"/>
    </row>
    <row r="364" spans="1:10" ht="15.75" customHeight="1" x14ac:dyDescent="0.25">
      <c r="A364" s="197"/>
      <c r="C364" s="12"/>
      <c r="D364" s="6"/>
      <c r="E364" s="168"/>
      <c r="G364" s="10"/>
      <c r="H364" s="10"/>
      <c r="J364" s="198"/>
    </row>
    <row r="365" spans="1:10" ht="15.75" customHeight="1" x14ac:dyDescent="0.25">
      <c r="A365" s="197"/>
      <c r="C365" s="12"/>
      <c r="D365" s="6"/>
      <c r="E365" s="168"/>
      <c r="G365" s="10"/>
      <c r="H365" s="10"/>
      <c r="J365" s="198"/>
    </row>
    <row r="366" spans="1:10" ht="15.75" customHeight="1" x14ac:dyDescent="0.25">
      <c r="A366" s="197"/>
      <c r="C366" s="12"/>
      <c r="D366" s="6"/>
      <c r="E366" s="168"/>
      <c r="G366" s="10"/>
      <c r="H366" s="10"/>
      <c r="J366" s="198"/>
    </row>
    <row r="367" spans="1:10" ht="15.75" customHeight="1" x14ac:dyDescent="0.25">
      <c r="A367" s="197"/>
      <c r="C367" s="12"/>
      <c r="D367" s="6"/>
      <c r="E367" s="168"/>
      <c r="G367" s="10"/>
      <c r="H367" s="10"/>
      <c r="J367" s="198"/>
    </row>
    <row r="368" spans="1:10" ht="15.75" customHeight="1" x14ac:dyDescent="0.25">
      <c r="A368" s="197"/>
      <c r="C368" s="12"/>
      <c r="D368" s="6"/>
      <c r="E368" s="168"/>
      <c r="G368" s="10"/>
      <c r="H368" s="10"/>
      <c r="J368" s="198"/>
    </row>
    <row r="369" spans="1:10" ht="15.75" customHeight="1" x14ac:dyDescent="0.25">
      <c r="A369" s="197"/>
      <c r="C369" s="12"/>
      <c r="D369" s="6"/>
      <c r="E369" s="168"/>
      <c r="G369" s="10"/>
      <c r="H369" s="10"/>
      <c r="J369" s="198"/>
    </row>
    <row r="370" spans="1:10" ht="15.75" customHeight="1" x14ac:dyDescent="0.25">
      <c r="A370" s="197"/>
      <c r="C370" s="12"/>
      <c r="D370" s="6"/>
      <c r="E370" s="168"/>
      <c r="G370" s="10"/>
      <c r="H370" s="10"/>
      <c r="J370" s="198"/>
    </row>
    <row r="371" spans="1:10" ht="15.75" customHeight="1" x14ac:dyDescent="0.25">
      <c r="A371" s="197"/>
      <c r="C371" s="12"/>
      <c r="D371" s="6"/>
      <c r="E371" s="168"/>
      <c r="G371" s="10"/>
      <c r="H371" s="10"/>
      <c r="J371" s="198"/>
    </row>
    <row r="372" spans="1:10" ht="15.75" customHeight="1" x14ac:dyDescent="0.25">
      <c r="A372" s="197"/>
      <c r="C372" s="12"/>
      <c r="D372" s="6"/>
      <c r="E372" s="168"/>
      <c r="G372" s="10"/>
      <c r="H372" s="10"/>
      <c r="J372" s="198"/>
    </row>
    <row r="373" spans="1:10" ht="15.75" customHeight="1" x14ac:dyDescent="0.25">
      <c r="A373" s="197"/>
      <c r="C373" s="12"/>
      <c r="D373" s="6"/>
      <c r="E373" s="168"/>
      <c r="G373" s="10"/>
      <c r="H373" s="10"/>
      <c r="J373" s="198"/>
    </row>
    <row r="374" spans="1:10" ht="15.75" customHeight="1" x14ac:dyDescent="0.25">
      <c r="A374" s="197"/>
      <c r="C374" s="12"/>
      <c r="D374" s="6"/>
      <c r="E374" s="168"/>
      <c r="G374" s="10"/>
      <c r="H374" s="10"/>
      <c r="J374" s="198"/>
    </row>
    <row r="375" spans="1:10" ht="15.75" customHeight="1" x14ac:dyDescent="0.25">
      <c r="A375" s="197"/>
      <c r="C375" s="12"/>
      <c r="D375" s="6"/>
      <c r="E375" s="168"/>
      <c r="G375" s="10"/>
      <c r="H375" s="10"/>
      <c r="J375" s="198"/>
    </row>
    <row r="376" spans="1:10" ht="15.75" customHeight="1" x14ac:dyDescent="0.25">
      <c r="A376" s="197"/>
      <c r="C376" s="12"/>
      <c r="D376" s="6"/>
      <c r="E376" s="168"/>
      <c r="G376" s="10"/>
      <c r="H376" s="10"/>
      <c r="J376" s="198"/>
    </row>
    <row r="377" spans="1:10" ht="15.75" customHeight="1" x14ac:dyDescent="0.25">
      <c r="A377" s="197"/>
      <c r="C377" s="12"/>
      <c r="D377" s="6"/>
      <c r="E377" s="168"/>
      <c r="G377" s="10"/>
      <c r="H377" s="10"/>
      <c r="J377" s="198"/>
    </row>
    <row r="378" spans="1:10" ht="15.75" customHeight="1" x14ac:dyDescent="0.25">
      <c r="A378" s="197"/>
      <c r="C378" s="12"/>
      <c r="D378" s="6"/>
      <c r="E378" s="168"/>
      <c r="G378" s="10"/>
      <c r="H378" s="10"/>
      <c r="J378" s="198"/>
    </row>
    <row r="379" spans="1:10" ht="15.75" customHeight="1" x14ac:dyDescent="0.25">
      <c r="A379" s="197"/>
      <c r="C379" s="12"/>
      <c r="D379" s="6"/>
      <c r="E379" s="168"/>
      <c r="G379" s="10"/>
      <c r="H379" s="10"/>
      <c r="J379" s="198"/>
    </row>
    <row r="380" spans="1:10" ht="15.75" customHeight="1" x14ac:dyDescent="0.25">
      <c r="A380" s="197"/>
      <c r="C380" s="12"/>
      <c r="D380" s="6"/>
      <c r="E380" s="168"/>
      <c r="G380" s="10"/>
      <c r="H380" s="10"/>
      <c r="J380" s="198"/>
    </row>
    <row r="381" spans="1:10" ht="15.75" customHeight="1" x14ac:dyDescent="0.25">
      <c r="A381" s="197"/>
      <c r="C381" s="12"/>
      <c r="D381" s="6"/>
      <c r="E381" s="168"/>
      <c r="G381" s="10"/>
      <c r="H381" s="10"/>
      <c r="J381" s="198"/>
    </row>
    <row r="382" spans="1:10" ht="15.75" customHeight="1" x14ac:dyDescent="0.25">
      <c r="A382" s="197"/>
      <c r="C382" s="12"/>
      <c r="D382" s="6"/>
      <c r="E382" s="168"/>
      <c r="G382" s="10"/>
      <c r="H382" s="10"/>
      <c r="J382" s="198"/>
    </row>
    <row r="383" spans="1:10" ht="15.75" customHeight="1" x14ac:dyDescent="0.25">
      <c r="A383" s="197"/>
      <c r="C383" s="12"/>
      <c r="D383" s="6"/>
      <c r="E383" s="168"/>
      <c r="G383" s="10"/>
      <c r="H383" s="10"/>
      <c r="J383" s="198"/>
    </row>
    <row r="384" spans="1:10" ht="15.75" customHeight="1" x14ac:dyDescent="0.25">
      <c r="A384" s="197"/>
      <c r="C384" s="12"/>
      <c r="D384" s="6"/>
      <c r="E384" s="168"/>
      <c r="G384" s="10"/>
      <c r="H384" s="10"/>
      <c r="J384" s="198"/>
    </row>
    <row r="385" spans="1:10" ht="15.75" customHeight="1" x14ac:dyDescent="0.25">
      <c r="A385" s="197"/>
      <c r="C385" s="12"/>
      <c r="D385" s="6"/>
      <c r="E385" s="168"/>
      <c r="G385" s="10"/>
      <c r="H385" s="10"/>
      <c r="J385" s="198"/>
    </row>
    <row r="386" spans="1:10" ht="15.75" customHeight="1" x14ac:dyDescent="0.25">
      <c r="A386" s="197"/>
      <c r="C386" s="12"/>
      <c r="D386" s="6"/>
      <c r="E386" s="168"/>
      <c r="G386" s="10"/>
      <c r="H386" s="10"/>
      <c r="J386" s="198"/>
    </row>
    <row r="387" spans="1:10" ht="15.75" customHeight="1" x14ac:dyDescent="0.25">
      <c r="A387" s="197"/>
      <c r="C387" s="12"/>
      <c r="D387" s="6"/>
      <c r="E387" s="168"/>
      <c r="G387" s="10"/>
      <c r="H387" s="10"/>
      <c r="J387" s="198"/>
    </row>
    <row r="388" spans="1:10" ht="15.75" customHeight="1" x14ac:dyDescent="0.25">
      <c r="A388" s="197"/>
      <c r="C388" s="12"/>
      <c r="D388" s="6"/>
      <c r="E388" s="168"/>
      <c r="G388" s="10"/>
      <c r="H388" s="10"/>
      <c r="J388" s="198"/>
    </row>
    <row r="389" spans="1:10" ht="15.75" customHeight="1" x14ac:dyDescent="0.25">
      <c r="A389" s="197"/>
      <c r="C389" s="12"/>
      <c r="D389" s="6"/>
      <c r="E389" s="168"/>
      <c r="G389" s="10"/>
      <c r="H389" s="10"/>
      <c r="J389" s="198"/>
    </row>
    <row r="390" spans="1:10" ht="15.75" customHeight="1" x14ac:dyDescent="0.25">
      <c r="A390" s="197"/>
      <c r="C390" s="12"/>
      <c r="D390" s="6"/>
      <c r="E390" s="168"/>
      <c r="G390" s="10"/>
      <c r="H390" s="10"/>
      <c r="J390" s="198"/>
    </row>
    <row r="391" spans="1:10" ht="15.75" customHeight="1" x14ac:dyDescent="0.25">
      <c r="A391" s="197"/>
      <c r="C391" s="12"/>
      <c r="D391" s="6"/>
      <c r="E391" s="168"/>
      <c r="G391" s="10"/>
      <c r="H391" s="10"/>
      <c r="J391" s="198"/>
    </row>
    <row r="392" spans="1:10" ht="15.75" customHeight="1" x14ac:dyDescent="0.25">
      <c r="A392" s="197"/>
      <c r="C392" s="12"/>
      <c r="D392" s="6"/>
      <c r="E392" s="168"/>
      <c r="G392" s="10"/>
      <c r="H392" s="10"/>
      <c r="J392" s="198"/>
    </row>
    <row r="393" spans="1:10" ht="15.75" customHeight="1" x14ac:dyDescent="0.25">
      <c r="A393" s="197"/>
      <c r="C393" s="12"/>
      <c r="D393" s="6"/>
      <c r="E393" s="168"/>
      <c r="G393" s="10"/>
      <c r="H393" s="10"/>
      <c r="J393" s="198"/>
    </row>
    <row r="394" spans="1:10" ht="15.75" customHeight="1" x14ac:dyDescent="0.25">
      <c r="A394" s="197"/>
      <c r="C394" s="12"/>
      <c r="D394" s="6"/>
      <c r="E394" s="168"/>
      <c r="G394" s="10"/>
      <c r="H394" s="10"/>
      <c r="J394" s="198"/>
    </row>
    <row r="395" spans="1:10" ht="15.75" customHeight="1" x14ac:dyDescent="0.25">
      <c r="A395" s="197"/>
      <c r="C395" s="12"/>
      <c r="D395" s="6"/>
      <c r="E395" s="168"/>
      <c r="G395" s="10"/>
      <c r="H395" s="10"/>
      <c r="J395" s="198"/>
    </row>
    <row r="396" spans="1:10" ht="15.75" customHeight="1" x14ac:dyDescent="0.25">
      <c r="A396" s="197"/>
      <c r="C396" s="12"/>
      <c r="D396" s="6"/>
      <c r="E396" s="168"/>
      <c r="G396" s="10"/>
      <c r="H396" s="10"/>
      <c r="J396" s="198"/>
    </row>
    <row r="397" spans="1:10" ht="15.75" customHeight="1" x14ac:dyDescent="0.25">
      <c r="A397" s="197"/>
      <c r="C397" s="12"/>
      <c r="D397" s="6"/>
      <c r="E397" s="168"/>
      <c r="G397" s="10"/>
      <c r="H397" s="10"/>
      <c r="J397" s="198"/>
    </row>
    <row r="398" spans="1:10" ht="15.75" customHeight="1" x14ac:dyDescent="0.25">
      <c r="A398" s="197"/>
      <c r="C398" s="12"/>
      <c r="D398" s="6"/>
      <c r="E398" s="168"/>
      <c r="G398" s="10"/>
      <c r="H398" s="10"/>
      <c r="J398" s="198"/>
    </row>
    <row r="399" spans="1:10" ht="15.75" customHeight="1" x14ac:dyDescent="0.25">
      <c r="A399" s="197"/>
      <c r="C399" s="12"/>
      <c r="D399" s="6"/>
      <c r="E399" s="168"/>
      <c r="G399" s="10"/>
      <c r="H399" s="10"/>
      <c r="J399" s="198"/>
    </row>
    <row r="400" spans="1:10" ht="15.75" customHeight="1" x14ac:dyDescent="0.25">
      <c r="A400" s="197"/>
      <c r="C400" s="12"/>
      <c r="D400" s="6"/>
      <c r="E400" s="168"/>
      <c r="G400" s="10"/>
      <c r="H400" s="10"/>
      <c r="J400" s="198"/>
    </row>
    <row r="401" spans="1:10" ht="15.75" customHeight="1" x14ac:dyDescent="0.25">
      <c r="A401" s="197"/>
      <c r="C401" s="12"/>
      <c r="D401" s="6"/>
      <c r="E401" s="168"/>
      <c r="G401" s="10"/>
      <c r="H401" s="10"/>
      <c r="J401" s="198"/>
    </row>
    <row r="402" spans="1:10" ht="15.75" customHeight="1" x14ac:dyDescent="0.25">
      <c r="A402" s="197"/>
      <c r="C402" s="12"/>
      <c r="D402" s="6"/>
      <c r="E402" s="168"/>
      <c r="G402" s="10"/>
      <c r="H402" s="10"/>
      <c r="J402" s="198"/>
    </row>
    <row r="403" spans="1:10" ht="15.75" customHeight="1" x14ac:dyDescent="0.25">
      <c r="A403" s="197"/>
      <c r="C403" s="12"/>
      <c r="D403" s="6"/>
      <c r="E403" s="168"/>
      <c r="G403" s="10"/>
      <c r="H403" s="10"/>
      <c r="J403" s="198"/>
    </row>
    <row r="404" spans="1:10" ht="15.75" customHeight="1" x14ac:dyDescent="0.25">
      <c r="A404" s="197"/>
      <c r="C404" s="12"/>
      <c r="D404" s="6"/>
      <c r="E404" s="168"/>
      <c r="G404" s="10"/>
      <c r="H404" s="10"/>
      <c r="J404" s="198"/>
    </row>
    <row r="405" spans="1:10" ht="15.75" customHeight="1" x14ac:dyDescent="0.25">
      <c r="A405" s="197"/>
      <c r="C405" s="12"/>
      <c r="D405" s="6"/>
      <c r="E405" s="168"/>
      <c r="G405" s="10"/>
      <c r="H405" s="10"/>
      <c r="J405" s="198"/>
    </row>
    <row r="406" spans="1:10" ht="15.75" customHeight="1" x14ac:dyDescent="0.25">
      <c r="A406" s="197"/>
      <c r="C406" s="12"/>
      <c r="D406" s="6"/>
      <c r="E406" s="168"/>
      <c r="G406" s="10"/>
      <c r="H406" s="10"/>
      <c r="J406" s="198"/>
    </row>
    <row r="407" spans="1:10" ht="15.75" customHeight="1" x14ac:dyDescent="0.25">
      <c r="A407" s="197"/>
      <c r="C407" s="12"/>
      <c r="D407" s="6"/>
      <c r="E407" s="168"/>
      <c r="G407" s="10"/>
      <c r="H407" s="10"/>
      <c r="J407" s="198"/>
    </row>
    <row r="408" spans="1:10" ht="15.75" customHeight="1" x14ac:dyDescent="0.25">
      <c r="A408" s="197"/>
      <c r="C408" s="12"/>
      <c r="D408" s="6"/>
      <c r="E408" s="168"/>
      <c r="G408" s="10"/>
      <c r="H408" s="10"/>
      <c r="J408" s="198"/>
    </row>
    <row r="409" spans="1:10" ht="15.75" customHeight="1" x14ac:dyDescent="0.25">
      <c r="A409" s="197"/>
      <c r="C409" s="12"/>
      <c r="D409" s="6"/>
      <c r="E409" s="168"/>
      <c r="G409" s="10"/>
      <c r="H409" s="10"/>
      <c r="J409" s="198"/>
    </row>
    <row r="410" spans="1:10" ht="15.75" customHeight="1" x14ac:dyDescent="0.25">
      <c r="A410" s="197"/>
      <c r="C410" s="12"/>
      <c r="D410" s="6"/>
      <c r="E410" s="168"/>
      <c r="G410" s="10"/>
      <c r="H410" s="10"/>
      <c r="J410" s="198"/>
    </row>
    <row r="411" spans="1:10" ht="15.75" customHeight="1" x14ac:dyDescent="0.25">
      <c r="A411" s="197"/>
      <c r="C411" s="12"/>
      <c r="D411" s="6"/>
      <c r="E411" s="168"/>
      <c r="G411" s="10"/>
      <c r="H411" s="10"/>
      <c r="J411" s="198"/>
    </row>
    <row r="412" spans="1:10" ht="15.75" customHeight="1" x14ac:dyDescent="0.25">
      <c r="A412" s="197"/>
      <c r="C412" s="12"/>
      <c r="D412" s="6"/>
      <c r="E412" s="168"/>
      <c r="G412" s="10"/>
      <c r="H412" s="10"/>
      <c r="J412" s="198"/>
    </row>
    <row r="413" spans="1:10" ht="15.75" customHeight="1" x14ac:dyDescent="0.25">
      <c r="A413" s="197"/>
      <c r="C413" s="12"/>
      <c r="D413" s="6"/>
      <c r="E413" s="168"/>
      <c r="G413" s="10"/>
      <c r="H413" s="10"/>
      <c r="J413" s="198"/>
    </row>
    <row r="414" spans="1:10" ht="15.75" customHeight="1" x14ac:dyDescent="0.25">
      <c r="A414" s="197"/>
      <c r="C414" s="12"/>
      <c r="D414" s="6"/>
      <c r="E414" s="168"/>
      <c r="G414" s="10"/>
      <c r="H414" s="10"/>
      <c r="J414" s="198"/>
    </row>
    <row r="415" spans="1:10" ht="15.75" customHeight="1" x14ac:dyDescent="0.25">
      <c r="A415" s="197"/>
      <c r="C415" s="12"/>
      <c r="D415" s="6"/>
      <c r="E415" s="168"/>
      <c r="G415" s="10"/>
      <c r="H415" s="10"/>
      <c r="J415" s="198"/>
    </row>
    <row r="416" spans="1:10" ht="15.75" customHeight="1" x14ac:dyDescent="0.25">
      <c r="A416" s="197"/>
      <c r="C416" s="12"/>
      <c r="D416" s="6"/>
      <c r="E416" s="168"/>
      <c r="G416" s="10"/>
      <c r="H416" s="10"/>
      <c r="J416" s="198"/>
    </row>
    <row r="417" spans="1:10" ht="15.75" customHeight="1" x14ac:dyDescent="0.25">
      <c r="A417" s="197"/>
      <c r="C417" s="12"/>
      <c r="D417" s="6"/>
      <c r="E417" s="168"/>
      <c r="G417" s="10"/>
      <c r="H417" s="10"/>
      <c r="J417" s="198"/>
    </row>
    <row r="418" spans="1:10" ht="15.75" customHeight="1" x14ac:dyDescent="0.25">
      <c r="A418" s="197"/>
      <c r="C418" s="12"/>
      <c r="D418" s="6"/>
      <c r="E418" s="168"/>
      <c r="G418" s="10"/>
      <c r="H418" s="10"/>
      <c r="J418" s="198"/>
    </row>
    <row r="419" spans="1:10" ht="15.75" customHeight="1" x14ac:dyDescent="0.25">
      <c r="A419" s="197"/>
      <c r="C419" s="12"/>
      <c r="D419" s="6"/>
      <c r="E419" s="168"/>
      <c r="G419" s="10"/>
      <c r="H419" s="10"/>
      <c r="J419" s="198"/>
    </row>
    <row r="420" spans="1:10" ht="15.75" customHeight="1" x14ac:dyDescent="0.25">
      <c r="A420" s="197"/>
      <c r="C420" s="12"/>
      <c r="D420" s="6"/>
      <c r="E420" s="168"/>
      <c r="G420" s="10"/>
      <c r="H420" s="10"/>
      <c r="J420" s="198"/>
    </row>
    <row r="421" spans="1:10" ht="15.75" customHeight="1" x14ac:dyDescent="0.25">
      <c r="A421" s="197"/>
      <c r="C421" s="12"/>
      <c r="D421" s="6"/>
      <c r="E421" s="168"/>
      <c r="G421" s="10"/>
      <c r="H421" s="10"/>
      <c r="J421" s="198"/>
    </row>
    <row r="422" spans="1:10" ht="15.75" customHeight="1" x14ac:dyDescent="0.25">
      <c r="A422" s="197"/>
      <c r="C422" s="12"/>
      <c r="D422" s="6"/>
      <c r="E422" s="168"/>
      <c r="G422" s="10"/>
      <c r="H422" s="10"/>
      <c r="J422" s="198"/>
    </row>
    <row r="423" spans="1:10" ht="15.75" customHeight="1" x14ac:dyDescent="0.25">
      <c r="A423" s="197"/>
      <c r="C423" s="12"/>
      <c r="D423" s="6"/>
      <c r="E423" s="168"/>
      <c r="G423" s="10"/>
      <c r="H423" s="10"/>
      <c r="J423" s="198"/>
    </row>
    <row r="424" spans="1:10" ht="15.75" customHeight="1" x14ac:dyDescent="0.25">
      <c r="A424" s="197"/>
      <c r="C424" s="12"/>
      <c r="D424" s="6"/>
      <c r="E424" s="168"/>
      <c r="G424" s="10"/>
      <c r="H424" s="10"/>
      <c r="J424" s="198"/>
    </row>
    <row r="425" spans="1:10" ht="15.75" customHeight="1" x14ac:dyDescent="0.25">
      <c r="A425" s="197"/>
      <c r="C425" s="12"/>
      <c r="D425" s="6"/>
      <c r="E425" s="168"/>
      <c r="G425" s="10"/>
      <c r="H425" s="10"/>
      <c r="J425" s="198"/>
    </row>
    <row r="426" spans="1:10" ht="15.75" customHeight="1" x14ac:dyDescent="0.25">
      <c r="A426" s="197"/>
      <c r="C426" s="12"/>
      <c r="D426" s="6"/>
      <c r="E426" s="168"/>
      <c r="G426" s="10"/>
      <c r="H426" s="10"/>
      <c r="J426" s="198"/>
    </row>
    <row r="427" spans="1:10" ht="15.75" customHeight="1" x14ac:dyDescent="0.25">
      <c r="A427" s="197"/>
      <c r="C427" s="12"/>
      <c r="D427" s="6"/>
      <c r="E427" s="168"/>
      <c r="G427" s="10"/>
      <c r="H427" s="10"/>
      <c r="J427" s="198"/>
    </row>
    <row r="428" spans="1:10" ht="15.75" customHeight="1" x14ac:dyDescent="0.25">
      <c r="A428" s="197"/>
      <c r="C428" s="12"/>
      <c r="D428" s="6"/>
      <c r="E428" s="168"/>
      <c r="G428" s="10"/>
      <c r="H428" s="10"/>
      <c r="J428" s="198"/>
    </row>
    <row r="429" spans="1:10" ht="15.75" customHeight="1" x14ac:dyDescent="0.25">
      <c r="A429" s="197"/>
      <c r="C429" s="12"/>
      <c r="D429" s="6"/>
      <c r="E429" s="168"/>
      <c r="G429" s="10"/>
      <c r="H429" s="10"/>
      <c r="J429" s="198"/>
    </row>
    <row r="430" spans="1:10" ht="15.75" customHeight="1" x14ac:dyDescent="0.25">
      <c r="A430" s="197"/>
      <c r="C430" s="12"/>
      <c r="D430" s="6"/>
      <c r="E430" s="168"/>
      <c r="G430" s="10"/>
      <c r="H430" s="10"/>
      <c r="J430" s="198"/>
    </row>
    <row r="431" spans="1:10" ht="15.75" customHeight="1" x14ac:dyDescent="0.25">
      <c r="A431" s="197"/>
      <c r="C431" s="12"/>
      <c r="D431" s="6"/>
      <c r="E431" s="168"/>
      <c r="G431" s="10"/>
      <c r="H431" s="10"/>
      <c r="J431" s="198"/>
    </row>
    <row r="432" spans="1:10" ht="15.75" customHeight="1" x14ac:dyDescent="0.25">
      <c r="A432" s="197"/>
      <c r="C432" s="12"/>
      <c r="D432" s="6"/>
      <c r="E432" s="168"/>
      <c r="G432" s="10"/>
      <c r="H432" s="10"/>
      <c r="J432" s="198"/>
    </row>
    <row r="433" spans="1:10" ht="15.75" customHeight="1" x14ac:dyDescent="0.25">
      <c r="A433" s="197"/>
      <c r="C433" s="12"/>
      <c r="D433" s="6"/>
      <c r="E433" s="168"/>
      <c r="G433" s="10"/>
      <c r="H433" s="10"/>
      <c r="J433" s="198"/>
    </row>
    <row r="434" spans="1:10" ht="15.75" customHeight="1" x14ac:dyDescent="0.25">
      <c r="A434" s="197"/>
      <c r="C434" s="12"/>
      <c r="D434" s="6"/>
      <c r="E434" s="168"/>
      <c r="G434" s="10"/>
      <c r="H434" s="10"/>
      <c r="J434" s="198"/>
    </row>
    <row r="435" spans="1:10" ht="15.75" customHeight="1" x14ac:dyDescent="0.25">
      <c r="A435" s="197"/>
      <c r="C435" s="12"/>
      <c r="D435" s="6"/>
      <c r="E435" s="168"/>
      <c r="G435" s="10"/>
      <c r="H435" s="10"/>
      <c r="J435" s="198"/>
    </row>
    <row r="436" spans="1:10" ht="15.75" customHeight="1" x14ac:dyDescent="0.25">
      <c r="A436" s="197"/>
      <c r="C436" s="12"/>
      <c r="D436" s="6"/>
      <c r="E436" s="168"/>
      <c r="G436" s="10"/>
      <c r="H436" s="10"/>
      <c r="J436" s="198"/>
    </row>
    <row r="437" spans="1:10" ht="15.75" customHeight="1" x14ac:dyDescent="0.25">
      <c r="A437" s="197"/>
      <c r="C437" s="12"/>
      <c r="D437" s="6"/>
      <c r="E437" s="168"/>
      <c r="G437" s="10"/>
      <c r="H437" s="10"/>
      <c r="J437" s="198"/>
    </row>
    <row r="438" spans="1:10" ht="15.75" customHeight="1" x14ac:dyDescent="0.25">
      <c r="A438" s="197"/>
      <c r="C438" s="12"/>
      <c r="D438" s="6"/>
      <c r="E438" s="168"/>
      <c r="G438" s="10"/>
      <c r="H438" s="10"/>
      <c r="J438" s="198"/>
    </row>
    <row r="439" spans="1:10" ht="15.75" customHeight="1" x14ac:dyDescent="0.25">
      <c r="A439" s="197"/>
      <c r="C439" s="12"/>
      <c r="D439" s="6"/>
      <c r="E439" s="168"/>
      <c r="G439" s="10"/>
      <c r="H439" s="10"/>
      <c r="J439" s="198"/>
    </row>
    <row r="440" spans="1:10" ht="15.75" customHeight="1" x14ac:dyDescent="0.25">
      <c r="A440" s="197"/>
      <c r="C440" s="12"/>
      <c r="D440" s="6"/>
      <c r="E440" s="168"/>
      <c r="G440" s="10"/>
      <c r="H440" s="10"/>
      <c r="J440" s="198"/>
    </row>
    <row r="441" spans="1:10" ht="15.75" customHeight="1" x14ac:dyDescent="0.25">
      <c r="A441" s="197"/>
      <c r="C441" s="12"/>
      <c r="D441" s="6"/>
      <c r="E441" s="168"/>
      <c r="G441" s="10"/>
      <c r="H441" s="10"/>
      <c r="J441" s="198"/>
    </row>
    <row r="442" spans="1:10" ht="15.75" customHeight="1" x14ac:dyDescent="0.25">
      <c r="A442" s="197"/>
      <c r="C442" s="12"/>
      <c r="D442" s="6"/>
      <c r="E442" s="168"/>
      <c r="G442" s="10"/>
      <c r="H442" s="10"/>
      <c r="J442" s="198"/>
    </row>
    <row r="443" spans="1:10" ht="15.75" customHeight="1" x14ac:dyDescent="0.25">
      <c r="A443" s="197"/>
      <c r="C443" s="12"/>
      <c r="D443" s="6"/>
      <c r="E443" s="168"/>
      <c r="G443" s="10"/>
      <c r="H443" s="10"/>
      <c r="J443" s="198"/>
    </row>
    <row r="444" spans="1:10" ht="15.75" customHeight="1" x14ac:dyDescent="0.25">
      <c r="A444" s="197"/>
      <c r="C444" s="12"/>
      <c r="D444" s="6"/>
      <c r="E444" s="168"/>
      <c r="G444" s="10"/>
      <c r="H444" s="10"/>
      <c r="J444" s="198"/>
    </row>
    <row r="445" spans="1:10" ht="15.75" customHeight="1" x14ac:dyDescent="0.25">
      <c r="A445" s="197"/>
      <c r="C445" s="12"/>
      <c r="D445" s="6"/>
      <c r="E445" s="168"/>
      <c r="G445" s="10"/>
      <c r="H445" s="10"/>
      <c r="J445" s="198"/>
    </row>
    <row r="446" spans="1:10" ht="15.75" customHeight="1" x14ac:dyDescent="0.25">
      <c r="A446" s="197"/>
      <c r="C446" s="12"/>
      <c r="D446" s="6"/>
      <c r="E446" s="168"/>
      <c r="G446" s="10"/>
      <c r="H446" s="10"/>
      <c r="J446" s="198"/>
    </row>
    <row r="447" spans="1:10" ht="15.75" customHeight="1" x14ac:dyDescent="0.25">
      <c r="A447" s="197"/>
      <c r="C447" s="12"/>
      <c r="D447" s="6"/>
      <c r="E447" s="168"/>
      <c r="G447" s="10"/>
      <c r="H447" s="10"/>
      <c r="J447" s="198"/>
    </row>
    <row r="448" spans="1:10" ht="15.75" customHeight="1" x14ac:dyDescent="0.25">
      <c r="A448" s="197"/>
      <c r="C448" s="12"/>
      <c r="D448" s="6"/>
      <c r="E448" s="168"/>
      <c r="G448" s="10"/>
      <c r="H448" s="10"/>
      <c r="J448" s="198"/>
    </row>
    <row r="449" spans="1:10" ht="15.75" customHeight="1" x14ac:dyDescent="0.25">
      <c r="A449" s="197"/>
      <c r="C449" s="12"/>
      <c r="D449" s="6"/>
      <c r="E449" s="168"/>
      <c r="G449" s="10"/>
      <c r="H449" s="10"/>
      <c r="J449" s="198"/>
    </row>
    <row r="450" spans="1:10" ht="15.75" customHeight="1" x14ac:dyDescent="0.25">
      <c r="A450" s="197"/>
      <c r="C450" s="12"/>
      <c r="D450" s="6"/>
      <c r="E450" s="168"/>
      <c r="G450" s="10"/>
      <c r="H450" s="10"/>
      <c r="J450" s="198"/>
    </row>
    <row r="451" spans="1:10" ht="15.75" customHeight="1" x14ac:dyDescent="0.25">
      <c r="A451" s="197"/>
      <c r="C451" s="12"/>
      <c r="D451" s="6"/>
      <c r="E451" s="168"/>
      <c r="G451" s="10"/>
      <c r="H451" s="10"/>
      <c r="J451" s="198"/>
    </row>
    <row r="452" spans="1:10" ht="15.75" customHeight="1" x14ac:dyDescent="0.25">
      <c r="A452" s="197"/>
      <c r="C452" s="12"/>
      <c r="D452" s="6"/>
      <c r="E452" s="168"/>
      <c r="G452" s="10"/>
      <c r="H452" s="10"/>
      <c r="J452" s="198"/>
    </row>
    <row r="453" spans="1:10" ht="15.75" customHeight="1" x14ac:dyDescent="0.25">
      <c r="A453" s="197"/>
      <c r="C453" s="12"/>
      <c r="D453" s="6"/>
      <c r="E453" s="168"/>
      <c r="G453" s="10"/>
      <c r="H453" s="10"/>
      <c r="J453" s="198"/>
    </row>
    <row r="454" spans="1:10" ht="15.75" customHeight="1" x14ac:dyDescent="0.25">
      <c r="A454" s="197"/>
      <c r="C454" s="12"/>
      <c r="D454" s="6"/>
      <c r="E454" s="168"/>
      <c r="G454" s="10"/>
      <c r="H454" s="10"/>
      <c r="J454" s="198"/>
    </row>
    <row r="455" spans="1:10" ht="15.75" customHeight="1" x14ac:dyDescent="0.25">
      <c r="A455" s="197"/>
      <c r="C455" s="12"/>
      <c r="D455" s="6"/>
      <c r="E455" s="168"/>
      <c r="G455" s="10"/>
      <c r="H455" s="10"/>
      <c r="J455" s="198"/>
    </row>
    <row r="456" spans="1:10" ht="15.75" customHeight="1" x14ac:dyDescent="0.25">
      <c r="A456" s="197"/>
      <c r="C456" s="12"/>
      <c r="D456" s="6"/>
      <c r="E456" s="168"/>
      <c r="G456" s="10"/>
      <c r="H456" s="10"/>
      <c r="J456" s="198"/>
    </row>
    <row r="457" spans="1:10" ht="15.75" customHeight="1" x14ac:dyDescent="0.25">
      <c r="A457" s="197"/>
      <c r="C457" s="12"/>
      <c r="D457" s="6"/>
      <c r="E457" s="168"/>
      <c r="G457" s="10"/>
      <c r="H457" s="10"/>
      <c r="J457" s="198"/>
    </row>
    <row r="458" spans="1:10" ht="15.75" customHeight="1" x14ac:dyDescent="0.25">
      <c r="A458" s="197"/>
      <c r="C458" s="12"/>
      <c r="D458" s="6"/>
      <c r="E458" s="168"/>
      <c r="G458" s="10"/>
      <c r="H458" s="10"/>
      <c r="J458" s="198"/>
    </row>
    <row r="459" spans="1:10" ht="15.75" customHeight="1" x14ac:dyDescent="0.25">
      <c r="A459" s="197"/>
      <c r="C459" s="12"/>
      <c r="D459" s="6"/>
      <c r="E459" s="168"/>
      <c r="G459" s="10"/>
      <c r="H459" s="10"/>
      <c r="J459" s="198"/>
    </row>
    <row r="460" spans="1:10" ht="15.75" customHeight="1" x14ac:dyDescent="0.25">
      <c r="A460" s="197"/>
      <c r="C460" s="12"/>
      <c r="D460" s="6"/>
      <c r="E460" s="168"/>
      <c r="G460" s="10"/>
      <c r="H460" s="10"/>
      <c r="J460" s="198"/>
    </row>
    <row r="461" spans="1:10" ht="15.75" customHeight="1" x14ac:dyDescent="0.25">
      <c r="A461" s="197"/>
      <c r="C461" s="12"/>
      <c r="D461" s="6"/>
      <c r="E461" s="168"/>
      <c r="G461" s="10"/>
      <c r="H461" s="10"/>
      <c r="J461" s="198"/>
    </row>
    <row r="462" spans="1:10" ht="15.75" customHeight="1" x14ac:dyDescent="0.25">
      <c r="A462" s="197"/>
      <c r="C462" s="12"/>
      <c r="D462" s="6"/>
      <c r="E462" s="168"/>
      <c r="G462" s="10"/>
      <c r="H462" s="10"/>
      <c r="J462" s="198"/>
    </row>
    <row r="463" spans="1:10" ht="15.75" customHeight="1" x14ac:dyDescent="0.25">
      <c r="A463" s="197"/>
      <c r="C463" s="12"/>
      <c r="D463" s="6"/>
      <c r="E463" s="168"/>
      <c r="G463" s="10"/>
      <c r="H463" s="10"/>
      <c r="J463" s="198"/>
    </row>
    <row r="464" spans="1:10" ht="15.75" customHeight="1" x14ac:dyDescent="0.25">
      <c r="A464" s="197"/>
      <c r="C464" s="12"/>
      <c r="D464" s="6"/>
      <c r="E464" s="168"/>
      <c r="G464" s="10"/>
      <c r="H464" s="10"/>
      <c r="J464" s="198"/>
    </row>
    <row r="465" spans="1:10" ht="15.75" customHeight="1" x14ac:dyDescent="0.25">
      <c r="A465" s="197"/>
      <c r="C465" s="12"/>
      <c r="D465" s="6"/>
      <c r="E465" s="168"/>
      <c r="G465" s="10"/>
      <c r="H465" s="10"/>
      <c r="J465" s="198"/>
    </row>
    <row r="466" spans="1:10" ht="15.75" customHeight="1" x14ac:dyDescent="0.25">
      <c r="A466" s="197"/>
      <c r="C466" s="12"/>
      <c r="D466" s="6"/>
      <c r="E466" s="168"/>
      <c r="G466" s="10"/>
      <c r="H466" s="10"/>
      <c r="J466" s="198"/>
    </row>
    <row r="467" spans="1:10" ht="15.75" customHeight="1" x14ac:dyDescent="0.25">
      <c r="A467" s="197"/>
      <c r="C467" s="12"/>
      <c r="D467" s="6"/>
      <c r="E467" s="168"/>
      <c r="G467" s="10"/>
      <c r="H467" s="10"/>
      <c r="J467" s="198"/>
    </row>
    <row r="468" spans="1:10" ht="15.75" customHeight="1" x14ac:dyDescent="0.25">
      <c r="A468" s="197"/>
      <c r="C468" s="12"/>
      <c r="D468" s="6"/>
      <c r="E468" s="168"/>
      <c r="G468" s="10"/>
      <c r="H468" s="10"/>
      <c r="J468" s="198"/>
    </row>
    <row r="469" spans="1:10" ht="15.75" customHeight="1" x14ac:dyDescent="0.25">
      <c r="A469" s="197"/>
      <c r="C469" s="12"/>
      <c r="D469" s="6"/>
      <c r="E469" s="168"/>
      <c r="G469" s="10"/>
      <c r="H469" s="10"/>
      <c r="J469" s="198"/>
    </row>
    <row r="470" spans="1:10" ht="15.75" customHeight="1" x14ac:dyDescent="0.25">
      <c r="A470" s="197"/>
      <c r="C470" s="12"/>
      <c r="D470" s="6"/>
      <c r="E470" s="168"/>
      <c r="G470" s="10"/>
      <c r="H470" s="10"/>
      <c r="J470" s="198"/>
    </row>
    <row r="471" spans="1:10" ht="15.75" customHeight="1" x14ac:dyDescent="0.25">
      <c r="A471" s="197"/>
      <c r="C471" s="12"/>
      <c r="D471" s="6"/>
      <c r="E471" s="168"/>
      <c r="G471" s="10"/>
      <c r="H471" s="10"/>
      <c r="J471" s="198"/>
    </row>
    <row r="472" spans="1:10" ht="15.75" customHeight="1" x14ac:dyDescent="0.25">
      <c r="A472" s="197"/>
      <c r="C472" s="12"/>
      <c r="D472" s="6"/>
      <c r="E472" s="168"/>
      <c r="G472" s="10"/>
      <c r="H472" s="10"/>
      <c r="J472" s="198"/>
    </row>
    <row r="473" spans="1:10" ht="15.75" customHeight="1" x14ac:dyDescent="0.25">
      <c r="A473" s="197"/>
      <c r="C473" s="12"/>
      <c r="D473" s="6"/>
      <c r="E473" s="168"/>
      <c r="G473" s="10"/>
      <c r="H473" s="10"/>
      <c r="J473" s="198"/>
    </row>
    <row r="474" spans="1:10" ht="15.75" customHeight="1" x14ac:dyDescent="0.25">
      <c r="A474" s="197"/>
      <c r="C474" s="12"/>
      <c r="D474" s="6"/>
      <c r="E474" s="168"/>
      <c r="G474" s="10"/>
      <c r="H474" s="10"/>
      <c r="J474" s="198"/>
    </row>
    <row r="475" spans="1:10" ht="15.75" customHeight="1" x14ac:dyDescent="0.25">
      <c r="A475" s="197"/>
      <c r="C475" s="12"/>
      <c r="D475" s="6"/>
      <c r="E475" s="168"/>
      <c r="G475" s="10"/>
      <c r="H475" s="10"/>
      <c r="J475" s="198"/>
    </row>
    <row r="476" spans="1:10" ht="15.75" customHeight="1" x14ac:dyDescent="0.25">
      <c r="A476" s="197"/>
      <c r="C476" s="12"/>
      <c r="D476" s="6"/>
      <c r="E476" s="168"/>
      <c r="G476" s="10"/>
      <c r="H476" s="10"/>
      <c r="J476" s="198"/>
    </row>
    <row r="477" spans="1:10" ht="15.75" customHeight="1" x14ac:dyDescent="0.25">
      <c r="A477" s="197"/>
      <c r="C477" s="12"/>
      <c r="D477" s="6"/>
      <c r="E477" s="168"/>
      <c r="G477" s="10"/>
      <c r="H477" s="10"/>
      <c r="J477" s="198"/>
    </row>
    <row r="478" spans="1:10" ht="15.75" customHeight="1" x14ac:dyDescent="0.25">
      <c r="A478" s="197"/>
      <c r="C478" s="12"/>
      <c r="D478" s="6"/>
      <c r="E478" s="168"/>
      <c r="G478" s="10"/>
      <c r="H478" s="10"/>
      <c r="J478" s="198"/>
    </row>
    <row r="479" spans="1:10" ht="15.75" customHeight="1" x14ac:dyDescent="0.25">
      <c r="A479" s="197"/>
      <c r="C479" s="12"/>
      <c r="D479" s="6"/>
      <c r="E479" s="168"/>
      <c r="G479" s="10"/>
      <c r="H479" s="10"/>
      <c r="J479" s="198"/>
    </row>
    <row r="480" spans="1:10" ht="15.75" customHeight="1" x14ac:dyDescent="0.25">
      <c r="A480" s="197"/>
      <c r="C480" s="12"/>
      <c r="D480" s="6"/>
      <c r="E480" s="168"/>
      <c r="G480" s="10"/>
      <c r="H480" s="10"/>
      <c r="J480" s="198"/>
    </row>
    <row r="481" spans="1:10" ht="15.75" customHeight="1" x14ac:dyDescent="0.25">
      <c r="A481" s="197"/>
      <c r="C481" s="12"/>
      <c r="D481" s="6"/>
      <c r="E481" s="168"/>
      <c r="G481" s="10"/>
      <c r="H481" s="10"/>
      <c r="J481" s="198"/>
    </row>
    <row r="482" spans="1:10" ht="15.75" customHeight="1" x14ac:dyDescent="0.25">
      <c r="A482" s="197"/>
      <c r="C482" s="12"/>
      <c r="D482" s="6"/>
      <c r="E482" s="168"/>
      <c r="G482" s="10"/>
      <c r="H482" s="10"/>
      <c r="J482" s="198"/>
    </row>
    <row r="483" spans="1:10" ht="15.75" customHeight="1" x14ac:dyDescent="0.25">
      <c r="A483" s="197"/>
      <c r="C483" s="12"/>
      <c r="D483" s="6"/>
      <c r="E483" s="168"/>
      <c r="G483" s="10"/>
      <c r="H483" s="10"/>
      <c r="J483" s="198"/>
    </row>
    <row r="484" spans="1:10" ht="15.75" customHeight="1" x14ac:dyDescent="0.25">
      <c r="A484" s="197"/>
      <c r="C484" s="12"/>
      <c r="D484" s="6"/>
      <c r="E484" s="168"/>
      <c r="G484" s="10"/>
      <c r="H484" s="10"/>
      <c r="J484" s="198"/>
    </row>
    <row r="485" spans="1:10" ht="15.75" customHeight="1" x14ac:dyDescent="0.25">
      <c r="A485" s="197"/>
      <c r="C485" s="12"/>
      <c r="D485" s="6"/>
      <c r="E485" s="168"/>
      <c r="G485" s="10"/>
      <c r="H485" s="10"/>
      <c r="J485" s="198"/>
    </row>
    <row r="486" spans="1:10" ht="15.75" customHeight="1" x14ac:dyDescent="0.25">
      <c r="A486" s="197"/>
      <c r="C486" s="12"/>
      <c r="D486" s="6"/>
      <c r="E486" s="168"/>
      <c r="G486" s="10"/>
      <c r="H486" s="10"/>
      <c r="J486" s="198"/>
    </row>
    <row r="487" spans="1:10" ht="15.75" customHeight="1" x14ac:dyDescent="0.25">
      <c r="A487" s="197"/>
      <c r="C487" s="12"/>
      <c r="D487" s="6"/>
      <c r="E487" s="168"/>
      <c r="G487" s="10"/>
      <c r="H487" s="10"/>
      <c r="J487" s="198"/>
    </row>
    <row r="488" spans="1:10" ht="15.75" customHeight="1" x14ac:dyDescent="0.25">
      <c r="A488" s="197"/>
      <c r="C488" s="12"/>
      <c r="D488" s="6"/>
      <c r="E488" s="168"/>
      <c r="G488" s="10"/>
      <c r="H488" s="10"/>
      <c r="J488" s="198"/>
    </row>
    <row r="489" spans="1:10" ht="15.75" customHeight="1" x14ac:dyDescent="0.25">
      <c r="A489" s="197"/>
      <c r="C489" s="12"/>
      <c r="D489" s="6"/>
      <c r="E489" s="168"/>
      <c r="G489" s="10"/>
      <c r="H489" s="10"/>
      <c r="J489" s="198"/>
    </row>
    <row r="490" spans="1:10" ht="15.75" customHeight="1" x14ac:dyDescent="0.25">
      <c r="A490" s="197"/>
      <c r="C490" s="12"/>
      <c r="D490" s="6"/>
      <c r="E490" s="168"/>
      <c r="G490" s="10"/>
      <c r="H490" s="10"/>
      <c r="J490" s="198"/>
    </row>
    <row r="491" spans="1:10" ht="15.75" customHeight="1" x14ac:dyDescent="0.25">
      <c r="A491" s="197"/>
      <c r="C491" s="12"/>
      <c r="D491" s="6"/>
      <c r="E491" s="168"/>
      <c r="G491" s="10"/>
      <c r="H491" s="10"/>
      <c r="J491" s="198"/>
    </row>
    <row r="492" spans="1:10" ht="15.75" customHeight="1" x14ac:dyDescent="0.25">
      <c r="A492" s="197"/>
      <c r="C492" s="12"/>
      <c r="D492" s="6"/>
      <c r="E492" s="168"/>
      <c r="G492" s="10"/>
      <c r="H492" s="10"/>
      <c r="J492" s="198"/>
    </row>
    <row r="493" spans="1:10" ht="15.75" customHeight="1" x14ac:dyDescent="0.25">
      <c r="A493" s="197"/>
      <c r="C493" s="12"/>
      <c r="D493" s="6"/>
      <c r="E493" s="168"/>
      <c r="G493" s="10"/>
      <c r="H493" s="10"/>
      <c r="J493" s="198"/>
    </row>
    <row r="494" spans="1:10" ht="15.75" customHeight="1" x14ac:dyDescent="0.25">
      <c r="A494" s="197"/>
      <c r="C494" s="12"/>
      <c r="D494" s="6"/>
      <c r="E494" s="168"/>
      <c r="G494" s="10"/>
      <c r="H494" s="10"/>
      <c r="J494" s="198"/>
    </row>
    <row r="495" spans="1:10" ht="15.75" customHeight="1" x14ac:dyDescent="0.25">
      <c r="A495" s="197"/>
      <c r="C495" s="12"/>
      <c r="D495" s="6"/>
      <c r="E495" s="168"/>
      <c r="G495" s="10"/>
      <c r="H495" s="10"/>
      <c r="J495" s="198"/>
    </row>
    <row r="496" spans="1:10" ht="15.75" customHeight="1" x14ac:dyDescent="0.25">
      <c r="A496" s="197"/>
      <c r="C496" s="12"/>
      <c r="D496" s="6"/>
      <c r="E496" s="168"/>
      <c r="G496" s="10"/>
      <c r="H496" s="10"/>
      <c r="J496" s="198"/>
    </row>
    <row r="497" spans="1:10" ht="15.75" customHeight="1" x14ac:dyDescent="0.25">
      <c r="A497" s="197"/>
      <c r="C497" s="12"/>
      <c r="D497" s="6"/>
      <c r="E497" s="168"/>
      <c r="G497" s="10"/>
      <c r="H497" s="10"/>
      <c r="J497" s="198"/>
    </row>
    <row r="498" spans="1:10" ht="15.75" customHeight="1" x14ac:dyDescent="0.25">
      <c r="A498" s="197"/>
      <c r="C498" s="12"/>
      <c r="D498" s="6"/>
      <c r="E498" s="168"/>
      <c r="G498" s="10"/>
      <c r="H498" s="10"/>
      <c r="J498" s="198"/>
    </row>
    <row r="499" spans="1:10" ht="15.75" customHeight="1" x14ac:dyDescent="0.25">
      <c r="A499" s="197"/>
      <c r="C499" s="12"/>
      <c r="D499" s="6"/>
      <c r="E499" s="168"/>
      <c r="G499" s="10"/>
      <c r="H499" s="10"/>
      <c r="J499" s="198"/>
    </row>
    <row r="500" spans="1:10" ht="15.75" customHeight="1" x14ac:dyDescent="0.25">
      <c r="A500" s="197"/>
      <c r="C500" s="12"/>
      <c r="D500" s="6"/>
      <c r="E500" s="168"/>
      <c r="G500" s="10"/>
      <c r="H500" s="10"/>
      <c r="J500" s="198"/>
    </row>
    <row r="501" spans="1:10" ht="15.75" customHeight="1" x14ac:dyDescent="0.25">
      <c r="A501" s="197"/>
      <c r="C501" s="12"/>
      <c r="D501" s="6"/>
      <c r="E501" s="168"/>
      <c r="G501" s="10"/>
      <c r="H501" s="10"/>
      <c r="J501" s="198"/>
    </row>
    <row r="502" spans="1:10" ht="15.75" customHeight="1" x14ac:dyDescent="0.25">
      <c r="A502" s="197"/>
      <c r="C502" s="12"/>
      <c r="D502" s="6"/>
      <c r="E502" s="168"/>
      <c r="G502" s="10"/>
      <c r="H502" s="10"/>
      <c r="J502" s="198"/>
    </row>
    <row r="503" spans="1:10" ht="15.75" customHeight="1" x14ac:dyDescent="0.25">
      <c r="A503" s="197"/>
      <c r="C503" s="12"/>
      <c r="D503" s="6"/>
      <c r="E503" s="168"/>
      <c r="G503" s="10"/>
      <c r="H503" s="10"/>
      <c r="J503" s="198"/>
    </row>
    <row r="504" spans="1:10" ht="15.75" customHeight="1" x14ac:dyDescent="0.25">
      <c r="A504" s="197"/>
      <c r="C504" s="12"/>
      <c r="D504" s="6"/>
      <c r="E504" s="168"/>
      <c r="G504" s="10"/>
      <c r="H504" s="10"/>
      <c r="J504" s="198"/>
    </row>
    <row r="505" spans="1:10" ht="15.75" customHeight="1" x14ac:dyDescent="0.25">
      <c r="A505" s="197"/>
      <c r="C505" s="12"/>
      <c r="D505" s="6"/>
      <c r="E505" s="168"/>
      <c r="G505" s="10"/>
      <c r="H505" s="10"/>
      <c r="J505" s="198"/>
    </row>
    <row r="506" spans="1:10" ht="15.75" customHeight="1" x14ac:dyDescent="0.25">
      <c r="A506" s="197"/>
      <c r="C506" s="12"/>
      <c r="D506" s="6"/>
      <c r="E506" s="168"/>
      <c r="G506" s="10"/>
      <c r="H506" s="10"/>
      <c r="J506" s="198"/>
    </row>
    <row r="507" spans="1:10" ht="15.75" customHeight="1" x14ac:dyDescent="0.25">
      <c r="A507" s="197"/>
      <c r="C507" s="12"/>
      <c r="D507" s="6"/>
      <c r="E507" s="168"/>
      <c r="G507" s="10"/>
      <c r="H507" s="10"/>
      <c r="J507" s="198"/>
    </row>
    <row r="508" spans="1:10" ht="15.75" customHeight="1" x14ac:dyDescent="0.25">
      <c r="A508" s="197"/>
      <c r="C508" s="12"/>
      <c r="D508" s="6"/>
      <c r="E508" s="168"/>
      <c r="G508" s="10"/>
      <c r="H508" s="10"/>
      <c r="J508" s="198"/>
    </row>
    <row r="509" spans="1:10" ht="15.75" customHeight="1" x14ac:dyDescent="0.25">
      <c r="A509" s="197"/>
      <c r="C509" s="12"/>
      <c r="D509" s="6"/>
      <c r="E509" s="168"/>
      <c r="G509" s="10"/>
      <c r="H509" s="10"/>
      <c r="J509" s="198"/>
    </row>
    <row r="510" spans="1:10" ht="15.75" customHeight="1" x14ac:dyDescent="0.25">
      <c r="A510" s="197"/>
      <c r="C510" s="12"/>
      <c r="D510" s="6"/>
      <c r="E510" s="168"/>
      <c r="G510" s="10"/>
      <c r="H510" s="10"/>
      <c r="J510" s="198"/>
    </row>
    <row r="511" spans="1:10" ht="15.75" customHeight="1" x14ac:dyDescent="0.25">
      <c r="A511" s="197"/>
      <c r="C511" s="12"/>
      <c r="D511" s="6"/>
      <c r="E511" s="168"/>
      <c r="G511" s="10"/>
      <c r="H511" s="10"/>
      <c r="J511" s="198"/>
    </row>
    <row r="512" spans="1:10" ht="15.75" customHeight="1" x14ac:dyDescent="0.25">
      <c r="A512" s="197"/>
      <c r="C512" s="12"/>
      <c r="D512" s="6"/>
      <c r="E512" s="168"/>
      <c r="G512" s="10"/>
      <c r="H512" s="10"/>
      <c r="J512" s="198"/>
    </row>
    <row r="513" spans="1:10" ht="15.75" customHeight="1" x14ac:dyDescent="0.25">
      <c r="A513" s="197"/>
      <c r="C513" s="12"/>
      <c r="D513" s="6"/>
      <c r="E513" s="168"/>
      <c r="G513" s="10"/>
      <c r="H513" s="10"/>
      <c r="J513" s="198"/>
    </row>
    <row r="514" spans="1:10" ht="15.75" customHeight="1" x14ac:dyDescent="0.25">
      <c r="A514" s="197"/>
      <c r="C514" s="12"/>
      <c r="D514" s="6"/>
      <c r="E514" s="168"/>
      <c r="G514" s="10"/>
      <c r="H514" s="10"/>
      <c r="J514" s="198"/>
    </row>
    <row r="515" spans="1:10" ht="15.75" customHeight="1" x14ac:dyDescent="0.25">
      <c r="A515" s="197"/>
      <c r="C515" s="12"/>
      <c r="D515" s="6"/>
      <c r="E515" s="168"/>
      <c r="G515" s="10"/>
      <c r="H515" s="10"/>
      <c r="J515" s="198"/>
    </row>
    <row r="516" spans="1:10" ht="15.75" customHeight="1" x14ac:dyDescent="0.25">
      <c r="A516" s="197"/>
      <c r="C516" s="12"/>
      <c r="D516" s="6"/>
      <c r="E516" s="168"/>
      <c r="G516" s="10"/>
      <c r="H516" s="10"/>
      <c r="J516" s="198"/>
    </row>
    <row r="517" spans="1:10" ht="15.75" customHeight="1" x14ac:dyDescent="0.25">
      <c r="A517" s="197"/>
      <c r="C517" s="12"/>
      <c r="D517" s="6"/>
      <c r="E517" s="168"/>
      <c r="G517" s="10"/>
      <c r="H517" s="10"/>
      <c r="J517" s="198"/>
    </row>
    <row r="518" spans="1:10" ht="15.75" customHeight="1" x14ac:dyDescent="0.25">
      <c r="A518" s="197"/>
      <c r="C518" s="12"/>
      <c r="D518" s="6"/>
      <c r="E518" s="168"/>
      <c r="G518" s="10"/>
      <c r="H518" s="10"/>
      <c r="J518" s="198"/>
    </row>
    <row r="519" spans="1:10" ht="15.75" customHeight="1" x14ac:dyDescent="0.25">
      <c r="A519" s="197"/>
      <c r="C519" s="12"/>
      <c r="D519" s="6"/>
      <c r="E519" s="168"/>
      <c r="G519" s="10"/>
      <c r="H519" s="10"/>
      <c r="J519" s="198"/>
    </row>
    <row r="520" spans="1:10" ht="15.75" customHeight="1" x14ac:dyDescent="0.25">
      <c r="A520" s="197"/>
      <c r="C520" s="12"/>
      <c r="D520" s="6"/>
      <c r="E520" s="168"/>
      <c r="G520" s="10"/>
      <c r="H520" s="10"/>
      <c r="J520" s="198"/>
    </row>
    <row r="521" spans="1:10" ht="15.75" customHeight="1" x14ac:dyDescent="0.25">
      <c r="A521" s="197"/>
      <c r="C521" s="12"/>
      <c r="D521" s="6"/>
      <c r="E521" s="168"/>
      <c r="G521" s="10"/>
      <c r="H521" s="10"/>
      <c r="J521" s="198"/>
    </row>
    <row r="522" spans="1:10" ht="15.75" customHeight="1" x14ac:dyDescent="0.25">
      <c r="A522" s="197"/>
      <c r="C522" s="12"/>
      <c r="D522" s="6"/>
      <c r="E522" s="168"/>
      <c r="G522" s="10"/>
      <c r="H522" s="10"/>
      <c r="J522" s="198"/>
    </row>
    <row r="523" spans="1:10" ht="15.75" customHeight="1" x14ac:dyDescent="0.25">
      <c r="A523" s="197"/>
      <c r="C523" s="12"/>
      <c r="D523" s="6"/>
      <c r="E523" s="168"/>
      <c r="G523" s="10"/>
      <c r="H523" s="10"/>
      <c r="J523" s="198"/>
    </row>
    <row r="524" spans="1:10" ht="15.75" customHeight="1" x14ac:dyDescent="0.25">
      <c r="A524" s="197"/>
      <c r="C524" s="12"/>
      <c r="D524" s="6"/>
      <c r="E524" s="168"/>
      <c r="G524" s="10"/>
      <c r="H524" s="10"/>
      <c r="J524" s="198"/>
    </row>
    <row r="525" spans="1:10" ht="15.75" customHeight="1" x14ac:dyDescent="0.25">
      <c r="A525" s="197"/>
      <c r="C525" s="12"/>
      <c r="D525" s="6"/>
      <c r="E525" s="168"/>
      <c r="G525" s="10"/>
      <c r="H525" s="10"/>
      <c r="J525" s="198"/>
    </row>
    <row r="526" spans="1:10" ht="15.75" customHeight="1" x14ac:dyDescent="0.25">
      <c r="A526" s="197"/>
      <c r="C526" s="12"/>
      <c r="D526" s="6"/>
      <c r="E526" s="168"/>
      <c r="G526" s="10"/>
      <c r="H526" s="10"/>
      <c r="J526" s="198"/>
    </row>
    <row r="527" spans="1:10" ht="15.75" customHeight="1" x14ac:dyDescent="0.25">
      <c r="A527" s="197"/>
      <c r="C527" s="12"/>
      <c r="D527" s="6"/>
      <c r="E527" s="168"/>
      <c r="G527" s="10"/>
      <c r="H527" s="10"/>
      <c r="J527" s="198"/>
    </row>
    <row r="528" spans="1:10" ht="15.75" customHeight="1" x14ac:dyDescent="0.25">
      <c r="A528" s="197"/>
      <c r="C528" s="12"/>
      <c r="D528" s="6"/>
      <c r="E528" s="168"/>
      <c r="G528" s="10"/>
      <c r="H528" s="10"/>
      <c r="J528" s="198"/>
    </row>
    <row r="529" spans="1:10" ht="15.75" customHeight="1" x14ac:dyDescent="0.25">
      <c r="A529" s="197"/>
      <c r="C529" s="12"/>
      <c r="D529" s="6"/>
      <c r="E529" s="168"/>
      <c r="G529" s="10"/>
      <c r="H529" s="10"/>
      <c r="J529" s="198"/>
    </row>
    <row r="530" spans="1:10" ht="15.75" customHeight="1" x14ac:dyDescent="0.25">
      <c r="A530" s="197"/>
      <c r="C530" s="12"/>
      <c r="D530" s="6"/>
      <c r="E530" s="168"/>
      <c r="G530" s="10"/>
      <c r="H530" s="10"/>
      <c r="J530" s="198"/>
    </row>
    <row r="531" spans="1:10" ht="15.75" customHeight="1" x14ac:dyDescent="0.25">
      <c r="A531" s="197"/>
      <c r="C531" s="12"/>
      <c r="D531" s="6"/>
      <c r="E531" s="168"/>
      <c r="G531" s="10"/>
      <c r="H531" s="10"/>
      <c r="J531" s="198"/>
    </row>
    <row r="532" spans="1:10" ht="15.75" customHeight="1" x14ac:dyDescent="0.25">
      <c r="A532" s="197"/>
      <c r="C532" s="12"/>
      <c r="D532" s="6"/>
      <c r="E532" s="168"/>
      <c r="G532" s="10"/>
      <c r="H532" s="10"/>
      <c r="J532" s="198"/>
    </row>
    <row r="533" spans="1:10" ht="15.75" customHeight="1" x14ac:dyDescent="0.25">
      <c r="A533" s="197"/>
      <c r="C533" s="12"/>
      <c r="D533" s="6"/>
      <c r="E533" s="168"/>
      <c r="G533" s="10"/>
      <c r="H533" s="10"/>
      <c r="J533" s="198"/>
    </row>
    <row r="534" spans="1:10" ht="15.75" customHeight="1" x14ac:dyDescent="0.25">
      <c r="A534" s="197"/>
      <c r="C534" s="12"/>
      <c r="D534" s="6"/>
      <c r="E534" s="168"/>
      <c r="G534" s="10"/>
      <c r="H534" s="10"/>
      <c r="J534" s="198"/>
    </row>
    <row r="535" spans="1:10" ht="15.75" customHeight="1" x14ac:dyDescent="0.25">
      <c r="A535" s="197"/>
      <c r="C535" s="12"/>
      <c r="D535" s="6"/>
      <c r="E535" s="168"/>
      <c r="G535" s="10"/>
      <c r="H535" s="10"/>
      <c r="J535" s="198"/>
    </row>
    <row r="536" spans="1:10" ht="15.75" customHeight="1" x14ac:dyDescent="0.25">
      <c r="A536" s="197"/>
      <c r="C536" s="12"/>
      <c r="D536" s="6"/>
      <c r="E536" s="168"/>
      <c r="G536" s="10"/>
      <c r="H536" s="10"/>
      <c r="J536" s="198"/>
    </row>
    <row r="537" spans="1:10" ht="15.75" customHeight="1" x14ac:dyDescent="0.25">
      <c r="A537" s="197"/>
      <c r="C537" s="12"/>
      <c r="D537" s="6"/>
      <c r="E537" s="168"/>
      <c r="G537" s="10"/>
      <c r="H537" s="10"/>
      <c r="J537" s="198"/>
    </row>
    <row r="538" spans="1:10" ht="15.75" customHeight="1" x14ac:dyDescent="0.25">
      <c r="A538" s="197"/>
      <c r="C538" s="12"/>
      <c r="D538" s="6"/>
      <c r="E538" s="168"/>
      <c r="G538" s="10"/>
      <c r="H538" s="10"/>
      <c r="J538" s="198"/>
    </row>
    <row r="539" spans="1:10" ht="15.75" customHeight="1" x14ac:dyDescent="0.25">
      <c r="A539" s="197"/>
      <c r="C539" s="12"/>
      <c r="D539" s="6"/>
      <c r="E539" s="168"/>
      <c r="G539" s="10"/>
      <c r="H539" s="10"/>
      <c r="J539" s="198"/>
    </row>
    <row r="540" spans="1:10" ht="15.75" customHeight="1" x14ac:dyDescent="0.25">
      <c r="A540" s="197"/>
      <c r="C540" s="12"/>
      <c r="D540" s="6"/>
      <c r="E540" s="168"/>
      <c r="G540" s="10"/>
      <c r="H540" s="10"/>
      <c r="J540" s="198"/>
    </row>
    <row r="541" spans="1:10" ht="15.75" customHeight="1" x14ac:dyDescent="0.25">
      <c r="A541" s="197"/>
      <c r="C541" s="12"/>
      <c r="D541" s="6"/>
      <c r="E541" s="168"/>
      <c r="G541" s="10"/>
      <c r="H541" s="10"/>
      <c r="J541" s="198"/>
    </row>
    <row r="542" spans="1:10" ht="15.75" customHeight="1" x14ac:dyDescent="0.25">
      <c r="A542" s="197"/>
      <c r="C542" s="12"/>
      <c r="D542" s="6"/>
      <c r="E542" s="168"/>
      <c r="G542" s="10"/>
      <c r="H542" s="10"/>
      <c r="J542" s="198"/>
    </row>
    <row r="543" spans="1:10" ht="15.75" customHeight="1" x14ac:dyDescent="0.25">
      <c r="A543" s="197"/>
      <c r="C543" s="12"/>
      <c r="D543" s="6"/>
      <c r="E543" s="168"/>
      <c r="G543" s="10"/>
      <c r="H543" s="10"/>
      <c r="J543" s="198"/>
    </row>
    <row r="544" spans="1:10" ht="15.75" customHeight="1" x14ac:dyDescent="0.25">
      <c r="A544" s="197"/>
      <c r="C544" s="12"/>
      <c r="D544" s="6"/>
      <c r="E544" s="168"/>
      <c r="G544" s="10"/>
      <c r="H544" s="10"/>
      <c r="J544" s="198"/>
    </row>
    <row r="545" spans="1:10" ht="15.75" customHeight="1" x14ac:dyDescent="0.25">
      <c r="A545" s="197"/>
      <c r="C545" s="12"/>
      <c r="D545" s="6"/>
      <c r="E545" s="168"/>
      <c r="G545" s="10"/>
      <c r="H545" s="10"/>
      <c r="J545" s="198"/>
    </row>
    <row r="546" spans="1:10" ht="15.75" customHeight="1" x14ac:dyDescent="0.25">
      <c r="A546" s="197"/>
      <c r="C546" s="12"/>
      <c r="D546" s="6"/>
      <c r="E546" s="168"/>
      <c r="G546" s="10"/>
      <c r="H546" s="10"/>
      <c r="J546" s="198"/>
    </row>
    <row r="547" spans="1:10" ht="15.75" customHeight="1" x14ac:dyDescent="0.25">
      <c r="A547" s="197"/>
      <c r="C547" s="12"/>
      <c r="D547" s="6"/>
      <c r="E547" s="168"/>
      <c r="G547" s="10"/>
      <c r="H547" s="10"/>
      <c r="J547" s="198"/>
    </row>
    <row r="548" spans="1:10" ht="15.75" customHeight="1" x14ac:dyDescent="0.25">
      <c r="A548" s="197"/>
      <c r="C548" s="12"/>
      <c r="D548" s="6"/>
      <c r="E548" s="168"/>
      <c r="G548" s="10"/>
      <c r="H548" s="10"/>
      <c r="J548" s="198"/>
    </row>
    <row r="549" spans="1:10" ht="15.75" customHeight="1" x14ac:dyDescent="0.25">
      <c r="A549" s="197"/>
      <c r="C549" s="12"/>
      <c r="D549" s="6"/>
      <c r="E549" s="168"/>
      <c r="G549" s="10"/>
      <c r="H549" s="10"/>
      <c r="J549" s="198"/>
    </row>
    <row r="550" spans="1:10" ht="15.75" customHeight="1" x14ac:dyDescent="0.25">
      <c r="A550" s="197"/>
      <c r="C550" s="12"/>
      <c r="D550" s="6"/>
      <c r="E550" s="168"/>
      <c r="G550" s="10"/>
      <c r="H550" s="10"/>
      <c r="J550" s="198"/>
    </row>
    <row r="551" spans="1:10" ht="15.75" customHeight="1" x14ac:dyDescent="0.25">
      <c r="A551" s="197"/>
      <c r="C551" s="12"/>
      <c r="D551" s="6"/>
      <c r="E551" s="168"/>
      <c r="G551" s="10"/>
      <c r="H551" s="10"/>
      <c r="J551" s="198"/>
    </row>
    <row r="552" spans="1:10" ht="15.75" customHeight="1" x14ac:dyDescent="0.25">
      <c r="A552" s="197"/>
      <c r="C552" s="12"/>
      <c r="D552" s="6"/>
      <c r="E552" s="168"/>
      <c r="G552" s="10"/>
      <c r="H552" s="10"/>
      <c r="J552" s="198"/>
    </row>
    <row r="553" spans="1:10" ht="15.75" customHeight="1" x14ac:dyDescent="0.25">
      <c r="A553" s="197"/>
      <c r="C553" s="12"/>
      <c r="D553" s="6"/>
      <c r="E553" s="168"/>
      <c r="G553" s="10"/>
      <c r="H553" s="10"/>
      <c r="J553" s="198"/>
    </row>
    <row r="554" spans="1:10" ht="15.75" customHeight="1" x14ac:dyDescent="0.25">
      <c r="A554" s="197"/>
      <c r="C554" s="12"/>
      <c r="D554" s="6"/>
      <c r="E554" s="168"/>
      <c r="G554" s="10"/>
      <c r="H554" s="10"/>
      <c r="J554" s="198"/>
    </row>
    <row r="555" spans="1:10" ht="15.75" customHeight="1" x14ac:dyDescent="0.25">
      <c r="A555" s="197"/>
      <c r="C555" s="12"/>
      <c r="D555" s="6"/>
      <c r="E555" s="168"/>
      <c r="G555" s="10"/>
      <c r="H555" s="10"/>
      <c r="J555" s="198"/>
    </row>
    <row r="556" spans="1:10" ht="15.75" customHeight="1" x14ac:dyDescent="0.25">
      <c r="A556" s="197"/>
      <c r="C556" s="12"/>
      <c r="D556" s="6"/>
      <c r="E556" s="168"/>
      <c r="G556" s="10"/>
      <c r="H556" s="10"/>
      <c r="J556" s="198"/>
    </row>
    <row r="557" spans="1:10" ht="15.75" customHeight="1" x14ac:dyDescent="0.25">
      <c r="A557" s="197"/>
      <c r="C557" s="12"/>
      <c r="D557" s="6"/>
      <c r="E557" s="168"/>
      <c r="G557" s="10"/>
      <c r="H557" s="10"/>
      <c r="J557" s="198"/>
    </row>
    <row r="558" spans="1:10" ht="15.75" customHeight="1" x14ac:dyDescent="0.25">
      <c r="A558" s="197"/>
      <c r="C558" s="12"/>
      <c r="D558" s="6"/>
      <c r="E558" s="168"/>
      <c r="G558" s="10"/>
      <c r="H558" s="10"/>
      <c r="J558" s="198"/>
    </row>
    <row r="559" spans="1:10" ht="15.75" customHeight="1" x14ac:dyDescent="0.25">
      <c r="A559" s="197"/>
      <c r="C559" s="12"/>
      <c r="D559" s="6"/>
      <c r="E559" s="168"/>
      <c r="G559" s="10"/>
      <c r="H559" s="10"/>
      <c r="J559" s="198"/>
    </row>
    <row r="560" spans="1:10" ht="15.75" customHeight="1" x14ac:dyDescent="0.25">
      <c r="A560" s="197"/>
      <c r="C560" s="12"/>
      <c r="D560" s="6"/>
      <c r="E560" s="168"/>
      <c r="G560" s="10"/>
      <c r="H560" s="10"/>
      <c r="J560" s="198"/>
    </row>
    <row r="561" spans="1:10" ht="15.75" customHeight="1" x14ac:dyDescent="0.25">
      <c r="A561" s="197"/>
      <c r="C561" s="12"/>
      <c r="D561" s="6"/>
      <c r="E561" s="168"/>
      <c r="G561" s="10"/>
      <c r="H561" s="10"/>
      <c r="J561" s="198"/>
    </row>
    <row r="562" spans="1:10" ht="15.75" customHeight="1" x14ac:dyDescent="0.25">
      <c r="A562" s="197"/>
      <c r="C562" s="12"/>
      <c r="D562" s="6"/>
      <c r="E562" s="168"/>
      <c r="G562" s="10"/>
      <c r="H562" s="10"/>
      <c r="J562" s="198"/>
    </row>
    <row r="563" spans="1:10" ht="15.75" customHeight="1" x14ac:dyDescent="0.25">
      <c r="A563" s="197"/>
      <c r="C563" s="12"/>
      <c r="D563" s="6"/>
      <c r="E563" s="168"/>
      <c r="G563" s="10"/>
      <c r="H563" s="10"/>
      <c r="J563" s="198"/>
    </row>
    <row r="564" spans="1:10" ht="15.75" customHeight="1" x14ac:dyDescent="0.25">
      <c r="A564" s="197"/>
      <c r="C564" s="12"/>
      <c r="D564" s="6"/>
      <c r="E564" s="168"/>
      <c r="G564" s="10"/>
      <c r="H564" s="10"/>
      <c r="J564" s="198"/>
    </row>
    <row r="565" spans="1:10" ht="15.75" customHeight="1" x14ac:dyDescent="0.25">
      <c r="A565" s="197"/>
      <c r="C565" s="12"/>
      <c r="D565" s="6"/>
      <c r="E565" s="168"/>
      <c r="G565" s="10"/>
      <c r="H565" s="10"/>
      <c r="J565" s="198"/>
    </row>
    <row r="566" spans="1:10" ht="15.75" customHeight="1" x14ac:dyDescent="0.25">
      <c r="A566" s="197"/>
      <c r="C566" s="12"/>
      <c r="D566" s="6"/>
      <c r="E566" s="168"/>
      <c r="G566" s="10"/>
      <c r="H566" s="10"/>
      <c r="J566" s="198"/>
    </row>
    <row r="567" spans="1:10" ht="15.75" customHeight="1" x14ac:dyDescent="0.25">
      <c r="A567" s="197"/>
      <c r="C567" s="12"/>
      <c r="D567" s="6"/>
      <c r="E567" s="168"/>
      <c r="G567" s="10"/>
      <c r="H567" s="10"/>
      <c r="J567" s="198"/>
    </row>
    <row r="568" spans="1:10" ht="15.75" customHeight="1" x14ac:dyDescent="0.25">
      <c r="A568" s="197"/>
      <c r="C568" s="12"/>
      <c r="D568" s="6"/>
      <c r="E568" s="168"/>
      <c r="G568" s="10"/>
      <c r="H568" s="10"/>
      <c r="J568" s="198"/>
    </row>
    <row r="569" spans="1:10" ht="15.75" customHeight="1" x14ac:dyDescent="0.25">
      <c r="A569" s="197"/>
      <c r="C569" s="12"/>
      <c r="D569" s="6"/>
      <c r="E569" s="168"/>
      <c r="G569" s="10"/>
      <c r="H569" s="10"/>
      <c r="J569" s="198"/>
    </row>
    <row r="570" spans="1:10" ht="15.75" customHeight="1" x14ac:dyDescent="0.25">
      <c r="A570" s="197"/>
      <c r="C570" s="12"/>
      <c r="D570" s="6"/>
      <c r="E570" s="168"/>
      <c r="G570" s="10"/>
      <c r="H570" s="10"/>
      <c r="J570" s="198"/>
    </row>
    <row r="571" spans="1:10" ht="15.75" customHeight="1" x14ac:dyDescent="0.25">
      <c r="A571" s="197"/>
      <c r="C571" s="12"/>
      <c r="D571" s="6"/>
      <c r="E571" s="168"/>
      <c r="G571" s="10"/>
      <c r="H571" s="10"/>
      <c r="J571" s="198"/>
    </row>
    <row r="572" spans="1:10" ht="15.75" customHeight="1" x14ac:dyDescent="0.25">
      <c r="A572" s="197"/>
      <c r="C572" s="12"/>
      <c r="D572" s="6"/>
      <c r="E572" s="168"/>
      <c r="G572" s="10"/>
      <c r="H572" s="10"/>
      <c r="J572" s="198"/>
    </row>
    <row r="573" spans="1:10" ht="15.75" customHeight="1" x14ac:dyDescent="0.25">
      <c r="A573" s="197"/>
      <c r="C573" s="12"/>
      <c r="D573" s="6"/>
      <c r="E573" s="168"/>
      <c r="G573" s="10"/>
      <c r="H573" s="10"/>
      <c r="J573" s="198"/>
    </row>
    <row r="574" spans="1:10" ht="15.75" customHeight="1" x14ac:dyDescent="0.25">
      <c r="A574" s="197"/>
      <c r="C574" s="12"/>
      <c r="D574" s="6"/>
      <c r="E574" s="168"/>
      <c r="G574" s="10"/>
      <c r="H574" s="10"/>
      <c r="J574" s="198"/>
    </row>
    <row r="575" spans="1:10" ht="15.75" customHeight="1" x14ac:dyDescent="0.25">
      <c r="A575" s="197"/>
      <c r="C575" s="12"/>
      <c r="D575" s="6"/>
      <c r="E575" s="168"/>
      <c r="G575" s="10"/>
      <c r="H575" s="10"/>
      <c r="J575" s="198"/>
    </row>
    <row r="576" spans="1:10" ht="15.75" customHeight="1" x14ac:dyDescent="0.25">
      <c r="A576" s="197"/>
      <c r="C576" s="12"/>
      <c r="D576" s="6"/>
      <c r="E576" s="168"/>
      <c r="G576" s="10"/>
      <c r="H576" s="10"/>
      <c r="J576" s="198"/>
    </row>
    <row r="577" spans="1:10" ht="15.75" customHeight="1" x14ac:dyDescent="0.25">
      <c r="A577" s="197"/>
      <c r="C577" s="12"/>
      <c r="D577" s="6"/>
      <c r="E577" s="168"/>
      <c r="G577" s="10"/>
      <c r="H577" s="10"/>
      <c r="J577" s="198"/>
    </row>
    <row r="578" spans="1:10" ht="15.75" customHeight="1" x14ac:dyDescent="0.25">
      <c r="A578" s="197"/>
      <c r="C578" s="12"/>
      <c r="D578" s="6"/>
      <c r="E578" s="168"/>
      <c r="G578" s="10"/>
      <c r="H578" s="10"/>
      <c r="J578" s="198"/>
    </row>
    <row r="579" spans="1:10" ht="15.75" customHeight="1" x14ac:dyDescent="0.25">
      <c r="A579" s="197"/>
      <c r="C579" s="12"/>
      <c r="D579" s="6"/>
      <c r="E579" s="168"/>
      <c r="G579" s="10"/>
      <c r="H579" s="10"/>
      <c r="J579" s="198"/>
    </row>
    <row r="580" spans="1:10" ht="15.75" customHeight="1" x14ac:dyDescent="0.25">
      <c r="A580" s="197"/>
      <c r="C580" s="12"/>
      <c r="D580" s="6"/>
      <c r="E580" s="168"/>
      <c r="G580" s="10"/>
      <c r="H580" s="10"/>
      <c r="J580" s="198"/>
    </row>
    <row r="581" spans="1:10" ht="15.75" customHeight="1" x14ac:dyDescent="0.25">
      <c r="A581" s="197"/>
      <c r="C581" s="12"/>
      <c r="D581" s="6"/>
      <c r="E581" s="168"/>
      <c r="G581" s="10"/>
      <c r="H581" s="10"/>
      <c r="J581" s="198"/>
    </row>
    <row r="582" spans="1:10" ht="15.75" customHeight="1" x14ac:dyDescent="0.25">
      <c r="A582" s="197"/>
      <c r="C582" s="12"/>
      <c r="D582" s="6"/>
      <c r="E582" s="168"/>
      <c r="G582" s="10"/>
      <c r="H582" s="10"/>
      <c r="J582" s="198"/>
    </row>
    <row r="583" spans="1:10" ht="15.75" customHeight="1" x14ac:dyDescent="0.25">
      <c r="A583" s="197"/>
      <c r="C583" s="12"/>
      <c r="D583" s="6"/>
      <c r="E583" s="168"/>
      <c r="G583" s="10"/>
      <c r="H583" s="10"/>
      <c r="J583" s="198"/>
    </row>
    <row r="584" spans="1:10" ht="15.75" customHeight="1" x14ac:dyDescent="0.25">
      <c r="A584" s="197"/>
      <c r="C584" s="12"/>
      <c r="D584" s="6"/>
      <c r="E584" s="168"/>
      <c r="G584" s="10"/>
      <c r="H584" s="10"/>
      <c r="J584" s="198"/>
    </row>
    <row r="585" spans="1:10" ht="15.75" customHeight="1" x14ac:dyDescent="0.25">
      <c r="A585" s="197"/>
      <c r="C585" s="12"/>
      <c r="D585" s="6"/>
      <c r="E585" s="168"/>
      <c r="G585" s="10"/>
      <c r="H585" s="10"/>
      <c r="J585" s="198"/>
    </row>
    <row r="586" spans="1:10" ht="15.75" customHeight="1" x14ac:dyDescent="0.25">
      <c r="A586" s="197"/>
      <c r="C586" s="12"/>
      <c r="D586" s="6"/>
      <c r="E586" s="168"/>
      <c r="G586" s="10"/>
      <c r="H586" s="10"/>
      <c r="J586" s="198"/>
    </row>
    <row r="587" spans="1:10" ht="15.75" customHeight="1" x14ac:dyDescent="0.25">
      <c r="A587" s="197"/>
      <c r="C587" s="12"/>
      <c r="D587" s="6"/>
      <c r="E587" s="168"/>
      <c r="G587" s="10"/>
      <c r="H587" s="10"/>
      <c r="J587" s="198"/>
    </row>
    <row r="588" spans="1:10" ht="15.75" customHeight="1" x14ac:dyDescent="0.25">
      <c r="A588" s="197"/>
      <c r="C588" s="12"/>
      <c r="D588" s="6"/>
      <c r="E588" s="168"/>
      <c r="G588" s="10"/>
      <c r="H588" s="10"/>
      <c r="J588" s="198"/>
    </row>
    <row r="589" spans="1:10" ht="15.75" customHeight="1" x14ac:dyDescent="0.25">
      <c r="A589" s="197"/>
      <c r="C589" s="12"/>
      <c r="D589" s="6"/>
      <c r="E589" s="168"/>
      <c r="G589" s="10"/>
      <c r="H589" s="10"/>
      <c r="J589" s="198"/>
    </row>
    <row r="590" spans="1:10" ht="15.75" customHeight="1" x14ac:dyDescent="0.25">
      <c r="A590" s="197"/>
      <c r="C590" s="12"/>
      <c r="D590" s="6"/>
      <c r="E590" s="168"/>
      <c r="G590" s="10"/>
      <c r="H590" s="10"/>
      <c r="J590" s="198"/>
    </row>
    <row r="591" spans="1:10" ht="15.75" customHeight="1" x14ac:dyDescent="0.25">
      <c r="A591" s="197"/>
      <c r="C591" s="12"/>
      <c r="D591" s="6"/>
      <c r="E591" s="168"/>
      <c r="G591" s="10"/>
      <c r="H591" s="10"/>
      <c r="J591" s="198"/>
    </row>
    <row r="592" spans="1:10" ht="15.75" customHeight="1" x14ac:dyDescent="0.25">
      <c r="A592" s="197"/>
      <c r="C592" s="12"/>
      <c r="D592" s="6"/>
      <c r="E592" s="168"/>
      <c r="G592" s="10"/>
      <c r="H592" s="10"/>
      <c r="J592" s="198"/>
    </row>
    <row r="593" spans="1:10" ht="15.75" customHeight="1" x14ac:dyDescent="0.25">
      <c r="A593" s="197"/>
      <c r="C593" s="12"/>
      <c r="D593" s="6"/>
      <c r="E593" s="168"/>
      <c r="G593" s="10"/>
      <c r="H593" s="10"/>
      <c r="J593" s="198"/>
    </row>
    <row r="594" spans="1:10" ht="15.75" customHeight="1" x14ac:dyDescent="0.25">
      <c r="A594" s="197"/>
      <c r="C594" s="12"/>
      <c r="D594" s="6"/>
      <c r="E594" s="168"/>
      <c r="G594" s="10"/>
      <c r="H594" s="10"/>
      <c r="J594" s="198"/>
    </row>
    <row r="595" spans="1:10" ht="15.75" customHeight="1" x14ac:dyDescent="0.25">
      <c r="A595" s="197"/>
      <c r="C595" s="12"/>
      <c r="D595" s="6"/>
      <c r="E595" s="168"/>
      <c r="G595" s="10"/>
      <c r="H595" s="10"/>
      <c r="J595" s="198"/>
    </row>
    <row r="596" spans="1:10" ht="15.75" customHeight="1" x14ac:dyDescent="0.25">
      <c r="A596" s="197"/>
      <c r="C596" s="12"/>
      <c r="D596" s="6"/>
      <c r="E596" s="168"/>
      <c r="G596" s="10"/>
      <c r="H596" s="10"/>
      <c r="J596" s="198"/>
    </row>
    <row r="597" spans="1:10" ht="15.75" customHeight="1" x14ac:dyDescent="0.25">
      <c r="A597" s="197"/>
      <c r="C597" s="12"/>
      <c r="D597" s="6"/>
      <c r="E597" s="168"/>
      <c r="G597" s="10"/>
      <c r="H597" s="10"/>
      <c r="J597" s="198"/>
    </row>
    <row r="598" spans="1:10" ht="15.75" customHeight="1" x14ac:dyDescent="0.25">
      <c r="A598" s="197"/>
      <c r="C598" s="12"/>
      <c r="D598" s="6"/>
      <c r="E598" s="168"/>
      <c r="G598" s="10"/>
      <c r="H598" s="10"/>
      <c r="J598" s="198"/>
    </row>
    <row r="599" spans="1:10" ht="15.75" customHeight="1" x14ac:dyDescent="0.25">
      <c r="A599" s="197"/>
      <c r="C599" s="12"/>
      <c r="D599" s="6"/>
      <c r="E599" s="168"/>
      <c r="G599" s="10"/>
      <c r="H599" s="10"/>
      <c r="J599" s="198"/>
    </row>
    <row r="600" spans="1:10" ht="15.75" customHeight="1" x14ac:dyDescent="0.25">
      <c r="A600" s="197"/>
      <c r="C600" s="12"/>
      <c r="D600" s="6"/>
      <c r="E600" s="168"/>
      <c r="G600" s="10"/>
      <c r="H600" s="10"/>
      <c r="J600" s="198"/>
    </row>
    <row r="601" spans="1:10" ht="15.75" customHeight="1" x14ac:dyDescent="0.25">
      <c r="A601" s="197"/>
      <c r="C601" s="12"/>
      <c r="D601" s="6"/>
      <c r="E601" s="168"/>
      <c r="G601" s="10"/>
      <c r="H601" s="10"/>
      <c r="J601" s="198"/>
    </row>
    <row r="602" spans="1:10" ht="15.75" customHeight="1" x14ac:dyDescent="0.25">
      <c r="A602" s="197"/>
      <c r="C602" s="12"/>
      <c r="D602" s="6"/>
      <c r="E602" s="168"/>
      <c r="G602" s="10"/>
      <c r="H602" s="10"/>
      <c r="J602" s="198"/>
    </row>
    <row r="603" spans="1:10" ht="15.75" customHeight="1" x14ac:dyDescent="0.25">
      <c r="A603" s="197"/>
      <c r="C603" s="12"/>
      <c r="D603" s="6"/>
      <c r="E603" s="168"/>
      <c r="G603" s="10"/>
      <c r="H603" s="10"/>
      <c r="J603" s="198"/>
    </row>
    <row r="604" spans="1:10" ht="15.75" customHeight="1" x14ac:dyDescent="0.25">
      <c r="A604" s="197"/>
      <c r="C604" s="12"/>
      <c r="D604" s="6"/>
      <c r="E604" s="168"/>
      <c r="G604" s="10"/>
      <c r="H604" s="10"/>
      <c r="J604" s="198"/>
    </row>
    <row r="605" spans="1:10" ht="15.75" customHeight="1" x14ac:dyDescent="0.25">
      <c r="A605" s="197"/>
      <c r="C605" s="12"/>
      <c r="D605" s="6"/>
      <c r="E605" s="168"/>
      <c r="G605" s="10"/>
      <c r="H605" s="10"/>
      <c r="J605" s="198"/>
    </row>
    <row r="606" spans="1:10" ht="15.75" customHeight="1" x14ac:dyDescent="0.25">
      <c r="A606" s="197"/>
      <c r="C606" s="12"/>
      <c r="D606" s="6"/>
      <c r="E606" s="168"/>
      <c r="G606" s="10"/>
      <c r="H606" s="10"/>
      <c r="J606" s="198"/>
    </row>
    <row r="607" spans="1:10" ht="15.75" customHeight="1" x14ac:dyDescent="0.25">
      <c r="A607" s="197"/>
      <c r="C607" s="12"/>
      <c r="D607" s="6"/>
      <c r="E607" s="168"/>
      <c r="G607" s="10"/>
      <c r="H607" s="10"/>
      <c r="J607" s="198"/>
    </row>
    <row r="608" spans="1:10" ht="15.75" customHeight="1" x14ac:dyDescent="0.25">
      <c r="A608" s="197"/>
      <c r="C608" s="12"/>
      <c r="D608" s="6"/>
      <c r="E608" s="168"/>
      <c r="G608" s="10"/>
      <c r="H608" s="10"/>
      <c r="J608" s="198"/>
    </row>
    <row r="609" spans="1:10" ht="15.75" customHeight="1" x14ac:dyDescent="0.25">
      <c r="A609" s="197"/>
      <c r="C609" s="12"/>
      <c r="D609" s="6"/>
      <c r="E609" s="168"/>
      <c r="G609" s="10"/>
      <c r="H609" s="10"/>
      <c r="J609" s="198"/>
    </row>
    <row r="610" spans="1:10" ht="15.75" customHeight="1" x14ac:dyDescent="0.25">
      <c r="A610" s="197"/>
      <c r="C610" s="12"/>
      <c r="D610" s="6"/>
      <c r="E610" s="168"/>
      <c r="G610" s="10"/>
      <c r="H610" s="10"/>
      <c r="J610" s="198"/>
    </row>
    <row r="611" spans="1:10" ht="15.75" customHeight="1" x14ac:dyDescent="0.25">
      <c r="A611" s="197"/>
      <c r="C611" s="12"/>
      <c r="D611" s="6"/>
      <c r="E611" s="168"/>
      <c r="G611" s="10"/>
      <c r="H611" s="10"/>
      <c r="J611" s="198"/>
    </row>
    <row r="612" spans="1:10" ht="15.75" customHeight="1" x14ac:dyDescent="0.25">
      <c r="A612" s="197"/>
      <c r="C612" s="12"/>
      <c r="D612" s="6"/>
      <c r="E612" s="168"/>
      <c r="G612" s="10"/>
      <c r="H612" s="10"/>
      <c r="J612" s="198"/>
    </row>
    <row r="613" spans="1:10" ht="15.75" customHeight="1" x14ac:dyDescent="0.25">
      <c r="A613" s="197"/>
      <c r="C613" s="12"/>
      <c r="D613" s="6"/>
      <c r="E613" s="168"/>
      <c r="G613" s="10"/>
      <c r="H613" s="10"/>
      <c r="J613" s="198"/>
    </row>
    <row r="614" spans="1:10" ht="15.75" customHeight="1" x14ac:dyDescent="0.25">
      <c r="A614" s="197"/>
      <c r="C614" s="12"/>
      <c r="D614" s="6"/>
      <c r="E614" s="168"/>
      <c r="G614" s="10"/>
      <c r="H614" s="10"/>
      <c r="J614" s="198"/>
    </row>
    <row r="615" spans="1:10" ht="15.75" customHeight="1" x14ac:dyDescent="0.25">
      <c r="A615" s="197"/>
      <c r="C615" s="12"/>
      <c r="D615" s="6"/>
      <c r="E615" s="168"/>
      <c r="G615" s="10"/>
      <c r="H615" s="10"/>
      <c r="J615" s="198"/>
    </row>
    <row r="616" spans="1:10" ht="15.75" customHeight="1" x14ac:dyDescent="0.25">
      <c r="A616" s="197"/>
      <c r="C616" s="12"/>
      <c r="D616" s="6"/>
      <c r="E616" s="168"/>
      <c r="G616" s="10"/>
      <c r="H616" s="10"/>
      <c r="J616" s="198"/>
    </row>
    <row r="617" spans="1:10" ht="15.75" customHeight="1" x14ac:dyDescent="0.25">
      <c r="A617" s="197"/>
      <c r="C617" s="12"/>
      <c r="D617" s="6"/>
      <c r="E617" s="168"/>
      <c r="G617" s="10"/>
      <c r="H617" s="10"/>
      <c r="J617" s="198"/>
    </row>
    <row r="618" spans="1:10" ht="15.75" customHeight="1" x14ac:dyDescent="0.25">
      <c r="A618" s="197"/>
      <c r="C618" s="12"/>
      <c r="D618" s="6"/>
      <c r="E618" s="168"/>
      <c r="G618" s="10"/>
      <c r="H618" s="10"/>
      <c r="J618" s="198"/>
    </row>
    <row r="619" spans="1:10" ht="15.75" customHeight="1" x14ac:dyDescent="0.25">
      <c r="A619" s="197"/>
      <c r="C619" s="12"/>
      <c r="D619" s="6"/>
      <c r="E619" s="168"/>
      <c r="G619" s="10"/>
      <c r="H619" s="10"/>
      <c r="J619" s="198"/>
    </row>
    <row r="620" spans="1:10" ht="15.75" customHeight="1" x14ac:dyDescent="0.25">
      <c r="A620" s="197"/>
      <c r="C620" s="12"/>
      <c r="D620" s="6"/>
      <c r="E620" s="168"/>
      <c r="G620" s="10"/>
      <c r="H620" s="10"/>
      <c r="J620" s="198"/>
    </row>
    <row r="621" spans="1:10" ht="15.75" customHeight="1" x14ac:dyDescent="0.25">
      <c r="A621" s="197"/>
      <c r="C621" s="12"/>
      <c r="D621" s="6"/>
      <c r="E621" s="168"/>
      <c r="G621" s="10"/>
      <c r="H621" s="10"/>
      <c r="J621" s="198"/>
    </row>
    <row r="622" spans="1:10" ht="15.75" customHeight="1" x14ac:dyDescent="0.25">
      <c r="A622" s="197"/>
      <c r="C622" s="12"/>
      <c r="D622" s="6"/>
      <c r="E622" s="168"/>
      <c r="G622" s="10"/>
      <c r="H622" s="10"/>
      <c r="J622" s="198"/>
    </row>
    <row r="623" spans="1:10" ht="15.75" customHeight="1" x14ac:dyDescent="0.25">
      <c r="A623" s="197"/>
      <c r="C623" s="12"/>
      <c r="D623" s="6"/>
      <c r="E623" s="168"/>
      <c r="G623" s="10"/>
      <c r="H623" s="10"/>
      <c r="J623" s="198"/>
    </row>
    <row r="624" spans="1:10" ht="15.75" customHeight="1" x14ac:dyDescent="0.25">
      <c r="A624" s="197"/>
      <c r="C624" s="12"/>
      <c r="D624" s="6"/>
      <c r="E624" s="168"/>
      <c r="G624" s="10"/>
      <c r="H624" s="10"/>
      <c r="J624" s="198"/>
    </row>
    <row r="625" spans="1:10" ht="15.75" customHeight="1" x14ac:dyDescent="0.25">
      <c r="A625" s="197"/>
      <c r="C625" s="12"/>
      <c r="D625" s="6"/>
      <c r="E625" s="168"/>
      <c r="G625" s="10"/>
      <c r="H625" s="10"/>
      <c r="J625" s="198"/>
    </row>
    <row r="626" spans="1:10" ht="15.75" customHeight="1" x14ac:dyDescent="0.25">
      <c r="A626" s="197"/>
      <c r="C626" s="12"/>
      <c r="D626" s="6"/>
      <c r="E626" s="168"/>
      <c r="G626" s="10"/>
      <c r="H626" s="10"/>
      <c r="J626" s="198"/>
    </row>
    <row r="627" spans="1:10" ht="15.75" customHeight="1" x14ac:dyDescent="0.25">
      <c r="A627" s="197"/>
      <c r="C627" s="12"/>
      <c r="D627" s="6"/>
      <c r="E627" s="168"/>
      <c r="G627" s="10"/>
      <c r="H627" s="10"/>
      <c r="J627" s="198"/>
    </row>
    <row r="628" spans="1:10" ht="15.75" customHeight="1" x14ac:dyDescent="0.25">
      <c r="A628" s="197"/>
      <c r="C628" s="12"/>
      <c r="D628" s="6"/>
      <c r="E628" s="168"/>
      <c r="G628" s="10"/>
      <c r="H628" s="10"/>
      <c r="J628" s="198"/>
    </row>
    <row r="629" spans="1:10" ht="15.75" customHeight="1" x14ac:dyDescent="0.25">
      <c r="A629" s="197"/>
      <c r="C629" s="12"/>
      <c r="D629" s="6"/>
      <c r="E629" s="168"/>
      <c r="G629" s="10"/>
      <c r="H629" s="10"/>
      <c r="J629" s="198"/>
    </row>
    <row r="630" spans="1:10" ht="15.75" customHeight="1" x14ac:dyDescent="0.25">
      <c r="A630" s="197"/>
      <c r="C630" s="12"/>
      <c r="D630" s="6"/>
      <c r="E630" s="168"/>
      <c r="G630" s="10"/>
      <c r="H630" s="10"/>
      <c r="J630" s="198"/>
    </row>
    <row r="631" spans="1:10" ht="15.75" customHeight="1" x14ac:dyDescent="0.25">
      <c r="A631" s="197"/>
      <c r="C631" s="12"/>
      <c r="D631" s="6"/>
      <c r="E631" s="168"/>
      <c r="G631" s="10"/>
      <c r="H631" s="10"/>
      <c r="J631" s="198"/>
    </row>
    <row r="632" spans="1:10" ht="15.75" customHeight="1" x14ac:dyDescent="0.25">
      <c r="A632" s="197"/>
      <c r="C632" s="12"/>
      <c r="D632" s="6"/>
      <c r="E632" s="168"/>
      <c r="G632" s="10"/>
      <c r="H632" s="10"/>
      <c r="J632" s="198"/>
    </row>
    <row r="633" spans="1:10" ht="15.75" customHeight="1" x14ac:dyDescent="0.25">
      <c r="A633" s="197"/>
      <c r="C633" s="12"/>
      <c r="D633" s="6"/>
      <c r="E633" s="168"/>
      <c r="G633" s="10"/>
      <c r="H633" s="10"/>
      <c r="J633" s="198"/>
    </row>
    <row r="634" spans="1:10" ht="15.75" customHeight="1" x14ac:dyDescent="0.25">
      <c r="A634" s="197"/>
      <c r="C634" s="12"/>
      <c r="D634" s="6"/>
      <c r="E634" s="168"/>
      <c r="G634" s="10"/>
      <c r="H634" s="10"/>
      <c r="J634" s="198"/>
    </row>
    <row r="635" spans="1:10" ht="15.75" customHeight="1" x14ac:dyDescent="0.25">
      <c r="A635" s="197"/>
      <c r="C635" s="12"/>
      <c r="D635" s="6"/>
      <c r="E635" s="168"/>
      <c r="G635" s="10"/>
      <c r="H635" s="10"/>
      <c r="J635" s="198"/>
    </row>
    <row r="636" spans="1:10" ht="15.75" customHeight="1" x14ac:dyDescent="0.25">
      <c r="A636" s="197"/>
      <c r="C636" s="12"/>
      <c r="D636" s="6"/>
      <c r="E636" s="168"/>
      <c r="G636" s="10"/>
      <c r="H636" s="10"/>
      <c r="J636" s="198"/>
    </row>
    <row r="637" spans="1:10" ht="15.75" customHeight="1" x14ac:dyDescent="0.25">
      <c r="A637" s="197"/>
      <c r="C637" s="12"/>
      <c r="D637" s="6"/>
      <c r="E637" s="168"/>
      <c r="G637" s="10"/>
      <c r="H637" s="10"/>
      <c r="J637" s="198"/>
    </row>
    <row r="638" spans="1:10" ht="15.75" customHeight="1" x14ac:dyDescent="0.25">
      <c r="A638" s="197"/>
      <c r="C638" s="12"/>
      <c r="D638" s="6"/>
      <c r="E638" s="168"/>
      <c r="G638" s="10"/>
      <c r="H638" s="10"/>
      <c r="J638" s="198"/>
    </row>
    <row r="639" spans="1:10" ht="15.75" customHeight="1" x14ac:dyDescent="0.25">
      <c r="A639" s="197"/>
      <c r="C639" s="12"/>
      <c r="D639" s="6"/>
      <c r="E639" s="168"/>
      <c r="G639" s="10"/>
      <c r="H639" s="10"/>
      <c r="J639" s="198"/>
    </row>
    <row r="640" spans="1:10" ht="15.75" customHeight="1" x14ac:dyDescent="0.25">
      <c r="A640" s="197"/>
      <c r="C640" s="12"/>
      <c r="D640" s="6"/>
      <c r="E640" s="168"/>
      <c r="G640" s="10"/>
      <c r="H640" s="10"/>
      <c r="J640" s="198"/>
    </row>
    <row r="641" spans="1:10" ht="15.75" customHeight="1" x14ac:dyDescent="0.25">
      <c r="A641" s="197"/>
      <c r="C641" s="12"/>
      <c r="D641" s="6"/>
      <c r="E641" s="168"/>
      <c r="G641" s="10"/>
      <c r="H641" s="10"/>
      <c r="J641" s="198"/>
    </row>
    <row r="642" spans="1:10" ht="15.75" customHeight="1" x14ac:dyDescent="0.25">
      <c r="A642" s="197"/>
      <c r="C642" s="12"/>
      <c r="D642" s="6"/>
      <c r="E642" s="168"/>
      <c r="G642" s="10"/>
      <c r="H642" s="10"/>
      <c r="J642" s="198"/>
    </row>
    <row r="643" spans="1:10" ht="15.75" customHeight="1" x14ac:dyDescent="0.25">
      <c r="A643" s="197"/>
      <c r="C643" s="12"/>
      <c r="D643" s="6"/>
      <c r="E643" s="168"/>
      <c r="G643" s="10"/>
      <c r="H643" s="10"/>
      <c r="J643" s="198"/>
    </row>
    <row r="644" spans="1:10" ht="15.75" customHeight="1" x14ac:dyDescent="0.25">
      <c r="A644" s="197"/>
      <c r="C644" s="12"/>
      <c r="D644" s="6"/>
      <c r="E644" s="168"/>
      <c r="G644" s="10"/>
      <c r="H644" s="10"/>
      <c r="J644" s="198"/>
    </row>
    <row r="645" spans="1:10" ht="15.75" customHeight="1" x14ac:dyDescent="0.25">
      <c r="A645" s="197"/>
      <c r="C645" s="12"/>
      <c r="D645" s="6"/>
      <c r="E645" s="168"/>
      <c r="G645" s="10"/>
      <c r="H645" s="10"/>
      <c r="J645" s="198"/>
    </row>
    <row r="646" spans="1:10" ht="15.75" customHeight="1" x14ac:dyDescent="0.25">
      <c r="A646" s="197"/>
      <c r="C646" s="12"/>
      <c r="D646" s="6"/>
      <c r="E646" s="168"/>
      <c r="G646" s="10"/>
      <c r="H646" s="10"/>
      <c r="J646" s="198"/>
    </row>
    <row r="647" spans="1:10" ht="15.75" customHeight="1" x14ac:dyDescent="0.25">
      <c r="A647" s="197"/>
      <c r="C647" s="12"/>
      <c r="D647" s="6"/>
      <c r="E647" s="168"/>
      <c r="G647" s="10"/>
      <c r="H647" s="10"/>
      <c r="J647" s="198"/>
    </row>
    <row r="648" spans="1:10" ht="15.75" customHeight="1" x14ac:dyDescent="0.25">
      <c r="A648" s="197"/>
      <c r="C648" s="12"/>
      <c r="D648" s="6"/>
      <c r="E648" s="168"/>
      <c r="G648" s="10"/>
      <c r="H648" s="10"/>
      <c r="J648" s="198"/>
    </row>
    <row r="649" spans="1:10" ht="15.75" customHeight="1" x14ac:dyDescent="0.25">
      <c r="A649" s="197"/>
      <c r="C649" s="12"/>
      <c r="D649" s="6"/>
      <c r="E649" s="168"/>
      <c r="G649" s="10"/>
      <c r="H649" s="10"/>
      <c r="J649" s="198"/>
    </row>
    <row r="650" spans="1:10" ht="15.75" customHeight="1" x14ac:dyDescent="0.25">
      <c r="A650" s="197"/>
      <c r="C650" s="12"/>
      <c r="D650" s="6"/>
      <c r="E650" s="168"/>
      <c r="G650" s="10"/>
      <c r="H650" s="10"/>
      <c r="J650" s="198"/>
    </row>
    <row r="651" spans="1:10" ht="15.75" customHeight="1" x14ac:dyDescent="0.25">
      <c r="A651" s="197"/>
      <c r="C651" s="12"/>
      <c r="D651" s="6"/>
      <c r="E651" s="168"/>
      <c r="G651" s="10"/>
      <c r="H651" s="10"/>
      <c r="J651" s="198"/>
    </row>
    <row r="652" spans="1:10" ht="15.75" customHeight="1" x14ac:dyDescent="0.25">
      <c r="A652" s="197"/>
      <c r="C652" s="12"/>
      <c r="D652" s="6"/>
      <c r="E652" s="168"/>
      <c r="G652" s="10"/>
      <c r="H652" s="10"/>
      <c r="J652" s="198"/>
    </row>
    <row r="653" spans="1:10" ht="15.75" customHeight="1" x14ac:dyDescent="0.25">
      <c r="A653" s="197"/>
      <c r="C653" s="12"/>
      <c r="D653" s="6"/>
      <c r="E653" s="168"/>
      <c r="G653" s="10"/>
      <c r="H653" s="10"/>
      <c r="J653" s="198"/>
    </row>
    <row r="654" spans="1:10" ht="15.75" customHeight="1" x14ac:dyDescent="0.25">
      <c r="A654" s="197"/>
      <c r="C654" s="12"/>
      <c r="D654" s="6"/>
      <c r="E654" s="168"/>
      <c r="G654" s="10"/>
      <c r="H654" s="10"/>
      <c r="J654" s="198"/>
    </row>
    <row r="655" spans="1:10" ht="15.75" customHeight="1" x14ac:dyDescent="0.25">
      <c r="A655" s="197"/>
      <c r="C655" s="12"/>
      <c r="D655" s="6"/>
      <c r="E655" s="168"/>
      <c r="G655" s="10"/>
      <c r="H655" s="10"/>
      <c r="J655" s="198"/>
    </row>
    <row r="656" spans="1:10" ht="15.75" customHeight="1" x14ac:dyDescent="0.25">
      <c r="A656" s="197"/>
      <c r="C656" s="12"/>
      <c r="D656" s="6"/>
      <c r="E656" s="168"/>
      <c r="G656" s="10"/>
      <c r="H656" s="10"/>
      <c r="J656" s="198"/>
    </row>
    <row r="657" spans="1:10" ht="15.75" customHeight="1" x14ac:dyDescent="0.25">
      <c r="A657" s="197"/>
      <c r="C657" s="12"/>
      <c r="D657" s="6"/>
      <c r="E657" s="168"/>
      <c r="G657" s="10"/>
      <c r="H657" s="10"/>
      <c r="J657" s="198"/>
    </row>
    <row r="658" spans="1:10" ht="15.75" customHeight="1" x14ac:dyDescent="0.25">
      <c r="A658" s="197"/>
      <c r="C658" s="12"/>
      <c r="D658" s="6"/>
      <c r="E658" s="168"/>
      <c r="G658" s="10"/>
      <c r="H658" s="10"/>
      <c r="J658" s="198"/>
    </row>
    <row r="659" spans="1:10" ht="15.75" customHeight="1" x14ac:dyDescent="0.25">
      <c r="A659" s="197"/>
      <c r="C659" s="12"/>
      <c r="D659" s="6"/>
      <c r="E659" s="168"/>
      <c r="G659" s="10"/>
      <c r="H659" s="10"/>
      <c r="J659" s="198"/>
    </row>
    <row r="660" spans="1:10" ht="15.75" customHeight="1" x14ac:dyDescent="0.25">
      <c r="A660" s="197"/>
      <c r="C660" s="12"/>
      <c r="D660" s="6"/>
      <c r="E660" s="168"/>
      <c r="G660" s="10"/>
      <c r="H660" s="10"/>
      <c r="J660" s="198"/>
    </row>
    <row r="661" spans="1:10" ht="15.75" customHeight="1" x14ac:dyDescent="0.25">
      <c r="A661" s="197"/>
      <c r="C661" s="12"/>
      <c r="D661" s="6"/>
      <c r="E661" s="168"/>
      <c r="G661" s="10"/>
      <c r="H661" s="10"/>
      <c r="J661" s="198"/>
    </row>
    <row r="662" spans="1:10" ht="15.75" customHeight="1" x14ac:dyDescent="0.25">
      <c r="A662" s="197"/>
      <c r="C662" s="12"/>
      <c r="D662" s="6"/>
      <c r="E662" s="168"/>
      <c r="G662" s="10"/>
      <c r="H662" s="10"/>
      <c r="J662" s="198"/>
    </row>
    <row r="663" spans="1:10" ht="15.75" customHeight="1" x14ac:dyDescent="0.25">
      <c r="A663" s="197"/>
      <c r="C663" s="12"/>
      <c r="D663" s="6"/>
      <c r="E663" s="168"/>
      <c r="G663" s="10"/>
      <c r="H663" s="10"/>
      <c r="J663" s="198"/>
    </row>
    <row r="664" spans="1:10" ht="15.75" customHeight="1" x14ac:dyDescent="0.25">
      <c r="A664" s="197"/>
      <c r="C664" s="12"/>
      <c r="D664" s="6"/>
      <c r="E664" s="168"/>
      <c r="G664" s="10"/>
      <c r="H664" s="10"/>
      <c r="J664" s="198"/>
    </row>
    <row r="665" spans="1:10" ht="15.75" customHeight="1" x14ac:dyDescent="0.25">
      <c r="A665" s="197"/>
      <c r="C665" s="12"/>
      <c r="D665" s="6"/>
      <c r="E665" s="168"/>
      <c r="G665" s="10"/>
      <c r="H665" s="10"/>
      <c r="J665" s="198"/>
    </row>
    <row r="666" spans="1:10" ht="15.75" customHeight="1" x14ac:dyDescent="0.25">
      <c r="A666" s="197"/>
      <c r="C666" s="12"/>
      <c r="D666" s="6"/>
      <c r="E666" s="168"/>
      <c r="G666" s="10"/>
      <c r="H666" s="10"/>
      <c r="J666" s="198"/>
    </row>
    <row r="667" spans="1:10" ht="15.75" customHeight="1" x14ac:dyDescent="0.25">
      <c r="A667" s="197"/>
      <c r="C667" s="12"/>
      <c r="D667" s="6"/>
      <c r="E667" s="168"/>
      <c r="G667" s="10"/>
      <c r="H667" s="10"/>
      <c r="J667" s="198"/>
    </row>
    <row r="668" spans="1:10" ht="15.75" customHeight="1" x14ac:dyDescent="0.25">
      <c r="A668" s="197"/>
      <c r="C668" s="12"/>
      <c r="D668" s="6"/>
      <c r="E668" s="168"/>
      <c r="G668" s="10"/>
      <c r="H668" s="10"/>
      <c r="J668" s="198"/>
    </row>
    <row r="669" spans="1:10" ht="15.75" customHeight="1" x14ac:dyDescent="0.25">
      <c r="A669" s="197"/>
      <c r="C669" s="12"/>
      <c r="D669" s="6"/>
      <c r="E669" s="168"/>
      <c r="G669" s="10"/>
      <c r="H669" s="10"/>
      <c r="J669" s="198"/>
    </row>
    <row r="670" spans="1:10" ht="15.75" customHeight="1" x14ac:dyDescent="0.25">
      <c r="A670" s="197"/>
      <c r="C670" s="12"/>
      <c r="D670" s="6"/>
      <c r="E670" s="168"/>
      <c r="G670" s="10"/>
      <c r="H670" s="10"/>
      <c r="J670" s="198"/>
    </row>
    <row r="671" spans="1:10" ht="15.75" customHeight="1" x14ac:dyDescent="0.25">
      <c r="A671" s="197"/>
      <c r="C671" s="12"/>
      <c r="D671" s="6"/>
      <c r="E671" s="168"/>
      <c r="G671" s="10"/>
      <c r="H671" s="10"/>
      <c r="J671" s="198"/>
    </row>
    <row r="672" spans="1:10" ht="15.75" customHeight="1" x14ac:dyDescent="0.25">
      <c r="A672" s="197"/>
      <c r="C672" s="12"/>
      <c r="D672" s="6"/>
      <c r="E672" s="168"/>
      <c r="G672" s="10"/>
      <c r="H672" s="10"/>
      <c r="J672" s="198"/>
    </row>
    <row r="673" spans="1:10" ht="15.75" customHeight="1" x14ac:dyDescent="0.25">
      <c r="A673" s="197"/>
      <c r="C673" s="12"/>
      <c r="D673" s="6"/>
      <c r="E673" s="168"/>
      <c r="G673" s="10"/>
      <c r="H673" s="10"/>
      <c r="J673" s="198"/>
    </row>
    <row r="674" spans="1:10" ht="15.75" customHeight="1" x14ac:dyDescent="0.25">
      <c r="A674" s="197"/>
      <c r="C674" s="12"/>
      <c r="D674" s="6"/>
      <c r="E674" s="168"/>
      <c r="G674" s="10"/>
      <c r="H674" s="10"/>
      <c r="J674" s="198"/>
    </row>
    <row r="675" spans="1:10" ht="15.75" customHeight="1" x14ac:dyDescent="0.25">
      <c r="A675" s="197"/>
      <c r="C675" s="12"/>
      <c r="D675" s="6"/>
      <c r="E675" s="168"/>
      <c r="G675" s="10"/>
      <c r="H675" s="10"/>
      <c r="J675" s="198"/>
    </row>
    <row r="676" spans="1:10" ht="15.75" customHeight="1" x14ac:dyDescent="0.25">
      <c r="A676" s="197"/>
      <c r="C676" s="12"/>
      <c r="D676" s="6"/>
      <c r="E676" s="168"/>
      <c r="G676" s="10"/>
      <c r="H676" s="10"/>
      <c r="J676" s="198"/>
    </row>
    <row r="677" spans="1:10" ht="15.75" customHeight="1" x14ac:dyDescent="0.25">
      <c r="A677" s="197"/>
      <c r="C677" s="12"/>
      <c r="D677" s="6"/>
      <c r="E677" s="168"/>
      <c r="G677" s="10"/>
      <c r="H677" s="10"/>
      <c r="J677" s="198"/>
    </row>
    <row r="678" spans="1:10" ht="15.75" customHeight="1" x14ac:dyDescent="0.25">
      <c r="A678" s="197"/>
      <c r="C678" s="12"/>
      <c r="D678" s="6"/>
      <c r="E678" s="168"/>
      <c r="G678" s="10"/>
      <c r="H678" s="10"/>
      <c r="J678" s="198"/>
    </row>
    <row r="679" spans="1:10" ht="15.75" customHeight="1" x14ac:dyDescent="0.25">
      <c r="A679" s="197"/>
      <c r="C679" s="12"/>
      <c r="D679" s="6"/>
      <c r="E679" s="168"/>
      <c r="G679" s="10"/>
      <c r="H679" s="10"/>
      <c r="J679" s="198"/>
    </row>
    <row r="680" spans="1:10" ht="15.75" customHeight="1" x14ac:dyDescent="0.25">
      <c r="A680" s="197"/>
      <c r="C680" s="12"/>
      <c r="D680" s="6"/>
      <c r="E680" s="168"/>
      <c r="G680" s="10"/>
      <c r="H680" s="10"/>
      <c r="J680" s="198"/>
    </row>
    <row r="681" spans="1:10" ht="15.75" customHeight="1" x14ac:dyDescent="0.25">
      <c r="A681" s="197"/>
      <c r="C681" s="12"/>
      <c r="D681" s="6"/>
      <c r="E681" s="168"/>
      <c r="G681" s="10"/>
      <c r="H681" s="10"/>
      <c r="J681" s="198"/>
    </row>
    <row r="682" spans="1:10" ht="15.75" customHeight="1" x14ac:dyDescent="0.25">
      <c r="A682" s="197"/>
      <c r="C682" s="12"/>
      <c r="D682" s="6"/>
      <c r="E682" s="168"/>
      <c r="G682" s="10"/>
      <c r="H682" s="10"/>
      <c r="J682" s="198"/>
    </row>
    <row r="683" spans="1:10" ht="15.75" customHeight="1" x14ac:dyDescent="0.25">
      <c r="A683" s="197"/>
      <c r="C683" s="12"/>
      <c r="D683" s="6"/>
      <c r="E683" s="168"/>
      <c r="G683" s="10"/>
      <c r="H683" s="10"/>
      <c r="J683" s="198"/>
    </row>
    <row r="684" spans="1:10" ht="15.75" customHeight="1" x14ac:dyDescent="0.25">
      <c r="A684" s="197"/>
      <c r="C684" s="12"/>
      <c r="D684" s="6"/>
      <c r="E684" s="168"/>
      <c r="G684" s="10"/>
      <c r="H684" s="10"/>
      <c r="J684" s="198"/>
    </row>
    <row r="685" spans="1:10" ht="15.75" customHeight="1" x14ac:dyDescent="0.25">
      <c r="A685" s="197"/>
      <c r="C685" s="12"/>
      <c r="D685" s="6"/>
      <c r="E685" s="168"/>
      <c r="G685" s="10"/>
      <c r="H685" s="10"/>
      <c r="J685" s="198"/>
    </row>
    <row r="686" spans="1:10" ht="15.75" customHeight="1" x14ac:dyDescent="0.25">
      <c r="A686" s="197"/>
      <c r="C686" s="12"/>
      <c r="D686" s="6"/>
      <c r="E686" s="168"/>
      <c r="G686" s="10"/>
      <c r="H686" s="10"/>
      <c r="J686" s="198"/>
    </row>
    <row r="687" spans="1:10" ht="15.75" customHeight="1" x14ac:dyDescent="0.25">
      <c r="A687" s="197"/>
      <c r="C687" s="12"/>
      <c r="D687" s="6"/>
      <c r="E687" s="168"/>
      <c r="G687" s="10"/>
      <c r="H687" s="10"/>
      <c r="J687" s="198"/>
    </row>
    <row r="688" spans="1:10" ht="15.75" customHeight="1" x14ac:dyDescent="0.25">
      <c r="A688" s="197"/>
      <c r="C688" s="12"/>
      <c r="D688" s="6"/>
      <c r="E688" s="168"/>
      <c r="G688" s="10"/>
      <c r="H688" s="10"/>
      <c r="J688" s="198"/>
    </row>
    <row r="689" spans="1:10" ht="15.75" customHeight="1" x14ac:dyDescent="0.25">
      <c r="A689" s="197"/>
      <c r="C689" s="12"/>
      <c r="D689" s="6"/>
      <c r="E689" s="168"/>
      <c r="G689" s="10"/>
      <c r="H689" s="10"/>
      <c r="J689" s="198"/>
    </row>
    <row r="690" spans="1:10" ht="15.75" customHeight="1" x14ac:dyDescent="0.25">
      <c r="A690" s="197"/>
      <c r="C690" s="12"/>
      <c r="D690" s="6"/>
      <c r="E690" s="168"/>
      <c r="G690" s="10"/>
      <c r="H690" s="10"/>
      <c r="J690" s="198"/>
    </row>
    <row r="691" spans="1:10" ht="15.75" customHeight="1" x14ac:dyDescent="0.25">
      <c r="A691" s="197"/>
      <c r="C691" s="12"/>
      <c r="D691" s="6"/>
      <c r="E691" s="168"/>
      <c r="G691" s="10"/>
      <c r="H691" s="10"/>
      <c r="J691" s="198"/>
    </row>
    <row r="692" spans="1:10" ht="15.75" customHeight="1" x14ac:dyDescent="0.25">
      <c r="A692" s="197"/>
      <c r="C692" s="12"/>
      <c r="D692" s="6"/>
      <c r="E692" s="168"/>
      <c r="G692" s="10"/>
      <c r="H692" s="10"/>
      <c r="J692" s="198"/>
    </row>
    <row r="693" spans="1:10" ht="15.75" customHeight="1" x14ac:dyDescent="0.25">
      <c r="A693" s="197"/>
      <c r="C693" s="12"/>
      <c r="D693" s="6"/>
      <c r="E693" s="168"/>
      <c r="G693" s="10"/>
      <c r="H693" s="10"/>
      <c r="J693" s="198"/>
    </row>
    <row r="694" spans="1:10" ht="15.75" customHeight="1" x14ac:dyDescent="0.25">
      <c r="A694" s="197"/>
      <c r="C694" s="12"/>
      <c r="D694" s="6"/>
      <c r="E694" s="168"/>
      <c r="G694" s="10"/>
      <c r="H694" s="10"/>
      <c r="J694" s="198"/>
    </row>
    <row r="695" spans="1:10" ht="15.75" customHeight="1" x14ac:dyDescent="0.25">
      <c r="A695" s="197"/>
      <c r="C695" s="12"/>
      <c r="D695" s="6"/>
      <c r="E695" s="168"/>
      <c r="G695" s="10"/>
      <c r="H695" s="10"/>
      <c r="J695" s="198"/>
    </row>
    <row r="696" spans="1:10" ht="15.75" customHeight="1" x14ac:dyDescent="0.25">
      <c r="A696" s="197"/>
      <c r="C696" s="12"/>
      <c r="D696" s="6"/>
      <c r="E696" s="168"/>
      <c r="G696" s="10"/>
      <c r="H696" s="10"/>
      <c r="J696" s="198"/>
    </row>
    <row r="697" spans="1:10" ht="15.75" customHeight="1" x14ac:dyDescent="0.25">
      <c r="A697" s="197"/>
      <c r="C697" s="12"/>
      <c r="D697" s="6"/>
      <c r="E697" s="168"/>
      <c r="G697" s="10"/>
      <c r="H697" s="10"/>
      <c r="J697" s="198"/>
    </row>
    <row r="698" spans="1:10" ht="15.75" customHeight="1" x14ac:dyDescent="0.25">
      <c r="A698" s="197"/>
      <c r="C698" s="12"/>
      <c r="D698" s="6"/>
      <c r="E698" s="168"/>
      <c r="G698" s="10"/>
      <c r="H698" s="10"/>
      <c r="J698" s="198"/>
    </row>
    <row r="699" spans="1:10" ht="15.75" customHeight="1" x14ac:dyDescent="0.25">
      <c r="A699" s="197"/>
      <c r="C699" s="12"/>
      <c r="D699" s="6"/>
      <c r="E699" s="168"/>
      <c r="G699" s="10"/>
      <c r="H699" s="10"/>
      <c r="J699" s="198"/>
    </row>
    <row r="700" spans="1:10" ht="15.75" customHeight="1" x14ac:dyDescent="0.25">
      <c r="A700" s="197"/>
      <c r="C700" s="12"/>
      <c r="D700" s="6"/>
      <c r="E700" s="168"/>
      <c r="G700" s="10"/>
      <c r="H700" s="10"/>
      <c r="J700" s="198"/>
    </row>
    <row r="701" spans="1:10" ht="15.75" customHeight="1" x14ac:dyDescent="0.25">
      <c r="A701" s="197"/>
      <c r="C701" s="12"/>
      <c r="D701" s="6"/>
      <c r="E701" s="168"/>
      <c r="G701" s="10"/>
      <c r="H701" s="10"/>
      <c r="J701" s="198"/>
    </row>
    <row r="702" spans="1:10" ht="15.75" customHeight="1" x14ac:dyDescent="0.25">
      <c r="A702" s="197"/>
      <c r="C702" s="12"/>
      <c r="D702" s="6"/>
      <c r="E702" s="168"/>
      <c r="G702" s="10"/>
      <c r="H702" s="10"/>
      <c r="J702" s="198"/>
    </row>
    <row r="703" spans="1:10" ht="15.75" customHeight="1" x14ac:dyDescent="0.25">
      <c r="A703" s="197"/>
      <c r="C703" s="12"/>
      <c r="D703" s="6"/>
      <c r="E703" s="168"/>
      <c r="G703" s="10"/>
      <c r="H703" s="10"/>
      <c r="J703" s="198"/>
    </row>
    <row r="704" spans="1:10" ht="15.75" customHeight="1" x14ac:dyDescent="0.25">
      <c r="A704" s="197"/>
      <c r="C704" s="12"/>
      <c r="D704" s="6"/>
      <c r="E704" s="168"/>
      <c r="G704" s="10"/>
      <c r="H704" s="10"/>
      <c r="J704" s="198"/>
    </row>
    <row r="705" spans="1:10" ht="15.75" customHeight="1" x14ac:dyDescent="0.25">
      <c r="A705" s="197"/>
      <c r="C705" s="12"/>
      <c r="D705" s="6"/>
      <c r="E705" s="168"/>
      <c r="G705" s="10"/>
      <c r="H705" s="10"/>
      <c r="J705" s="198"/>
    </row>
    <row r="706" spans="1:10" ht="15.75" customHeight="1" x14ac:dyDescent="0.25">
      <c r="A706" s="197"/>
      <c r="C706" s="12"/>
      <c r="D706" s="6"/>
      <c r="E706" s="168"/>
      <c r="G706" s="10"/>
      <c r="H706" s="10"/>
      <c r="J706" s="198"/>
    </row>
    <row r="707" spans="1:10" ht="15.75" customHeight="1" x14ac:dyDescent="0.25">
      <c r="A707" s="197"/>
      <c r="C707" s="12"/>
      <c r="D707" s="6"/>
      <c r="E707" s="168"/>
      <c r="G707" s="10"/>
      <c r="H707" s="10"/>
      <c r="J707" s="198"/>
    </row>
    <row r="708" spans="1:10" ht="15.75" customHeight="1" x14ac:dyDescent="0.25">
      <c r="A708" s="197"/>
      <c r="C708" s="12"/>
      <c r="D708" s="6"/>
      <c r="E708" s="168"/>
      <c r="G708" s="10"/>
      <c r="H708" s="10"/>
      <c r="J708" s="198"/>
    </row>
    <row r="709" spans="1:10" ht="15.75" customHeight="1" x14ac:dyDescent="0.25">
      <c r="A709" s="197"/>
      <c r="C709" s="12"/>
      <c r="D709" s="6"/>
      <c r="E709" s="168"/>
      <c r="G709" s="10"/>
      <c r="H709" s="10"/>
      <c r="J709" s="198"/>
    </row>
    <row r="710" spans="1:10" ht="15.75" customHeight="1" x14ac:dyDescent="0.25">
      <c r="A710" s="197"/>
      <c r="C710" s="12"/>
      <c r="D710" s="6"/>
      <c r="E710" s="168"/>
      <c r="G710" s="10"/>
      <c r="H710" s="10"/>
      <c r="J710" s="198"/>
    </row>
    <row r="711" spans="1:10" ht="15.75" customHeight="1" x14ac:dyDescent="0.25">
      <c r="A711" s="197"/>
      <c r="C711" s="12"/>
      <c r="D711" s="6"/>
      <c r="E711" s="168"/>
      <c r="G711" s="10"/>
      <c r="H711" s="10"/>
      <c r="J711" s="198"/>
    </row>
    <row r="712" spans="1:10" ht="15.75" customHeight="1" x14ac:dyDescent="0.25">
      <c r="A712" s="197"/>
      <c r="C712" s="12"/>
      <c r="D712" s="6"/>
      <c r="E712" s="168"/>
      <c r="G712" s="10"/>
      <c r="H712" s="10"/>
      <c r="J712" s="198"/>
    </row>
    <row r="713" spans="1:10" ht="15.75" customHeight="1" x14ac:dyDescent="0.25">
      <c r="A713" s="197"/>
      <c r="C713" s="12"/>
      <c r="D713" s="6"/>
      <c r="E713" s="168"/>
      <c r="G713" s="10"/>
      <c r="H713" s="10"/>
      <c r="J713" s="198"/>
    </row>
    <row r="714" spans="1:10" ht="15.75" customHeight="1" x14ac:dyDescent="0.25">
      <c r="A714" s="197"/>
      <c r="C714" s="12"/>
      <c r="D714" s="6"/>
      <c r="E714" s="168"/>
      <c r="G714" s="10"/>
      <c r="H714" s="10"/>
      <c r="J714" s="198"/>
    </row>
    <row r="715" spans="1:10" ht="15.75" customHeight="1" x14ac:dyDescent="0.25">
      <c r="A715" s="197"/>
      <c r="C715" s="12"/>
      <c r="D715" s="6"/>
      <c r="E715" s="168"/>
      <c r="G715" s="10"/>
      <c r="H715" s="10"/>
      <c r="J715" s="198"/>
    </row>
    <row r="716" spans="1:10" ht="15.75" customHeight="1" x14ac:dyDescent="0.25">
      <c r="A716" s="197"/>
      <c r="C716" s="12"/>
      <c r="D716" s="6"/>
      <c r="E716" s="168"/>
      <c r="G716" s="10"/>
      <c r="H716" s="10"/>
      <c r="J716" s="198"/>
    </row>
    <row r="717" spans="1:10" ht="15.75" customHeight="1" x14ac:dyDescent="0.25">
      <c r="A717" s="197"/>
      <c r="C717" s="12"/>
      <c r="D717" s="6"/>
      <c r="E717" s="168"/>
      <c r="G717" s="10"/>
      <c r="H717" s="10"/>
      <c r="J717" s="198"/>
    </row>
    <row r="718" spans="1:10" ht="15.75" customHeight="1" x14ac:dyDescent="0.25">
      <c r="A718" s="197"/>
      <c r="C718" s="12"/>
      <c r="D718" s="6"/>
      <c r="E718" s="168"/>
      <c r="G718" s="10"/>
      <c r="H718" s="10"/>
      <c r="J718" s="198"/>
    </row>
    <row r="719" spans="1:10" ht="15.75" customHeight="1" x14ac:dyDescent="0.25">
      <c r="A719" s="197"/>
      <c r="C719" s="12"/>
      <c r="D719" s="6"/>
      <c r="E719" s="168"/>
      <c r="G719" s="10"/>
      <c r="H719" s="10"/>
      <c r="J719" s="198"/>
    </row>
    <row r="720" spans="1:10" ht="15.75" customHeight="1" x14ac:dyDescent="0.25">
      <c r="A720" s="197"/>
      <c r="C720" s="12"/>
      <c r="D720" s="6"/>
      <c r="E720" s="168"/>
      <c r="G720" s="10"/>
      <c r="H720" s="10"/>
      <c r="J720" s="198"/>
    </row>
    <row r="721" spans="1:10" ht="15.75" customHeight="1" x14ac:dyDescent="0.25">
      <c r="A721" s="197"/>
      <c r="C721" s="12"/>
      <c r="D721" s="6"/>
      <c r="E721" s="168"/>
      <c r="G721" s="10"/>
      <c r="H721" s="10"/>
      <c r="J721" s="198"/>
    </row>
    <row r="722" spans="1:10" ht="15.75" customHeight="1" x14ac:dyDescent="0.25">
      <c r="A722" s="197"/>
      <c r="C722" s="12"/>
      <c r="D722" s="6"/>
      <c r="E722" s="168"/>
      <c r="G722" s="10"/>
      <c r="H722" s="10"/>
      <c r="J722" s="198"/>
    </row>
    <row r="723" spans="1:10" ht="15.75" customHeight="1" x14ac:dyDescent="0.25">
      <c r="A723" s="197"/>
      <c r="C723" s="12"/>
      <c r="D723" s="6"/>
      <c r="E723" s="168"/>
      <c r="G723" s="10"/>
      <c r="H723" s="10"/>
      <c r="J723" s="198"/>
    </row>
    <row r="724" spans="1:10" ht="15.75" customHeight="1" x14ac:dyDescent="0.25">
      <c r="A724" s="197"/>
      <c r="C724" s="12"/>
      <c r="D724" s="6"/>
      <c r="E724" s="168"/>
      <c r="G724" s="10"/>
      <c r="H724" s="10"/>
      <c r="J724" s="198"/>
    </row>
    <row r="725" spans="1:10" ht="15.75" customHeight="1" x14ac:dyDescent="0.25">
      <c r="A725" s="197"/>
      <c r="C725" s="12"/>
      <c r="D725" s="6"/>
      <c r="E725" s="168"/>
      <c r="G725" s="10"/>
      <c r="H725" s="10"/>
      <c r="J725" s="198"/>
    </row>
    <row r="726" spans="1:10" ht="15.75" customHeight="1" x14ac:dyDescent="0.25">
      <c r="A726" s="197"/>
      <c r="C726" s="12"/>
      <c r="D726" s="6"/>
      <c r="E726" s="168"/>
      <c r="G726" s="10"/>
      <c r="H726" s="10"/>
      <c r="J726" s="198"/>
    </row>
    <row r="727" spans="1:10" ht="15.75" customHeight="1" x14ac:dyDescent="0.25">
      <c r="A727" s="197"/>
      <c r="C727" s="12"/>
      <c r="D727" s="6"/>
      <c r="E727" s="168"/>
      <c r="G727" s="10"/>
      <c r="H727" s="10"/>
      <c r="J727" s="198"/>
    </row>
    <row r="728" spans="1:10" ht="15.75" customHeight="1" x14ac:dyDescent="0.25">
      <c r="A728" s="197"/>
      <c r="C728" s="12"/>
      <c r="D728" s="6"/>
      <c r="E728" s="168"/>
      <c r="G728" s="10"/>
      <c r="H728" s="10"/>
      <c r="J728" s="198"/>
    </row>
    <row r="729" spans="1:10" ht="15.75" customHeight="1" x14ac:dyDescent="0.25">
      <c r="A729" s="197"/>
      <c r="C729" s="12"/>
      <c r="D729" s="6"/>
      <c r="E729" s="168"/>
      <c r="G729" s="10"/>
      <c r="H729" s="10"/>
      <c r="J729" s="198"/>
    </row>
    <row r="730" spans="1:10" ht="15.75" customHeight="1" x14ac:dyDescent="0.25">
      <c r="A730" s="197"/>
      <c r="C730" s="12"/>
      <c r="D730" s="6"/>
      <c r="E730" s="168"/>
      <c r="G730" s="10"/>
      <c r="H730" s="10"/>
      <c r="J730" s="198"/>
    </row>
    <row r="731" spans="1:10" ht="15.75" customHeight="1" x14ac:dyDescent="0.25">
      <c r="A731" s="197"/>
      <c r="C731" s="12"/>
      <c r="D731" s="6"/>
      <c r="E731" s="168"/>
      <c r="G731" s="10"/>
      <c r="H731" s="10"/>
      <c r="J731" s="198"/>
    </row>
    <row r="732" spans="1:10" ht="15.75" customHeight="1" x14ac:dyDescent="0.25">
      <c r="A732" s="197"/>
      <c r="C732" s="12"/>
      <c r="D732" s="6"/>
      <c r="E732" s="168"/>
      <c r="G732" s="10"/>
      <c r="H732" s="10"/>
      <c r="J732" s="198"/>
    </row>
    <row r="733" spans="1:10" ht="15.75" customHeight="1" x14ac:dyDescent="0.25">
      <c r="A733" s="197"/>
      <c r="C733" s="12"/>
      <c r="D733" s="6"/>
      <c r="E733" s="168"/>
      <c r="G733" s="10"/>
      <c r="H733" s="10"/>
      <c r="J733" s="198"/>
    </row>
    <row r="734" spans="1:10" ht="15.75" customHeight="1" x14ac:dyDescent="0.25">
      <c r="A734" s="197"/>
      <c r="C734" s="12"/>
      <c r="D734" s="6"/>
      <c r="E734" s="168"/>
      <c r="G734" s="10"/>
      <c r="H734" s="10"/>
      <c r="J734" s="198"/>
    </row>
    <row r="735" spans="1:10" ht="15.75" customHeight="1" x14ac:dyDescent="0.25">
      <c r="A735" s="197"/>
      <c r="C735" s="12"/>
      <c r="D735" s="6"/>
      <c r="E735" s="168"/>
      <c r="G735" s="10"/>
      <c r="H735" s="10"/>
      <c r="J735" s="198"/>
    </row>
    <row r="736" spans="1:10" ht="15.75" customHeight="1" x14ac:dyDescent="0.25">
      <c r="A736" s="197"/>
      <c r="C736" s="12"/>
      <c r="D736" s="6"/>
      <c r="E736" s="168"/>
      <c r="G736" s="10"/>
      <c r="H736" s="10"/>
      <c r="J736" s="198"/>
    </row>
    <row r="737" spans="1:10" ht="15.75" customHeight="1" x14ac:dyDescent="0.25">
      <c r="A737" s="197"/>
      <c r="C737" s="12"/>
      <c r="D737" s="6"/>
      <c r="E737" s="168"/>
      <c r="G737" s="10"/>
      <c r="H737" s="10"/>
      <c r="J737" s="198"/>
    </row>
    <row r="738" spans="1:10" ht="15.75" customHeight="1" x14ac:dyDescent="0.25">
      <c r="A738" s="197"/>
      <c r="C738" s="12"/>
      <c r="D738" s="6"/>
      <c r="E738" s="168"/>
      <c r="G738" s="10"/>
      <c r="H738" s="10"/>
      <c r="J738" s="198"/>
    </row>
    <row r="739" spans="1:10" ht="15.75" customHeight="1" x14ac:dyDescent="0.25">
      <c r="A739" s="197"/>
      <c r="C739" s="12"/>
      <c r="D739" s="6"/>
      <c r="E739" s="168"/>
      <c r="G739" s="10"/>
      <c r="H739" s="10"/>
      <c r="J739" s="198"/>
    </row>
    <row r="740" spans="1:10" ht="15.75" customHeight="1" x14ac:dyDescent="0.25">
      <c r="A740" s="197"/>
      <c r="C740" s="12"/>
      <c r="D740" s="6"/>
      <c r="E740" s="168"/>
      <c r="G740" s="10"/>
      <c r="H740" s="10"/>
      <c r="J740" s="198"/>
    </row>
    <row r="741" spans="1:10" ht="15.75" customHeight="1" x14ac:dyDescent="0.25">
      <c r="A741" s="197"/>
      <c r="C741" s="12"/>
      <c r="D741" s="6"/>
      <c r="E741" s="168"/>
      <c r="G741" s="10"/>
      <c r="H741" s="10"/>
      <c r="J741" s="198"/>
    </row>
    <row r="742" spans="1:10" ht="15.75" customHeight="1" x14ac:dyDescent="0.25">
      <c r="A742" s="197"/>
      <c r="C742" s="12"/>
      <c r="D742" s="6"/>
      <c r="E742" s="168"/>
      <c r="G742" s="10"/>
      <c r="H742" s="10"/>
      <c r="J742" s="198"/>
    </row>
    <row r="743" spans="1:10" ht="15.75" customHeight="1" x14ac:dyDescent="0.25">
      <c r="A743" s="197"/>
      <c r="C743" s="12"/>
      <c r="D743" s="6"/>
      <c r="E743" s="168"/>
      <c r="G743" s="10"/>
      <c r="H743" s="10"/>
      <c r="J743" s="198"/>
    </row>
    <row r="744" spans="1:10" ht="15.75" customHeight="1" x14ac:dyDescent="0.25">
      <c r="A744" s="197"/>
      <c r="C744" s="12"/>
      <c r="D744" s="6"/>
      <c r="E744" s="168"/>
      <c r="G744" s="10"/>
      <c r="H744" s="10"/>
      <c r="J744" s="198"/>
    </row>
    <row r="745" spans="1:10" ht="15.75" customHeight="1" x14ac:dyDescent="0.25">
      <c r="A745" s="197"/>
      <c r="C745" s="12"/>
      <c r="D745" s="6"/>
      <c r="E745" s="168"/>
      <c r="G745" s="10"/>
      <c r="H745" s="10"/>
      <c r="J745" s="198"/>
    </row>
    <row r="746" spans="1:10" ht="15.75" customHeight="1" x14ac:dyDescent="0.25">
      <c r="A746" s="197"/>
      <c r="C746" s="12"/>
      <c r="D746" s="6"/>
      <c r="E746" s="168"/>
      <c r="G746" s="10"/>
      <c r="H746" s="10"/>
      <c r="J746" s="198"/>
    </row>
    <row r="747" spans="1:10" ht="15.75" customHeight="1" x14ac:dyDescent="0.25">
      <c r="A747" s="197"/>
      <c r="C747" s="12"/>
      <c r="D747" s="6"/>
      <c r="E747" s="168"/>
      <c r="G747" s="10"/>
      <c r="H747" s="10"/>
      <c r="J747" s="198"/>
    </row>
    <row r="748" spans="1:10" ht="15.75" customHeight="1" x14ac:dyDescent="0.25">
      <c r="A748" s="197"/>
      <c r="C748" s="12"/>
      <c r="D748" s="6"/>
      <c r="E748" s="168"/>
      <c r="G748" s="10"/>
      <c r="H748" s="10"/>
      <c r="J748" s="198"/>
    </row>
    <row r="749" spans="1:10" ht="15.75" customHeight="1" x14ac:dyDescent="0.25">
      <c r="A749" s="197"/>
      <c r="C749" s="12"/>
      <c r="D749" s="6"/>
      <c r="E749" s="168"/>
      <c r="G749" s="10"/>
      <c r="H749" s="10"/>
      <c r="J749" s="198"/>
    </row>
    <row r="750" spans="1:10" ht="15.75" customHeight="1" x14ac:dyDescent="0.25">
      <c r="A750" s="197"/>
      <c r="C750" s="12"/>
      <c r="D750" s="6"/>
      <c r="E750" s="168"/>
      <c r="G750" s="10"/>
      <c r="H750" s="10"/>
      <c r="J750" s="198"/>
    </row>
    <row r="751" spans="1:10" ht="15.75" customHeight="1" x14ac:dyDescent="0.25">
      <c r="A751" s="197"/>
      <c r="C751" s="12"/>
      <c r="D751" s="6"/>
      <c r="E751" s="168"/>
      <c r="G751" s="10"/>
      <c r="H751" s="10"/>
      <c r="J751" s="198"/>
    </row>
    <row r="752" spans="1:10" ht="15.75" customHeight="1" x14ac:dyDescent="0.25">
      <c r="A752" s="197"/>
      <c r="C752" s="12"/>
      <c r="D752" s="6"/>
      <c r="E752" s="168"/>
      <c r="G752" s="10"/>
      <c r="H752" s="10"/>
      <c r="J752" s="198"/>
    </row>
    <row r="753" spans="1:10" ht="15.75" customHeight="1" x14ac:dyDescent="0.25">
      <c r="A753" s="197"/>
      <c r="C753" s="12"/>
      <c r="D753" s="6"/>
      <c r="E753" s="168"/>
      <c r="G753" s="10"/>
      <c r="H753" s="10"/>
      <c r="J753" s="198"/>
    </row>
    <row r="754" spans="1:10" ht="15.75" customHeight="1" x14ac:dyDescent="0.25">
      <c r="A754" s="197"/>
      <c r="C754" s="12"/>
      <c r="D754" s="6"/>
      <c r="E754" s="168"/>
      <c r="G754" s="10"/>
      <c r="H754" s="10"/>
      <c r="J754" s="198"/>
    </row>
    <row r="755" spans="1:10" ht="15.75" customHeight="1" x14ac:dyDescent="0.25">
      <c r="A755" s="197"/>
      <c r="C755" s="12"/>
      <c r="D755" s="6"/>
      <c r="E755" s="168"/>
      <c r="G755" s="10"/>
      <c r="H755" s="10"/>
      <c r="J755" s="198"/>
    </row>
    <row r="756" spans="1:10" ht="15.75" customHeight="1" x14ac:dyDescent="0.25">
      <c r="A756" s="197"/>
      <c r="C756" s="12"/>
      <c r="D756" s="6"/>
      <c r="E756" s="168"/>
      <c r="G756" s="10"/>
      <c r="H756" s="10"/>
      <c r="J756" s="198"/>
    </row>
    <row r="757" spans="1:10" ht="15.75" customHeight="1" x14ac:dyDescent="0.25">
      <c r="A757" s="197"/>
      <c r="C757" s="12"/>
      <c r="D757" s="6"/>
      <c r="E757" s="168"/>
      <c r="G757" s="10"/>
      <c r="H757" s="10"/>
      <c r="J757" s="198"/>
    </row>
    <row r="758" spans="1:10" ht="15.75" customHeight="1" x14ac:dyDescent="0.25">
      <c r="A758" s="197"/>
      <c r="C758" s="12"/>
      <c r="D758" s="6"/>
      <c r="E758" s="168"/>
      <c r="G758" s="10"/>
      <c r="H758" s="10"/>
      <c r="J758" s="198"/>
    </row>
    <row r="759" spans="1:10" ht="15.75" customHeight="1" x14ac:dyDescent="0.25">
      <c r="A759" s="197"/>
      <c r="C759" s="12"/>
      <c r="D759" s="6"/>
      <c r="E759" s="168"/>
      <c r="G759" s="10"/>
      <c r="H759" s="10"/>
      <c r="J759" s="198"/>
    </row>
    <row r="760" spans="1:10" ht="15.75" customHeight="1" x14ac:dyDescent="0.25">
      <c r="A760" s="197"/>
      <c r="C760" s="12"/>
      <c r="D760" s="6"/>
      <c r="E760" s="168"/>
      <c r="G760" s="10"/>
      <c r="H760" s="10"/>
      <c r="J760" s="198"/>
    </row>
    <row r="761" spans="1:10" ht="15.75" customHeight="1" x14ac:dyDescent="0.25">
      <c r="A761" s="197"/>
      <c r="C761" s="12"/>
      <c r="D761" s="6"/>
      <c r="E761" s="168"/>
      <c r="G761" s="10"/>
      <c r="H761" s="10"/>
      <c r="J761" s="198"/>
    </row>
    <row r="762" spans="1:10" ht="15.75" customHeight="1" x14ac:dyDescent="0.25">
      <c r="A762" s="197"/>
      <c r="C762" s="12"/>
      <c r="D762" s="6"/>
      <c r="E762" s="168"/>
      <c r="G762" s="10"/>
      <c r="H762" s="10"/>
      <c r="J762" s="198"/>
    </row>
    <row r="763" spans="1:10" ht="15.75" customHeight="1" x14ac:dyDescent="0.25">
      <c r="A763" s="197"/>
      <c r="C763" s="12"/>
      <c r="D763" s="6"/>
      <c r="E763" s="168"/>
      <c r="G763" s="10"/>
      <c r="H763" s="10"/>
      <c r="J763" s="198"/>
    </row>
    <row r="764" spans="1:10" ht="15.75" customHeight="1" x14ac:dyDescent="0.25">
      <c r="A764" s="197"/>
      <c r="C764" s="12"/>
      <c r="D764" s="6"/>
      <c r="E764" s="168"/>
      <c r="G764" s="10"/>
      <c r="H764" s="10"/>
      <c r="J764" s="198"/>
    </row>
    <row r="765" spans="1:10" ht="15.75" customHeight="1" x14ac:dyDescent="0.25">
      <c r="A765" s="197"/>
      <c r="C765" s="12"/>
      <c r="D765" s="6"/>
      <c r="E765" s="168"/>
      <c r="G765" s="10"/>
      <c r="H765" s="10"/>
      <c r="J765" s="198"/>
    </row>
    <row r="766" spans="1:10" ht="15.75" customHeight="1" x14ac:dyDescent="0.25">
      <c r="A766" s="197"/>
      <c r="C766" s="12"/>
      <c r="D766" s="6"/>
      <c r="E766" s="168"/>
      <c r="G766" s="10"/>
      <c r="H766" s="10"/>
      <c r="J766" s="198"/>
    </row>
    <row r="767" spans="1:10" ht="15.75" customHeight="1" x14ac:dyDescent="0.25">
      <c r="A767" s="197"/>
      <c r="C767" s="12"/>
      <c r="D767" s="6"/>
      <c r="E767" s="168"/>
      <c r="G767" s="10"/>
      <c r="H767" s="10"/>
      <c r="J767" s="198"/>
    </row>
    <row r="768" spans="1:10" ht="15.75" customHeight="1" x14ac:dyDescent="0.25">
      <c r="A768" s="197"/>
      <c r="C768" s="12"/>
      <c r="D768" s="6"/>
      <c r="E768" s="168"/>
      <c r="G768" s="10"/>
      <c r="H768" s="10"/>
      <c r="J768" s="198"/>
    </row>
    <row r="769" spans="1:10" ht="15.75" customHeight="1" x14ac:dyDescent="0.25">
      <c r="A769" s="197"/>
      <c r="C769" s="12"/>
      <c r="D769" s="6"/>
      <c r="E769" s="168"/>
      <c r="G769" s="10"/>
      <c r="H769" s="10"/>
      <c r="J769" s="198"/>
    </row>
    <row r="770" spans="1:10" ht="15.75" customHeight="1" x14ac:dyDescent="0.25">
      <c r="A770" s="197"/>
      <c r="C770" s="12"/>
      <c r="D770" s="6"/>
      <c r="E770" s="168"/>
      <c r="G770" s="10"/>
      <c r="H770" s="10"/>
      <c r="J770" s="198"/>
    </row>
    <row r="771" spans="1:10" ht="15.75" customHeight="1" x14ac:dyDescent="0.25">
      <c r="A771" s="197"/>
      <c r="C771" s="12"/>
      <c r="D771" s="6"/>
      <c r="E771" s="168"/>
      <c r="G771" s="10"/>
      <c r="H771" s="10"/>
      <c r="J771" s="198"/>
    </row>
    <row r="772" spans="1:10" ht="15.75" customHeight="1" x14ac:dyDescent="0.25">
      <c r="A772" s="197"/>
      <c r="C772" s="12"/>
      <c r="D772" s="6"/>
      <c r="E772" s="168"/>
      <c r="G772" s="10"/>
      <c r="H772" s="10"/>
      <c r="J772" s="198"/>
    </row>
    <row r="773" spans="1:10" ht="15.75" customHeight="1" x14ac:dyDescent="0.25">
      <c r="A773" s="197"/>
      <c r="C773" s="12"/>
      <c r="D773" s="6"/>
      <c r="E773" s="168"/>
      <c r="G773" s="10"/>
      <c r="H773" s="10"/>
      <c r="J773" s="198"/>
    </row>
    <row r="774" spans="1:10" ht="15.75" customHeight="1" x14ac:dyDescent="0.25">
      <c r="A774" s="197"/>
      <c r="C774" s="12"/>
      <c r="D774" s="6"/>
      <c r="E774" s="168"/>
      <c r="G774" s="10"/>
      <c r="H774" s="10"/>
      <c r="J774" s="198"/>
    </row>
    <row r="775" spans="1:10" ht="15.75" customHeight="1" x14ac:dyDescent="0.25">
      <c r="A775" s="197"/>
      <c r="C775" s="12"/>
      <c r="D775" s="6"/>
      <c r="E775" s="168"/>
      <c r="G775" s="10"/>
      <c r="H775" s="10"/>
      <c r="J775" s="198"/>
    </row>
    <row r="776" spans="1:10" ht="15.75" customHeight="1" x14ac:dyDescent="0.25">
      <c r="A776" s="197"/>
      <c r="C776" s="12"/>
      <c r="D776" s="6"/>
      <c r="E776" s="168"/>
      <c r="G776" s="10"/>
      <c r="H776" s="10"/>
      <c r="J776" s="198"/>
    </row>
    <row r="777" spans="1:10" ht="15.75" customHeight="1" x14ac:dyDescent="0.25">
      <c r="A777" s="197"/>
      <c r="C777" s="12"/>
      <c r="D777" s="6"/>
      <c r="E777" s="168"/>
      <c r="G777" s="10"/>
      <c r="H777" s="10"/>
      <c r="J777" s="198"/>
    </row>
    <row r="778" spans="1:10" ht="15.75" customHeight="1" x14ac:dyDescent="0.25">
      <c r="A778" s="197"/>
      <c r="C778" s="12"/>
      <c r="D778" s="6"/>
      <c r="E778" s="168"/>
      <c r="G778" s="10"/>
      <c r="H778" s="10"/>
      <c r="J778" s="198"/>
    </row>
    <row r="779" spans="1:10" ht="15.75" customHeight="1" x14ac:dyDescent="0.25">
      <c r="A779" s="197"/>
      <c r="C779" s="12"/>
      <c r="D779" s="6"/>
      <c r="E779" s="168"/>
      <c r="G779" s="10"/>
      <c r="H779" s="10"/>
      <c r="J779" s="198"/>
    </row>
    <row r="780" spans="1:10" ht="15.75" customHeight="1" x14ac:dyDescent="0.25">
      <c r="A780" s="197"/>
      <c r="C780" s="12"/>
      <c r="D780" s="6"/>
      <c r="E780" s="168"/>
      <c r="G780" s="10"/>
      <c r="H780" s="10"/>
      <c r="J780" s="198"/>
    </row>
    <row r="781" spans="1:10" ht="15.75" customHeight="1" x14ac:dyDescent="0.25">
      <c r="A781" s="197"/>
      <c r="C781" s="12"/>
      <c r="D781" s="6"/>
      <c r="E781" s="168"/>
      <c r="G781" s="10"/>
      <c r="H781" s="10"/>
      <c r="J781" s="198"/>
    </row>
    <row r="782" spans="1:10" ht="15.75" customHeight="1" x14ac:dyDescent="0.25">
      <c r="A782" s="197"/>
      <c r="C782" s="12"/>
      <c r="D782" s="6"/>
      <c r="E782" s="168"/>
      <c r="G782" s="10"/>
      <c r="H782" s="10"/>
      <c r="J782" s="198"/>
    </row>
    <row r="783" spans="1:10" ht="15.75" customHeight="1" x14ac:dyDescent="0.25">
      <c r="A783" s="197"/>
      <c r="C783" s="12"/>
      <c r="D783" s="6"/>
      <c r="E783" s="168"/>
      <c r="G783" s="10"/>
      <c r="H783" s="10"/>
      <c r="J783" s="198"/>
    </row>
    <row r="784" spans="1:10" ht="15.75" customHeight="1" x14ac:dyDescent="0.25">
      <c r="A784" s="197"/>
      <c r="C784" s="12"/>
      <c r="D784" s="6"/>
      <c r="E784" s="168"/>
      <c r="G784" s="10"/>
      <c r="H784" s="10"/>
      <c r="J784" s="198"/>
    </row>
    <row r="785" spans="1:10" ht="15.75" customHeight="1" x14ac:dyDescent="0.25">
      <c r="A785" s="197"/>
      <c r="C785" s="12"/>
      <c r="D785" s="6"/>
      <c r="E785" s="168"/>
      <c r="G785" s="10"/>
      <c r="H785" s="10"/>
      <c r="J785" s="198"/>
    </row>
    <row r="786" spans="1:10" ht="15.75" customHeight="1" x14ac:dyDescent="0.25">
      <c r="A786" s="197"/>
      <c r="C786" s="12"/>
      <c r="D786" s="6"/>
      <c r="E786" s="168"/>
      <c r="G786" s="10"/>
      <c r="H786" s="10"/>
      <c r="J786" s="198"/>
    </row>
    <row r="787" spans="1:10" ht="15.75" customHeight="1" x14ac:dyDescent="0.25">
      <c r="A787" s="197"/>
      <c r="C787" s="12"/>
      <c r="D787" s="6"/>
      <c r="E787" s="168"/>
      <c r="G787" s="10"/>
      <c r="H787" s="10"/>
      <c r="J787" s="198"/>
    </row>
    <row r="788" spans="1:10" ht="15.75" customHeight="1" x14ac:dyDescent="0.25">
      <c r="A788" s="197"/>
      <c r="C788" s="12"/>
      <c r="D788" s="6"/>
      <c r="E788" s="168"/>
      <c r="G788" s="10"/>
      <c r="H788" s="10"/>
      <c r="J788" s="198"/>
    </row>
    <row r="789" spans="1:10" ht="15.75" customHeight="1" x14ac:dyDescent="0.25">
      <c r="A789" s="197"/>
      <c r="C789" s="12"/>
      <c r="D789" s="6"/>
      <c r="E789" s="168"/>
      <c r="G789" s="10"/>
      <c r="H789" s="10"/>
      <c r="J789" s="198"/>
    </row>
    <row r="790" spans="1:10" ht="15.75" customHeight="1" x14ac:dyDescent="0.25">
      <c r="A790" s="197"/>
      <c r="C790" s="12"/>
      <c r="D790" s="6"/>
      <c r="E790" s="168"/>
      <c r="G790" s="10"/>
      <c r="H790" s="10"/>
      <c r="J790" s="198"/>
    </row>
    <row r="791" spans="1:10" ht="15.75" customHeight="1" x14ac:dyDescent="0.25">
      <c r="A791" s="197"/>
      <c r="C791" s="12"/>
      <c r="D791" s="6"/>
      <c r="E791" s="168"/>
      <c r="G791" s="10"/>
      <c r="H791" s="10"/>
      <c r="J791" s="198"/>
    </row>
    <row r="792" spans="1:10" ht="15.75" customHeight="1" x14ac:dyDescent="0.25">
      <c r="A792" s="197"/>
      <c r="C792" s="12"/>
      <c r="D792" s="6"/>
      <c r="E792" s="168"/>
      <c r="G792" s="10"/>
      <c r="H792" s="10"/>
      <c r="J792" s="198"/>
    </row>
    <row r="793" spans="1:10" ht="15.75" customHeight="1" x14ac:dyDescent="0.25">
      <c r="A793" s="197"/>
      <c r="C793" s="12"/>
      <c r="D793" s="6"/>
      <c r="E793" s="168"/>
      <c r="G793" s="10"/>
      <c r="H793" s="10"/>
      <c r="J793" s="198"/>
    </row>
    <row r="794" spans="1:10" ht="15.75" customHeight="1" x14ac:dyDescent="0.25">
      <c r="A794" s="197"/>
      <c r="C794" s="12"/>
      <c r="D794" s="6"/>
      <c r="E794" s="168"/>
      <c r="G794" s="10"/>
      <c r="H794" s="10"/>
      <c r="J794" s="198"/>
    </row>
    <row r="795" spans="1:10" ht="15.75" customHeight="1" x14ac:dyDescent="0.25">
      <c r="A795" s="197"/>
      <c r="C795" s="12"/>
      <c r="D795" s="6"/>
      <c r="E795" s="168"/>
      <c r="G795" s="10"/>
      <c r="H795" s="10"/>
      <c r="J795" s="198"/>
    </row>
    <row r="796" spans="1:10" ht="15.75" customHeight="1" x14ac:dyDescent="0.25">
      <c r="A796" s="197"/>
      <c r="C796" s="12"/>
      <c r="D796" s="6"/>
      <c r="E796" s="168"/>
      <c r="G796" s="10"/>
      <c r="H796" s="10"/>
      <c r="J796" s="198"/>
    </row>
    <row r="797" spans="1:10" ht="15.75" customHeight="1" x14ac:dyDescent="0.25">
      <c r="A797" s="197"/>
      <c r="C797" s="12"/>
      <c r="D797" s="6"/>
      <c r="E797" s="168"/>
      <c r="G797" s="10"/>
      <c r="H797" s="10"/>
      <c r="J797" s="198"/>
    </row>
    <row r="798" spans="1:10" ht="15.75" customHeight="1" x14ac:dyDescent="0.25">
      <c r="A798" s="197"/>
      <c r="C798" s="12"/>
      <c r="D798" s="6"/>
      <c r="E798" s="168"/>
      <c r="G798" s="10"/>
      <c r="H798" s="10"/>
      <c r="J798" s="198"/>
    </row>
    <row r="799" spans="1:10" ht="15.75" customHeight="1" x14ac:dyDescent="0.25">
      <c r="A799" s="197"/>
      <c r="C799" s="12"/>
      <c r="D799" s="6"/>
      <c r="E799" s="168"/>
      <c r="G799" s="10"/>
      <c r="H799" s="10"/>
      <c r="J799" s="198"/>
    </row>
    <row r="800" spans="1:10" ht="15.75" customHeight="1" x14ac:dyDescent="0.25">
      <c r="A800" s="197"/>
      <c r="C800" s="12"/>
      <c r="D800" s="6"/>
      <c r="E800" s="168"/>
      <c r="G800" s="10"/>
      <c r="H800" s="10"/>
      <c r="J800" s="198"/>
    </row>
    <row r="801" spans="1:10" ht="15.75" customHeight="1" x14ac:dyDescent="0.25">
      <c r="A801" s="197"/>
      <c r="C801" s="12"/>
      <c r="D801" s="6"/>
      <c r="E801" s="168"/>
      <c r="G801" s="10"/>
      <c r="H801" s="10"/>
      <c r="J801" s="198"/>
    </row>
    <row r="802" spans="1:10" ht="15.75" customHeight="1" x14ac:dyDescent="0.25">
      <c r="A802" s="197"/>
      <c r="C802" s="12"/>
      <c r="D802" s="6"/>
      <c r="E802" s="168"/>
      <c r="G802" s="10"/>
      <c r="H802" s="10"/>
      <c r="J802" s="198"/>
    </row>
    <row r="803" spans="1:10" ht="15.75" customHeight="1" x14ac:dyDescent="0.25">
      <c r="A803" s="197"/>
      <c r="C803" s="12"/>
      <c r="D803" s="6"/>
      <c r="E803" s="168"/>
      <c r="G803" s="10"/>
      <c r="H803" s="10"/>
      <c r="J803" s="198"/>
    </row>
    <row r="804" spans="1:10" ht="15.75" customHeight="1" x14ac:dyDescent="0.25">
      <c r="A804" s="197"/>
      <c r="C804" s="12"/>
      <c r="D804" s="6"/>
      <c r="E804" s="168"/>
      <c r="G804" s="10"/>
      <c r="H804" s="10"/>
      <c r="J804" s="198"/>
    </row>
    <row r="805" spans="1:10" ht="15.75" customHeight="1" x14ac:dyDescent="0.25">
      <c r="A805" s="197"/>
      <c r="C805" s="12"/>
      <c r="D805" s="6"/>
      <c r="E805" s="168"/>
      <c r="G805" s="10"/>
      <c r="H805" s="10"/>
      <c r="J805" s="198"/>
    </row>
    <row r="806" spans="1:10" ht="15.75" customHeight="1" x14ac:dyDescent="0.25">
      <c r="A806" s="197"/>
      <c r="C806" s="12"/>
      <c r="D806" s="6"/>
      <c r="E806" s="168"/>
      <c r="G806" s="10"/>
      <c r="H806" s="10"/>
      <c r="J806" s="198"/>
    </row>
    <row r="807" spans="1:10" ht="15.75" customHeight="1" x14ac:dyDescent="0.25">
      <c r="A807" s="197"/>
      <c r="C807" s="12"/>
      <c r="D807" s="6"/>
      <c r="E807" s="168"/>
      <c r="G807" s="10"/>
      <c r="H807" s="10"/>
      <c r="J807" s="198"/>
    </row>
    <row r="808" spans="1:10" ht="15.75" customHeight="1" x14ac:dyDescent="0.25">
      <c r="A808" s="197"/>
      <c r="C808" s="12"/>
      <c r="D808" s="6"/>
      <c r="E808" s="168"/>
      <c r="G808" s="10"/>
      <c r="H808" s="10"/>
      <c r="J808" s="198"/>
    </row>
    <row r="809" spans="1:10" ht="15.75" customHeight="1" x14ac:dyDescent="0.25">
      <c r="A809" s="197"/>
      <c r="C809" s="12"/>
      <c r="D809" s="6"/>
      <c r="E809" s="168"/>
      <c r="G809" s="10"/>
      <c r="H809" s="10"/>
      <c r="J809" s="198"/>
    </row>
    <row r="810" spans="1:10" ht="15.75" customHeight="1" x14ac:dyDescent="0.25">
      <c r="A810" s="197"/>
      <c r="C810" s="12"/>
      <c r="D810" s="6"/>
      <c r="E810" s="168"/>
      <c r="G810" s="10"/>
      <c r="H810" s="10"/>
      <c r="J810" s="198"/>
    </row>
    <row r="811" spans="1:10" ht="15.75" customHeight="1" x14ac:dyDescent="0.25">
      <c r="A811" s="197"/>
      <c r="C811" s="12"/>
      <c r="D811" s="6"/>
      <c r="E811" s="168"/>
      <c r="G811" s="10"/>
      <c r="H811" s="10"/>
      <c r="J811" s="198"/>
    </row>
    <row r="812" spans="1:10" ht="15.75" customHeight="1" x14ac:dyDescent="0.25">
      <c r="A812" s="197"/>
      <c r="C812" s="12"/>
      <c r="D812" s="6"/>
      <c r="E812" s="168"/>
      <c r="G812" s="10"/>
      <c r="H812" s="10"/>
      <c r="J812" s="198"/>
    </row>
    <row r="813" spans="1:10" ht="15.75" customHeight="1" x14ac:dyDescent="0.25">
      <c r="A813" s="197"/>
      <c r="C813" s="12"/>
      <c r="D813" s="6"/>
      <c r="E813" s="168"/>
      <c r="G813" s="10"/>
      <c r="H813" s="10"/>
      <c r="J813" s="198"/>
    </row>
    <row r="814" spans="1:10" ht="15.75" customHeight="1" x14ac:dyDescent="0.25">
      <c r="A814" s="197"/>
      <c r="C814" s="12"/>
      <c r="D814" s="6"/>
      <c r="E814" s="168"/>
      <c r="G814" s="10"/>
      <c r="H814" s="10"/>
      <c r="J814" s="198"/>
    </row>
    <row r="815" spans="1:10" ht="15.75" customHeight="1" x14ac:dyDescent="0.25">
      <c r="A815" s="197"/>
      <c r="C815" s="12"/>
      <c r="D815" s="6"/>
      <c r="E815" s="168"/>
      <c r="G815" s="10"/>
      <c r="H815" s="10"/>
      <c r="J815" s="198"/>
    </row>
    <row r="816" spans="1:10" ht="15.75" customHeight="1" x14ac:dyDescent="0.25">
      <c r="A816" s="197"/>
      <c r="C816" s="12"/>
      <c r="D816" s="6"/>
      <c r="E816" s="168"/>
      <c r="G816" s="10"/>
      <c r="H816" s="10"/>
      <c r="J816" s="198"/>
    </row>
    <row r="817" spans="1:10" ht="15.75" customHeight="1" x14ac:dyDescent="0.25">
      <c r="A817" s="197"/>
      <c r="C817" s="12"/>
      <c r="D817" s="6"/>
      <c r="E817" s="168"/>
      <c r="G817" s="10"/>
      <c r="H817" s="10"/>
      <c r="J817" s="198"/>
    </row>
    <row r="818" spans="1:10" ht="15.75" customHeight="1" x14ac:dyDescent="0.25">
      <c r="A818" s="197"/>
      <c r="C818" s="12"/>
      <c r="D818" s="6"/>
      <c r="E818" s="168"/>
      <c r="G818" s="10"/>
      <c r="H818" s="10"/>
      <c r="J818" s="198"/>
    </row>
    <row r="819" spans="1:10" ht="15.75" customHeight="1" x14ac:dyDescent="0.25">
      <c r="A819" s="197"/>
      <c r="C819" s="12"/>
      <c r="D819" s="6"/>
      <c r="E819" s="168"/>
      <c r="G819" s="10"/>
      <c r="H819" s="10"/>
      <c r="J819" s="198"/>
    </row>
    <row r="820" spans="1:10" ht="15.75" customHeight="1" x14ac:dyDescent="0.25">
      <c r="A820" s="197"/>
      <c r="C820" s="12"/>
      <c r="D820" s="6"/>
      <c r="E820" s="168"/>
      <c r="G820" s="10"/>
      <c r="H820" s="10"/>
      <c r="J820" s="198"/>
    </row>
    <row r="821" spans="1:10" ht="15.75" customHeight="1" x14ac:dyDescent="0.25">
      <c r="A821" s="197"/>
      <c r="C821" s="12"/>
      <c r="D821" s="6"/>
      <c r="E821" s="168"/>
      <c r="G821" s="10"/>
      <c r="H821" s="10"/>
      <c r="J821" s="198"/>
    </row>
    <row r="822" spans="1:10" ht="15.75" customHeight="1" x14ac:dyDescent="0.25">
      <c r="A822" s="197"/>
      <c r="C822" s="12"/>
      <c r="D822" s="6"/>
      <c r="E822" s="168"/>
      <c r="G822" s="10"/>
      <c r="H822" s="10"/>
      <c r="J822" s="198"/>
    </row>
    <row r="823" spans="1:10" ht="15.75" customHeight="1" x14ac:dyDescent="0.25">
      <c r="A823" s="197"/>
      <c r="C823" s="12"/>
      <c r="D823" s="6"/>
      <c r="E823" s="168"/>
      <c r="G823" s="10"/>
      <c r="H823" s="10"/>
      <c r="J823" s="198"/>
    </row>
    <row r="824" spans="1:10" ht="15.75" customHeight="1" x14ac:dyDescent="0.25">
      <c r="A824" s="197"/>
      <c r="C824" s="12"/>
      <c r="D824" s="6"/>
      <c r="E824" s="168"/>
      <c r="G824" s="10"/>
      <c r="H824" s="10"/>
      <c r="J824" s="198"/>
    </row>
    <row r="825" spans="1:10" ht="15.75" customHeight="1" x14ac:dyDescent="0.25">
      <c r="A825" s="197"/>
      <c r="C825" s="12"/>
      <c r="D825" s="6"/>
      <c r="E825" s="168"/>
      <c r="G825" s="10"/>
      <c r="H825" s="10"/>
      <c r="J825" s="198"/>
    </row>
    <row r="826" spans="1:10" ht="15.75" customHeight="1" x14ac:dyDescent="0.25">
      <c r="A826" s="197"/>
      <c r="C826" s="12"/>
      <c r="D826" s="6"/>
      <c r="E826" s="168"/>
      <c r="G826" s="10"/>
      <c r="H826" s="10"/>
      <c r="J826" s="198"/>
    </row>
    <row r="827" spans="1:10" ht="15.75" customHeight="1" x14ac:dyDescent="0.25">
      <c r="A827" s="197"/>
      <c r="C827" s="12"/>
      <c r="D827" s="6"/>
      <c r="E827" s="168"/>
      <c r="G827" s="10"/>
      <c r="H827" s="10"/>
      <c r="J827" s="198"/>
    </row>
    <row r="828" spans="1:10" ht="15.75" customHeight="1" x14ac:dyDescent="0.25">
      <c r="A828" s="197"/>
      <c r="C828" s="12"/>
      <c r="D828" s="6"/>
      <c r="E828" s="168"/>
      <c r="G828" s="10"/>
      <c r="H828" s="10"/>
      <c r="J828" s="198"/>
    </row>
    <row r="829" spans="1:10" ht="15.75" customHeight="1" x14ac:dyDescent="0.25">
      <c r="A829" s="197"/>
      <c r="C829" s="12"/>
      <c r="D829" s="6"/>
      <c r="E829" s="168"/>
      <c r="G829" s="10"/>
      <c r="H829" s="10"/>
      <c r="J829" s="198"/>
    </row>
    <row r="830" spans="1:10" ht="15.75" customHeight="1" x14ac:dyDescent="0.25">
      <c r="A830" s="197"/>
      <c r="C830" s="12"/>
      <c r="D830" s="6"/>
      <c r="E830" s="168"/>
      <c r="G830" s="10"/>
      <c r="H830" s="10"/>
      <c r="J830" s="198"/>
    </row>
    <row r="831" spans="1:10" ht="15.75" customHeight="1" x14ac:dyDescent="0.25">
      <c r="A831" s="197"/>
      <c r="C831" s="12"/>
      <c r="D831" s="6"/>
      <c r="E831" s="168"/>
      <c r="G831" s="10"/>
      <c r="H831" s="10"/>
      <c r="J831" s="198"/>
    </row>
    <row r="832" spans="1:10" ht="15.75" customHeight="1" x14ac:dyDescent="0.25">
      <c r="A832" s="197"/>
      <c r="C832" s="12"/>
      <c r="D832" s="6"/>
      <c r="E832" s="168"/>
      <c r="G832" s="10"/>
      <c r="H832" s="10"/>
      <c r="J832" s="198"/>
    </row>
    <row r="833" spans="1:10" ht="15.75" customHeight="1" x14ac:dyDescent="0.25">
      <c r="A833" s="197"/>
      <c r="C833" s="12"/>
      <c r="D833" s="6"/>
      <c r="E833" s="168"/>
      <c r="G833" s="10"/>
      <c r="H833" s="10"/>
      <c r="J833" s="198"/>
    </row>
    <row r="834" spans="1:10" ht="15.75" customHeight="1" x14ac:dyDescent="0.25">
      <c r="A834" s="197"/>
      <c r="C834" s="12"/>
      <c r="D834" s="6"/>
      <c r="E834" s="168"/>
      <c r="G834" s="10"/>
      <c r="H834" s="10"/>
      <c r="J834" s="198"/>
    </row>
    <row r="835" spans="1:10" ht="15.75" customHeight="1" x14ac:dyDescent="0.25">
      <c r="A835" s="197"/>
      <c r="C835" s="12"/>
      <c r="D835" s="6"/>
      <c r="E835" s="168"/>
      <c r="G835" s="10"/>
      <c r="H835" s="10"/>
      <c r="J835" s="198"/>
    </row>
    <row r="836" spans="1:10" ht="15.75" customHeight="1" x14ac:dyDescent="0.25">
      <c r="A836" s="197"/>
      <c r="C836" s="12"/>
      <c r="D836" s="6"/>
      <c r="E836" s="168"/>
      <c r="G836" s="10"/>
      <c r="H836" s="10"/>
      <c r="J836" s="198"/>
    </row>
    <row r="837" spans="1:10" ht="15.75" customHeight="1" x14ac:dyDescent="0.25">
      <c r="A837" s="197"/>
      <c r="C837" s="12"/>
      <c r="D837" s="6"/>
      <c r="E837" s="168"/>
      <c r="G837" s="10"/>
      <c r="H837" s="10"/>
      <c r="J837" s="198"/>
    </row>
    <row r="838" spans="1:10" ht="15.75" customHeight="1" x14ac:dyDescent="0.25">
      <c r="A838" s="197"/>
      <c r="C838" s="12"/>
      <c r="D838" s="6"/>
      <c r="E838" s="168"/>
      <c r="G838" s="10"/>
      <c r="H838" s="10"/>
      <c r="J838" s="198"/>
    </row>
    <row r="839" spans="1:10" ht="15.75" customHeight="1" x14ac:dyDescent="0.25">
      <c r="A839" s="197"/>
      <c r="C839" s="12"/>
      <c r="D839" s="6"/>
      <c r="E839" s="168"/>
      <c r="G839" s="10"/>
      <c r="H839" s="10"/>
      <c r="J839" s="198"/>
    </row>
    <row r="840" spans="1:10" ht="15.75" customHeight="1" x14ac:dyDescent="0.25">
      <c r="A840" s="197"/>
      <c r="C840" s="12"/>
      <c r="D840" s="6"/>
      <c r="E840" s="168"/>
      <c r="G840" s="10"/>
      <c r="H840" s="10"/>
      <c r="J840" s="198"/>
    </row>
    <row r="841" spans="1:10" ht="15.75" customHeight="1" x14ac:dyDescent="0.25">
      <c r="A841" s="197"/>
      <c r="C841" s="12"/>
      <c r="D841" s="6"/>
      <c r="E841" s="168"/>
      <c r="G841" s="10"/>
      <c r="H841" s="10"/>
      <c r="J841" s="198"/>
    </row>
    <row r="842" spans="1:10" ht="15.75" customHeight="1" x14ac:dyDescent="0.25">
      <c r="A842" s="197"/>
      <c r="C842" s="12"/>
      <c r="D842" s="6"/>
      <c r="E842" s="168"/>
      <c r="G842" s="10"/>
      <c r="H842" s="10"/>
      <c r="J842" s="198"/>
    </row>
    <row r="843" spans="1:10" ht="15.75" customHeight="1" x14ac:dyDescent="0.25">
      <c r="A843" s="197"/>
      <c r="C843" s="12"/>
      <c r="D843" s="6"/>
      <c r="E843" s="168"/>
      <c r="G843" s="10"/>
      <c r="H843" s="10"/>
      <c r="J843" s="198"/>
    </row>
    <row r="844" spans="1:10" ht="15.75" customHeight="1" x14ac:dyDescent="0.25">
      <c r="A844" s="197"/>
      <c r="C844" s="12"/>
      <c r="D844" s="6"/>
      <c r="E844" s="168"/>
      <c r="G844" s="10"/>
      <c r="H844" s="10"/>
      <c r="J844" s="198"/>
    </row>
    <row r="845" spans="1:10" ht="15.75" customHeight="1" x14ac:dyDescent="0.25">
      <c r="A845" s="197"/>
      <c r="C845" s="12"/>
      <c r="D845" s="6"/>
      <c r="E845" s="168"/>
      <c r="G845" s="10"/>
      <c r="H845" s="10"/>
      <c r="J845" s="198"/>
    </row>
    <row r="846" spans="1:10" ht="15.75" customHeight="1" x14ac:dyDescent="0.25">
      <c r="A846" s="197"/>
      <c r="C846" s="12"/>
      <c r="D846" s="6"/>
      <c r="E846" s="168"/>
      <c r="G846" s="10"/>
      <c r="H846" s="10"/>
      <c r="J846" s="198"/>
    </row>
    <row r="847" spans="1:10" ht="15.75" customHeight="1" x14ac:dyDescent="0.25">
      <c r="A847" s="197"/>
      <c r="C847" s="12"/>
      <c r="D847" s="6"/>
      <c r="E847" s="168"/>
      <c r="G847" s="10"/>
      <c r="H847" s="10"/>
      <c r="J847" s="198"/>
    </row>
    <row r="848" spans="1:10" ht="15.75" customHeight="1" x14ac:dyDescent="0.25">
      <c r="A848" s="197"/>
      <c r="C848" s="12"/>
      <c r="D848" s="6"/>
      <c r="E848" s="168"/>
      <c r="G848" s="10"/>
      <c r="H848" s="10"/>
      <c r="J848" s="198"/>
    </row>
    <row r="849" spans="1:10" ht="15.75" customHeight="1" x14ac:dyDescent="0.25">
      <c r="A849" s="197"/>
      <c r="C849" s="12"/>
      <c r="D849" s="6"/>
      <c r="E849" s="168"/>
      <c r="G849" s="10"/>
      <c r="H849" s="10"/>
      <c r="J849" s="198"/>
    </row>
    <row r="850" spans="1:10" ht="15.75" customHeight="1" x14ac:dyDescent="0.25">
      <c r="A850" s="197"/>
      <c r="C850" s="12"/>
      <c r="D850" s="6"/>
      <c r="E850" s="168"/>
      <c r="G850" s="10"/>
      <c r="H850" s="10"/>
      <c r="J850" s="198"/>
    </row>
    <row r="851" spans="1:10" ht="15.75" customHeight="1" x14ac:dyDescent="0.25">
      <c r="A851" s="197"/>
      <c r="C851" s="12"/>
      <c r="D851" s="6"/>
      <c r="E851" s="168"/>
      <c r="G851" s="10"/>
      <c r="H851" s="10"/>
      <c r="J851" s="198"/>
    </row>
    <row r="852" spans="1:10" ht="15.75" customHeight="1" x14ac:dyDescent="0.25">
      <c r="A852" s="197"/>
      <c r="C852" s="12"/>
      <c r="D852" s="6"/>
      <c r="E852" s="168"/>
      <c r="G852" s="10"/>
      <c r="H852" s="10"/>
      <c r="J852" s="198"/>
    </row>
    <row r="853" spans="1:10" ht="15.75" customHeight="1" x14ac:dyDescent="0.25">
      <c r="A853" s="197"/>
      <c r="C853" s="12"/>
      <c r="D853" s="6"/>
      <c r="E853" s="168"/>
      <c r="G853" s="10"/>
      <c r="H853" s="10"/>
      <c r="J853" s="198"/>
    </row>
    <row r="854" spans="1:10" ht="15.75" customHeight="1" x14ac:dyDescent="0.25">
      <c r="A854" s="197"/>
      <c r="C854" s="12"/>
      <c r="D854" s="6"/>
      <c r="E854" s="168"/>
      <c r="G854" s="10"/>
      <c r="H854" s="10"/>
      <c r="J854" s="198"/>
    </row>
    <row r="855" spans="1:10" ht="15.75" customHeight="1" x14ac:dyDescent="0.25">
      <c r="A855" s="197"/>
      <c r="C855" s="12"/>
      <c r="D855" s="6"/>
      <c r="E855" s="168"/>
      <c r="G855" s="10"/>
      <c r="H855" s="10"/>
      <c r="J855" s="198"/>
    </row>
    <row r="856" spans="1:10" ht="15.75" customHeight="1" x14ac:dyDescent="0.25">
      <c r="A856" s="197"/>
      <c r="C856" s="12"/>
      <c r="D856" s="6"/>
      <c r="E856" s="168"/>
      <c r="G856" s="10"/>
      <c r="H856" s="10"/>
      <c r="J856" s="198"/>
    </row>
    <row r="857" spans="1:10" ht="15.75" customHeight="1" x14ac:dyDescent="0.25">
      <c r="A857" s="197"/>
      <c r="C857" s="12"/>
      <c r="D857" s="6"/>
      <c r="E857" s="168"/>
      <c r="G857" s="10"/>
      <c r="H857" s="10"/>
      <c r="J857" s="198"/>
    </row>
    <row r="858" spans="1:10" ht="15.75" customHeight="1" x14ac:dyDescent="0.25">
      <c r="A858" s="197"/>
      <c r="C858" s="12"/>
      <c r="D858" s="6"/>
      <c r="E858" s="168"/>
      <c r="G858" s="10"/>
      <c r="H858" s="10"/>
      <c r="J858" s="198"/>
    </row>
    <row r="859" spans="1:10" ht="15.75" customHeight="1" x14ac:dyDescent="0.25">
      <c r="A859" s="197"/>
      <c r="C859" s="12"/>
      <c r="D859" s="6"/>
      <c r="E859" s="168"/>
      <c r="G859" s="10"/>
      <c r="H859" s="10"/>
      <c r="J859" s="198"/>
    </row>
    <row r="860" spans="1:10" ht="15.75" customHeight="1" x14ac:dyDescent="0.25">
      <c r="A860" s="197"/>
      <c r="C860" s="12"/>
      <c r="D860" s="6"/>
      <c r="E860" s="168"/>
      <c r="G860" s="10"/>
      <c r="H860" s="10"/>
      <c r="J860" s="198"/>
    </row>
    <row r="861" spans="1:10" ht="15.75" customHeight="1" x14ac:dyDescent="0.25">
      <c r="A861" s="197"/>
      <c r="C861" s="12"/>
      <c r="D861" s="6"/>
      <c r="E861" s="168"/>
      <c r="G861" s="10"/>
      <c r="H861" s="10"/>
      <c r="J861" s="198"/>
    </row>
    <row r="862" spans="1:10" ht="15.75" customHeight="1" x14ac:dyDescent="0.25">
      <c r="A862" s="197"/>
      <c r="C862" s="12"/>
      <c r="D862" s="6"/>
      <c r="E862" s="168"/>
      <c r="G862" s="10"/>
      <c r="H862" s="10"/>
      <c r="J862" s="198"/>
    </row>
    <row r="863" spans="1:10" ht="15.75" customHeight="1" x14ac:dyDescent="0.25">
      <c r="A863" s="197"/>
      <c r="C863" s="12"/>
      <c r="D863" s="6"/>
      <c r="E863" s="168"/>
      <c r="G863" s="10"/>
      <c r="H863" s="10"/>
      <c r="J863" s="198"/>
    </row>
    <row r="864" spans="1:10" ht="15.75" customHeight="1" x14ac:dyDescent="0.25">
      <c r="A864" s="197"/>
      <c r="C864" s="12"/>
      <c r="D864" s="6"/>
      <c r="E864" s="168"/>
      <c r="G864" s="10"/>
      <c r="H864" s="10"/>
      <c r="J864" s="198"/>
    </row>
    <row r="865" spans="1:10" ht="15.75" customHeight="1" x14ac:dyDescent="0.25">
      <c r="A865" s="197"/>
      <c r="C865" s="12"/>
      <c r="D865" s="6"/>
      <c r="E865" s="168"/>
      <c r="G865" s="10"/>
      <c r="H865" s="10"/>
      <c r="J865" s="198"/>
    </row>
    <row r="866" spans="1:10" ht="15.75" customHeight="1" x14ac:dyDescent="0.25">
      <c r="A866" s="197"/>
      <c r="C866" s="12"/>
      <c r="D866" s="6"/>
      <c r="E866" s="168"/>
      <c r="G866" s="10"/>
      <c r="H866" s="10"/>
      <c r="J866" s="198"/>
    </row>
    <row r="867" spans="1:10" ht="15.75" customHeight="1" x14ac:dyDescent="0.25">
      <c r="A867" s="197"/>
      <c r="C867" s="12"/>
      <c r="D867" s="6"/>
      <c r="E867" s="168"/>
      <c r="G867" s="10"/>
      <c r="H867" s="10"/>
      <c r="J867" s="198"/>
    </row>
    <row r="868" spans="1:10" ht="15.75" customHeight="1" x14ac:dyDescent="0.25">
      <c r="A868" s="197"/>
      <c r="C868" s="12"/>
      <c r="D868" s="6"/>
      <c r="E868" s="168"/>
      <c r="G868" s="10"/>
      <c r="H868" s="10"/>
      <c r="J868" s="198"/>
    </row>
    <row r="869" spans="1:10" ht="15.75" customHeight="1" x14ac:dyDescent="0.25">
      <c r="A869" s="197"/>
      <c r="C869" s="12"/>
      <c r="D869" s="6"/>
      <c r="E869" s="168"/>
      <c r="G869" s="10"/>
      <c r="H869" s="10"/>
      <c r="J869" s="198"/>
    </row>
    <row r="870" spans="1:10" ht="15.75" customHeight="1" x14ac:dyDescent="0.25">
      <c r="A870" s="197"/>
      <c r="C870" s="12"/>
      <c r="D870" s="6"/>
      <c r="E870" s="168"/>
      <c r="G870" s="10"/>
      <c r="H870" s="10"/>
      <c r="J870" s="198"/>
    </row>
    <row r="871" spans="1:10" ht="15.75" customHeight="1" x14ac:dyDescent="0.25">
      <c r="A871" s="197"/>
      <c r="C871" s="12"/>
      <c r="D871" s="6"/>
      <c r="E871" s="168"/>
      <c r="G871" s="10"/>
      <c r="H871" s="10"/>
      <c r="J871" s="198"/>
    </row>
    <row r="872" spans="1:10" ht="15.75" customHeight="1" x14ac:dyDescent="0.25">
      <c r="A872" s="197"/>
      <c r="C872" s="12"/>
      <c r="D872" s="6"/>
      <c r="E872" s="168"/>
      <c r="G872" s="10"/>
      <c r="H872" s="10"/>
      <c r="J872" s="198"/>
    </row>
    <row r="873" spans="1:10" ht="15.75" customHeight="1" x14ac:dyDescent="0.25">
      <c r="A873" s="197"/>
      <c r="C873" s="12"/>
      <c r="D873" s="6"/>
      <c r="E873" s="168"/>
      <c r="G873" s="10"/>
      <c r="H873" s="10"/>
      <c r="J873" s="198"/>
    </row>
    <row r="874" spans="1:10" ht="15.75" customHeight="1" x14ac:dyDescent="0.25">
      <c r="A874" s="197"/>
      <c r="C874" s="12"/>
      <c r="D874" s="6"/>
      <c r="E874" s="168"/>
      <c r="G874" s="10"/>
      <c r="H874" s="10"/>
      <c r="J874" s="198"/>
    </row>
    <row r="875" spans="1:10" ht="15.75" customHeight="1" x14ac:dyDescent="0.25">
      <c r="A875" s="197"/>
      <c r="C875" s="12"/>
      <c r="D875" s="6"/>
      <c r="E875" s="168"/>
      <c r="G875" s="10"/>
      <c r="H875" s="10"/>
      <c r="J875" s="198"/>
    </row>
    <row r="876" spans="1:10" ht="15.75" customHeight="1" x14ac:dyDescent="0.25">
      <c r="A876" s="197"/>
      <c r="C876" s="12"/>
      <c r="D876" s="6"/>
      <c r="E876" s="168"/>
      <c r="G876" s="10"/>
      <c r="H876" s="10"/>
      <c r="J876" s="198"/>
    </row>
    <row r="877" spans="1:10" ht="15.75" customHeight="1" x14ac:dyDescent="0.25">
      <c r="A877" s="197"/>
      <c r="C877" s="12"/>
      <c r="D877" s="6"/>
      <c r="E877" s="168"/>
      <c r="G877" s="10"/>
      <c r="H877" s="10"/>
      <c r="J877" s="198"/>
    </row>
    <row r="878" spans="1:10" ht="15.75" customHeight="1" x14ac:dyDescent="0.25">
      <c r="A878" s="197"/>
      <c r="C878" s="12"/>
      <c r="D878" s="6"/>
      <c r="E878" s="168"/>
      <c r="G878" s="10"/>
      <c r="H878" s="10"/>
      <c r="J878" s="198"/>
    </row>
    <row r="879" spans="1:10" ht="15.75" customHeight="1" x14ac:dyDescent="0.25">
      <c r="A879" s="197"/>
      <c r="C879" s="12"/>
      <c r="D879" s="6"/>
      <c r="E879" s="168"/>
      <c r="G879" s="10"/>
      <c r="H879" s="10"/>
      <c r="J879" s="198"/>
    </row>
    <row r="880" spans="1:10" ht="15.75" customHeight="1" x14ac:dyDescent="0.25">
      <c r="A880" s="197"/>
      <c r="C880" s="12"/>
      <c r="D880" s="6"/>
      <c r="E880" s="168"/>
      <c r="G880" s="10"/>
      <c r="H880" s="10"/>
      <c r="J880" s="198"/>
    </row>
    <row r="881" spans="1:10" ht="15.75" customHeight="1" x14ac:dyDescent="0.25">
      <c r="A881" s="197"/>
      <c r="C881" s="12"/>
      <c r="D881" s="6"/>
      <c r="E881" s="168"/>
      <c r="G881" s="10"/>
      <c r="H881" s="10"/>
      <c r="J881" s="198"/>
    </row>
    <row r="882" spans="1:10" ht="15.75" customHeight="1" x14ac:dyDescent="0.25">
      <c r="A882" s="197"/>
      <c r="C882" s="12"/>
      <c r="D882" s="6"/>
      <c r="E882" s="168"/>
      <c r="G882" s="10"/>
      <c r="H882" s="10"/>
      <c r="J882" s="198"/>
    </row>
    <row r="883" spans="1:10" ht="15.75" customHeight="1" x14ac:dyDescent="0.25">
      <c r="A883" s="197"/>
      <c r="C883" s="12"/>
      <c r="D883" s="6"/>
      <c r="E883" s="168"/>
      <c r="G883" s="10"/>
      <c r="H883" s="10"/>
      <c r="J883" s="198"/>
    </row>
    <row r="884" spans="1:10" ht="15.75" customHeight="1" x14ac:dyDescent="0.25">
      <c r="A884" s="197"/>
      <c r="C884" s="12"/>
      <c r="D884" s="6"/>
      <c r="E884" s="168"/>
      <c r="G884" s="10"/>
      <c r="H884" s="10"/>
      <c r="J884" s="198"/>
    </row>
    <row r="885" spans="1:10" ht="15.75" customHeight="1" x14ac:dyDescent="0.25">
      <c r="A885" s="197"/>
      <c r="C885" s="12"/>
      <c r="D885" s="6"/>
      <c r="E885" s="168"/>
      <c r="G885" s="10"/>
      <c r="H885" s="10"/>
      <c r="J885" s="198"/>
    </row>
    <row r="886" spans="1:10" ht="15.75" customHeight="1" x14ac:dyDescent="0.25">
      <c r="A886" s="197"/>
      <c r="C886" s="12"/>
      <c r="D886" s="6"/>
      <c r="E886" s="168"/>
      <c r="G886" s="10"/>
      <c r="H886" s="10"/>
      <c r="J886" s="198"/>
    </row>
    <row r="887" spans="1:10" ht="15.75" customHeight="1" x14ac:dyDescent="0.25">
      <c r="A887" s="197"/>
      <c r="C887" s="12"/>
      <c r="D887" s="6"/>
      <c r="E887" s="168"/>
      <c r="G887" s="10"/>
      <c r="H887" s="10"/>
      <c r="J887" s="198"/>
    </row>
    <row r="888" spans="1:10" ht="15.75" customHeight="1" x14ac:dyDescent="0.25">
      <c r="A888" s="197"/>
      <c r="C888" s="12"/>
      <c r="D888" s="6"/>
      <c r="E888" s="168"/>
      <c r="G888" s="10"/>
      <c r="H888" s="10"/>
      <c r="J888" s="198"/>
    </row>
    <row r="889" spans="1:10" ht="15.75" customHeight="1" x14ac:dyDescent="0.25">
      <c r="A889" s="197"/>
      <c r="C889" s="12"/>
      <c r="D889" s="6"/>
      <c r="E889" s="168"/>
      <c r="G889" s="10"/>
      <c r="H889" s="10"/>
      <c r="J889" s="198"/>
    </row>
    <row r="890" spans="1:10" ht="15.75" customHeight="1" x14ac:dyDescent="0.25">
      <c r="A890" s="197"/>
      <c r="C890" s="12"/>
      <c r="D890" s="6"/>
      <c r="E890" s="168"/>
      <c r="G890" s="10"/>
      <c r="H890" s="10"/>
      <c r="J890" s="198"/>
    </row>
    <row r="891" spans="1:10" ht="15.75" customHeight="1" x14ac:dyDescent="0.25">
      <c r="A891" s="197"/>
      <c r="C891" s="12"/>
      <c r="D891" s="6"/>
      <c r="E891" s="168"/>
      <c r="G891" s="10"/>
      <c r="H891" s="10"/>
      <c r="J891" s="198"/>
    </row>
    <row r="892" spans="1:10" ht="15.75" customHeight="1" x14ac:dyDescent="0.25">
      <c r="A892" s="197"/>
      <c r="C892" s="12"/>
      <c r="D892" s="6"/>
      <c r="E892" s="168"/>
      <c r="G892" s="10"/>
      <c r="H892" s="10"/>
      <c r="J892" s="198"/>
    </row>
    <row r="893" spans="1:10" ht="15.75" customHeight="1" x14ac:dyDescent="0.25">
      <c r="A893" s="197"/>
      <c r="C893" s="12"/>
      <c r="D893" s="6"/>
      <c r="E893" s="168"/>
      <c r="G893" s="10"/>
      <c r="H893" s="10"/>
      <c r="J893" s="198"/>
    </row>
    <row r="894" spans="1:10" ht="15.75" customHeight="1" x14ac:dyDescent="0.25">
      <c r="A894" s="197"/>
      <c r="C894" s="12"/>
      <c r="D894" s="6"/>
      <c r="E894" s="168"/>
      <c r="G894" s="10"/>
      <c r="H894" s="10"/>
      <c r="J894" s="198"/>
    </row>
    <row r="895" spans="1:10" ht="15.75" customHeight="1" x14ac:dyDescent="0.25">
      <c r="A895" s="197"/>
      <c r="C895" s="12"/>
      <c r="D895" s="6"/>
      <c r="E895" s="168"/>
      <c r="G895" s="10"/>
      <c r="H895" s="10"/>
      <c r="J895" s="198"/>
    </row>
    <row r="896" spans="1:10" ht="15.75" customHeight="1" x14ac:dyDescent="0.25">
      <c r="A896" s="197"/>
      <c r="C896" s="12"/>
      <c r="D896" s="6"/>
      <c r="E896" s="168"/>
      <c r="G896" s="10"/>
      <c r="H896" s="10"/>
      <c r="J896" s="198"/>
    </row>
    <row r="897" spans="1:10" ht="15.75" customHeight="1" x14ac:dyDescent="0.25">
      <c r="A897" s="197"/>
      <c r="C897" s="12"/>
      <c r="D897" s="6"/>
      <c r="E897" s="168"/>
      <c r="G897" s="10"/>
      <c r="H897" s="10"/>
      <c r="J897" s="198"/>
    </row>
    <row r="898" spans="1:10" ht="15.75" customHeight="1" x14ac:dyDescent="0.25">
      <c r="A898" s="197"/>
      <c r="C898" s="12"/>
      <c r="D898" s="6"/>
      <c r="E898" s="168"/>
      <c r="G898" s="10"/>
      <c r="H898" s="10"/>
      <c r="J898" s="198"/>
    </row>
    <row r="899" spans="1:10" ht="15.75" customHeight="1" x14ac:dyDescent="0.25">
      <c r="A899" s="197"/>
      <c r="C899" s="12"/>
      <c r="D899" s="6"/>
      <c r="E899" s="168"/>
      <c r="G899" s="10"/>
      <c r="H899" s="10"/>
      <c r="J899" s="198"/>
    </row>
    <row r="900" spans="1:10" ht="15.75" customHeight="1" x14ac:dyDescent="0.25">
      <c r="A900" s="197"/>
      <c r="C900" s="12"/>
      <c r="D900" s="6"/>
      <c r="E900" s="168"/>
      <c r="G900" s="10"/>
      <c r="H900" s="10"/>
      <c r="J900" s="198"/>
    </row>
    <row r="901" spans="1:10" ht="15.75" customHeight="1" x14ac:dyDescent="0.25">
      <c r="A901" s="197"/>
      <c r="C901" s="12"/>
      <c r="D901" s="6"/>
      <c r="E901" s="168"/>
      <c r="G901" s="10"/>
      <c r="H901" s="10"/>
      <c r="J901" s="198"/>
    </row>
    <row r="902" spans="1:10" ht="15.75" customHeight="1" x14ac:dyDescent="0.25">
      <c r="A902" s="197"/>
      <c r="C902" s="12"/>
      <c r="D902" s="6"/>
      <c r="E902" s="168"/>
      <c r="G902" s="10"/>
      <c r="H902" s="10"/>
      <c r="J902" s="198"/>
    </row>
    <row r="903" spans="1:10" ht="15.75" customHeight="1" x14ac:dyDescent="0.25">
      <c r="A903" s="197"/>
      <c r="C903" s="12"/>
      <c r="D903" s="6"/>
      <c r="E903" s="168"/>
      <c r="G903" s="10"/>
      <c r="H903" s="10"/>
      <c r="J903" s="198"/>
    </row>
    <row r="904" spans="1:10" ht="15.75" customHeight="1" x14ac:dyDescent="0.25">
      <c r="A904" s="197"/>
      <c r="C904" s="12"/>
      <c r="D904" s="6"/>
      <c r="E904" s="168"/>
      <c r="G904" s="10"/>
      <c r="H904" s="10"/>
      <c r="J904" s="198"/>
    </row>
    <row r="905" spans="1:10" ht="15.75" customHeight="1" x14ac:dyDescent="0.25">
      <c r="A905" s="197"/>
      <c r="C905" s="12"/>
      <c r="D905" s="6"/>
      <c r="E905" s="168"/>
      <c r="G905" s="10"/>
      <c r="H905" s="10"/>
      <c r="J905" s="198"/>
    </row>
    <row r="906" spans="1:10" ht="15.75" customHeight="1" x14ac:dyDescent="0.25">
      <c r="A906" s="197"/>
      <c r="C906" s="12"/>
      <c r="D906" s="6"/>
      <c r="E906" s="168"/>
      <c r="G906" s="10"/>
      <c r="H906" s="10"/>
      <c r="J906" s="198"/>
    </row>
    <row r="907" spans="1:10" ht="15.75" customHeight="1" x14ac:dyDescent="0.25">
      <c r="A907" s="197"/>
      <c r="C907" s="12"/>
      <c r="D907" s="6"/>
      <c r="E907" s="168"/>
      <c r="G907" s="10"/>
      <c r="H907" s="10"/>
      <c r="J907" s="198"/>
    </row>
    <row r="908" spans="1:10" ht="15.75" customHeight="1" x14ac:dyDescent="0.25">
      <c r="A908" s="197"/>
      <c r="C908" s="12"/>
      <c r="D908" s="6"/>
      <c r="E908" s="168"/>
      <c r="G908" s="10"/>
      <c r="H908" s="10"/>
      <c r="J908" s="198"/>
    </row>
    <row r="909" spans="1:10" ht="15.75" customHeight="1" x14ac:dyDescent="0.25">
      <c r="A909" s="197"/>
      <c r="C909" s="12"/>
      <c r="D909" s="6"/>
      <c r="E909" s="168"/>
      <c r="G909" s="10"/>
      <c r="H909" s="10"/>
      <c r="J909" s="198"/>
    </row>
    <row r="910" spans="1:10" ht="15.75" customHeight="1" x14ac:dyDescent="0.25">
      <c r="A910" s="197"/>
      <c r="C910" s="12"/>
      <c r="D910" s="6"/>
      <c r="E910" s="168"/>
      <c r="G910" s="10"/>
      <c r="H910" s="10"/>
      <c r="J910" s="198"/>
    </row>
    <row r="911" spans="1:10" ht="15.75" customHeight="1" x14ac:dyDescent="0.25">
      <c r="A911" s="197"/>
      <c r="C911" s="12"/>
      <c r="D911" s="6"/>
      <c r="E911" s="168"/>
      <c r="G911" s="10"/>
      <c r="H911" s="10"/>
      <c r="J911" s="198"/>
    </row>
    <row r="912" spans="1:10" ht="15.75" customHeight="1" x14ac:dyDescent="0.25">
      <c r="A912" s="197"/>
      <c r="C912" s="12"/>
      <c r="D912" s="6"/>
      <c r="E912" s="168"/>
      <c r="G912" s="10"/>
      <c r="H912" s="10"/>
      <c r="J912" s="198"/>
    </row>
    <row r="913" spans="1:10" ht="15.75" customHeight="1" x14ac:dyDescent="0.25">
      <c r="A913" s="197"/>
      <c r="C913" s="12"/>
      <c r="D913" s="6"/>
      <c r="E913" s="168"/>
      <c r="G913" s="10"/>
      <c r="H913" s="10"/>
      <c r="J913" s="198"/>
    </row>
    <row r="914" spans="1:10" ht="15.75" customHeight="1" x14ac:dyDescent="0.25">
      <c r="A914" s="197"/>
      <c r="C914" s="12"/>
      <c r="D914" s="6"/>
      <c r="E914" s="168"/>
      <c r="G914" s="10"/>
      <c r="H914" s="10"/>
      <c r="J914" s="198"/>
    </row>
    <row r="915" spans="1:10" ht="15.75" customHeight="1" x14ac:dyDescent="0.25">
      <c r="A915" s="197"/>
      <c r="C915" s="12"/>
      <c r="D915" s="6"/>
      <c r="E915" s="168"/>
      <c r="G915" s="10"/>
      <c r="H915" s="10"/>
      <c r="J915" s="198"/>
    </row>
    <row r="916" spans="1:10" ht="15.75" customHeight="1" x14ac:dyDescent="0.25">
      <c r="A916" s="197"/>
      <c r="C916" s="12"/>
      <c r="D916" s="6"/>
      <c r="E916" s="168"/>
      <c r="G916" s="10"/>
      <c r="H916" s="10"/>
      <c r="J916" s="198"/>
    </row>
    <row r="917" spans="1:10" ht="15.75" customHeight="1" x14ac:dyDescent="0.25">
      <c r="A917" s="197"/>
      <c r="C917" s="12"/>
      <c r="D917" s="6"/>
      <c r="E917" s="168"/>
      <c r="G917" s="10"/>
      <c r="H917" s="10"/>
      <c r="J917" s="198"/>
    </row>
    <row r="918" spans="1:10" ht="15.75" customHeight="1" x14ac:dyDescent="0.25">
      <c r="A918" s="197"/>
      <c r="C918" s="12"/>
      <c r="D918" s="6"/>
      <c r="E918" s="168"/>
      <c r="G918" s="10"/>
      <c r="H918" s="10"/>
      <c r="J918" s="198"/>
    </row>
    <row r="919" spans="1:10" ht="15.75" customHeight="1" x14ac:dyDescent="0.25">
      <c r="A919" s="197"/>
      <c r="C919" s="12"/>
      <c r="D919" s="6"/>
      <c r="E919" s="168"/>
      <c r="G919" s="10"/>
      <c r="H919" s="10"/>
      <c r="J919" s="198"/>
    </row>
    <row r="920" spans="1:10" ht="15.75" customHeight="1" x14ac:dyDescent="0.25">
      <c r="A920" s="197"/>
      <c r="C920" s="12"/>
      <c r="D920" s="6"/>
      <c r="E920" s="168"/>
      <c r="G920" s="10"/>
      <c r="H920" s="10"/>
      <c r="J920" s="198"/>
    </row>
    <row r="921" spans="1:10" ht="15.75" customHeight="1" x14ac:dyDescent="0.25">
      <c r="A921" s="197"/>
      <c r="C921" s="12"/>
      <c r="D921" s="6"/>
      <c r="E921" s="168"/>
      <c r="G921" s="10"/>
      <c r="H921" s="10"/>
      <c r="J921" s="198"/>
    </row>
    <row r="922" spans="1:10" ht="15.75" customHeight="1" x14ac:dyDescent="0.25">
      <c r="A922" s="197"/>
      <c r="C922" s="12"/>
      <c r="D922" s="6"/>
      <c r="E922" s="168"/>
      <c r="G922" s="10"/>
      <c r="H922" s="10"/>
      <c r="J922" s="198"/>
    </row>
    <row r="923" spans="1:10" ht="15.75" customHeight="1" x14ac:dyDescent="0.25">
      <c r="A923" s="197"/>
      <c r="C923" s="12"/>
      <c r="D923" s="6"/>
      <c r="E923" s="168"/>
      <c r="G923" s="10"/>
      <c r="H923" s="10"/>
      <c r="J923" s="198"/>
    </row>
    <row r="924" spans="1:10" ht="15.75" customHeight="1" x14ac:dyDescent="0.25">
      <c r="A924" s="197"/>
      <c r="C924" s="12"/>
      <c r="D924" s="6"/>
      <c r="E924" s="168"/>
      <c r="G924" s="10"/>
      <c r="H924" s="10"/>
      <c r="J924" s="198"/>
    </row>
    <row r="925" spans="1:10" ht="15.75" customHeight="1" x14ac:dyDescent="0.25">
      <c r="A925" s="197"/>
      <c r="C925" s="12"/>
      <c r="D925" s="6"/>
      <c r="E925" s="168"/>
      <c r="G925" s="10"/>
      <c r="H925" s="10"/>
      <c r="J925" s="198"/>
    </row>
    <row r="926" spans="1:10" ht="15.75" customHeight="1" x14ac:dyDescent="0.25">
      <c r="A926" s="197"/>
      <c r="C926" s="12"/>
      <c r="D926" s="6"/>
      <c r="E926" s="168"/>
      <c r="G926" s="10"/>
      <c r="H926" s="10"/>
      <c r="J926" s="198"/>
    </row>
    <row r="927" spans="1:10" ht="15.75" customHeight="1" x14ac:dyDescent="0.25">
      <c r="A927" s="197"/>
      <c r="C927" s="12"/>
      <c r="D927" s="6"/>
      <c r="E927" s="168"/>
      <c r="G927" s="10"/>
      <c r="H927" s="10"/>
      <c r="J927" s="198"/>
    </row>
    <row r="928" spans="1:10" ht="15.75" customHeight="1" x14ac:dyDescent="0.25">
      <c r="A928" s="197"/>
      <c r="C928" s="12"/>
      <c r="D928" s="6"/>
      <c r="E928" s="168"/>
      <c r="G928" s="10"/>
      <c r="H928" s="10"/>
      <c r="J928" s="198"/>
    </row>
    <row r="929" spans="1:10" ht="15.75" customHeight="1" x14ac:dyDescent="0.25">
      <c r="A929" s="197"/>
      <c r="C929" s="12"/>
      <c r="D929" s="6"/>
      <c r="E929" s="168"/>
      <c r="G929" s="10"/>
      <c r="H929" s="10"/>
      <c r="J929" s="198"/>
    </row>
    <row r="930" spans="1:10" ht="15.75" customHeight="1" x14ac:dyDescent="0.25">
      <c r="A930" s="197"/>
      <c r="C930" s="12"/>
      <c r="D930" s="6"/>
      <c r="E930" s="168"/>
      <c r="G930" s="10"/>
      <c r="H930" s="10"/>
      <c r="J930" s="198"/>
    </row>
    <row r="931" spans="1:10" ht="15.75" customHeight="1" x14ac:dyDescent="0.25">
      <c r="A931" s="197"/>
      <c r="C931" s="12"/>
      <c r="D931" s="6"/>
      <c r="E931" s="168"/>
      <c r="G931" s="10"/>
      <c r="H931" s="10"/>
      <c r="J931" s="198"/>
    </row>
    <row r="932" spans="1:10" ht="15.75" customHeight="1" x14ac:dyDescent="0.25">
      <c r="A932" s="197"/>
      <c r="C932" s="12"/>
      <c r="D932" s="6"/>
      <c r="E932" s="168"/>
      <c r="G932" s="10"/>
      <c r="H932" s="10"/>
      <c r="J932" s="198"/>
    </row>
    <row r="933" spans="1:10" ht="15.75" customHeight="1" x14ac:dyDescent="0.25">
      <c r="A933" s="197"/>
      <c r="C933" s="12"/>
      <c r="D933" s="6"/>
      <c r="E933" s="168"/>
      <c r="G933" s="10"/>
      <c r="H933" s="10"/>
      <c r="J933" s="198"/>
    </row>
    <row r="934" spans="1:10" ht="15.75" customHeight="1" x14ac:dyDescent="0.25">
      <c r="A934" s="197"/>
      <c r="C934" s="12"/>
      <c r="D934" s="6"/>
      <c r="E934" s="168"/>
      <c r="G934" s="10"/>
      <c r="H934" s="10"/>
      <c r="J934" s="198"/>
    </row>
    <row r="935" spans="1:10" ht="15.75" customHeight="1" x14ac:dyDescent="0.25">
      <c r="A935" s="197"/>
      <c r="C935" s="12"/>
      <c r="D935" s="6"/>
      <c r="E935" s="168"/>
      <c r="G935" s="10"/>
      <c r="H935" s="10"/>
      <c r="J935" s="198"/>
    </row>
    <row r="936" spans="1:10" ht="15.75" customHeight="1" x14ac:dyDescent="0.25">
      <c r="A936" s="197"/>
      <c r="C936" s="12"/>
      <c r="D936" s="6"/>
      <c r="E936" s="168"/>
      <c r="G936" s="10"/>
      <c r="H936" s="10"/>
      <c r="J936" s="198"/>
    </row>
    <row r="937" spans="1:10" ht="15.75" customHeight="1" x14ac:dyDescent="0.25">
      <c r="A937" s="197"/>
      <c r="C937" s="12"/>
      <c r="D937" s="6"/>
      <c r="E937" s="168"/>
      <c r="G937" s="10"/>
      <c r="H937" s="10"/>
      <c r="J937" s="198"/>
    </row>
    <row r="938" spans="1:10" ht="15.75" customHeight="1" x14ac:dyDescent="0.25">
      <c r="A938" s="197"/>
      <c r="C938" s="12"/>
      <c r="D938" s="6"/>
      <c r="E938" s="168"/>
      <c r="G938" s="10"/>
      <c r="H938" s="10"/>
      <c r="J938" s="198"/>
    </row>
    <row r="939" spans="1:10" ht="15.75" customHeight="1" x14ac:dyDescent="0.25">
      <c r="A939" s="197"/>
      <c r="C939" s="12"/>
      <c r="D939" s="6"/>
      <c r="E939" s="168"/>
      <c r="G939" s="10"/>
      <c r="H939" s="10"/>
      <c r="J939" s="198"/>
    </row>
    <row r="940" spans="1:10" ht="15.75" customHeight="1" x14ac:dyDescent="0.25">
      <c r="A940" s="197"/>
      <c r="C940" s="12"/>
      <c r="D940" s="6"/>
      <c r="E940" s="168"/>
      <c r="G940" s="10"/>
      <c r="H940" s="10"/>
      <c r="J940" s="198"/>
    </row>
    <row r="941" spans="1:10" ht="15.75" customHeight="1" x14ac:dyDescent="0.25">
      <c r="A941" s="197"/>
      <c r="C941" s="12"/>
      <c r="D941" s="6"/>
      <c r="E941" s="168"/>
      <c r="G941" s="10"/>
      <c r="H941" s="10"/>
      <c r="J941" s="198"/>
    </row>
    <row r="942" spans="1:10" ht="15.75" customHeight="1" x14ac:dyDescent="0.25">
      <c r="A942" s="197"/>
      <c r="C942" s="12"/>
      <c r="D942" s="6"/>
      <c r="E942" s="168"/>
      <c r="G942" s="10"/>
      <c r="H942" s="10"/>
      <c r="J942" s="198"/>
    </row>
    <row r="943" spans="1:10" ht="15.75" customHeight="1" x14ac:dyDescent="0.25">
      <c r="A943" s="197"/>
      <c r="C943" s="12"/>
      <c r="D943" s="6"/>
      <c r="E943" s="168"/>
      <c r="G943" s="10"/>
      <c r="H943" s="10"/>
      <c r="J943" s="198"/>
    </row>
    <row r="944" spans="1:10" ht="15.75" customHeight="1" x14ac:dyDescent="0.25">
      <c r="A944" s="197"/>
      <c r="C944" s="12"/>
      <c r="D944" s="6"/>
      <c r="E944" s="168"/>
      <c r="G944" s="10"/>
      <c r="H944" s="10"/>
      <c r="J944" s="198"/>
    </row>
    <row r="945" spans="1:10" ht="15.75" customHeight="1" x14ac:dyDescent="0.25">
      <c r="A945" s="197"/>
      <c r="C945" s="12"/>
      <c r="D945" s="6"/>
      <c r="E945" s="168"/>
      <c r="G945" s="10"/>
      <c r="H945" s="10"/>
      <c r="J945" s="198"/>
    </row>
    <row r="946" spans="1:10" ht="15.75" customHeight="1" x14ac:dyDescent="0.25">
      <c r="A946" s="197"/>
      <c r="C946" s="12"/>
      <c r="D946" s="6"/>
      <c r="E946" s="168"/>
      <c r="G946" s="10"/>
      <c r="H946" s="10"/>
      <c r="J946" s="198"/>
    </row>
    <row r="947" spans="1:10" ht="15.75" customHeight="1" x14ac:dyDescent="0.25">
      <c r="A947" s="197"/>
      <c r="C947" s="12"/>
      <c r="D947" s="6"/>
      <c r="E947" s="168"/>
      <c r="G947" s="10"/>
      <c r="H947" s="10"/>
      <c r="J947" s="198"/>
    </row>
    <row r="948" spans="1:10" ht="15.75" customHeight="1" x14ac:dyDescent="0.25">
      <c r="A948" s="197"/>
      <c r="C948" s="12"/>
      <c r="D948" s="6"/>
      <c r="E948" s="168"/>
      <c r="G948" s="10"/>
      <c r="H948" s="10"/>
      <c r="J948" s="198"/>
    </row>
    <row r="949" spans="1:10" ht="15.75" customHeight="1" x14ac:dyDescent="0.25">
      <c r="A949" s="197"/>
      <c r="C949" s="12"/>
      <c r="D949" s="6"/>
      <c r="E949" s="168"/>
      <c r="G949" s="10"/>
      <c r="H949" s="10"/>
      <c r="J949" s="198"/>
    </row>
    <row r="950" spans="1:10" ht="15.75" customHeight="1" x14ac:dyDescent="0.25">
      <c r="A950" s="197"/>
      <c r="C950" s="12"/>
      <c r="D950" s="6"/>
      <c r="E950" s="168"/>
      <c r="G950" s="10"/>
      <c r="H950" s="10"/>
      <c r="J950" s="198"/>
    </row>
    <row r="951" spans="1:10" ht="15.75" customHeight="1" x14ac:dyDescent="0.25">
      <c r="A951" s="197"/>
      <c r="C951" s="12"/>
      <c r="D951" s="6"/>
      <c r="E951" s="168"/>
      <c r="G951" s="10"/>
      <c r="H951" s="10"/>
      <c r="J951" s="198"/>
    </row>
    <row r="952" spans="1:10" ht="15.75" customHeight="1" x14ac:dyDescent="0.25">
      <c r="A952" s="197"/>
      <c r="C952" s="12"/>
      <c r="D952" s="6"/>
      <c r="E952" s="168"/>
      <c r="G952" s="10"/>
      <c r="H952" s="10"/>
      <c r="J952" s="198"/>
    </row>
    <row r="953" spans="1:10" ht="15.75" customHeight="1" x14ac:dyDescent="0.25">
      <c r="A953" s="197"/>
      <c r="C953" s="12"/>
      <c r="D953" s="6"/>
      <c r="E953" s="168"/>
      <c r="G953" s="10"/>
      <c r="H953" s="10"/>
      <c r="J953" s="198"/>
    </row>
    <row r="954" spans="1:10" ht="15.75" customHeight="1" x14ac:dyDescent="0.25">
      <c r="A954" s="197"/>
      <c r="C954" s="12"/>
      <c r="D954" s="6"/>
      <c r="E954" s="168"/>
      <c r="G954" s="10"/>
      <c r="H954" s="10"/>
      <c r="J954" s="198"/>
    </row>
    <row r="955" spans="1:10" ht="15.75" customHeight="1" x14ac:dyDescent="0.25">
      <c r="A955" s="197"/>
      <c r="C955" s="12"/>
      <c r="D955" s="6"/>
      <c r="E955" s="168"/>
      <c r="G955" s="10"/>
      <c r="H955" s="10"/>
      <c r="J955" s="198"/>
    </row>
    <row r="956" spans="1:10" ht="15.75" customHeight="1" x14ac:dyDescent="0.25">
      <c r="A956" s="197"/>
      <c r="C956" s="12"/>
      <c r="D956" s="6"/>
      <c r="E956" s="168"/>
      <c r="G956" s="10"/>
      <c r="H956" s="10"/>
      <c r="J956" s="198"/>
    </row>
    <row r="957" spans="1:10" ht="15.75" customHeight="1" x14ac:dyDescent="0.25">
      <c r="A957" s="197"/>
      <c r="C957" s="12"/>
      <c r="D957" s="6"/>
      <c r="E957" s="168"/>
      <c r="G957" s="10"/>
      <c r="H957" s="10"/>
      <c r="J957" s="198"/>
    </row>
    <row r="958" spans="1:10" ht="15.75" customHeight="1" x14ac:dyDescent="0.25">
      <c r="A958" s="197"/>
      <c r="C958" s="12"/>
      <c r="D958" s="6"/>
      <c r="E958" s="168"/>
      <c r="G958" s="10"/>
      <c r="H958" s="10"/>
      <c r="J958" s="198"/>
    </row>
    <row r="959" spans="1:10" ht="15.75" customHeight="1" x14ac:dyDescent="0.25">
      <c r="A959" s="197"/>
      <c r="C959" s="12"/>
      <c r="D959" s="6"/>
      <c r="E959" s="168"/>
      <c r="G959" s="10"/>
      <c r="H959" s="10"/>
      <c r="J959" s="198"/>
    </row>
    <row r="960" spans="1:10" ht="15.75" customHeight="1" x14ac:dyDescent="0.25">
      <c r="A960" s="197"/>
      <c r="C960" s="12"/>
      <c r="D960" s="6"/>
      <c r="E960" s="168"/>
      <c r="G960" s="10"/>
      <c r="H960" s="10"/>
      <c r="J960" s="198"/>
    </row>
    <row r="961" spans="1:10" ht="15.75" customHeight="1" x14ac:dyDescent="0.25">
      <c r="A961" s="197"/>
      <c r="C961" s="12"/>
      <c r="D961" s="6"/>
      <c r="E961" s="168"/>
      <c r="G961" s="10"/>
      <c r="H961" s="10"/>
      <c r="J961" s="198"/>
    </row>
    <row r="962" spans="1:10" ht="15.75" customHeight="1" x14ac:dyDescent="0.25">
      <c r="A962" s="197"/>
      <c r="C962" s="12"/>
      <c r="D962" s="6"/>
      <c r="E962" s="168"/>
      <c r="G962" s="10"/>
      <c r="H962" s="10"/>
      <c r="J962" s="198"/>
    </row>
    <row r="963" spans="1:10" ht="15.75" customHeight="1" x14ac:dyDescent="0.25">
      <c r="A963" s="197"/>
      <c r="C963" s="12"/>
      <c r="D963" s="6"/>
      <c r="E963" s="168"/>
      <c r="G963" s="10"/>
      <c r="H963" s="10"/>
      <c r="J963" s="198"/>
    </row>
    <row r="964" spans="1:10" ht="15.75" customHeight="1" x14ac:dyDescent="0.25">
      <c r="A964" s="197"/>
      <c r="C964" s="12"/>
      <c r="D964" s="6"/>
      <c r="E964" s="168"/>
      <c r="G964" s="10"/>
      <c r="H964" s="10"/>
      <c r="J964" s="198"/>
    </row>
    <row r="965" spans="1:10" ht="15.75" customHeight="1" x14ac:dyDescent="0.25">
      <c r="A965" s="197"/>
      <c r="C965" s="12"/>
      <c r="D965" s="6"/>
      <c r="E965" s="168"/>
      <c r="G965" s="10"/>
      <c r="H965" s="10"/>
      <c r="J965" s="198"/>
    </row>
    <row r="966" spans="1:10" ht="15.75" customHeight="1" x14ac:dyDescent="0.25">
      <c r="A966" s="197"/>
      <c r="C966" s="12"/>
      <c r="D966" s="6"/>
      <c r="E966" s="168"/>
      <c r="G966" s="10"/>
      <c r="H966" s="10"/>
      <c r="J966" s="198"/>
    </row>
    <row r="967" spans="1:10" ht="15.75" customHeight="1" x14ac:dyDescent="0.25">
      <c r="A967" s="197"/>
      <c r="C967" s="12"/>
      <c r="D967" s="6"/>
      <c r="E967" s="168"/>
      <c r="G967" s="10"/>
      <c r="H967" s="10"/>
      <c r="J967" s="198"/>
    </row>
    <row r="968" spans="1:10" ht="15.75" customHeight="1" x14ac:dyDescent="0.25">
      <c r="A968" s="197"/>
      <c r="C968" s="12"/>
      <c r="D968" s="6"/>
      <c r="E968" s="168"/>
      <c r="G968" s="10"/>
      <c r="H968" s="10"/>
      <c r="J968" s="198"/>
    </row>
    <row r="969" spans="1:10" ht="15.75" customHeight="1" x14ac:dyDescent="0.25">
      <c r="A969" s="197"/>
      <c r="C969" s="12"/>
      <c r="D969" s="6"/>
      <c r="E969" s="168"/>
      <c r="G969" s="10"/>
      <c r="H969" s="10"/>
      <c r="J969" s="198"/>
    </row>
    <row r="970" spans="1:10" ht="15.75" customHeight="1" x14ac:dyDescent="0.25">
      <c r="A970" s="197"/>
      <c r="C970" s="12"/>
      <c r="D970" s="6"/>
      <c r="E970" s="168"/>
      <c r="G970" s="10"/>
      <c r="H970" s="10"/>
      <c r="J970" s="198"/>
    </row>
    <row r="971" spans="1:10" ht="15.75" customHeight="1" x14ac:dyDescent="0.25">
      <c r="A971" s="197"/>
      <c r="C971" s="12"/>
      <c r="D971" s="6"/>
      <c r="E971" s="168"/>
      <c r="G971" s="10"/>
      <c r="H971" s="10"/>
      <c r="J971" s="198"/>
    </row>
    <row r="972" spans="1:10" ht="15.75" customHeight="1" x14ac:dyDescent="0.25">
      <c r="A972" s="197"/>
      <c r="C972" s="12"/>
      <c r="D972" s="6"/>
      <c r="E972" s="168"/>
      <c r="G972" s="10"/>
      <c r="H972" s="10"/>
      <c r="J972" s="198"/>
    </row>
    <row r="973" spans="1:10" ht="15.75" customHeight="1" x14ac:dyDescent="0.25">
      <c r="A973" s="197"/>
      <c r="C973" s="12"/>
      <c r="D973" s="6"/>
      <c r="E973" s="168"/>
      <c r="G973" s="10"/>
      <c r="H973" s="10"/>
      <c r="J973" s="198"/>
    </row>
    <row r="974" spans="1:10" ht="15.75" customHeight="1" x14ac:dyDescent="0.25">
      <c r="A974" s="197"/>
      <c r="C974" s="12"/>
      <c r="D974" s="6"/>
      <c r="E974" s="168"/>
      <c r="G974" s="10"/>
      <c r="H974" s="10"/>
      <c r="J974" s="198"/>
    </row>
    <row r="975" spans="1:10" ht="15.75" customHeight="1" x14ac:dyDescent="0.25">
      <c r="A975" s="197"/>
      <c r="C975" s="12"/>
      <c r="D975" s="6"/>
      <c r="E975" s="168"/>
      <c r="G975" s="10"/>
      <c r="H975" s="10"/>
      <c r="J975" s="198"/>
    </row>
    <row r="976" spans="1:10" ht="15.75" customHeight="1" x14ac:dyDescent="0.25">
      <c r="A976" s="197"/>
      <c r="C976" s="12"/>
      <c r="D976" s="6"/>
      <c r="E976" s="168"/>
      <c r="G976" s="10"/>
      <c r="H976" s="10"/>
      <c r="J976" s="198"/>
    </row>
    <row r="977" spans="1:10" ht="15.75" customHeight="1" x14ac:dyDescent="0.25">
      <c r="A977" s="197"/>
      <c r="C977" s="12"/>
      <c r="D977" s="6"/>
      <c r="E977" s="168"/>
      <c r="G977" s="10"/>
      <c r="H977" s="10"/>
      <c r="J977" s="198"/>
    </row>
    <row r="978" spans="1:10" ht="15.75" customHeight="1" x14ac:dyDescent="0.25">
      <c r="A978" s="197"/>
      <c r="C978" s="12"/>
      <c r="D978" s="6"/>
      <c r="E978" s="168"/>
      <c r="G978" s="10"/>
      <c r="H978" s="10"/>
      <c r="J978" s="198"/>
    </row>
    <row r="979" spans="1:10" ht="15.75" customHeight="1" x14ac:dyDescent="0.25">
      <c r="A979" s="197"/>
      <c r="C979" s="12"/>
      <c r="D979" s="6"/>
      <c r="E979" s="168"/>
      <c r="G979" s="10"/>
      <c r="H979" s="10"/>
      <c r="J979" s="198"/>
    </row>
    <row r="980" spans="1:10" ht="15.75" customHeight="1" x14ac:dyDescent="0.25">
      <c r="A980" s="197"/>
      <c r="C980" s="12"/>
      <c r="D980" s="6"/>
      <c r="E980" s="168"/>
      <c r="G980" s="10"/>
      <c r="H980" s="10"/>
      <c r="J980" s="198"/>
    </row>
    <row r="981" spans="1:10" ht="15.75" customHeight="1" x14ac:dyDescent="0.25">
      <c r="A981" s="197"/>
      <c r="C981" s="12"/>
      <c r="D981" s="6"/>
      <c r="E981" s="168"/>
      <c r="G981" s="10"/>
      <c r="H981" s="10"/>
      <c r="J981" s="198"/>
    </row>
    <row r="982" spans="1:10" ht="15.75" customHeight="1" x14ac:dyDescent="0.25">
      <c r="A982" s="197"/>
      <c r="C982" s="12"/>
      <c r="D982" s="6"/>
      <c r="E982" s="168"/>
      <c r="G982" s="10"/>
      <c r="H982" s="10"/>
      <c r="J982" s="198"/>
    </row>
    <row r="983" spans="1:10" ht="15.75" customHeight="1" x14ac:dyDescent="0.25">
      <c r="A983" s="197"/>
      <c r="C983" s="12"/>
      <c r="D983" s="6"/>
      <c r="E983" s="168"/>
      <c r="G983" s="10"/>
      <c r="H983" s="10"/>
      <c r="J983" s="198"/>
    </row>
    <row r="984" spans="1:10" ht="15.75" customHeight="1" x14ac:dyDescent="0.25">
      <c r="A984" s="197"/>
      <c r="C984" s="12"/>
      <c r="D984" s="6"/>
      <c r="E984" s="168"/>
      <c r="G984" s="10"/>
      <c r="H984" s="10"/>
      <c r="J984" s="198"/>
    </row>
    <row r="985" spans="1:10" ht="15.75" customHeight="1" x14ac:dyDescent="0.25">
      <c r="A985" s="197"/>
      <c r="C985" s="12"/>
      <c r="D985" s="6"/>
      <c r="E985" s="168"/>
      <c r="G985" s="10"/>
      <c r="H985" s="10"/>
      <c r="J985" s="198"/>
    </row>
    <row r="986" spans="1:10" ht="15.75" customHeight="1" x14ac:dyDescent="0.25">
      <c r="A986" s="197"/>
      <c r="C986" s="12"/>
      <c r="D986" s="6"/>
      <c r="E986" s="168"/>
      <c r="G986" s="10"/>
      <c r="H986" s="10"/>
      <c r="J986" s="198"/>
    </row>
    <row r="987" spans="1:10" ht="15.75" customHeight="1" x14ac:dyDescent="0.25">
      <c r="A987" s="197"/>
      <c r="C987" s="12"/>
      <c r="D987" s="6"/>
      <c r="E987" s="168"/>
      <c r="G987" s="10"/>
      <c r="H987" s="10"/>
      <c r="J987" s="198"/>
    </row>
    <row r="988" spans="1:10" ht="15.75" customHeight="1" x14ac:dyDescent="0.25">
      <c r="A988" s="197"/>
      <c r="C988" s="12"/>
      <c r="D988" s="6"/>
      <c r="E988" s="168"/>
      <c r="G988" s="10"/>
      <c r="H988" s="10"/>
      <c r="J988" s="198"/>
    </row>
    <row r="989" spans="1:10" ht="15.75" customHeight="1" x14ac:dyDescent="0.25">
      <c r="A989" s="197"/>
      <c r="C989" s="12"/>
      <c r="D989" s="6"/>
      <c r="E989" s="168"/>
      <c r="G989" s="10"/>
      <c r="H989" s="10"/>
      <c r="J989" s="198"/>
    </row>
    <row r="990" spans="1:10" ht="15.75" customHeight="1" x14ac:dyDescent="0.25">
      <c r="A990" s="197"/>
      <c r="C990" s="12"/>
      <c r="D990" s="6"/>
      <c r="E990" s="168"/>
      <c r="G990" s="10"/>
      <c r="H990" s="10"/>
      <c r="J990" s="198"/>
    </row>
    <row r="991" spans="1:10" ht="15.75" customHeight="1" x14ac:dyDescent="0.25">
      <c r="A991" s="197"/>
      <c r="C991" s="12"/>
      <c r="D991" s="6"/>
      <c r="E991" s="168"/>
      <c r="G991" s="10"/>
      <c r="H991" s="10"/>
      <c r="J991" s="198"/>
    </row>
    <row r="992" spans="1:10" ht="15.75" customHeight="1" x14ac:dyDescent="0.25">
      <c r="A992" s="197"/>
      <c r="C992" s="12"/>
      <c r="D992" s="6"/>
      <c r="E992" s="168"/>
      <c r="G992" s="10"/>
      <c r="H992" s="10"/>
      <c r="J992" s="198"/>
    </row>
    <row r="993" spans="1:10" ht="15.75" customHeight="1" x14ac:dyDescent="0.25">
      <c r="A993" s="197"/>
      <c r="C993" s="12"/>
      <c r="D993" s="6"/>
      <c r="E993" s="168"/>
      <c r="G993" s="10"/>
      <c r="H993" s="10"/>
      <c r="J993" s="198"/>
    </row>
    <row r="994" spans="1:10" ht="15.75" customHeight="1" x14ac:dyDescent="0.25">
      <c r="A994" s="197"/>
      <c r="C994" s="12"/>
      <c r="D994" s="6"/>
      <c r="E994" s="168"/>
      <c r="G994" s="10"/>
      <c r="H994" s="10"/>
      <c r="J994" s="198"/>
    </row>
    <row r="995" spans="1:10" ht="15.75" customHeight="1" x14ac:dyDescent="0.25">
      <c r="A995" s="197"/>
      <c r="C995" s="12"/>
      <c r="D995" s="6"/>
      <c r="E995" s="168"/>
      <c r="G995" s="10"/>
      <c r="H995" s="10"/>
      <c r="J995" s="198"/>
    </row>
    <row r="996" spans="1:10" ht="15.75" customHeight="1" x14ac:dyDescent="0.25">
      <c r="A996" s="197"/>
      <c r="C996" s="12"/>
      <c r="D996" s="6"/>
      <c r="E996" s="168"/>
      <c r="G996" s="10"/>
      <c r="H996" s="10"/>
      <c r="J996" s="198"/>
    </row>
    <row r="997" spans="1:10" ht="15.75" customHeight="1" x14ac:dyDescent="0.25">
      <c r="A997" s="197"/>
      <c r="C997" s="12"/>
      <c r="D997" s="6"/>
      <c r="E997" s="168"/>
      <c r="G997" s="10"/>
      <c r="H997" s="10"/>
      <c r="J997" s="198"/>
    </row>
    <row r="998" spans="1:10" ht="15.75" customHeight="1" x14ac:dyDescent="0.25">
      <c r="A998" s="197"/>
      <c r="C998" s="12"/>
      <c r="D998" s="6"/>
      <c r="E998" s="168"/>
      <c r="G998" s="10"/>
      <c r="H998" s="10"/>
      <c r="J998" s="198"/>
    </row>
    <row r="999" spans="1:10" ht="15.75" customHeight="1" x14ac:dyDescent="0.25">
      <c r="A999" s="197"/>
      <c r="C999" s="12"/>
      <c r="D999" s="6"/>
      <c r="E999" s="168"/>
      <c r="G999" s="10"/>
      <c r="H999" s="10"/>
      <c r="J999" s="198"/>
    </row>
    <row r="1000" spans="1:10" ht="15.75" customHeight="1" x14ac:dyDescent="0.25">
      <c r="A1000" s="197"/>
      <c r="C1000" s="12"/>
      <c r="D1000" s="6"/>
      <c r="E1000" s="168"/>
      <c r="G1000" s="10"/>
      <c r="H1000" s="10"/>
      <c r="J1000" s="198"/>
    </row>
    <row r="1001" spans="1:10" ht="15.75" customHeight="1" x14ac:dyDescent="0.25">
      <c r="A1001" s="197"/>
      <c r="C1001" s="12"/>
      <c r="D1001" s="6"/>
      <c r="E1001" s="168"/>
      <c r="G1001" s="10"/>
      <c r="H1001" s="10"/>
      <c r="J1001" s="198"/>
    </row>
    <row r="1002" spans="1:10" ht="15.75" customHeight="1" x14ac:dyDescent="0.25">
      <c r="A1002" s="197"/>
      <c r="C1002" s="12"/>
      <c r="D1002" s="6"/>
      <c r="E1002" s="168"/>
      <c r="G1002" s="10"/>
      <c r="H1002" s="10"/>
      <c r="J1002" s="198"/>
    </row>
  </sheetData>
  <mergeCells count="8">
    <mergeCell ref="B134:H134"/>
    <mergeCell ref="B1:H1"/>
    <mergeCell ref="B2:H2"/>
    <mergeCell ref="C5:C6"/>
    <mergeCell ref="F5:F6"/>
    <mergeCell ref="G5:G6"/>
    <mergeCell ref="H5:H6"/>
    <mergeCell ref="F56:H56"/>
  </mergeCells>
  <conditionalFormatting sqref="B1">
    <cfRule type="expression" dxfId="88" priority="1">
      <formula>_xludf.isformula()</formula>
    </cfRule>
  </conditionalFormatting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5"/>
  <sheetViews>
    <sheetView showGridLines="0" workbookViewId="0">
      <selection activeCell="B5" sqref="B5:F38"/>
    </sheetView>
  </sheetViews>
  <sheetFormatPr defaultColWidth="14.42578125" defaultRowHeight="15" customHeight="1" x14ac:dyDescent="0.25"/>
  <cols>
    <col min="1" max="1" width="6.5703125" customWidth="1"/>
    <col min="2" max="2" width="27.5703125" bestFit="1" customWidth="1"/>
    <col min="3" max="3" width="11.85546875" bestFit="1" customWidth="1"/>
    <col min="4" max="4" width="9.28515625" bestFit="1" customWidth="1"/>
    <col min="5" max="5" width="9" bestFit="1" customWidth="1"/>
    <col min="6" max="6" width="9.7109375" bestFit="1" customWidth="1"/>
    <col min="7" max="7" width="12.42578125" hidden="1" customWidth="1"/>
    <col min="8" max="8" width="6.28515625" customWidth="1"/>
    <col min="9" max="9" width="15.28515625" customWidth="1"/>
    <col min="10" max="10" width="18.5703125" customWidth="1"/>
    <col min="11" max="11" width="14.5703125" customWidth="1"/>
    <col min="12" max="15" width="9.140625" customWidth="1"/>
    <col min="16" max="16" width="11.28515625" customWidth="1"/>
    <col min="17" max="17" width="13.5703125" customWidth="1"/>
    <col min="18" max="19" width="9.140625" customWidth="1"/>
    <col min="20" max="20" width="13.28515625" customWidth="1"/>
    <col min="21" max="21" width="9.140625" customWidth="1"/>
    <col min="22" max="22" width="14.5703125" customWidth="1"/>
    <col min="23" max="26" width="9.140625" customWidth="1"/>
  </cols>
  <sheetData>
    <row r="1" spans="1:26" ht="20.25" x14ac:dyDescent="0.3">
      <c r="A1" s="197"/>
      <c r="B1" s="1949" t="str">
        <f>IF(NAME="","Insert Project Name on Prelim Page",NAME)</f>
        <v>Town Center</v>
      </c>
      <c r="C1" s="1950"/>
      <c r="D1" s="1950"/>
      <c r="E1" s="1950"/>
      <c r="F1" s="1950"/>
      <c r="G1" s="1951"/>
      <c r="H1" s="219"/>
      <c r="I1" s="219"/>
      <c r="J1" s="219"/>
      <c r="K1" s="219"/>
      <c r="L1" s="219"/>
      <c r="M1" s="23"/>
      <c r="N1" s="219"/>
      <c r="O1" s="219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197"/>
      <c r="B2" s="1952" t="str">
        <f>CITY</f>
        <v>Santa Maria, CA 93454</v>
      </c>
      <c r="C2" s="1953"/>
      <c r="D2" s="1953"/>
      <c r="E2" s="1953"/>
      <c r="F2" s="1953"/>
      <c r="G2" s="1954"/>
      <c r="H2" s="2"/>
      <c r="I2" s="2"/>
      <c r="J2" s="2"/>
      <c r="K2" s="2"/>
      <c r="L2" s="2"/>
      <c r="M2" s="220"/>
      <c r="N2" s="2"/>
      <c r="O2" s="2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139"/>
      <c r="B3" s="221" t="s">
        <v>633</v>
      </c>
      <c r="C3" s="221"/>
      <c r="D3" s="221"/>
      <c r="E3" s="222"/>
      <c r="F3" s="223"/>
      <c r="G3" s="224">
        <f ca="1">TRUNC(NOW())</f>
        <v>46271</v>
      </c>
      <c r="H3" s="225"/>
      <c r="I3" s="2"/>
      <c r="J3" s="2"/>
      <c r="K3" s="2"/>
      <c r="L3" s="2"/>
      <c r="M3" s="220"/>
      <c r="N3" s="2"/>
      <c r="O3" s="2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226"/>
      <c r="B4" s="227"/>
      <c r="C4" s="221"/>
      <c r="D4" s="221"/>
      <c r="E4" s="222"/>
      <c r="F4" s="222"/>
      <c r="G4" s="22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6"/>
      <c r="B5" s="228" t="s">
        <v>633</v>
      </c>
      <c r="C5" s="229"/>
      <c r="D5" s="229"/>
      <c r="E5" s="229"/>
      <c r="F5" s="229"/>
      <c r="G5" s="230" t="s">
        <v>209</v>
      </c>
      <c r="H5" s="6"/>
      <c r="I5" s="231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9.25" customHeight="1" x14ac:dyDescent="0.25">
      <c r="A6" s="6"/>
      <c r="B6" s="232" t="s">
        <v>210</v>
      </c>
      <c r="C6" s="233" t="s">
        <v>211</v>
      </c>
      <c r="D6" s="233" t="s">
        <v>79</v>
      </c>
      <c r="E6" s="661" t="s">
        <v>212</v>
      </c>
      <c r="F6" s="234" t="s">
        <v>213</v>
      </c>
      <c r="G6" s="233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235"/>
      <c r="B7" s="223" t="s">
        <v>214</v>
      </c>
      <c r="C7" s="236">
        <f>LOAN</f>
        <v>15552810.511988698</v>
      </c>
      <c r="D7" s="236">
        <f t="shared" ref="D7:D12" si="0">IFERROR(C7/UNITS,0)</f>
        <v>189668.42087791095</v>
      </c>
      <c r="E7" s="237">
        <f t="shared" ref="E7:E12" si="1">IFERROR(C7/NRSF,0)</f>
        <v>299.73931269743224</v>
      </c>
      <c r="F7" s="238">
        <f t="shared" ref="F7:F12" si="2">IFERROR(C7/$C$12,0)</f>
        <v>0.60646130761347339</v>
      </c>
      <c r="G7" s="6"/>
      <c r="H7" s="6"/>
      <c r="I7" s="6"/>
      <c r="J7" s="15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52"/>
      <c r="W7" s="6"/>
      <c r="X7" s="6"/>
      <c r="Y7" s="6"/>
      <c r="Z7" s="6"/>
    </row>
    <row r="8" spans="1:26" hidden="1" x14ac:dyDescent="0.25">
      <c r="A8" s="235"/>
      <c r="B8" s="223" t="s">
        <v>501</v>
      </c>
      <c r="C8" s="236">
        <v>0</v>
      </c>
      <c r="D8" s="236">
        <f t="shared" si="0"/>
        <v>0</v>
      </c>
      <c r="E8" s="237">
        <f t="shared" si="1"/>
        <v>0</v>
      </c>
      <c r="F8" s="238">
        <f t="shared" si="2"/>
        <v>0</v>
      </c>
      <c r="H8" s="6"/>
      <c r="I8" s="6"/>
      <c r="J8" s="15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52"/>
      <c r="W8" s="6"/>
      <c r="X8" s="6"/>
      <c r="Y8" s="6"/>
      <c r="Z8" s="6"/>
    </row>
    <row r="9" spans="1:26" ht="15" hidden="1" customHeight="1" x14ac:dyDescent="0.25">
      <c r="A9" s="239"/>
      <c r="B9" s="223" t="s">
        <v>215</v>
      </c>
      <c r="C9" s="236">
        <v>0</v>
      </c>
      <c r="D9" s="236">
        <f t="shared" si="0"/>
        <v>0</v>
      </c>
      <c r="E9" s="237">
        <f t="shared" si="1"/>
        <v>0</v>
      </c>
      <c r="F9" s="238">
        <f t="shared" si="2"/>
        <v>0</v>
      </c>
      <c r="H9" s="6"/>
      <c r="I9" s="152"/>
      <c r="J9" s="152"/>
      <c r="K9" s="6"/>
      <c r="L9" s="240"/>
      <c r="M9" s="6"/>
      <c r="N9" s="6"/>
      <c r="O9" s="6"/>
      <c r="P9" s="6"/>
      <c r="Q9" s="6"/>
      <c r="R9" s="6"/>
      <c r="S9" s="6"/>
      <c r="T9" s="6"/>
      <c r="U9" s="6"/>
      <c r="V9" s="152"/>
      <c r="W9" s="6"/>
      <c r="X9" s="6"/>
      <c r="Y9" s="6"/>
      <c r="Z9" s="6"/>
    </row>
    <row r="10" spans="1:26" ht="15" customHeight="1" x14ac:dyDescent="0.25">
      <c r="A10" s="239"/>
      <c r="B10" s="223" t="s">
        <v>216</v>
      </c>
      <c r="C10" s="236">
        <f>Summary!K31</f>
        <v>5500000</v>
      </c>
      <c r="D10" s="236">
        <f t="shared" si="0"/>
        <v>67073.170731707316</v>
      </c>
      <c r="E10" s="237">
        <f t="shared" si="1"/>
        <v>105.99796214099695</v>
      </c>
      <c r="F10" s="238">
        <f t="shared" si="2"/>
        <v>0.21446523696170186</v>
      </c>
      <c r="H10" s="6"/>
      <c r="I10" s="152"/>
      <c r="J10" s="152"/>
      <c r="K10" s="6"/>
      <c r="L10" s="240"/>
      <c r="M10" s="6"/>
      <c r="N10" s="6"/>
      <c r="O10" s="6"/>
      <c r="P10" s="6"/>
      <c r="Q10" s="6"/>
      <c r="R10" s="6"/>
      <c r="S10" s="6"/>
      <c r="T10" s="6"/>
      <c r="U10" s="6"/>
      <c r="V10" s="152"/>
      <c r="W10" s="6"/>
      <c r="X10" s="6"/>
      <c r="Y10" s="6"/>
      <c r="Z10" s="6"/>
    </row>
    <row r="11" spans="1:26" ht="15" customHeight="1" x14ac:dyDescent="0.25">
      <c r="A11" s="239"/>
      <c r="B11" s="223" t="s">
        <v>217</v>
      </c>
      <c r="C11" s="236">
        <f>C22-SUM(C7:C10)</f>
        <v>4592371.3268850893</v>
      </c>
      <c r="D11" s="236">
        <f t="shared" si="0"/>
        <v>56004.528376647431</v>
      </c>
      <c r="E11" s="237">
        <f t="shared" si="1"/>
        <v>88.505818553557376</v>
      </c>
      <c r="F11" s="238">
        <f t="shared" si="2"/>
        <v>0.1790734554248247</v>
      </c>
      <c r="H11" s="6"/>
      <c r="I11" s="152"/>
      <c r="J11" s="152"/>
      <c r="K11" s="6"/>
      <c r="L11" s="240"/>
      <c r="M11" s="6"/>
      <c r="N11" s="6"/>
      <c r="O11" s="6"/>
      <c r="P11" s="6"/>
      <c r="Q11" s="6"/>
      <c r="R11" s="6"/>
      <c r="S11" s="6"/>
      <c r="T11" s="6"/>
      <c r="U11" s="6"/>
      <c r="V11" s="1065"/>
      <c r="W11" s="6"/>
      <c r="X11" s="6"/>
      <c r="Y11" s="6"/>
      <c r="Z11" s="6"/>
    </row>
    <row r="12" spans="1:26" x14ac:dyDescent="0.25">
      <c r="A12" s="239"/>
      <c r="B12" s="232" t="s">
        <v>218</v>
      </c>
      <c r="C12" s="241">
        <f>SUM(C7:C11)</f>
        <v>25645181.838873789</v>
      </c>
      <c r="D12" s="241">
        <f t="shared" si="0"/>
        <v>312746.11998626572</v>
      </c>
      <c r="E12" s="242">
        <f t="shared" si="1"/>
        <v>494.24309339198658</v>
      </c>
      <c r="F12" s="243">
        <f t="shared" si="2"/>
        <v>1</v>
      </c>
      <c r="G12" s="244"/>
      <c r="H12" s="6"/>
      <c r="I12" s="6"/>
      <c r="J12" s="15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64"/>
      <c r="W12" s="6"/>
      <c r="X12" s="6"/>
      <c r="Y12" s="6"/>
      <c r="Z12" s="6"/>
    </row>
    <row r="13" spans="1:26" x14ac:dyDescent="0.25">
      <c r="A13" s="239"/>
      <c r="B13" s="223"/>
      <c r="C13" s="237"/>
      <c r="D13" s="237"/>
      <c r="E13" s="223"/>
      <c r="F13" s="245"/>
      <c r="G13" s="232"/>
      <c r="H13" s="1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5">
      <c r="A14" s="239"/>
      <c r="B14" s="232" t="s">
        <v>219</v>
      </c>
      <c r="C14" s="236"/>
      <c r="D14" s="236"/>
      <c r="E14" s="246"/>
      <c r="F14" s="238"/>
      <c r="G14" s="247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239"/>
      <c r="B15" s="223" t="str">
        <f>'Dev Costs'!B6</f>
        <v>Land Costs</v>
      </c>
      <c r="C15" s="542">
        <f>'Dev Costs'!C19</f>
        <v>3280000</v>
      </c>
      <c r="D15" s="542">
        <f t="shared" ref="D15:D22" si="3">IFERROR(C15/UNITS,0)</f>
        <v>40000</v>
      </c>
      <c r="E15" s="543">
        <f t="shared" ref="E15:E22" si="4">IFERROR(C15/NRSF,0)</f>
        <v>63.213330149539999</v>
      </c>
      <c r="F15" s="544">
        <f t="shared" ref="F15:F22" si="5">IFERROR(C15/$C$12,0)</f>
        <v>0.12789926858806946</v>
      </c>
      <c r="G15" s="23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s="239"/>
      <c r="B16" s="223" t="str">
        <f>'Dev Costs'!B21</f>
        <v>Soft Costs</v>
      </c>
      <c r="C16" s="542">
        <f>'Dev Costs'!C54</f>
        <v>2382808.7651749132</v>
      </c>
      <c r="D16" s="542">
        <f t="shared" si="3"/>
        <v>29058.643477742844</v>
      </c>
      <c r="E16" s="543">
        <f t="shared" si="4"/>
        <v>45.92234059640839</v>
      </c>
      <c r="F16" s="544">
        <f t="shared" si="5"/>
        <v>9.2914481174119629E-2</v>
      </c>
      <c r="G16" s="22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239"/>
      <c r="B17" s="223" t="str">
        <f>'Dev Costs'!B56</f>
        <v>Hard Costs</v>
      </c>
      <c r="C17" s="542">
        <f>'Dev Costs'!C109</f>
        <v>16570575.022500005</v>
      </c>
      <c r="D17" s="542">
        <f t="shared" si="3"/>
        <v>202080.18320121957</v>
      </c>
      <c r="E17" s="543">
        <f t="shared" si="4"/>
        <v>319.35403343445546</v>
      </c>
      <c r="F17" s="544">
        <f t="shared" si="5"/>
        <v>0.64614769068947664</v>
      </c>
      <c r="G17" s="22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239"/>
      <c r="B18" s="247" t="str">
        <f>'Dev Costs'!B111</f>
        <v>OH/Profit/Fees</v>
      </c>
      <c r="C18" s="542">
        <f>'Dev Costs'!C115</f>
        <v>1694017</v>
      </c>
      <c r="D18" s="542">
        <f t="shared" si="3"/>
        <v>20658.743902439026</v>
      </c>
      <c r="E18" s="543">
        <f t="shared" si="4"/>
        <v>32.64769996949186</v>
      </c>
      <c r="F18" s="544">
        <f t="shared" si="5"/>
        <v>6.6055955876754779E-2</v>
      </c>
      <c r="G18" s="22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hidden="1" customHeight="1" x14ac:dyDescent="0.25">
      <c r="A19" s="239"/>
      <c r="B19" s="558" t="s">
        <v>504</v>
      </c>
      <c r="C19" s="542">
        <f>'Dev Costs'!C131</f>
        <v>0</v>
      </c>
      <c r="D19" s="542">
        <f t="shared" ref="D19" si="6">IFERROR(C19/UNITS,0)</f>
        <v>0</v>
      </c>
      <c r="E19" s="543">
        <f t="shared" ref="E19" si="7">IFERROR(C19/NRSF,0)</f>
        <v>0</v>
      </c>
      <c r="F19" s="544">
        <f t="shared" ref="F19" si="8">IFERROR(C19/$C$12,0)</f>
        <v>0</v>
      </c>
      <c r="G19" s="55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239"/>
      <c r="B20" s="558" t="s">
        <v>220</v>
      </c>
      <c r="C20" s="542">
        <f>'Dev Costs'!C118</f>
        <v>1244224.8409590959</v>
      </c>
      <c r="D20" s="542">
        <f t="shared" ref="D20" si="9">IFERROR(C20/UNITS,0)</f>
        <v>15173.473670232876</v>
      </c>
      <c r="E20" s="543">
        <f t="shared" ref="E20" si="10">IFERROR(C20/NRSF,0)</f>
        <v>23.979145015794579</v>
      </c>
      <c r="F20" s="544">
        <f t="shared" ref="F20" si="11">IFERROR(C20/$C$12,0)</f>
        <v>4.8516904609077871E-2</v>
      </c>
      <c r="G20" s="559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 customHeight="1" x14ac:dyDescent="0.25">
      <c r="A21" s="239"/>
      <c r="B21" s="247" t="str">
        <f>'Dev Costs'!B117</f>
        <v>Financing Costs</v>
      </c>
      <c r="C21" s="545">
        <f>C38</f>
        <v>473556.21023977397</v>
      </c>
      <c r="D21" s="545">
        <f t="shared" si="3"/>
        <v>5775.0757346313894</v>
      </c>
      <c r="E21" s="546">
        <f t="shared" si="4"/>
        <v>9.1265442262962821</v>
      </c>
      <c r="F21" s="547">
        <f t="shared" si="5"/>
        <v>1.8465699062501569E-2</v>
      </c>
      <c r="G21" s="249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239"/>
      <c r="B22" s="232" t="s">
        <v>221</v>
      </c>
      <c r="C22" s="251">
        <f>SUM(C15:C21)</f>
        <v>25645181.838873789</v>
      </c>
      <c r="D22" s="251">
        <f t="shared" si="3"/>
        <v>312746.11998626572</v>
      </c>
      <c r="E22" s="252">
        <f t="shared" si="4"/>
        <v>494.24309339198658</v>
      </c>
      <c r="F22" s="253">
        <f t="shared" si="5"/>
        <v>1</v>
      </c>
      <c r="G22" s="22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hidden="1" customHeight="1" x14ac:dyDescent="0.25">
      <c r="A23" s="239"/>
      <c r="B23" s="232"/>
      <c r="C23" s="251"/>
      <c r="D23" s="251"/>
      <c r="E23" s="252"/>
      <c r="F23" s="253"/>
      <c r="G23" s="22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hidden="1" customHeight="1" x14ac:dyDescent="0.25">
      <c r="A24" s="239"/>
      <c r="B24" s="254" t="s">
        <v>222</v>
      </c>
      <c r="C24" s="255">
        <v>-210000</v>
      </c>
      <c r="D24" s="256">
        <f>IFERROR(C24/UNITS,0)</f>
        <v>-2560.9756097560976</v>
      </c>
      <c r="E24" s="257">
        <f>IFERROR(C24/NRSF,0)</f>
        <v>-4.0471949181107929</v>
      </c>
      <c r="F24" s="258">
        <f>IFERROR(C24/$C$12,0)</f>
        <v>-8.1886726839922527E-3</v>
      </c>
      <c r="G24" s="24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hidden="1" customHeight="1" x14ac:dyDescent="0.25">
      <c r="A25" s="239"/>
      <c r="B25" s="251"/>
      <c r="C25" s="251"/>
      <c r="D25" s="251"/>
      <c r="E25" s="252"/>
      <c r="F25" s="253"/>
      <c r="G25" s="22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hidden="1" customHeight="1" x14ac:dyDescent="0.25">
      <c r="A26" s="239"/>
      <c r="B26" s="247" t="s">
        <v>223</v>
      </c>
      <c r="C26" s="259">
        <v>0</v>
      </c>
      <c r="D26" s="223"/>
      <c r="E26" s="223"/>
      <c r="F26" s="260"/>
      <c r="G26" s="23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hidden="1" customHeight="1" x14ac:dyDescent="0.25">
      <c r="A27" s="239"/>
      <c r="B27" s="232" t="s">
        <v>224</v>
      </c>
      <c r="C27" s="261">
        <f>C22+C26+C24</f>
        <v>25435181.838873789</v>
      </c>
      <c r="D27" s="241">
        <f>IFERROR(C27/UNITS,0)</f>
        <v>310185.14437650959</v>
      </c>
      <c r="E27" s="262">
        <f>E22</f>
        <v>494.24309339198658</v>
      </c>
      <c r="F27" s="263"/>
      <c r="G27" s="23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239"/>
      <c r="B28" s="223"/>
      <c r="C28" s="237"/>
      <c r="D28" s="237"/>
      <c r="E28" s="223"/>
      <c r="F28" s="245"/>
      <c r="G28" s="23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239"/>
      <c r="B29" s="229" t="s">
        <v>225</v>
      </c>
      <c r="C29" s="33"/>
      <c r="D29" s="33"/>
      <c r="E29" s="223"/>
      <c r="F29" s="223"/>
      <c r="G29" s="24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239"/>
      <c r="B30" s="247" t="s">
        <v>226</v>
      </c>
      <c r="C30" s="264">
        <f>D30*C7</f>
        <v>155528.10511988698</v>
      </c>
      <c r="D30" s="265">
        <v>0.01</v>
      </c>
      <c r="E30" s="266"/>
      <c r="F30" s="223"/>
      <c r="G30" s="22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39"/>
      <c r="B31" s="247" t="s">
        <v>618</v>
      </c>
      <c r="C31" s="264">
        <f>D31*C7</f>
        <v>155528.10511988698</v>
      </c>
      <c r="D31" s="265">
        <v>0.01</v>
      </c>
      <c r="E31" s="266"/>
      <c r="F31" s="223"/>
      <c r="G31" s="26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39"/>
      <c r="B32" s="247" t="s">
        <v>619</v>
      </c>
      <c r="C32" s="264">
        <f>D32*JVEQUITY</f>
        <v>110000</v>
      </c>
      <c r="D32" s="268">
        <v>0.02</v>
      </c>
      <c r="E32" s="266"/>
      <c r="F32" s="223"/>
      <c r="G32" s="22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39"/>
      <c r="B33" s="247" t="s">
        <v>170</v>
      </c>
      <c r="C33" s="269">
        <v>20000</v>
      </c>
      <c r="D33" s="270"/>
      <c r="E33" s="266"/>
      <c r="F33" s="223"/>
      <c r="G33" s="22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39"/>
      <c r="B34" s="247" t="s">
        <v>227</v>
      </c>
      <c r="C34" s="269">
        <v>15000</v>
      </c>
      <c r="D34" s="236"/>
      <c r="E34" s="223"/>
      <c r="F34" s="223"/>
      <c r="G34" s="223"/>
      <c r="H34" s="27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39"/>
      <c r="B35" s="247" t="s">
        <v>228</v>
      </c>
      <c r="C35" s="269">
        <v>10000</v>
      </c>
      <c r="D35" s="236"/>
      <c r="E35" s="223"/>
      <c r="F35" s="223"/>
      <c r="G35" s="223"/>
      <c r="H35" s="27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239"/>
      <c r="B36" s="247" t="s">
        <v>229</v>
      </c>
      <c r="C36" s="269">
        <v>7500</v>
      </c>
      <c r="D36" s="236"/>
      <c r="E36" s="223"/>
      <c r="F36" s="223"/>
      <c r="G36" s="223"/>
      <c r="H36" s="27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hidden="1" customHeight="1" x14ac:dyDescent="0.25">
      <c r="A37" s="239"/>
      <c r="B37" s="250" t="s">
        <v>230</v>
      </c>
      <c r="C37" s="269">
        <v>0</v>
      </c>
      <c r="D37" s="256"/>
      <c r="E37" s="272"/>
      <c r="F37" s="272"/>
      <c r="G37" s="237"/>
      <c r="H37" s="6"/>
      <c r="I37" s="6"/>
      <c r="J37" s="152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239"/>
      <c r="B38" s="232" t="s">
        <v>231</v>
      </c>
      <c r="C38" s="261">
        <f>SUM(C30:C37)</f>
        <v>473556.21023977397</v>
      </c>
      <c r="D38" s="251"/>
      <c r="E38" s="223"/>
      <c r="F38" s="223"/>
      <c r="G38" s="23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239"/>
      <c r="B39" s="23"/>
      <c r="C39" s="273"/>
      <c r="D39" s="27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239"/>
      <c r="B40" s="275" t="s">
        <v>232</v>
      </c>
      <c r="C40" s="275"/>
      <c r="D40" s="275"/>
      <c r="E40" s="275"/>
      <c r="F40" s="275"/>
      <c r="G40" s="275"/>
      <c r="H40" s="6"/>
      <c r="I40" s="6"/>
      <c r="J40" s="6"/>
      <c r="K40" s="6"/>
      <c r="L40" s="6"/>
      <c r="M40" s="6"/>
      <c r="N40" s="23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25">
      <c r="A41" s="215">
        <v>-1</v>
      </c>
      <c r="B41" s="1955"/>
      <c r="C41" s="1956"/>
      <c r="D41" s="1956"/>
      <c r="E41" s="1956"/>
      <c r="F41" s="1956"/>
      <c r="G41" s="1956"/>
      <c r="H41" s="6"/>
      <c r="I41" s="6"/>
      <c r="J41" s="6"/>
      <c r="K41" s="162"/>
      <c r="L41" s="6"/>
      <c r="M41" s="6"/>
      <c r="N41" s="6"/>
      <c r="O41" s="6"/>
      <c r="P41" s="162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" customHeight="1" x14ac:dyDescent="0.25">
      <c r="A42" s="215">
        <v>-2</v>
      </c>
      <c r="B42" s="1955"/>
      <c r="C42" s="1956"/>
      <c r="D42" s="1956"/>
      <c r="E42" s="1956"/>
      <c r="F42" s="1956"/>
      <c r="G42" s="1956"/>
      <c r="H42" s="6"/>
      <c r="I42" s="6"/>
      <c r="J42" s="6"/>
      <c r="K42" s="162"/>
      <c r="L42" s="6"/>
      <c r="M42" s="6"/>
      <c r="N42" s="6"/>
      <c r="O42" s="6"/>
      <c r="P42" s="162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 x14ac:dyDescent="0.25">
      <c r="A43" s="215">
        <v>-3</v>
      </c>
      <c r="B43" s="1957"/>
      <c r="C43" s="1947"/>
      <c r="D43" s="1947"/>
      <c r="E43" s="1947"/>
      <c r="F43" s="1947"/>
      <c r="G43" s="1948"/>
      <c r="H43" s="6"/>
      <c r="I43" s="6"/>
      <c r="J43" s="6"/>
      <c r="K43" s="162"/>
      <c r="L43" s="6"/>
      <c r="M43" s="6"/>
      <c r="N43" s="6"/>
      <c r="O43" s="6"/>
      <c r="P43" s="162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215">
        <v>-4</v>
      </c>
      <c r="B44" s="1946"/>
      <c r="C44" s="1947"/>
      <c r="D44" s="1947"/>
      <c r="E44" s="1947"/>
      <c r="F44" s="1947"/>
      <c r="G44" s="1948"/>
      <c r="H44" s="6"/>
      <c r="I44" s="6"/>
      <c r="J44" s="6"/>
      <c r="K44" s="162"/>
      <c r="L44" s="6"/>
      <c r="M44" s="6"/>
      <c r="N44" s="6"/>
      <c r="O44" s="6"/>
      <c r="P44" s="162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 x14ac:dyDescent="0.25">
      <c r="A45" s="215">
        <v>-5</v>
      </c>
      <c r="B45" s="6"/>
      <c r="C45" s="6"/>
      <c r="D45" s="6"/>
      <c r="E45" s="6"/>
      <c r="F45" s="6"/>
      <c r="G45" s="6"/>
      <c r="H45" s="6"/>
      <c r="I45" s="6"/>
      <c r="J45" s="6"/>
      <c r="K45" s="162"/>
      <c r="L45" s="6"/>
      <c r="M45" s="6"/>
      <c r="N45" s="6"/>
      <c r="O45" s="6"/>
      <c r="P45" s="162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215">
        <v>-6</v>
      </c>
      <c r="B46" s="6"/>
      <c r="C46" s="231"/>
      <c r="D46" s="231"/>
      <c r="E46" s="6"/>
      <c r="F46" s="276"/>
      <c r="G46" s="6"/>
      <c r="H46" s="6"/>
      <c r="I46" s="6"/>
      <c r="J46" s="6"/>
      <c r="K46" s="162"/>
      <c r="L46" s="6"/>
      <c r="M46" s="6"/>
      <c r="N46" s="6"/>
      <c r="O46" s="6"/>
      <c r="P46" s="162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231"/>
      <c r="D47" s="231"/>
      <c r="E47" s="6"/>
      <c r="F47" s="276"/>
      <c r="G47" s="6"/>
      <c r="H47" s="6"/>
      <c r="I47" s="6"/>
      <c r="J47" s="6"/>
      <c r="K47" s="162"/>
      <c r="L47" s="6"/>
      <c r="M47" s="6"/>
      <c r="N47" s="6"/>
      <c r="O47" s="6"/>
      <c r="P47" s="277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231"/>
      <c r="D48" s="231"/>
      <c r="E48" s="6"/>
      <c r="F48" s="276"/>
      <c r="G48" s="6"/>
      <c r="H48" s="6"/>
      <c r="I48" s="6"/>
      <c r="J48" s="6"/>
      <c r="K48" s="6"/>
      <c r="L48" s="6"/>
      <c r="M48" s="6"/>
      <c r="N48" s="6"/>
      <c r="O48" s="6"/>
      <c r="P48" s="162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231"/>
      <c r="D49" s="231"/>
      <c r="E49" s="6"/>
      <c r="F49" s="27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231"/>
      <c r="D50" s="231"/>
      <c r="E50" s="6"/>
      <c r="F50" s="27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231"/>
      <c r="D51" s="231"/>
      <c r="E51" s="6"/>
      <c r="F51" s="27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231"/>
      <c r="D52" s="231"/>
      <c r="E52" s="6"/>
      <c r="F52" s="27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231"/>
      <c r="D53" s="231"/>
      <c r="E53" s="6"/>
      <c r="F53" s="27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231"/>
      <c r="D54" s="231"/>
      <c r="E54" s="6"/>
      <c r="F54" s="27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231"/>
      <c r="D55" s="231"/>
      <c r="E55" s="6"/>
      <c r="F55" s="27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231"/>
      <c r="D56" s="231"/>
      <c r="E56" s="6"/>
      <c r="F56" s="276"/>
      <c r="G56" s="6"/>
      <c r="H56" s="6"/>
      <c r="I56" s="6"/>
      <c r="J56" s="6"/>
      <c r="K56" s="6"/>
      <c r="L56" s="278"/>
      <c r="M56" s="279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231"/>
      <c r="D57" s="231"/>
      <c r="E57" s="6"/>
      <c r="F57" s="276"/>
      <c r="G57" s="6"/>
      <c r="H57" s="6"/>
      <c r="I57" s="6"/>
      <c r="J57" s="6"/>
      <c r="K57" s="6"/>
      <c r="L57" s="10"/>
      <c r="M57" s="279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231"/>
      <c r="D58" s="231"/>
      <c r="E58" s="6"/>
      <c r="F58" s="27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231"/>
      <c r="D59" s="231"/>
      <c r="E59" s="6"/>
      <c r="F59" s="27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231"/>
      <c r="D60" s="231"/>
      <c r="E60" s="6"/>
      <c r="F60" s="27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231"/>
      <c r="D61" s="231"/>
      <c r="E61" s="6"/>
      <c r="F61" s="27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231"/>
      <c r="D62" s="231"/>
      <c r="E62" s="6"/>
      <c r="F62" s="27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231"/>
      <c r="D63" s="231"/>
      <c r="E63" s="6"/>
      <c r="F63" s="27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231"/>
      <c r="D64" s="231"/>
      <c r="E64" s="6"/>
      <c r="F64" s="27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231"/>
      <c r="D65" s="231"/>
      <c r="E65" s="6"/>
      <c r="F65" s="27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231"/>
      <c r="D66" s="231"/>
      <c r="E66" s="6"/>
      <c r="F66" s="27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231"/>
      <c r="D67" s="231"/>
      <c r="E67" s="6"/>
      <c r="F67" s="27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231"/>
      <c r="D68" s="231"/>
      <c r="E68" s="6"/>
      <c r="F68" s="27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231"/>
      <c r="D69" s="231"/>
      <c r="E69" s="6"/>
      <c r="F69" s="27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231"/>
      <c r="D70" s="231"/>
      <c r="E70" s="6"/>
      <c r="F70" s="27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231"/>
      <c r="D71" s="231"/>
      <c r="E71" s="6"/>
      <c r="F71" s="27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231"/>
      <c r="D72" s="231"/>
      <c r="E72" s="6"/>
      <c r="F72" s="27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231"/>
      <c r="D73" s="231"/>
      <c r="E73" s="6"/>
      <c r="F73" s="27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231"/>
      <c r="D74" s="231"/>
      <c r="E74" s="6"/>
      <c r="F74" s="27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231"/>
      <c r="D75" s="231"/>
      <c r="E75" s="6"/>
      <c r="F75" s="27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231"/>
      <c r="D76" s="231"/>
      <c r="E76" s="6"/>
      <c r="F76" s="27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231"/>
      <c r="D77" s="231"/>
      <c r="E77" s="6"/>
      <c r="F77" s="27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231"/>
      <c r="D78" s="231"/>
      <c r="E78" s="6"/>
      <c r="F78" s="27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231"/>
      <c r="D79" s="231"/>
      <c r="E79" s="6"/>
      <c r="F79" s="27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231"/>
      <c r="D80" s="231"/>
      <c r="E80" s="6"/>
      <c r="F80" s="27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231"/>
      <c r="D81" s="231"/>
      <c r="E81" s="6"/>
      <c r="F81" s="27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231"/>
      <c r="D82" s="231"/>
      <c r="E82" s="6"/>
      <c r="F82" s="27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231"/>
      <c r="D83" s="231"/>
      <c r="E83" s="6"/>
      <c r="F83" s="27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231"/>
      <c r="D84" s="231"/>
      <c r="E84" s="6"/>
      <c r="F84" s="27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231"/>
      <c r="D85" s="231"/>
      <c r="E85" s="6"/>
      <c r="F85" s="27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231"/>
      <c r="D86" s="231"/>
      <c r="E86" s="6"/>
      <c r="F86" s="27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231"/>
      <c r="D87" s="231"/>
      <c r="E87" s="6"/>
      <c r="F87" s="27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231"/>
      <c r="D88" s="231"/>
      <c r="E88" s="6"/>
      <c r="F88" s="27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231"/>
      <c r="D89" s="231"/>
      <c r="E89" s="6"/>
      <c r="F89" s="27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231"/>
      <c r="D90" s="231"/>
      <c r="E90" s="6"/>
      <c r="F90" s="27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231"/>
      <c r="D91" s="231"/>
      <c r="E91" s="6"/>
      <c r="F91" s="27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231"/>
      <c r="D92" s="231"/>
      <c r="E92" s="6"/>
      <c r="F92" s="27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231"/>
      <c r="D93" s="231"/>
      <c r="E93" s="6"/>
      <c r="F93" s="27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231"/>
      <c r="D94" s="231"/>
      <c r="E94" s="6"/>
      <c r="F94" s="27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231"/>
      <c r="D95" s="231"/>
      <c r="E95" s="6"/>
      <c r="F95" s="27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231"/>
      <c r="D96" s="231"/>
      <c r="E96" s="6"/>
      <c r="F96" s="27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231"/>
      <c r="D97" s="231"/>
      <c r="E97" s="6"/>
      <c r="F97" s="27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231"/>
      <c r="D98" s="231"/>
      <c r="E98" s="6"/>
      <c r="F98" s="27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231"/>
      <c r="D99" s="231"/>
      <c r="E99" s="6"/>
      <c r="F99" s="27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231"/>
      <c r="D100" s="231"/>
      <c r="E100" s="6"/>
      <c r="F100" s="27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231"/>
      <c r="D101" s="231"/>
      <c r="E101" s="6"/>
      <c r="F101" s="27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231"/>
      <c r="D102" s="231"/>
      <c r="E102" s="6"/>
      <c r="F102" s="27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231"/>
      <c r="D103" s="231"/>
      <c r="E103" s="6"/>
      <c r="F103" s="27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231"/>
      <c r="D104" s="231"/>
      <c r="E104" s="6"/>
      <c r="F104" s="27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231"/>
      <c r="D105" s="231"/>
      <c r="E105" s="6"/>
      <c r="F105" s="27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231"/>
      <c r="D106" s="231"/>
      <c r="E106" s="6"/>
      <c r="F106" s="27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231"/>
      <c r="D107" s="231"/>
      <c r="E107" s="6"/>
      <c r="F107" s="27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231"/>
      <c r="D108" s="231"/>
      <c r="E108" s="6"/>
      <c r="F108" s="27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231"/>
      <c r="D109" s="231"/>
      <c r="E109" s="6"/>
      <c r="F109" s="27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231"/>
      <c r="D110" s="231"/>
      <c r="E110" s="6"/>
      <c r="F110" s="27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231"/>
      <c r="D111" s="231"/>
      <c r="E111" s="6"/>
      <c r="F111" s="27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231"/>
      <c r="D112" s="231"/>
      <c r="E112" s="6"/>
      <c r="F112" s="27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231"/>
      <c r="D113" s="231"/>
      <c r="E113" s="6"/>
      <c r="F113" s="27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231"/>
      <c r="D114" s="231"/>
      <c r="E114" s="6"/>
      <c r="F114" s="27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231"/>
      <c r="D115" s="231"/>
      <c r="E115" s="6"/>
      <c r="F115" s="27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231"/>
      <c r="D116" s="231"/>
      <c r="E116" s="6"/>
      <c r="F116" s="27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231"/>
      <c r="D117" s="231"/>
      <c r="E117" s="6"/>
      <c r="F117" s="27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231"/>
      <c r="D118" s="231"/>
      <c r="E118" s="6"/>
      <c r="F118" s="27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231"/>
      <c r="D119" s="231"/>
      <c r="E119" s="6"/>
      <c r="F119" s="27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231"/>
      <c r="D120" s="231"/>
      <c r="E120" s="6"/>
      <c r="F120" s="27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231"/>
      <c r="D121" s="231"/>
      <c r="E121" s="6"/>
      <c r="F121" s="27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231"/>
      <c r="D122" s="231"/>
      <c r="E122" s="6"/>
      <c r="F122" s="27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231"/>
      <c r="D123" s="231"/>
      <c r="E123" s="6"/>
      <c r="F123" s="27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231"/>
      <c r="D124" s="231"/>
      <c r="E124" s="6"/>
      <c r="F124" s="27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231"/>
      <c r="D125" s="231"/>
      <c r="E125" s="6"/>
      <c r="F125" s="27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231"/>
      <c r="D126" s="231"/>
      <c r="E126" s="6"/>
      <c r="F126" s="27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231"/>
      <c r="D127" s="231"/>
      <c r="E127" s="6"/>
      <c r="F127" s="27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231"/>
      <c r="D128" s="231"/>
      <c r="E128" s="6"/>
      <c r="F128" s="27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231"/>
      <c r="D129" s="231"/>
      <c r="E129" s="6"/>
      <c r="F129" s="27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231"/>
      <c r="D130" s="231"/>
      <c r="E130" s="6"/>
      <c r="F130" s="27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231"/>
      <c r="D131" s="231"/>
      <c r="E131" s="6"/>
      <c r="F131" s="27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231"/>
      <c r="D132" s="231"/>
      <c r="E132" s="6"/>
      <c r="F132" s="27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231"/>
      <c r="D133" s="231"/>
      <c r="E133" s="6"/>
      <c r="F133" s="27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231"/>
      <c r="D134" s="231"/>
      <c r="E134" s="6"/>
      <c r="F134" s="27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231"/>
      <c r="D135" s="231"/>
      <c r="E135" s="6"/>
      <c r="F135" s="27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231"/>
      <c r="D136" s="231"/>
      <c r="E136" s="6"/>
      <c r="F136" s="27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231"/>
      <c r="D137" s="231"/>
      <c r="E137" s="6"/>
      <c r="F137" s="27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231"/>
      <c r="D138" s="231"/>
      <c r="E138" s="6"/>
      <c r="F138" s="27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231"/>
      <c r="D139" s="231"/>
      <c r="E139" s="6"/>
      <c r="F139" s="27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231"/>
      <c r="D140" s="231"/>
      <c r="E140" s="6"/>
      <c r="F140" s="27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231"/>
      <c r="D141" s="231"/>
      <c r="E141" s="6"/>
      <c r="F141" s="27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231"/>
      <c r="D142" s="231"/>
      <c r="E142" s="6"/>
      <c r="F142" s="27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231"/>
      <c r="D143" s="231"/>
      <c r="E143" s="6"/>
      <c r="F143" s="27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231"/>
      <c r="D144" s="231"/>
      <c r="E144" s="6"/>
      <c r="F144" s="27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231"/>
      <c r="D145" s="231"/>
      <c r="E145" s="6"/>
      <c r="F145" s="27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231"/>
      <c r="D146" s="231"/>
      <c r="E146" s="6"/>
      <c r="F146" s="27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231"/>
      <c r="D147" s="231"/>
      <c r="E147" s="6"/>
      <c r="F147" s="27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231"/>
      <c r="D148" s="231"/>
      <c r="E148" s="6"/>
      <c r="F148" s="27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231"/>
      <c r="D149" s="231"/>
      <c r="E149" s="6"/>
      <c r="F149" s="27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231"/>
      <c r="D150" s="231"/>
      <c r="E150" s="6"/>
      <c r="F150" s="27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231"/>
      <c r="D151" s="231"/>
      <c r="E151" s="6"/>
      <c r="F151" s="27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231"/>
      <c r="D152" s="231"/>
      <c r="E152" s="6"/>
      <c r="F152" s="27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231"/>
      <c r="D153" s="231"/>
      <c r="E153" s="6"/>
      <c r="F153" s="27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231"/>
      <c r="D154" s="231"/>
      <c r="E154" s="6"/>
      <c r="F154" s="27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231"/>
      <c r="D155" s="231"/>
      <c r="E155" s="6"/>
      <c r="F155" s="27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231"/>
      <c r="D156" s="231"/>
      <c r="E156" s="6"/>
      <c r="F156" s="27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231"/>
      <c r="D157" s="231"/>
      <c r="E157" s="6"/>
      <c r="F157" s="27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231"/>
      <c r="D158" s="231"/>
      <c r="E158" s="6"/>
      <c r="F158" s="27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231"/>
      <c r="D159" s="231"/>
      <c r="E159" s="6"/>
      <c r="F159" s="27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231"/>
      <c r="D160" s="231"/>
      <c r="E160" s="6"/>
      <c r="F160" s="27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231"/>
      <c r="D161" s="231"/>
      <c r="E161" s="6"/>
      <c r="F161" s="27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231"/>
      <c r="D162" s="231"/>
      <c r="E162" s="6"/>
      <c r="F162" s="27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231"/>
      <c r="D163" s="231"/>
      <c r="E163" s="6"/>
      <c r="F163" s="27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231"/>
      <c r="D164" s="231"/>
      <c r="E164" s="6"/>
      <c r="F164" s="27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231"/>
      <c r="D165" s="231"/>
      <c r="E165" s="6"/>
      <c r="F165" s="27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231"/>
      <c r="D166" s="231"/>
      <c r="E166" s="6"/>
      <c r="F166" s="27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231"/>
      <c r="D167" s="231"/>
      <c r="E167" s="6"/>
      <c r="F167" s="27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231"/>
      <c r="D168" s="231"/>
      <c r="E168" s="6"/>
      <c r="F168" s="27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231"/>
      <c r="D169" s="231"/>
      <c r="E169" s="6"/>
      <c r="F169" s="27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231"/>
      <c r="D170" s="231"/>
      <c r="E170" s="6"/>
      <c r="F170" s="27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231"/>
      <c r="D171" s="231"/>
      <c r="E171" s="6"/>
      <c r="F171" s="27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231"/>
      <c r="D172" s="231"/>
      <c r="E172" s="6"/>
      <c r="F172" s="27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231"/>
      <c r="D173" s="231"/>
      <c r="E173" s="6"/>
      <c r="F173" s="27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231"/>
      <c r="D174" s="231"/>
      <c r="E174" s="6"/>
      <c r="F174" s="27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231"/>
      <c r="D175" s="231"/>
      <c r="E175" s="6"/>
      <c r="F175" s="27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231"/>
      <c r="D176" s="231"/>
      <c r="E176" s="6"/>
      <c r="F176" s="27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231"/>
      <c r="D177" s="231"/>
      <c r="E177" s="6"/>
      <c r="F177" s="27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231"/>
      <c r="D178" s="231"/>
      <c r="E178" s="6"/>
      <c r="F178" s="27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231"/>
      <c r="D179" s="231"/>
      <c r="E179" s="6"/>
      <c r="F179" s="27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231"/>
      <c r="D180" s="231"/>
      <c r="E180" s="6"/>
      <c r="F180" s="27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231"/>
      <c r="D181" s="231"/>
      <c r="E181" s="6"/>
      <c r="F181" s="27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231"/>
      <c r="D182" s="231"/>
      <c r="E182" s="6"/>
      <c r="F182" s="27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231"/>
      <c r="D183" s="231"/>
      <c r="E183" s="6"/>
      <c r="F183" s="27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231"/>
      <c r="D184" s="231"/>
      <c r="E184" s="6"/>
      <c r="F184" s="27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231"/>
      <c r="D185" s="231"/>
      <c r="E185" s="6"/>
      <c r="F185" s="27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231"/>
      <c r="D186" s="231"/>
      <c r="E186" s="6"/>
      <c r="F186" s="27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231"/>
      <c r="D187" s="231"/>
      <c r="E187" s="6"/>
      <c r="F187" s="27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231"/>
      <c r="D188" s="231"/>
      <c r="E188" s="6"/>
      <c r="F188" s="27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231"/>
      <c r="D189" s="231"/>
      <c r="E189" s="6"/>
      <c r="F189" s="27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231"/>
      <c r="D190" s="231"/>
      <c r="E190" s="6"/>
      <c r="F190" s="27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231"/>
      <c r="D191" s="231"/>
      <c r="E191" s="6"/>
      <c r="F191" s="27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231"/>
      <c r="D192" s="231"/>
      <c r="E192" s="6"/>
      <c r="F192" s="27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231"/>
      <c r="D193" s="231"/>
      <c r="E193" s="6"/>
      <c r="F193" s="27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231"/>
      <c r="D194" s="231"/>
      <c r="E194" s="6"/>
      <c r="F194" s="27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231"/>
      <c r="D195" s="231"/>
      <c r="E195" s="6"/>
      <c r="F195" s="27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231"/>
      <c r="D196" s="231"/>
      <c r="E196" s="6"/>
      <c r="F196" s="27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231"/>
      <c r="D197" s="231"/>
      <c r="E197" s="6"/>
      <c r="F197" s="27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231"/>
      <c r="D198" s="231"/>
      <c r="E198" s="6"/>
      <c r="F198" s="27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231"/>
      <c r="D199" s="231"/>
      <c r="E199" s="6"/>
      <c r="F199" s="27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231"/>
      <c r="D200" s="231"/>
      <c r="E200" s="6"/>
      <c r="F200" s="27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231"/>
      <c r="D201" s="231"/>
      <c r="E201" s="6"/>
      <c r="F201" s="27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231"/>
      <c r="D202" s="231"/>
      <c r="E202" s="6"/>
      <c r="F202" s="27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231"/>
      <c r="D203" s="231"/>
      <c r="E203" s="6"/>
      <c r="F203" s="27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231"/>
      <c r="D204" s="231"/>
      <c r="E204" s="6"/>
      <c r="F204" s="27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231"/>
      <c r="D205" s="231"/>
      <c r="E205" s="6"/>
      <c r="F205" s="27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231"/>
      <c r="D206" s="231"/>
      <c r="E206" s="6"/>
      <c r="F206" s="27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231"/>
      <c r="D207" s="231"/>
      <c r="E207" s="6"/>
      <c r="F207" s="27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231"/>
      <c r="D208" s="231"/>
      <c r="E208" s="6"/>
      <c r="F208" s="27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231"/>
      <c r="D209" s="231"/>
      <c r="E209" s="6"/>
      <c r="F209" s="27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231"/>
      <c r="D210" s="231"/>
      <c r="E210" s="6"/>
      <c r="F210" s="27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231"/>
      <c r="D211" s="231"/>
      <c r="E211" s="6"/>
      <c r="F211" s="27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231"/>
      <c r="D212" s="231"/>
      <c r="E212" s="6"/>
      <c r="F212" s="27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231"/>
      <c r="D213" s="231"/>
      <c r="E213" s="6"/>
      <c r="F213" s="27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231"/>
      <c r="D214" s="231"/>
      <c r="E214" s="6"/>
      <c r="F214" s="27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231"/>
      <c r="D215" s="231"/>
      <c r="E215" s="6"/>
      <c r="F215" s="27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231"/>
      <c r="D216" s="231"/>
      <c r="E216" s="6"/>
      <c r="F216" s="27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231"/>
      <c r="D217" s="231"/>
      <c r="E217" s="6"/>
      <c r="F217" s="27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231"/>
      <c r="D218" s="231"/>
      <c r="E218" s="6"/>
      <c r="F218" s="27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231"/>
      <c r="D219" s="231"/>
      <c r="E219" s="6"/>
      <c r="F219" s="27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231"/>
      <c r="D220" s="231"/>
      <c r="E220" s="6"/>
      <c r="F220" s="27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231"/>
      <c r="D221" s="231"/>
      <c r="E221" s="6"/>
      <c r="F221" s="27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231"/>
      <c r="D222" s="231"/>
      <c r="E222" s="6"/>
      <c r="F222" s="27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231"/>
      <c r="D223" s="231"/>
      <c r="E223" s="6"/>
      <c r="F223" s="27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231"/>
      <c r="D224" s="231"/>
      <c r="E224" s="6"/>
      <c r="F224" s="27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231"/>
      <c r="D225" s="231"/>
      <c r="E225" s="6"/>
      <c r="F225" s="27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231"/>
      <c r="D226" s="231"/>
      <c r="E226" s="6"/>
      <c r="F226" s="27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231"/>
      <c r="D227" s="231"/>
      <c r="E227" s="6"/>
      <c r="F227" s="27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231"/>
      <c r="D228" s="231"/>
      <c r="E228" s="6"/>
      <c r="F228" s="27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231"/>
      <c r="D229" s="231"/>
      <c r="E229" s="6"/>
      <c r="F229" s="27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231"/>
      <c r="D230" s="231"/>
      <c r="E230" s="6"/>
      <c r="F230" s="27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231"/>
      <c r="D231" s="231"/>
      <c r="E231" s="6"/>
      <c r="F231" s="27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231"/>
      <c r="D232" s="231"/>
      <c r="E232" s="6"/>
      <c r="F232" s="27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231"/>
      <c r="D233" s="231"/>
      <c r="E233" s="6"/>
      <c r="F233" s="27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231"/>
      <c r="D234" s="231"/>
      <c r="E234" s="6"/>
      <c r="F234" s="27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231"/>
      <c r="D235" s="231"/>
      <c r="E235" s="6"/>
      <c r="F235" s="27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231"/>
      <c r="D236" s="231"/>
      <c r="E236" s="6"/>
      <c r="F236" s="27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231"/>
      <c r="D237" s="231"/>
      <c r="E237" s="6"/>
      <c r="F237" s="27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231"/>
      <c r="D238" s="231"/>
      <c r="E238" s="6"/>
      <c r="F238" s="27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231"/>
      <c r="D239" s="231"/>
      <c r="E239" s="6"/>
      <c r="F239" s="27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231"/>
      <c r="D240" s="231"/>
      <c r="E240" s="6"/>
      <c r="F240" s="27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231"/>
      <c r="D241" s="231"/>
      <c r="E241" s="6"/>
      <c r="F241" s="27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231"/>
      <c r="D242" s="231"/>
      <c r="E242" s="6"/>
      <c r="F242" s="27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231"/>
      <c r="D243" s="231"/>
      <c r="E243" s="6"/>
      <c r="F243" s="27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231"/>
      <c r="D244" s="231"/>
      <c r="E244" s="6"/>
      <c r="F244" s="27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231"/>
      <c r="D245" s="231"/>
      <c r="E245" s="6"/>
      <c r="F245" s="27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231"/>
      <c r="D246" s="231"/>
      <c r="E246" s="6"/>
      <c r="F246" s="27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231"/>
      <c r="D247" s="231"/>
      <c r="E247" s="6"/>
      <c r="F247" s="27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231"/>
      <c r="D248" s="231"/>
      <c r="E248" s="6"/>
      <c r="F248" s="27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231"/>
      <c r="D249" s="231"/>
      <c r="E249" s="6"/>
      <c r="F249" s="27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231"/>
      <c r="D250" s="231"/>
      <c r="E250" s="6"/>
      <c r="F250" s="27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231"/>
      <c r="D251" s="231"/>
      <c r="E251" s="6"/>
      <c r="F251" s="27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231"/>
      <c r="D252" s="231"/>
      <c r="E252" s="6"/>
      <c r="F252" s="27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231"/>
      <c r="D253" s="231"/>
      <c r="E253" s="6"/>
      <c r="F253" s="27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231"/>
      <c r="D254" s="231"/>
      <c r="E254" s="6"/>
      <c r="F254" s="27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231"/>
      <c r="D255" s="231"/>
      <c r="E255" s="6"/>
      <c r="F255" s="27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231"/>
      <c r="D256" s="231"/>
      <c r="E256" s="6"/>
      <c r="F256" s="27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231"/>
      <c r="D257" s="231"/>
      <c r="E257" s="6"/>
      <c r="F257" s="27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231"/>
      <c r="D258" s="231"/>
      <c r="E258" s="6"/>
      <c r="F258" s="27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231"/>
      <c r="D259" s="231"/>
      <c r="E259" s="6"/>
      <c r="F259" s="27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231"/>
      <c r="D260" s="231"/>
      <c r="E260" s="6"/>
      <c r="F260" s="27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231"/>
      <c r="D261" s="231"/>
      <c r="E261" s="6"/>
      <c r="F261" s="27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231"/>
      <c r="D262" s="231"/>
      <c r="E262" s="6"/>
      <c r="F262" s="27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231"/>
      <c r="D263" s="231"/>
      <c r="E263" s="6"/>
      <c r="F263" s="27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231"/>
      <c r="D264" s="231"/>
      <c r="E264" s="6"/>
      <c r="F264" s="27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231"/>
      <c r="D265" s="231"/>
      <c r="E265" s="6"/>
      <c r="F265" s="27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231"/>
      <c r="D266" s="231"/>
      <c r="E266" s="6"/>
      <c r="F266" s="27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231"/>
      <c r="D267" s="231"/>
      <c r="E267" s="6"/>
      <c r="F267" s="27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231"/>
      <c r="D268" s="231"/>
      <c r="E268" s="6"/>
      <c r="F268" s="27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231"/>
      <c r="D269" s="231"/>
      <c r="E269" s="6"/>
      <c r="F269" s="27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231"/>
      <c r="D270" s="231"/>
      <c r="E270" s="6"/>
      <c r="F270" s="27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231"/>
      <c r="D271" s="231"/>
      <c r="E271" s="6"/>
      <c r="F271" s="27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231"/>
      <c r="D272" s="231"/>
      <c r="E272" s="6"/>
      <c r="F272" s="27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231"/>
      <c r="D273" s="231"/>
      <c r="E273" s="6"/>
      <c r="F273" s="27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231"/>
      <c r="D274" s="231"/>
      <c r="E274" s="6"/>
      <c r="F274" s="27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231"/>
      <c r="D275" s="231"/>
      <c r="E275" s="6"/>
      <c r="F275" s="27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231"/>
      <c r="D276" s="231"/>
      <c r="E276" s="6"/>
      <c r="F276" s="27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231"/>
      <c r="D277" s="231"/>
      <c r="E277" s="6"/>
      <c r="F277" s="27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231"/>
      <c r="D278" s="231"/>
      <c r="E278" s="6"/>
      <c r="F278" s="27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231"/>
      <c r="D279" s="231"/>
      <c r="E279" s="6"/>
      <c r="F279" s="27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231"/>
      <c r="D280" s="231"/>
      <c r="E280" s="6"/>
      <c r="F280" s="27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231"/>
      <c r="D281" s="231"/>
      <c r="E281" s="6"/>
      <c r="F281" s="27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231"/>
      <c r="D282" s="231"/>
      <c r="E282" s="6"/>
      <c r="F282" s="27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231"/>
      <c r="D283" s="231"/>
      <c r="E283" s="6"/>
      <c r="F283" s="27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231"/>
      <c r="D284" s="231"/>
      <c r="E284" s="6"/>
      <c r="F284" s="27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231"/>
      <c r="D285" s="231"/>
      <c r="E285" s="6"/>
      <c r="F285" s="27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231"/>
      <c r="D286" s="231"/>
      <c r="E286" s="6"/>
      <c r="F286" s="27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231"/>
      <c r="D287" s="231"/>
      <c r="E287" s="6"/>
      <c r="F287" s="27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231"/>
      <c r="D288" s="231"/>
      <c r="E288" s="6"/>
      <c r="F288" s="27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231"/>
      <c r="D289" s="231"/>
      <c r="E289" s="6"/>
      <c r="F289" s="27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231"/>
      <c r="D290" s="231"/>
      <c r="E290" s="6"/>
      <c r="F290" s="27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231"/>
      <c r="D291" s="231"/>
      <c r="E291" s="6"/>
      <c r="F291" s="27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231"/>
      <c r="D292" s="231"/>
      <c r="E292" s="6"/>
      <c r="F292" s="27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231"/>
      <c r="D293" s="231"/>
      <c r="E293" s="6"/>
      <c r="F293" s="27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231"/>
      <c r="D294" s="231"/>
      <c r="E294" s="6"/>
      <c r="F294" s="27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231"/>
      <c r="D295" s="231"/>
      <c r="E295" s="6"/>
      <c r="F295" s="27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231"/>
      <c r="D296" s="231"/>
      <c r="E296" s="6"/>
      <c r="F296" s="27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231"/>
      <c r="D297" s="231"/>
      <c r="E297" s="6"/>
      <c r="F297" s="27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231"/>
      <c r="D298" s="231"/>
      <c r="E298" s="6"/>
      <c r="F298" s="27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231"/>
      <c r="D299" s="231"/>
      <c r="E299" s="6"/>
      <c r="F299" s="27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231"/>
      <c r="D300" s="231"/>
      <c r="E300" s="6"/>
      <c r="F300" s="27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231"/>
      <c r="D301" s="231"/>
      <c r="E301" s="6"/>
      <c r="F301" s="27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231"/>
      <c r="D302" s="231"/>
      <c r="E302" s="6"/>
      <c r="F302" s="27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231"/>
      <c r="D303" s="231"/>
      <c r="E303" s="6"/>
      <c r="F303" s="27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231"/>
      <c r="D304" s="231"/>
      <c r="E304" s="6"/>
      <c r="F304" s="27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231"/>
      <c r="D305" s="231"/>
      <c r="E305" s="6"/>
      <c r="F305" s="27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231"/>
      <c r="D306" s="231"/>
      <c r="E306" s="6"/>
      <c r="F306" s="27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231"/>
      <c r="D307" s="231"/>
      <c r="E307" s="6"/>
      <c r="F307" s="27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231"/>
      <c r="D308" s="231"/>
      <c r="E308" s="6"/>
      <c r="F308" s="27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231"/>
      <c r="D309" s="231"/>
      <c r="E309" s="6"/>
      <c r="F309" s="27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231"/>
      <c r="D310" s="231"/>
      <c r="E310" s="6"/>
      <c r="F310" s="27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231"/>
      <c r="D311" s="231"/>
      <c r="E311" s="6"/>
      <c r="F311" s="27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231"/>
      <c r="D312" s="231"/>
      <c r="E312" s="6"/>
      <c r="F312" s="27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231"/>
      <c r="D313" s="231"/>
      <c r="E313" s="6"/>
      <c r="F313" s="27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231"/>
      <c r="D314" s="231"/>
      <c r="E314" s="6"/>
      <c r="F314" s="27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231"/>
      <c r="D315" s="231"/>
      <c r="E315" s="6"/>
      <c r="F315" s="27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231"/>
      <c r="D316" s="231"/>
      <c r="E316" s="6"/>
      <c r="F316" s="27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231"/>
      <c r="D317" s="231"/>
      <c r="E317" s="6"/>
      <c r="F317" s="27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231"/>
      <c r="D318" s="231"/>
      <c r="E318" s="6"/>
      <c r="F318" s="27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231"/>
      <c r="D319" s="231"/>
      <c r="E319" s="6"/>
      <c r="F319" s="27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231"/>
      <c r="D320" s="231"/>
      <c r="E320" s="6"/>
      <c r="F320" s="27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231"/>
      <c r="D321" s="231"/>
      <c r="E321" s="6"/>
      <c r="F321" s="27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231"/>
      <c r="D322" s="231"/>
      <c r="E322" s="6"/>
      <c r="F322" s="27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231"/>
      <c r="D323" s="231"/>
      <c r="E323" s="6"/>
      <c r="F323" s="27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231"/>
      <c r="D324" s="231"/>
      <c r="E324" s="6"/>
      <c r="F324" s="27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231"/>
      <c r="D325" s="231"/>
      <c r="E325" s="6"/>
      <c r="F325" s="27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231"/>
      <c r="D326" s="231"/>
      <c r="E326" s="6"/>
      <c r="F326" s="27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231"/>
      <c r="D327" s="231"/>
      <c r="E327" s="6"/>
      <c r="F327" s="27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231"/>
      <c r="D328" s="231"/>
      <c r="E328" s="6"/>
      <c r="F328" s="27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231"/>
      <c r="D329" s="231"/>
      <c r="E329" s="6"/>
      <c r="F329" s="27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231"/>
      <c r="D330" s="231"/>
      <c r="E330" s="6"/>
      <c r="F330" s="27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231"/>
      <c r="D331" s="231"/>
      <c r="E331" s="6"/>
      <c r="F331" s="27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231"/>
      <c r="D332" s="231"/>
      <c r="E332" s="6"/>
      <c r="F332" s="27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231"/>
      <c r="D333" s="231"/>
      <c r="E333" s="6"/>
      <c r="F333" s="27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231"/>
      <c r="D334" s="231"/>
      <c r="E334" s="6"/>
      <c r="F334" s="27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231"/>
      <c r="D335" s="231"/>
      <c r="E335" s="6"/>
      <c r="F335" s="27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231"/>
      <c r="D336" s="231"/>
      <c r="E336" s="6"/>
      <c r="F336" s="27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231"/>
      <c r="D337" s="231"/>
      <c r="E337" s="6"/>
      <c r="F337" s="27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231"/>
      <c r="D338" s="231"/>
      <c r="E338" s="6"/>
      <c r="F338" s="27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231"/>
      <c r="D339" s="231"/>
      <c r="E339" s="6"/>
      <c r="F339" s="27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231"/>
      <c r="D340" s="231"/>
      <c r="E340" s="6"/>
      <c r="F340" s="27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231"/>
      <c r="D341" s="231"/>
      <c r="E341" s="6"/>
      <c r="F341" s="27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231"/>
      <c r="D342" s="231"/>
      <c r="E342" s="6"/>
      <c r="F342" s="27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231"/>
      <c r="D343" s="231"/>
      <c r="E343" s="6"/>
      <c r="F343" s="27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231"/>
      <c r="D344" s="231"/>
      <c r="E344" s="6"/>
      <c r="F344" s="27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231"/>
      <c r="D345" s="231"/>
      <c r="E345" s="6"/>
      <c r="F345" s="27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231"/>
      <c r="D346" s="231"/>
      <c r="E346" s="6"/>
      <c r="F346" s="27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231"/>
      <c r="D347" s="231"/>
      <c r="E347" s="6"/>
      <c r="F347" s="27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231"/>
      <c r="D348" s="231"/>
      <c r="E348" s="6"/>
      <c r="F348" s="27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231"/>
      <c r="D349" s="231"/>
      <c r="E349" s="6"/>
      <c r="F349" s="27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231"/>
      <c r="D350" s="231"/>
      <c r="E350" s="6"/>
      <c r="F350" s="27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231"/>
      <c r="D351" s="231"/>
      <c r="E351" s="6"/>
      <c r="F351" s="27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231"/>
      <c r="D352" s="231"/>
      <c r="E352" s="6"/>
      <c r="F352" s="27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231"/>
      <c r="D353" s="231"/>
      <c r="E353" s="6"/>
      <c r="F353" s="27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231"/>
      <c r="D354" s="231"/>
      <c r="E354" s="6"/>
      <c r="F354" s="27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231"/>
      <c r="D355" s="231"/>
      <c r="E355" s="6"/>
      <c r="F355" s="27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231"/>
      <c r="D356" s="231"/>
      <c r="E356" s="6"/>
      <c r="F356" s="27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231"/>
      <c r="D357" s="231"/>
      <c r="E357" s="6"/>
      <c r="F357" s="27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231"/>
      <c r="D358" s="231"/>
      <c r="E358" s="6"/>
      <c r="F358" s="27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231"/>
      <c r="D359" s="231"/>
      <c r="E359" s="6"/>
      <c r="F359" s="27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231"/>
      <c r="D360" s="231"/>
      <c r="E360" s="6"/>
      <c r="F360" s="27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231"/>
      <c r="D361" s="231"/>
      <c r="E361" s="6"/>
      <c r="F361" s="27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231"/>
      <c r="D362" s="231"/>
      <c r="E362" s="6"/>
      <c r="F362" s="27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231"/>
      <c r="D363" s="231"/>
      <c r="E363" s="6"/>
      <c r="F363" s="27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231"/>
      <c r="D364" s="231"/>
      <c r="E364" s="6"/>
      <c r="F364" s="27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231"/>
      <c r="D365" s="231"/>
      <c r="E365" s="6"/>
      <c r="F365" s="27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231"/>
      <c r="D366" s="231"/>
      <c r="E366" s="6"/>
      <c r="F366" s="27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231"/>
      <c r="D367" s="231"/>
      <c r="E367" s="6"/>
      <c r="F367" s="27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231"/>
      <c r="D368" s="231"/>
      <c r="E368" s="6"/>
      <c r="F368" s="27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231"/>
      <c r="D369" s="231"/>
      <c r="E369" s="6"/>
      <c r="F369" s="27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231"/>
      <c r="D370" s="231"/>
      <c r="E370" s="6"/>
      <c r="F370" s="27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231"/>
      <c r="D371" s="231"/>
      <c r="E371" s="6"/>
      <c r="F371" s="27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231"/>
      <c r="D372" s="231"/>
      <c r="E372" s="6"/>
      <c r="F372" s="27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231"/>
      <c r="D373" s="231"/>
      <c r="E373" s="6"/>
      <c r="F373" s="27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231"/>
      <c r="D374" s="231"/>
      <c r="E374" s="6"/>
      <c r="F374" s="27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231"/>
      <c r="D375" s="231"/>
      <c r="E375" s="6"/>
      <c r="F375" s="27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231"/>
      <c r="D376" s="231"/>
      <c r="E376" s="6"/>
      <c r="F376" s="27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231"/>
      <c r="D377" s="231"/>
      <c r="E377" s="6"/>
      <c r="F377" s="27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231"/>
      <c r="D378" s="231"/>
      <c r="E378" s="6"/>
      <c r="F378" s="27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231"/>
      <c r="D379" s="231"/>
      <c r="E379" s="6"/>
      <c r="F379" s="27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231"/>
      <c r="D380" s="231"/>
      <c r="E380" s="6"/>
      <c r="F380" s="27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231"/>
      <c r="D381" s="231"/>
      <c r="E381" s="6"/>
      <c r="F381" s="27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231"/>
      <c r="D382" s="231"/>
      <c r="E382" s="6"/>
      <c r="F382" s="27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231"/>
      <c r="D383" s="231"/>
      <c r="E383" s="6"/>
      <c r="F383" s="27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231"/>
      <c r="D384" s="231"/>
      <c r="E384" s="6"/>
      <c r="F384" s="27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231"/>
      <c r="D385" s="231"/>
      <c r="E385" s="6"/>
      <c r="F385" s="27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231"/>
      <c r="D386" s="231"/>
      <c r="E386" s="6"/>
      <c r="F386" s="27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231"/>
      <c r="D387" s="231"/>
      <c r="E387" s="6"/>
      <c r="F387" s="27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231"/>
      <c r="D388" s="231"/>
      <c r="E388" s="6"/>
      <c r="F388" s="27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231"/>
      <c r="D389" s="231"/>
      <c r="E389" s="6"/>
      <c r="F389" s="27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231"/>
      <c r="D390" s="231"/>
      <c r="E390" s="6"/>
      <c r="F390" s="27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231"/>
      <c r="D391" s="231"/>
      <c r="E391" s="6"/>
      <c r="F391" s="27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231"/>
      <c r="D392" s="231"/>
      <c r="E392" s="6"/>
      <c r="F392" s="27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231"/>
      <c r="D393" s="231"/>
      <c r="E393" s="6"/>
      <c r="F393" s="27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231"/>
      <c r="D394" s="231"/>
      <c r="E394" s="6"/>
      <c r="F394" s="27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231"/>
      <c r="D395" s="231"/>
      <c r="E395" s="6"/>
      <c r="F395" s="27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231"/>
      <c r="D396" s="231"/>
      <c r="E396" s="6"/>
      <c r="F396" s="27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231"/>
      <c r="D397" s="231"/>
      <c r="E397" s="6"/>
      <c r="F397" s="27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231"/>
      <c r="D398" s="231"/>
      <c r="E398" s="6"/>
      <c r="F398" s="27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231"/>
      <c r="D399" s="231"/>
      <c r="E399" s="6"/>
      <c r="F399" s="27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231"/>
      <c r="D400" s="231"/>
      <c r="E400" s="6"/>
      <c r="F400" s="27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231"/>
      <c r="D401" s="231"/>
      <c r="E401" s="6"/>
      <c r="F401" s="27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231"/>
      <c r="D402" s="231"/>
      <c r="E402" s="6"/>
      <c r="F402" s="27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231"/>
      <c r="D403" s="231"/>
      <c r="E403" s="6"/>
      <c r="F403" s="27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231"/>
      <c r="D404" s="231"/>
      <c r="E404" s="6"/>
      <c r="F404" s="27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231"/>
      <c r="D405" s="231"/>
      <c r="E405" s="6"/>
      <c r="F405" s="27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231"/>
      <c r="D406" s="231"/>
      <c r="E406" s="6"/>
      <c r="F406" s="27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231"/>
      <c r="D407" s="231"/>
      <c r="E407" s="6"/>
      <c r="F407" s="27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231"/>
      <c r="D408" s="231"/>
      <c r="E408" s="6"/>
      <c r="F408" s="27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231"/>
      <c r="D409" s="231"/>
      <c r="E409" s="6"/>
      <c r="F409" s="27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231"/>
      <c r="D410" s="231"/>
      <c r="E410" s="6"/>
      <c r="F410" s="27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231"/>
      <c r="D411" s="231"/>
      <c r="E411" s="6"/>
      <c r="F411" s="27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231"/>
      <c r="D412" s="231"/>
      <c r="E412" s="6"/>
      <c r="F412" s="27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231"/>
      <c r="D413" s="231"/>
      <c r="E413" s="6"/>
      <c r="F413" s="27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231"/>
      <c r="D414" s="231"/>
      <c r="E414" s="6"/>
      <c r="F414" s="27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231"/>
      <c r="D415" s="231"/>
      <c r="E415" s="6"/>
      <c r="F415" s="27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231"/>
      <c r="D416" s="231"/>
      <c r="E416" s="6"/>
      <c r="F416" s="27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231"/>
      <c r="D417" s="231"/>
      <c r="E417" s="6"/>
      <c r="F417" s="27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231"/>
      <c r="D418" s="231"/>
      <c r="E418" s="6"/>
      <c r="F418" s="27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231"/>
      <c r="D419" s="231"/>
      <c r="E419" s="6"/>
      <c r="F419" s="27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231"/>
      <c r="D420" s="231"/>
      <c r="E420" s="6"/>
      <c r="F420" s="27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231"/>
      <c r="D421" s="231"/>
      <c r="E421" s="6"/>
      <c r="F421" s="27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231"/>
      <c r="D422" s="231"/>
      <c r="E422" s="6"/>
      <c r="F422" s="27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231"/>
      <c r="D423" s="231"/>
      <c r="E423" s="6"/>
      <c r="F423" s="27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231"/>
      <c r="D424" s="231"/>
      <c r="E424" s="6"/>
      <c r="F424" s="27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231"/>
      <c r="D425" s="231"/>
      <c r="E425" s="6"/>
      <c r="F425" s="27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231"/>
      <c r="D426" s="231"/>
      <c r="E426" s="6"/>
      <c r="F426" s="27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231"/>
      <c r="D427" s="231"/>
      <c r="E427" s="6"/>
      <c r="F427" s="27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231"/>
      <c r="D428" s="231"/>
      <c r="E428" s="6"/>
      <c r="F428" s="27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231"/>
      <c r="D429" s="231"/>
      <c r="E429" s="6"/>
      <c r="F429" s="27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231"/>
      <c r="D430" s="231"/>
      <c r="E430" s="6"/>
      <c r="F430" s="27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231"/>
      <c r="D431" s="231"/>
      <c r="E431" s="6"/>
      <c r="F431" s="27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231"/>
      <c r="D432" s="231"/>
      <c r="E432" s="6"/>
      <c r="F432" s="27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231"/>
      <c r="D433" s="231"/>
      <c r="E433" s="6"/>
      <c r="F433" s="27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231"/>
      <c r="D434" s="231"/>
      <c r="E434" s="6"/>
      <c r="F434" s="27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231"/>
      <c r="D435" s="231"/>
      <c r="E435" s="6"/>
      <c r="F435" s="27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231"/>
      <c r="D436" s="231"/>
      <c r="E436" s="6"/>
      <c r="F436" s="27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231"/>
      <c r="D437" s="231"/>
      <c r="E437" s="6"/>
      <c r="F437" s="27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231"/>
      <c r="D438" s="231"/>
      <c r="E438" s="6"/>
      <c r="F438" s="27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231"/>
      <c r="D439" s="231"/>
      <c r="E439" s="6"/>
      <c r="F439" s="27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231"/>
      <c r="D440" s="231"/>
      <c r="E440" s="6"/>
      <c r="F440" s="27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231"/>
      <c r="D441" s="231"/>
      <c r="E441" s="6"/>
      <c r="F441" s="27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231"/>
      <c r="D442" s="231"/>
      <c r="E442" s="6"/>
      <c r="F442" s="27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231"/>
      <c r="D443" s="231"/>
      <c r="E443" s="6"/>
      <c r="F443" s="27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231"/>
      <c r="D444" s="231"/>
      <c r="E444" s="6"/>
      <c r="F444" s="27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231"/>
      <c r="D445" s="231"/>
      <c r="E445" s="6"/>
      <c r="F445" s="27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231"/>
      <c r="D446" s="231"/>
      <c r="E446" s="6"/>
      <c r="F446" s="27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231"/>
      <c r="D447" s="231"/>
      <c r="E447" s="6"/>
      <c r="F447" s="27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231"/>
      <c r="D448" s="231"/>
      <c r="E448" s="6"/>
      <c r="F448" s="27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231"/>
      <c r="D449" s="231"/>
      <c r="E449" s="6"/>
      <c r="F449" s="27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231"/>
      <c r="D450" s="231"/>
      <c r="E450" s="6"/>
      <c r="F450" s="27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231"/>
      <c r="D451" s="231"/>
      <c r="E451" s="6"/>
      <c r="F451" s="27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231"/>
      <c r="D452" s="231"/>
      <c r="E452" s="6"/>
      <c r="F452" s="27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231"/>
      <c r="D453" s="231"/>
      <c r="E453" s="6"/>
      <c r="F453" s="27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231"/>
      <c r="D454" s="231"/>
      <c r="E454" s="6"/>
      <c r="F454" s="27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231"/>
      <c r="D455" s="231"/>
      <c r="E455" s="6"/>
      <c r="F455" s="27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231"/>
      <c r="D456" s="231"/>
      <c r="E456" s="6"/>
      <c r="F456" s="27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231"/>
      <c r="D457" s="231"/>
      <c r="E457" s="6"/>
      <c r="F457" s="27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231"/>
      <c r="D458" s="231"/>
      <c r="E458" s="6"/>
      <c r="F458" s="27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231"/>
      <c r="D459" s="231"/>
      <c r="E459" s="6"/>
      <c r="F459" s="27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231"/>
      <c r="D460" s="231"/>
      <c r="E460" s="6"/>
      <c r="F460" s="27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231"/>
      <c r="D461" s="231"/>
      <c r="E461" s="6"/>
      <c r="F461" s="27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231"/>
      <c r="D462" s="231"/>
      <c r="E462" s="6"/>
      <c r="F462" s="27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231"/>
      <c r="D463" s="231"/>
      <c r="E463" s="6"/>
      <c r="F463" s="27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231"/>
      <c r="D464" s="231"/>
      <c r="E464" s="6"/>
      <c r="F464" s="27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231"/>
      <c r="D465" s="231"/>
      <c r="E465" s="6"/>
      <c r="F465" s="27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231"/>
      <c r="D466" s="231"/>
      <c r="E466" s="6"/>
      <c r="F466" s="27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231"/>
      <c r="D467" s="231"/>
      <c r="E467" s="6"/>
      <c r="F467" s="27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231"/>
      <c r="D468" s="231"/>
      <c r="E468" s="6"/>
      <c r="F468" s="27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231"/>
      <c r="D469" s="231"/>
      <c r="E469" s="6"/>
      <c r="F469" s="27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231"/>
      <c r="D470" s="231"/>
      <c r="E470" s="6"/>
      <c r="F470" s="27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231"/>
      <c r="D471" s="231"/>
      <c r="E471" s="6"/>
      <c r="F471" s="27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231"/>
      <c r="D472" s="231"/>
      <c r="E472" s="6"/>
      <c r="F472" s="27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231"/>
      <c r="D473" s="231"/>
      <c r="E473" s="6"/>
      <c r="F473" s="27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231"/>
      <c r="D474" s="231"/>
      <c r="E474" s="6"/>
      <c r="F474" s="27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231"/>
      <c r="D475" s="231"/>
      <c r="E475" s="6"/>
      <c r="F475" s="27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231"/>
      <c r="D476" s="231"/>
      <c r="E476" s="6"/>
      <c r="F476" s="27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231"/>
      <c r="D477" s="231"/>
      <c r="E477" s="6"/>
      <c r="F477" s="27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231"/>
      <c r="D478" s="231"/>
      <c r="E478" s="6"/>
      <c r="F478" s="27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231"/>
      <c r="D479" s="231"/>
      <c r="E479" s="6"/>
      <c r="F479" s="27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231"/>
      <c r="D480" s="231"/>
      <c r="E480" s="6"/>
      <c r="F480" s="27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231"/>
      <c r="D481" s="231"/>
      <c r="E481" s="6"/>
      <c r="F481" s="27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231"/>
      <c r="D482" s="231"/>
      <c r="E482" s="6"/>
      <c r="F482" s="27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231"/>
      <c r="D483" s="231"/>
      <c r="E483" s="6"/>
      <c r="F483" s="27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231"/>
      <c r="D484" s="231"/>
      <c r="E484" s="6"/>
      <c r="F484" s="27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231"/>
      <c r="D485" s="231"/>
      <c r="E485" s="6"/>
      <c r="F485" s="27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231"/>
      <c r="D486" s="231"/>
      <c r="E486" s="6"/>
      <c r="F486" s="27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231"/>
      <c r="D487" s="231"/>
      <c r="E487" s="6"/>
      <c r="F487" s="27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231"/>
      <c r="D488" s="231"/>
      <c r="E488" s="6"/>
      <c r="F488" s="27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231"/>
      <c r="D489" s="231"/>
      <c r="E489" s="6"/>
      <c r="F489" s="27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231"/>
      <c r="D490" s="231"/>
      <c r="E490" s="6"/>
      <c r="F490" s="27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231"/>
      <c r="D491" s="231"/>
      <c r="E491" s="6"/>
      <c r="F491" s="27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231"/>
      <c r="D492" s="231"/>
      <c r="E492" s="6"/>
      <c r="F492" s="27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231"/>
      <c r="D493" s="231"/>
      <c r="E493" s="6"/>
      <c r="F493" s="27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231"/>
      <c r="D494" s="231"/>
      <c r="E494" s="6"/>
      <c r="F494" s="27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231"/>
      <c r="D495" s="231"/>
      <c r="E495" s="6"/>
      <c r="F495" s="27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231"/>
      <c r="D496" s="231"/>
      <c r="E496" s="6"/>
      <c r="F496" s="27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231"/>
      <c r="D497" s="231"/>
      <c r="E497" s="6"/>
      <c r="F497" s="27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231"/>
      <c r="D498" s="231"/>
      <c r="E498" s="6"/>
      <c r="F498" s="27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231"/>
      <c r="D499" s="231"/>
      <c r="E499" s="6"/>
      <c r="F499" s="27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231"/>
      <c r="D500" s="231"/>
      <c r="E500" s="6"/>
      <c r="F500" s="27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231"/>
      <c r="D501" s="231"/>
      <c r="E501" s="6"/>
      <c r="F501" s="27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231"/>
      <c r="D502" s="231"/>
      <c r="E502" s="6"/>
      <c r="F502" s="27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231"/>
      <c r="D503" s="231"/>
      <c r="E503" s="6"/>
      <c r="F503" s="27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231"/>
      <c r="D504" s="231"/>
      <c r="E504" s="6"/>
      <c r="F504" s="27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231"/>
      <c r="D505" s="231"/>
      <c r="E505" s="6"/>
      <c r="F505" s="27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231"/>
      <c r="D506" s="231"/>
      <c r="E506" s="6"/>
      <c r="F506" s="27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231"/>
      <c r="D507" s="231"/>
      <c r="E507" s="6"/>
      <c r="F507" s="27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231"/>
      <c r="D508" s="231"/>
      <c r="E508" s="6"/>
      <c r="F508" s="27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231"/>
      <c r="D509" s="231"/>
      <c r="E509" s="6"/>
      <c r="F509" s="27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231"/>
      <c r="D510" s="231"/>
      <c r="E510" s="6"/>
      <c r="F510" s="27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231"/>
      <c r="D511" s="231"/>
      <c r="E511" s="6"/>
      <c r="F511" s="27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231"/>
      <c r="D512" s="231"/>
      <c r="E512" s="6"/>
      <c r="F512" s="27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231"/>
      <c r="D513" s="231"/>
      <c r="E513" s="6"/>
      <c r="F513" s="27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231"/>
      <c r="D514" s="231"/>
      <c r="E514" s="6"/>
      <c r="F514" s="27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231"/>
      <c r="D515" s="231"/>
      <c r="E515" s="6"/>
      <c r="F515" s="27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231"/>
      <c r="D516" s="231"/>
      <c r="E516" s="6"/>
      <c r="F516" s="27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231"/>
      <c r="D517" s="231"/>
      <c r="E517" s="6"/>
      <c r="F517" s="27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231"/>
      <c r="D518" s="231"/>
      <c r="E518" s="6"/>
      <c r="F518" s="27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231"/>
      <c r="D519" s="231"/>
      <c r="E519" s="6"/>
      <c r="F519" s="27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231"/>
      <c r="D520" s="231"/>
      <c r="E520" s="6"/>
      <c r="F520" s="27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231"/>
      <c r="D521" s="231"/>
      <c r="E521" s="6"/>
      <c r="F521" s="27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231"/>
      <c r="D522" s="231"/>
      <c r="E522" s="6"/>
      <c r="F522" s="27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231"/>
      <c r="D523" s="231"/>
      <c r="E523" s="6"/>
      <c r="F523" s="27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231"/>
      <c r="D524" s="231"/>
      <c r="E524" s="6"/>
      <c r="F524" s="27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231"/>
      <c r="D525" s="231"/>
      <c r="E525" s="6"/>
      <c r="F525" s="27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231"/>
      <c r="D526" s="231"/>
      <c r="E526" s="6"/>
      <c r="F526" s="27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231"/>
      <c r="D527" s="231"/>
      <c r="E527" s="6"/>
      <c r="F527" s="27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231"/>
      <c r="D528" s="231"/>
      <c r="E528" s="6"/>
      <c r="F528" s="27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231"/>
      <c r="D529" s="231"/>
      <c r="E529" s="6"/>
      <c r="F529" s="27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231"/>
      <c r="D530" s="231"/>
      <c r="E530" s="6"/>
      <c r="F530" s="27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231"/>
      <c r="D531" s="231"/>
      <c r="E531" s="6"/>
      <c r="F531" s="27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231"/>
      <c r="D532" s="231"/>
      <c r="E532" s="6"/>
      <c r="F532" s="27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231"/>
      <c r="D533" s="231"/>
      <c r="E533" s="6"/>
      <c r="F533" s="27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231"/>
      <c r="D534" s="231"/>
      <c r="E534" s="6"/>
      <c r="F534" s="27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231"/>
      <c r="D535" s="231"/>
      <c r="E535" s="6"/>
      <c r="F535" s="27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231"/>
      <c r="D536" s="231"/>
      <c r="E536" s="6"/>
      <c r="F536" s="27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231"/>
      <c r="D537" s="231"/>
      <c r="E537" s="6"/>
      <c r="F537" s="27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231"/>
      <c r="D538" s="231"/>
      <c r="E538" s="6"/>
      <c r="F538" s="27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231"/>
      <c r="D539" s="231"/>
      <c r="E539" s="6"/>
      <c r="F539" s="27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231"/>
      <c r="D540" s="231"/>
      <c r="E540" s="6"/>
      <c r="F540" s="27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231"/>
      <c r="D541" s="231"/>
      <c r="E541" s="6"/>
      <c r="F541" s="27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231"/>
      <c r="D542" s="231"/>
      <c r="E542" s="6"/>
      <c r="F542" s="27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231"/>
      <c r="D543" s="231"/>
      <c r="E543" s="6"/>
      <c r="F543" s="27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231"/>
      <c r="D544" s="231"/>
      <c r="E544" s="6"/>
      <c r="F544" s="27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231"/>
      <c r="D545" s="231"/>
      <c r="E545" s="6"/>
      <c r="F545" s="27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231"/>
      <c r="D546" s="231"/>
      <c r="E546" s="6"/>
      <c r="F546" s="27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231"/>
      <c r="D547" s="231"/>
      <c r="E547" s="6"/>
      <c r="F547" s="27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231"/>
      <c r="D548" s="231"/>
      <c r="E548" s="6"/>
      <c r="F548" s="27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231"/>
      <c r="D549" s="231"/>
      <c r="E549" s="6"/>
      <c r="F549" s="27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231"/>
      <c r="D550" s="231"/>
      <c r="E550" s="6"/>
      <c r="F550" s="27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231"/>
      <c r="D551" s="231"/>
      <c r="E551" s="6"/>
      <c r="F551" s="27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231"/>
      <c r="D552" s="231"/>
      <c r="E552" s="6"/>
      <c r="F552" s="27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231"/>
      <c r="D553" s="231"/>
      <c r="E553" s="6"/>
      <c r="F553" s="27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231"/>
      <c r="D554" s="231"/>
      <c r="E554" s="6"/>
      <c r="F554" s="27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231"/>
      <c r="D555" s="231"/>
      <c r="E555" s="6"/>
      <c r="F555" s="27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231"/>
      <c r="D556" s="231"/>
      <c r="E556" s="6"/>
      <c r="F556" s="27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231"/>
      <c r="D557" s="231"/>
      <c r="E557" s="6"/>
      <c r="F557" s="27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231"/>
      <c r="D558" s="231"/>
      <c r="E558" s="6"/>
      <c r="F558" s="27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231"/>
      <c r="D559" s="231"/>
      <c r="E559" s="6"/>
      <c r="F559" s="27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231"/>
      <c r="D560" s="231"/>
      <c r="E560" s="6"/>
      <c r="F560" s="27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231"/>
      <c r="D561" s="231"/>
      <c r="E561" s="6"/>
      <c r="F561" s="27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231"/>
      <c r="D562" s="231"/>
      <c r="E562" s="6"/>
      <c r="F562" s="27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231"/>
      <c r="D563" s="231"/>
      <c r="E563" s="6"/>
      <c r="F563" s="27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231"/>
      <c r="D564" s="231"/>
      <c r="E564" s="6"/>
      <c r="F564" s="27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231"/>
      <c r="D565" s="231"/>
      <c r="E565" s="6"/>
      <c r="F565" s="27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231"/>
      <c r="D566" s="231"/>
      <c r="E566" s="6"/>
      <c r="F566" s="27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231"/>
      <c r="D567" s="231"/>
      <c r="E567" s="6"/>
      <c r="F567" s="27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231"/>
      <c r="D568" s="231"/>
      <c r="E568" s="6"/>
      <c r="F568" s="27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231"/>
      <c r="D569" s="231"/>
      <c r="E569" s="6"/>
      <c r="F569" s="27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231"/>
      <c r="D570" s="231"/>
      <c r="E570" s="6"/>
      <c r="F570" s="27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231"/>
      <c r="D571" s="231"/>
      <c r="E571" s="6"/>
      <c r="F571" s="27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231"/>
      <c r="D572" s="231"/>
      <c r="E572" s="6"/>
      <c r="F572" s="27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231"/>
      <c r="D573" s="231"/>
      <c r="E573" s="6"/>
      <c r="F573" s="27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231"/>
      <c r="D574" s="231"/>
      <c r="E574" s="6"/>
      <c r="F574" s="27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231"/>
      <c r="D575" s="231"/>
      <c r="E575" s="6"/>
      <c r="F575" s="27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231"/>
      <c r="D576" s="231"/>
      <c r="E576" s="6"/>
      <c r="F576" s="27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231"/>
      <c r="D577" s="231"/>
      <c r="E577" s="6"/>
      <c r="F577" s="27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231"/>
      <c r="D578" s="231"/>
      <c r="E578" s="6"/>
      <c r="F578" s="27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231"/>
      <c r="D579" s="231"/>
      <c r="E579" s="6"/>
      <c r="F579" s="27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231"/>
      <c r="D580" s="231"/>
      <c r="E580" s="6"/>
      <c r="F580" s="27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231"/>
      <c r="D581" s="231"/>
      <c r="E581" s="6"/>
      <c r="F581" s="27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231"/>
      <c r="D582" s="231"/>
      <c r="E582" s="6"/>
      <c r="F582" s="27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231"/>
      <c r="D583" s="231"/>
      <c r="E583" s="6"/>
      <c r="F583" s="27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231"/>
      <c r="D584" s="231"/>
      <c r="E584" s="6"/>
      <c r="F584" s="27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231"/>
      <c r="D585" s="231"/>
      <c r="E585" s="6"/>
      <c r="F585" s="27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231"/>
      <c r="D586" s="231"/>
      <c r="E586" s="6"/>
      <c r="F586" s="27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231"/>
      <c r="D587" s="231"/>
      <c r="E587" s="6"/>
      <c r="F587" s="27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231"/>
      <c r="D588" s="231"/>
      <c r="E588" s="6"/>
      <c r="F588" s="27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231"/>
      <c r="D589" s="231"/>
      <c r="E589" s="6"/>
      <c r="F589" s="27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231"/>
      <c r="D590" s="231"/>
      <c r="E590" s="6"/>
      <c r="F590" s="27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231"/>
      <c r="D591" s="231"/>
      <c r="E591" s="6"/>
      <c r="F591" s="27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231"/>
      <c r="D592" s="231"/>
      <c r="E592" s="6"/>
      <c r="F592" s="27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231"/>
      <c r="D593" s="231"/>
      <c r="E593" s="6"/>
      <c r="F593" s="27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231"/>
      <c r="D594" s="231"/>
      <c r="E594" s="6"/>
      <c r="F594" s="27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231"/>
      <c r="D595" s="231"/>
      <c r="E595" s="6"/>
      <c r="F595" s="27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231"/>
      <c r="D596" s="231"/>
      <c r="E596" s="6"/>
      <c r="F596" s="27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231"/>
      <c r="D597" s="231"/>
      <c r="E597" s="6"/>
      <c r="F597" s="27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231"/>
      <c r="D598" s="231"/>
      <c r="E598" s="6"/>
      <c r="F598" s="27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231"/>
      <c r="D599" s="231"/>
      <c r="E599" s="6"/>
      <c r="F599" s="27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231"/>
      <c r="D600" s="231"/>
      <c r="E600" s="6"/>
      <c r="F600" s="27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231"/>
      <c r="D601" s="231"/>
      <c r="E601" s="6"/>
      <c r="F601" s="27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231"/>
      <c r="D602" s="231"/>
      <c r="E602" s="6"/>
      <c r="F602" s="27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231"/>
      <c r="D603" s="231"/>
      <c r="E603" s="6"/>
      <c r="F603" s="27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231"/>
      <c r="D604" s="231"/>
      <c r="E604" s="6"/>
      <c r="F604" s="27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231"/>
      <c r="D605" s="231"/>
      <c r="E605" s="6"/>
      <c r="F605" s="27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231"/>
      <c r="D606" s="231"/>
      <c r="E606" s="6"/>
      <c r="F606" s="27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231"/>
      <c r="D607" s="231"/>
      <c r="E607" s="6"/>
      <c r="F607" s="27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231"/>
      <c r="D608" s="231"/>
      <c r="E608" s="6"/>
      <c r="F608" s="27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231"/>
      <c r="D609" s="231"/>
      <c r="E609" s="6"/>
      <c r="F609" s="27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231"/>
      <c r="D610" s="231"/>
      <c r="E610" s="6"/>
      <c r="F610" s="27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231"/>
      <c r="D611" s="231"/>
      <c r="E611" s="6"/>
      <c r="F611" s="27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231"/>
      <c r="D612" s="231"/>
      <c r="E612" s="6"/>
      <c r="F612" s="27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231"/>
      <c r="D613" s="231"/>
      <c r="E613" s="6"/>
      <c r="F613" s="27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231"/>
      <c r="D614" s="231"/>
      <c r="E614" s="6"/>
      <c r="F614" s="27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231"/>
      <c r="D615" s="231"/>
      <c r="E615" s="6"/>
      <c r="F615" s="27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231"/>
      <c r="D616" s="231"/>
      <c r="E616" s="6"/>
      <c r="F616" s="27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231"/>
      <c r="D617" s="231"/>
      <c r="E617" s="6"/>
      <c r="F617" s="27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231"/>
      <c r="D618" s="231"/>
      <c r="E618" s="6"/>
      <c r="F618" s="27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231"/>
      <c r="D619" s="231"/>
      <c r="E619" s="6"/>
      <c r="F619" s="27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231"/>
      <c r="D620" s="231"/>
      <c r="E620" s="6"/>
      <c r="F620" s="27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231"/>
      <c r="D621" s="231"/>
      <c r="E621" s="6"/>
      <c r="F621" s="27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231"/>
      <c r="D622" s="231"/>
      <c r="E622" s="6"/>
      <c r="F622" s="27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231"/>
      <c r="D623" s="231"/>
      <c r="E623" s="6"/>
      <c r="F623" s="27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231"/>
      <c r="D624" s="231"/>
      <c r="E624" s="6"/>
      <c r="F624" s="27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231"/>
      <c r="D625" s="231"/>
      <c r="E625" s="6"/>
      <c r="F625" s="27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231"/>
      <c r="D626" s="231"/>
      <c r="E626" s="6"/>
      <c r="F626" s="27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231"/>
      <c r="D627" s="231"/>
      <c r="E627" s="6"/>
      <c r="F627" s="27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231"/>
      <c r="D628" s="231"/>
      <c r="E628" s="6"/>
      <c r="F628" s="27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231"/>
      <c r="D629" s="231"/>
      <c r="E629" s="6"/>
      <c r="F629" s="27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231"/>
      <c r="D630" s="231"/>
      <c r="E630" s="6"/>
      <c r="F630" s="27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231"/>
      <c r="D631" s="231"/>
      <c r="E631" s="6"/>
      <c r="F631" s="27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231"/>
      <c r="D632" s="231"/>
      <c r="E632" s="6"/>
      <c r="F632" s="27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231"/>
      <c r="D633" s="231"/>
      <c r="E633" s="6"/>
      <c r="F633" s="27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231"/>
      <c r="D634" s="231"/>
      <c r="E634" s="6"/>
      <c r="F634" s="27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231"/>
      <c r="D635" s="231"/>
      <c r="E635" s="6"/>
      <c r="F635" s="27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231"/>
      <c r="D636" s="231"/>
      <c r="E636" s="6"/>
      <c r="F636" s="27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231"/>
      <c r="D637" s="231"/>
      <c r="E637" s="6"/>
      <c r="F637" s="27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231"/>
      <c r="D638" s="231"/>
      <c r="E638" s="6"/>
      <c r="F638" s="27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231"/>
      <c r="D639" s="231"/>
      <c r="E639" s="6"/>
      <c r="F639" s="27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231"/>
      <c r="D640" s="231"/>
      <c r="E640" s="6"/>
      <c r="F640" s="27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231"/>
      <c r="D641" s="231"/>
      <c r="E641" s="6"/>
      <c r="F641" s="27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231"/>
      <c r="D642" s="231"/>
      <c r="E642" s="6"/>
      <c r="F642" s="27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231"/>
      <c r="D643" s="231"/>
      <c r="E643" s="6"/>
      <c r="F643" s="27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231"/>
      <c r="D644" s="231"/>
      <c r="E644" s="6"/>
      <c r="F644" s="27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231"/>
      <c r="D645" s="231"/>
      <c r="E645" s="6"/>
      <c r="F645" s="27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231"/>
      <c r="D646" s="231"/>
      <c r="E646" s="6"/>
      <c r="F646" s="27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231"/>
      <c r="D647" s="231"/>
      <c r="E647" s="6"/>
      <c r="F647" s="27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231"/>
      <c r="D648" s="231"/>
      <c r="E648" s="6"/>
      <c r="F648" s="27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231"/>
      <c r="D649" s="231"/>
      <c r="E649" s="6"/>
      <c r="F649" s="27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231"/>
      <c r="D650" s="231"/>
      <c r="E650" s="6"/>
      <c r="F650" s="27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231"/>
      <c r="D651" s="231"/>
      <c r="E651" s="6"/>
      <c r="F651" s="27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231"/>
      <c r="D652" s="231"/>
      <c r="E652" s="6"/>
      <c r="F652" s="27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231"/>
      <c r="D653" s="231"/>
      <c r="E653" s="6"/>
      <c r="F653" s="27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231"/>
      <c r="D654" s="231"/>
      <c r="E654" s="6"/>
      <c r="F654" s="27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231"/>
      <c r="D655" s="231"/>
      <c r="E655" s="6"/>
      <c r="F655" s="27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231"/>
      <c r="D656" s="231"/>
      <c r="E656" s="6"/>
      <c r="F656" s="27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231"/>
      <c r="D657" s="231"/>
      <c r="E657" s="6"/>
      <c r="F657" s="27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231"/>
      <c r="D658" s="231"/>
      <c r="E658" s="6"/>
      <c r="F658" s="27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231"/>
      <c r="D659" s="231"/>
      <c r="E659" s="6"/>
      <c r="F659" s="27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231"/>
      <c r="D660" s="231"/>
      <c r="E660" s="6"/>
      <c r="F660" s="27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231"/>
      <c r="D661" s="231"/>
      <c r="E661" s="6"/>
      <c r="F661" s="27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231"/>
      <c r="D662" s="231"/>
      <c r="E662" s="6"/>
      <c r="F662" s="27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231"/>
      <c r="D663" s="231"/>
      <c r="E663" s="6"/>
      <c r="F663" s="27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231"/>
      <c r="D664" s="231"/>
      <c r="E664" s="6"/>
      <c r="F664" s="27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231"/>
      <c r="D665" s="231"/>
      <c r="E665" s="6"/>
      <c r="F665" s="27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231"/>
      <c r="D666" s="231"/>
      <c r="E666" s="6"/>
      <c r="F666" s="27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231"/>
      <c r="D667" s="231"/>
      <c r="E667" s="6"/>
      <c r="F667" s="27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231"/>
      <c r="D668" s="231"/>
      <c r="E668" s="6"/>
      <c r="F668" s="27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231"/>
      <c r="D669" s="231"/>
      <c r="E669" s="6"/>
      <c r="F669" s="27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231"/>
      <c r="D670" s="231"/>
      <c r="E670" s="6"/>
      <c r="F670" s="27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231"/>
      <c r="D671" s="231"/>
      <c r="E671" s="6"/>
      <c r="F671" s="27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231"/>
      <c r="D672" s="231"/>
      <c r="E672" s="6"/>
      <c r="F672" s="27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231"/>
      <c r="D673" s="231"/>
      <c r="E673" s="6"/>
      <c r="F673" s="27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231"/>
      <c r="D674" s="231"/>
      <c r="E674" s="6"/>
      <c r="F674" s="27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231"/>
      <c r="D675" s="231"/>
      <c r="E675" s="6"/>
      <c r="F675" s="27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231"/>
      <c r="D676" s="231"/>
      <c r="E676" s="6"/>
      <c r="F676" s="27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231"/>
      <c r="D677" s="231"/>
      <c r="E677" s="6"/>
      <c r="F677" s="27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231"/>
      <c r="D678" s="231"/>
      <c r="E678" s="6"/>
      <c r="F678" s="27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231"/>
      <c r="D679" s="231"/>
      <c r="E679" s="6"/>
      <c r="F679" s="27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231"/>
      <c r="D680" s="231"/>
      <c r="E680" s="6"/>
      <c r="F680" s="27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231"/>
      <c r="D681" s="231"/>
      <c r="E681" s="6"/>
      <c r="F681" s="27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231"/>
      <c r="D682" s="231"/>
      <c r="E682" s="6"/>
      <c r="F682" s="27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231"/>
      <c r="D683" s="231"/>
      <c r="E683" s="6"/>
      <c r="F683" s="27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231"/>
      <c r="D684" s="231"/>
      <c r="E684" s="6"/>
      <c r="F684" s="27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231"/>
      <c r="D685" s="231"/>
      <c r="E685" s="6"/>
      <c r="F685" s="27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231"/>
      <c r="D686" s="231"/>
      <c r="E686" s="6"/>
      <c r="F686" s="27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231"/>
      <c r="D687" s="231"/>
      <c r="E687" s="6"/>
      <c r="F687" s="27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231"/>
      <c r="D688" s="231"/>
      <c r="E688" s="6"/>
      <c r="F688" s="27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231"/>
      <c r="D689" s="231"/>
      <c r="E689" s="6"/>
      <c r="F689" s="27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231"/>
      <c r="D690" s="231"/>
      <c r="E690" s="6"/>
      <c r="F690" s="27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231"/>
      <c r="D691" s="231"/>
      <c r="E691" s="6"/>
      <c r="F691" s="27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231"/>
      <c r="D692" s="231"/>
      <c r="E692" s="6"/>
      <c r="F692" s="27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231"/>
      <c r="D693" s="231"/>
      <c r="E693" s="6"/>
      <c r="F693" s="27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231"/>
      <c r="D694" s="231"/>
      <c r="E694" s="6"/>
      <c r="F694" s="27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231"/>
      <c r="D695" s="231"/>
      <c r="E695" s="6"/>
      <c r="F695" s="27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231"/>
      <c r="D696" s="231"/>
      <c r="E696" s="6"/>
      <c r="F696" s="27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231"/>
      <c r="D697" s="231"/>
      <c r="E697" s="6"/>
      <c r="F697" s="27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231"/>
      <c r="D698" s="231"/>
      <c r="E698" s="6"/>
      <c r="F698" s="27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231"/>
      <c r="D699" s="231"/>
      <c r="E699" s="6"/>
      <c r="F699" s="27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231"/>
      <c r="D700" s="231"/>
      <c r="E700" s="6"/>
      <c r="F700" s="27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231"/>
      <c r="D701" s="231"/>
      <c r="E701" s="6"/>
      <c r="F701" s="27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231"/>
      <c r="D702" s="231"/>
      <c r="E702" s="6"/>
      <c r="F702" s="27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231"/>
      <c r="D703" s="231"/>
      <c r="E703" s="6"/>
      <c r="F703" s="27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231"/>
      <c r="D704" s="231"/>
      <c r="E704" s="6"/>
      <c r="F704" s="27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231"/>
      <c r="D705" s="231"/>
      <c r="E705" s="6"/>
      <c r="F705" s="27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231"/>
      <c r="D706" s="231"/>
      <c r="E706" s="6"/>
      <c r="F706" s="27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231"/>
      <c r="D707" s="231"/>
      <c r="E707" s="6"/>
      <c r="F707" s="27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231"/>
      <c r="D708" s="231"/>
      <c r="E708" s="6"/>
      <c r="F708" s="27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231"/>
      <c r="D709" s="231"/>
      <c r="E709" s="6"/>
      <c r="F709" s="27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231"/>
      <c r="D710" s="231"/>
      <c r="E710" s="6"/>
      <c r="F710" s="27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231"/>
      <c r="D711" s="231"/>
      <c r="E711" s="6"/>
      <c r="F711" s="27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231"/>
      <c r="D712" s="231"/>
      <c r="E712" s="6"/>
      <c r="F712" s="27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231"/>
      <c r="D713" s="231"/>
      <c r="E713" s="6"/>
      <c r="F713" s="27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231"/>
      <c r="D714" s="231"/>
      <c r="E714" s="6"/>
      <c r="F714" s="27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231"/>
      <c r="D715" s="231"/>
      <c r="E715" s="6"/>
      <c r="F715" s="27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231"/>
      <c r="D716" s="231"/>
      <c r="E716" s="6"/>
      <c r="F716" s="27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231"/>
      <c r="D717" s="231"/>
      <c r="E717" s="6"/>
      <c r="F717" s="27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231"/>
      <c r="D718" s="231"/>
      <c r="E718" s="6"/>
      <c r="F718" s="27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231"/>
      <c r="D719" s="231"/>
      <c r="E719" s="6"/>
      <c r="F719" s="27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231"/>
      <c r="D720" s="231"/>
      <c r="E720" s="6"/>
      <c r="F720" s="27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231"/>
      <c r="D721" s="231"/>
      <c r="E721" s="6"/>
      <c r="F721" s="27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231"/>
      <c r="D722" s="231"/>
      <c r="E722" s="6"/>
      <c r="F722" s="27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231"/>
      <c r="D723" s="231"/>
      <c r="E723" s="6"/>
      <c r="F723" s="27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231"/>
      <c r="D724" s="231"/>
      <c r="E724" s="6"/>
      <c r="F724" s="27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231"/>
      <c r="D725" s="231"/>
      <c r="E725" s="6"/>
      <c r="F725" s="27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231"/>
      <c r="D726" s="231"/>
      <c r="E726" s="6"/>
      <c r="F726" s="27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231"/>
      <c r="D727" s="231"/>
      <c r="E727" s="6"/>
      <c r="F727" s="27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231"/>
      <c r="D728" s="231"/>
      <c r="E728" s="6"/>
      <c r="F728" s="27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231"/>
      <c r="D729" s="231"/>
      <c r="E729" s="6"/>
      <c r="F729" s="27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231"/>
      <c r="D730" s="231"/>
      <c r="E730" s="6"/>
      <c r="F730" s="27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231"/>
      <c r="D731" s="231"/>
      <c r="E731" s="6"/>
      <c r="F731" s="27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231"/>
      <c r="D732" s="231"/>
      <c r="E732" s="6"/>
      <c r="F732" s="27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231"/>
      <c r="D733" s="231"/>
      <c r="E733" s="6"/>
      <c r="F733" s="27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231"/>
      <c r="D734" s="231"/>
      <c r="E734" s="6"/>
      <c r="F734" s="27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231"/>
      <c r="D735" s="231"/>
      <c r="E735" s="6"/>
      <c r="F735" s="27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231"/>
      <c r="D736" s="231"/>
      <c r="E736" s="6"/>
      <c r="F736" s="27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231"/>
      <c r="D737" s="231"/>
      <c r="E737" s="6"/>
      <c r="F737" s="27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231"/>
      <c r="D738" s="231"/>
      <c r="E738" s="6"/>
      <c r="F738" s="27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231"/>
      <c r="D739" s="231"/>
      <c r="E739" s="6"/>
      <c r="F739" s="27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231"/>
      <c r="D740" s="231"/>
      <c r="E740" s="6"/>
      <c r="F740" s="27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231"/>
      <c r="D741" s="231"/>
      <c r="E741" s="6"/>
      <c r="F741" s="27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231"/>
      <c r="D742" s="231"/>
      <c r="E742" s="6"/>
      <c r="F742" s="27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231"/>
      <c r="D743" s="231"/>
      <c r="E743" s="6"/>
      <c r="F743" s="27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231"/>
      <c r="D744" s="231"/>
      <c r="E744" s="6"/>
      <c r="F744" s="27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231"/>
      <c r="D745" s="231"/>
      <c r="E745" s="6"/>
      <c r="F745" s="27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231"/>
      <c r="D746" s="231"/>
      <c r="E746" s="6"/>
      <c r="F746" s="27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231"/>
      <c r="D747" s="231"/>
      <c r="E747" s="6"/>
      <c r="F747" s="27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231"/>
      <c r="D748" s="231"/>
      <c r="E748" s="6"/>
      <c r="F748" s="27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231"/>
      <c r="D749" s="231"/>
      <c r="E749" s="6"/>
      <c r="F749" s="27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231"/>
      <c r="D750" s="231"/>
      <c r="E750" s="6"/>
      <c r="F750" s="27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231"/>
      <c r="D751" s="231"/>
      <c r="E751" s="6"/>
      <c r="F751" s="27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231"/>
      <c r="D752" s="231"/>
      <c r="E752" s="6"/>
      <c r="F752" s="27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231"/>
      <c r="D753" s="231"/>
      <c r="E753" s="6"/>
      <c r="F753" s="27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231"/>
      <c r="D754" s="231"/>
      <c r="E754" s="6"/>
      <c r="F754" s="27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231"/>
      <c r="D755" s="231"/>
      <c r="E755" s="6"/>
      <c r="F755" s="27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231"/>
      <c r="D756" s="231"/>
      <c r="E756" s="6"/>
      <c r="F756" s="27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231"/>
      <c r="D757" s="231"/>
      <c r="E757" s="6"/>
      <c r="F757" s="27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231"/>
      <c r="D758" s="231"/>
      <c r="E758" s="6"/>
      <c r="F758" s="27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231"/>
      <c r="D759" s="231"/>
      <c r="E759" s="6"/>
      <c r="F759" s="27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231"/>
      <c r="D760" s="231"/>
      <c r="E760" s="6"/>
      <c r="F760" s="27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231"/>
      <c r="D761" s="231"/>
      <c r="E761" s="6"/>
      <c r="F761" s="27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231"/>
      <c r="D762" s="231"/>
      <c r="E762" s="6"/>
      <c r="F762" s="27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231"/>
      <c r="D763" s="231"/>
      <c r="E763" s="6"/>
      <c r="F763" s="27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231"/>
      <c r="D764" s="231"/>
      <c r="E764" s="6"/>
      <c r="F764" s="27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231"/>
      <c r="D765" s="231"/>
      <c r="E765" s="6"/>
      <c r="F765" s="27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231"/>
      <c r="D766" s="231"/>
      <c r="E766" s="6"/>
      <c r="F766" s="27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231"/>
      <c r="D767" s="231"/>
      <c r="E767" s="6"/>
      <c r="F767" s="27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231"/>
      <c r="D768" s="231"/>
      <c r="E768" s="6"/>
      <c r="F768" s="27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231"/>
      <c r="D769" s="231"/>
      <c r="E769" s="6"/>
      <c r="F769" s="27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231"/>
      <c r="D770" s="231"/>
      <c r="E770" s="6"/>
      <c r="F770" s="27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231"/>
      <c r="D771" s="231"/>
      <c r="E771" s="6"/>
      <c r="F771" s="27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231"/>
      <c r="D772" s="231"/>
      <c r="E772" s="6"/>
      <c r="F772" s="27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231"/>
      <c r="D773" s="231"/>
      <c r="E773" s="6"/>
      <c r="F773" s="27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231"/>
      <c r="D774" s="231"/>
      <c r="E774" s="6"/>
      <c r="F774" s="27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231"/>
      <c r="D775" s="231"/>
      <c r="E775" s="6"/>
      <c r="F775" s="27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231"/>
      <c r="D776" s="231"/>
      <c r="E776" s="6"/>
      <c r="F776" s="27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231"/>
      <c r="D777" s="231"/>
      <c r="E777" s="6"/>
      <c r="F777" s="27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231"/>
      <c r="D778" s="231"/>
      <c r="E778" s="6"/>
      <c r="F778" s="27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231"/>
      <c r="D779" s="231"/>
      <c r="E779" s="6"/>
      <c r="F779" s="27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231"/>
      <c r="D780" s="231"/>
      <c r="E780" s="6"/>
      <c r="F780" s="27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231"/>
      <c r="D781" s="231"/>
      <c r="E781" s="6"/>
      <c r="F781" s="27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231"/>
      <c r="D782" s="231"/>
      <c r="E782" s="6"/>
      <c r="F782" s="27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231"/>
      <c r="D783" s="231"/>
      <c r="E783" s="6"/>
      <c r="F783" s="27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231"/>
      <c r="D784" s="231"/>
      <c r="E784" s="6"/>
      <c r="F784" s="27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231"/>
      <c r="D785" s="231"/>
      <c r="E785" s="6"/>
      <c r="F785" s="27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231"/>
      <c r="D786" s="231"/>
      <c r="E786" s="6"/>
      <c r="F786" s="27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231"/>
      <c r="D787" s="231"/>
      <c r="E787" s="6"/>
      <c r="F787" s="27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231"/>
      <c r="D788" s="231"/>
      <c r="E788" s="6"/>
      <c r="F788" s="27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231"/>
      <c r="D789" s="231"/>
      <c r="E789" s="6"/>
      <c r="F789" s="27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231"/>
      <c r="D790" s="231"/>
      <c r="E790" s="6"/>
      <c r="F790" s="27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231"/>
      <c r="D791" s="231"/>
      <c r="E791" s="6"/>
      <c r="F791" s="27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231"/>
      <c r="D792" s="231"/>
      <c r="E792" s="6"/>
      <c r="F792" s="27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231"/>
      <c r="D793" s="231"/>
      <c r="E793" s="6"/>
      <c r="F793" s="27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231"/>
      <c r="D794" s="231"/>
      <c r="E794" s="6"/>
      <c r="F794" s="27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231"/>
      <c r="D795" s="231"/>
      <c r="E795" s="6"/>
      <c r="F795" s="27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231"/>
      <c r="D796" s="231"/>
      <c r="E796" s="6"/>
      <c r="F796" s="27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231"/>
      <c r="D797" s="231"/>
      <c r="E797" s="6"/>
      <c r="F797" s="27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231"/>
      <c r="D798" s="231"/>
      <c r="E798" s="6"/>
      <c r="F798" s="27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231"/>
      <c r="D799" s="231"/>
      <c r="E799" s="6"/>
      <c r="F799" s="27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231"/>
      <c r="D800" s="231"/>
      <c r="E800" s="6"/>
      <c r="F800" s="27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231"/>
      <c r="D801" s="231"/>
      <c r="E801" s="6"/>
      <c r="F801" s="27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231"/>
      <c r="D802" s="231"/>
      <c r="E802" s="6"/>
      <c r="F802" s="27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231"/>
      <c r="D803" s="231"/>
      <c r="E803" s="6"/>
      <c r="F803" s="27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231"/>
      <c r="D804" s="231"/>
      <c r="E804" s="6"/>
      <c r="F804" s="27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231"/>
      <c r="D805" s="231"/>
      <c r="E805" s="6"/>
      <c r="F805" s="27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231"/>
      <c r="D806" s="231"/>
      <c r="E806" s="6"/>
      <c r="F806" s="27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231"/>
      <c r="D807" s="231"/>
      <c r="E807" s="6"/>
      <c r="F807" s="27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231"/>
      <c r="D808" s="231"/>
      <c r="E808" s="6"/>
      <c r="F808" s="27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231"/>
      <c r="D809" s="231"/>
      <c r="E809" s="6"/>
      <c r="F809" s="27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231"/>
      <c r="D810" s="231"/>
      <c r="E810" s="6"/>
      <c r="F810" s="27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231"/>
      <c r="D811" s="231"/>
      <c r="E811" s="6"/>
      <c r="F811" s="27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231"/>
      <c r="D812" s="231"/>
      <c r="E812" s="6"/>
      <c r="F812" s="27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231"/>
      <c r="D813" s="231"/>
      <c r="E813" s="6"/>
      <c r="F813" s="27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231"/>
      <c r="D814" s="231"/>
      <c r="E814" s="6"/>
      <c r="F814" s="27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231"/>
      <c r="D815" s="231"/>
      <c r="E815" s="6"/>
      <c r="F815" s="27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231"/>
      <c r="D816" s="231"/>
      <c r="E816" s="6"/>
      <c r="F816" s="27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231"/>
      <c r="D817" s="231"/>
      <c r="E817" s="6"/>
      <c r="F817" s="27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231"/>
      <c r="D818" s="231"/>
      <c r="E818" s="6"/>
      <c r="F818" s="27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231"/>
      <c r="D819" s="231"/>
      <c r="E819" s="6"/>
      <c r="F819" s="27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231"/>
      <c r="D820" s="231"/>
      <c r="E820" s="6"/>
      <c r="F820" s="27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231"/>
      <c r="D821" s="231"/>
      <c r="E821" s="6"/>
      <c r="F821" s="27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231"/>
      <c r="D822" s="231"/>
      <c r="E822" s="6"/>
      <c r="F822" s="27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231"/>
      <c r="D823" s="231"/>
      <c r="E823" s="6"/>
      <c r="F823" s="27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231"/>
      <c r="D824" s="231"/>
      <c r="E824" s="6"/>
      <c r="F824" s="27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231"/>
      <c r="D825" s="231"/>
      <c r="E825" s="6"/>
      <c r="F825" s="27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231"/>
      <c r="D826" s="231"/>
      <c r="E826" s="6"/>
      <c r="F826" s="27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231"/>
      <c r="D827" s="231"/>
      <c r="E827" s="6"/>
      <c r="F827" s="27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231"/>
      <c r="D828" s="231"/>
      <c r="E828" s="6"/>
      <c r="F828" s="27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231"/>
      <c r="D829" s="231"/>
      <c r="E829" s="6"/>
      <c r="F829" s="27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231"/>
      <c r="D830" s="231"/>
      <c r="E830" s="6"/>
      <c r="F830" s="27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231"/>
      <c r="D831" s="231"/>
      <c r="E831" s="6"/>
      <c r="F831" s="27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231"/>
      <c r="D832" s="231"/>
      <c r="E832" s="6"/>
      <c r="F832" s="27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231"/>
      <c r="D833" s="231"/>
      <c r="E833" s="6"/>
      <c r="F833" s="27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231"/>
      <c r="D834" s="231"/>
      <c r="E834" s="6"/>
      <c r="F834" s="27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231"/>
      <c r="D835" s="231"/>
      <c r="E835" s="6"/>
      <c r="F835" s="27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231"/>
      <c r="D836" s="231"/>
      <c r="E836" s="6"/>
      <c r="F836" s="27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231"/>
      <c r="D837" s="231"/>
      <c r="E837" s="6"/>
      <c r="F837" s="27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231"/>
      <c r="D838" s="231"/>
      <c r="E838" s="6"/>
      <c r="F838" s="27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231"/>
      <c r="D839" s="231"/>
      <c r="E839" s="6"/>
      <c r="F839" s="27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231"/>
      <c r="D840" s="231"/>
      <c r="E840" s="6"/>
      <c r="F840" s="27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231"/>
      <c r="D841" s="231"/>
      <c r="E841" s="6"/>
      <c r="F841" s="27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231"/>
      <c r="D842" s="231"/>
      <c r="E842" s="6"/>
      <c r="F842" s="27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231"/>
      <c r="D843" s="231"/>
      <c r="E843" s="6"/>
      <c r="F843" s="27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231"/>
      <c r="D844" s="231"/>
      <c r="E844" s="6"/>
      <c r="F844" s="27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231"/>
      <c r="D845" s="231"/>
      <c r="E845" s="6"/>
      <c r="F845" s="27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231"/>
      <c r="D846" s="231"/>
      <c r="E846" s="6"/>
      <c r="F846" s="27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231"/>
      <c r="D847" s="231"/>
      <c r="E847" s="6"/>
      <c r="F847" s="27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231"/>
      <c r="D848" s="231"/>
      <c r="E848" s="6"/>
      <c r="F848" s="27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231"/>
      <c r="D849" s="231"/>
      <c r="E849" s="6"/>
      <c r="F849" s="27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231"/>
      <c r="D850" s="231"/>
      <c r="E850" s="6"/>
      <c r="F850" s="27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231"/>
      <c r="D851" s="231"/>
      <c r="E851" s="6"/>
      <c r="F851" s="27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231"/>
      <c r="D852" s="231"/>
      <c r="E852" s="6"/>
      <c r="F852" s="27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231"/>
      <c r="D853" s="231"/>
      <c r="E853" s="6"/>
      <c r="F853" s="27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231"/>
      <c r="D854" s="231"/>
      <c r="E854" s="6"/>
      <c r="F854" s="27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231"/>
      <c r="D855" s="231"/>
      <c r="E855" s="6"/>
      <c r="F855" s="27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231"/>
      <c r="D856" s="231"/>
      <c r="E856" s="6"/>
      <c r="F856" s="27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231"/>
      <c r="D857" s="231"/>
      <c r="E857" s="6"/>
      <c r="F857" s="27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231"/>
      <c r="D858" s="231"/>
      <c r="E858" s="6"/>
      <c r="F858" s="27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231"/>
      <c r="D859" s="231"/>
      <c r="E859" s="6"/>
      <c r="F859" s="27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231"/>
      <c r="D860" s="231"/>
      <c r="E860" s="6"/>
      <c r="F860" s="27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231"/>
      <c r="D861" s="231"/>
      <c r="E861" s="6"/>
      <c r="F861" s="27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231"/>
      <c r="D862" s="231"/>
      <c r="E862" s="6"/>
      <c r="F862" s="27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231"/>
      <c r="D863" s="231"/>
      <c r="E863" s="6"/>
      <c r="F863" s="27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231"/>
      <c r="D864" s="231"/>
      <c r="E864" s="6"/>
      <c r="F864" s="27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231"/>
      <c r="D865" s="231"/>
      <c r="E865" s="6"/>
      <c r="F865" s="27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231"/>
      <c r="D866" s="231"/>
      <c r="E866" s="6"/>
      <c r="F866" s="27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231"/>
      <c r="D867" s="231"/>
      <c r="E867" s="6"/>
      <c r="F867" s="27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231"/>
      <c r="D868" s="231"/>
      <c r="E868" s="6"/>
      <c r="F868" s="27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231"/>
      <c r="D869" s="231"/>
      <c r="E869" s="6"/>
      <c r="F869" s="27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231"/>
      <c r="D870" s="231"/>
      <c r="E870" s="6"/>
      <c r="F870" s="27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231"/>
      <c r="D871" s="231"/>
      <c r="E871" s="6"/>
      <c r="F871" s="27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231"/>
      <c r="D872" s="231"/>
      <c r="E872" s="6"/>
      <c r="F872" s="27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231"/>
      <c r="D873" s="231"/>
      <c r="E873" s="6"/>
      <c r="F873" s="27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231"/>
      <c r="D874" s="231"/>
      <c r="E874" s="6"/>
      <c r="F874" s="27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231"/>
      <c r="D875" s="231"/>
      <c r="E875" s="6"/>
      <c r="F875" s="27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231"/>
      <c r="D876" s="231"/>
      <c r="E876" s="6"/>
      <c r="F876" s="27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231"/>
      <c r="D877" s="231"/>
      <c r="E877" s="6"/>
      <c r="F877" s="27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231"/>
      <c r="D878" s="231"/>
      <c r="E878" s="6"/>
      <c r="F878" s="27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231"/>
      <c r="D879" s="231"/>
      <c r="E879" s="6"/>
      <c r="F879" s="27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231"/>
      <c r="D880" s="231"/>
      <c r="E880" s="6"/>
      <c r="F880" s="27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231"/>
      <c r="D881" s="231"/>
      <c r="E881" s="6"/>
      <c r="F881" s="27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231"/>
      <c r="D882" s="231"/>
      <c r="E882" s="6"/>
      <c r="F882" s="27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231"/>
      <c r="D883" s="231"/>
      <c r="E883" s="6"/>
      <c r="F883" s="27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231"/>
      <c r="D884" s="231"/>
      <c r="E884" s="6"/>
      <c r="F884" s="27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231"/>
      <c r="D885" s="231"/>
      <c r="E885" s="6"/>
      <c r="F885" s="27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231"/>
      <c r="D886" s="231"/>
      <c r="E886" s="6"/>
      <c r="F886" s="27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231"/>
      <c r="D887" s="231"/>
      <c r="E887" s="6"/>
      <c r="F887" s="27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231"/>
      <c r="D888" s="231"/>
      <c r="E888" s="6"/>
      <c r="F888" s="27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231"/>
      <c r="D889" s="231"/>
      <c r="E889" s="6"/>
      <c r="F889" s="27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231"/>
      <c r="D890" s="231"/>
      <c r="E890" s="6"/>
      <c r="F890" s="27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231"/>
      <c r="D891" s="231"/>
      <c r="E891" s="6"/>
      <c r="F891" s="27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231"/>
      <c r="D892" s="231"/>
      <c r="E892" s="6"/>
      <c r="F892" s="27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231"/>
      <c r="D893" s="231"/>
      <c r="E893" s="6"/>
      <c r="F893" s="27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231"/>
      <c r="D894" s="231"/>
      <c r="E894" s="6"/>
      <c r="F894" s="27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231"/>
      <c r="D895" s="231"/>
      <c r="E895" s="6"/>
      <c r="F895" s="27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231"/>
      <c r="D896" s="231"/>
      <c r="E896" s="6"/>
      <c r="F896" s="27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231"/>
      <c r="D897" s="231"/>
      <c r="E897" s="6"/>
      <c r="F897" s="27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231"/>
      <c r="D898" s="231"/>
      <c r="E898" s="6"/>
      <c r="F898" s="27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231"/>
      <c r="D899" s="231"/>
      <c r="E899" s="6"/>
      <c r="F899" s="27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231"/>
      <c r="D900" s="231"/>
      <c r="E900" s="6"/>
      <c r="F900" s="27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231"/>
      <c r="D901" s="231"/>
      <c r="E901" s="6"/>
      <c r="F901" s="27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231"/>
      <c r="D902" s="231"/>
      <c r="E902" s="6"/>
      <c r="F902" s="27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231"/>
      <c r="D903" s="231"/>
      <c r="E903" s="6"/>
      <c r="F903" s="27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231"/>
      <c r="D904" s="231"/>
      <c r="E904" s="6"/>
      <c r="F904" s="27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231"/>
      <c r="D905" s="231"/>
      <c r="E905" s="6"/>
      <c r="F905" s="27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231"/>
      <c r="D906" s="231"/>
      <c r="E906" s="6"/>
      <c r="F906" s="27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231"/>
      <c r="D907" s="231"/>
      <c r="E907" s="6"/>
      <c r="F907" s="27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231"/>
      <c r="D908" s="231"/>
      <c r="E908" s="6"/>
      <c r="F908" s="27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231"/>
      <c r="D909" s="231"/>
      <c r="E909" s="6"/>
      <c r="F909" s="27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231"/>
      <c r="D910" s="231"/>
      <c r="E910" s="6"/>
      <c r="F910" s="27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231"/>
      <c r="D911" s="231"/>
      <c r="E911" s="6"/>
      <c r="F911" s="27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231"/>
      <c r="D912" s="231"/>
      <c r="E912" s="6"/>
      <c r="F912" s="27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231"/>
      <c r="D913" s="231"/>
      <c r="E913" s="6"/>
      <c r="F913" s="27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231"/>
      <c r="D914" s="231"/>
      <c r="E914" s="6"/>
      <c r="F914" s="27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231"/>
      <c r="D915" s="231"/>
      <c r="E915" s="6"/>
      <c r="F915" s="27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231"/>
      <c r="D916" s="231"/>
      <c r="E916" s="6"/>
      <c r="F916" s="27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231"/>
      <c r="D917" s="231"/>
      <c r="E917" s="6"/>
      <c r="F917" s="27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231"/>
      <c r="D918" s="231"/>
      <c r="E918" s="6"/>
      <c r="F918" s="27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231"/>
      <c r="D919" s="231"/>
      <c r="E919" s="6"/>
      <c r="F919" s="27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231"/>
      <c r="D920" s="231"/>
      <c r="E920" s="6"/>
      <c r="F920" s="27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231"/>
      <c r="D921" s="231"/>
      <c r="E921" s="6"/>
      <c r="F921" s="27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231"/>
      <c r="D922" s="231"/>
      <c r="E922" s="6"/>
      <c r="F922" s="27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231"/>
      <c r="D923" s="231"/>
      <c r="E923" s="6"/>
      <c r="F923" s="27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231"/>
      <c r="D924" s="231"/>
      <c r="E924" s="6"/>
      <c r="F924" s="27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231"/>
      <c r="D925" s="231"/>
      <c r="E925" s="6"/>
      <c r="F925" s="27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231"/>
      <c r="D926" s="231"/>
      <c r="E926" s="6"/>
      <c r="F926" s="27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231"/>
      <c r="D927" s="231"/>
      <c r="E927" s="6"/>
      <c r="F927" s="27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231"/>
      <c r="D928" s="231"/>
      <c r="E928" s="6"/>
      <c r="F928" s="27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231"/>
      <c r="D929" s="231"/>
      <c r="E929" s="6"/>
      <c r="F929" s="27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231"/>
      <c r="D930" s="231"/>
      <c r="E930" s="6"/>
      <c r="F930" s="27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231"/>
      <c r="D931" s="231"/>
      <c r="E931" s="6"/>
      <c r="F931" s="27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231"/>
      <c r="D932" s="231"/>
      <c r="E932" s="6"/>
      <c r="F932" s="27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231"/>
      <c r="D933" s="231"/>
      <c r="E933" s="6"/>
      <c r="F933" s="27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231"/>
      <c r="D934" s="231"/>
      <c r="E934" s="6"/>
      <c r="F934" s="27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231"/>
      <c r="D935" s="231"/>
      <c r="E935" s="6"/>
      <c r="F935" s="27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231"/>
      <c r="D936" s="231"/>
      <c r="E936" s="6"/>
      <c r="F936" s="27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231"/>
      <c r="D937" s="231"/>
      <c r="E937" s="6"/>
      <c r="F937" s="27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231"/>
      <c r="D938" s="231"/>
      <c r="E938" s="6"/>
      <c r="F938" s="27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231"/>
      <c r="D939" s="231"/>
      <c r="E939" s="6"/>
      <c r="F939" s="27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231"/>
      <c r="D940" s="231"/>
      <c r="E940" s="6"/>
      <c r="F940" s="27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231"/>
      <c r="D941" s="231"/>
      <c r="E941" s="6"/>
      <c r="F941" s="27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231"/>
      <c r="D942" s="231"/>
      <c r="E942" s="6"/>
      <c r="F942" s="27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231"/>
      <c r="D943" s="231"/>
      <c r="E943" s="6"/>
      <c r="F943" s="27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231"/>
      <c r="D944" s="231"/>
      <c r="E944" s="6"/>
      <c r="F944" s="27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231"/>
      <c r="D945" s="231"/>
      <c r="E945" s="6"/>
      <c r="F945" s="27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231"/>
      <c r="D946" s="231"/>
      <c r="E946" s="6"/>
      <c r="F946" s="27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231"/>
      <c r="D947" s="231"/>
      <c r="E947" s="6"/>
      <c r="F947" s="27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231"/>
      <c r="D948" s="231"/>
      <c r="E948" s="6"/>
      <c r="F948" s="27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231"/>
      <c r="D949" s="231"/>
      <c r="E949" s="6"/>
      <c r="F949" s="27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231"/>
      <c r="D950" s="231"/>
      <c r="E950" s="6"/>
      <c r="F950" s="27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231"/>
      <c r="D951" s="231"/>
      <c r="E951" s="6"/>
      <c r="F951" s="27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231"/>
      <c r="D952" s="231"/>
      <c r="E952" s="6"/>
      <c r="F952" s="27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231"/>
      <c r="D953" s="231"/>
      <c r="E953" s="6"/>
      <c r="F953" s="27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231"/>
      <c r="D954" s="231"/>
      <c r="E954" s="6"/>
      <c r="F954" s="27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231"/>
      <c r="D955" s="231"/>
      <c r="E955" s="6"/>
      <c r="F955" s="27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231"/>
      <c r="D956" s="231"/>
      <c r="E956" s="6"/>
      <c r="F956" s="27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231"/>
      <c r="D957" s="231"/>
      <c r="E957" s="6"/>
      <c r="F957" s="27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231"/>
      <c r="D958" s="231"/>
      <c r="E958" s="6"/>
      <c r="F958" s="27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231"/>
      <c r="D959" s="231"/>
      <c r="E959" s="6"/>
      <c r="F959" s="27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231"/>
      <c r="D960" s="231"/>
      <c r="E960" s="6"/>
      <c r="F960" s="27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231"/>
      <c r="D961" s="231"/>
      <c r="E961" s="6"/>
      <c r="F961" s="27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231"/>
      <c r="D962" s="231"/>
      <c r="E962" s="6"/>
      <c r="F962" s="27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231"/>
      <c r="D963" s="231"/>
      <c r="E963" s="6"/>
      <c r="F963" s="27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231"/>
      <c r="D964" s="231"/>
      <c r="E964" s="6"/>
      <c r="F964" s="27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231"/>
      <c r="D965" s="231"/>
      <c r="E965" s="6"/>
      <c r="F965" s="27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231"/>
      <c r="D966" s="231"/>
      <c r="E966" s="6"/>
      <c r="F966" s="27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231"/>
      <c r="D967" s="231"/>
      <c r="E967" s="6"/>
      <c r="F967" s="27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231"/>
      <c r="D968" s="231"/>
      <c r="E968" s="6"/>
      <c r="F968" s="27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231"/>
      <c r="D969" s="231"/>
      <c r="E969" s="6"/>
      <c r="F969" s="27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231"/>
      <c r="D970" s="231"/>
      <c r="E970" s="6"/>
      <c r="F970" s="27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231"/>
      <c r="D971" s="231"/>
      <c r="E971" s="6"/>
      <c r="F971" s="27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231"/>
      <c r="D972" s="231"/>
      <c r="E972" s="6"/>
      <c r="F972" s="27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231"/>
      <c r="D973" s="231"/>
      <c r="E973" s="6"/>
      <c r="F973" s="27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231"/>
      <c r="D974" s="231"/>
      <c r="E974" s="6"/>
      <c r="F974" s="27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231"/>
      <c r="D975" s="231"/>
      <c r="E975" s="6"/>
      <c r="F975" s="27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231"/>
      <c r="D976" s="231"/>
      <c r="E976" s="6"/>
      <c r="F976" s="27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231"/>
      <c r="D977" s="231"/>
      <c r="E977" s="6"/>
      <c r="F977" s="27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231"/>
      <c r="D978" s="231"/>
      <c r="E978" s="6"/>
      <c r="F978" s="27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231"/>
      <c r="D979" s="231"/>
      <c r="E979" s="6"/>
      <c r="F979" s="27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231"/>
      <c r="D980" s="231"/>
      <c r="E980" s="6"/>
      <c r="F980" s="27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231"/>
      <c r="D981" s="231"/>
      <c r="E981" s="6"/>
      <c r="F981" s="27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231"/>
      <c r="D982" s="231"/>
      <c r="E982" s="6"/>
      <c r="F982" s="27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231"/>
      <c r="D983" s="231"/>
      <c r="E983" s="6"/>
      <c r="F983" s="27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231"/>
      <c r="D984" s="231"/>
      <c r="E984" s="6"/>
      <c r="F984" s="27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231"/>
      <c r="D985" s="231"/>
      <c r="E985" s="6"/>
      <c r="F985" s="27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231"/>
      <c r="D986" s="231"/>
      <c r="E986" s="6"/>
      <c r="F986" s="27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231"/>
      <c r="D987" s="231"/>
      <c r="E987" s="6"/>
      <c r="F987" s="27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231"/>
      <c r="D988" s="231"/>
      <c r="E988" s="6"/>
      <c r="F988" s="27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231"/>
      <c r="D989" s="231"/>
      <c r="E989" s="6"/>
      <c r="F989" s="27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231"/>
      <c r="D990" s="231"/>
      <c r="E990" s="6"/>
      <c r="F990" s="27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231"/>
      <c r="D991" s="231"/>
      <c r="E991" s="6"/>
      <c r="F991" s="27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231"/>
      <c r="D992" s="231"/>
      <c r="E992" s="6"/>
      <c r="F992" s="27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231"/>
      <c r="D993" s="231"/>
      <c r="E993" s="6"/>
      <c r="F993" s="27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231"/>
      <c r="D994" s="231"/>
      <c r="E994" s="6"/>
      <c r="F994" s="27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231"/>
      <c r="D995" s="231"/>
      <c r="E995" s="6"/>
      <c r="F995" s="27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mergeCells count="6">
    <mergeCell ref="B44:G44"/>
    <mergeCell ref="B1:G1"/>
    <mergeCell ref="B2:G2"/>
    <mergeCell ref="B41:G41"/>
    <mergeCell ref="B42:G42"/>
    <mergeCell ref="B43:G43"/>
  </mergeCells>
  <conditionalFormatting sqref="B1">
    <cfRule type="expression" dxfId="87" priority="1">
      <formula>_xludf.isformula()</formula>
    </cfRule>
  </conditionalFormatting>
  <pageMargins left="0.25" right="0.25" top="0.75" bottom="0.75" header="0" footer="0"/>
  <pageSetup orientation="portrait"/>
  <headerFooter>
    <oddFooter>&amp;CConfidential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1000"/>
  <sheetViews>
    <sheetView showGridLines="0" workbookViewId="0">
      <selection activeCell="J26" sqref="J26"/>
    </sheetView>
  </sheetViews>
  <sheetFormatPr defaultColWidth="14.42578125" defaultRowHeight="15" customHeight="1" x14ac:dyDescent="0.25"/>
  <cols>
    <col min="1" max="1" width="2.140625" customWidth="1"/>
    <col min="2" max="2" width="31.7109375" customWidth="1"/>
    <col min="3" max="3" width="13.140625" customWidth="1"/>
    <col min="4" max="4" width="11.42578125" customWidth="1"/>
    <col min="5" max="5" width="18.7109375" customWidth="1"/>
    <col min="6" max="7" width="11.42578125" customWidth="1"/>
    <col min="8" max="8" width="13.5703125" customWidth="1"/>
    <col min="9" max="14" width="11.42578125" customWidth="1"/>
    <col min="15" max="15" width="10.140625" customWidth="1"/>
    <col min="16" max="16" width="10.5703125" customWidth="1"/>
    <col min="17" max="17" width="10.85546875" customWidth="1"/>
    <col min="18" max="18" width="12.140625" customWidth="1"/>
    <col min="19" max="19" width="9.7109375" customWidth="1"/>
    <col min="20" max="21" width="10.7109375" customWidth="1"/>
    <col min="22" max="41" width="9.140625" customWidth="1"/>
  </cols>
  <sheetData>
    <row r="1" spans="1:41" ht="20.25" x14ac:dyDescent="0.3">
      <c r="B1" s="1922" t="str">
        <f>IF(NAME="","Insert Project Name on Prelim Page",NAME)</f>
        <v>Town Center</v>
      </c>
      <c r="C1" s="1922"/>
      <c r="D1" s="1922"/>
      <c r="E1" s="1922"/>
      <c r="F1" s="1922"/>
      <c r="G1" s="1922"/>
      <c r="H1" s="1922"/>
      <c r="I1" s="1922"/>
      <c r="J1" s="1922"/>
      <c r="K1" s="1922"/>
      <c r="L1" s="1922"/>
      <c r="M1" s="1922"/>
      <c r="N1" s="1922"/>
      <c r="O1" s="1922"/>
      <c r="P1" s="1922"/>
      <c r="Q1" s="1922"/>
      <c r="R1" s="1922"/>
      <c r="S1" s="1922"/>
      <c r="T1" s="1922"/>
      <c r="U1" s="1922"/>
    </row>
    <row r="2" spans="1:41" ht="15" customHeight="1" x14ac:dyDescent="0.25">
      <c r="A2" s="344"/>
      <c r="B2" s="1923" t="str">
        <f>CITY</f>
        <v>Santa Maria, CA 93454</v>
      </c>
      <c r="C2" s="1923"/>
      <c r="D2" s="1923"/>
      <c r="E2" s="1923"/>
      <c r="F2" s="1923"/>
      <c r="G2" s="1923"/>
      <c r="H2" s="1923"/>
      <c r="I2" s="1923"/>
      <c r="J2" s="1923"/>
      <c r="K2" s="1923"/>
      <c r="L2" s="1923"/>
      <c r="M2" s="1923"/>
      <c r="N2" s="1923"/>
      <c r="O2" s="1923"/>
      <c r="P2" s="1923"/>
      <c r="Q2" s="1923"/>
      <c r="R2" s="1923"/>
      <c r="S2" s="1923"/>
      <c r="T2" s="1923"/>
      <c r="U2" s="1923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</row>
    <row r="3" spans="1:41" x14ac:dyDescent="0.25">
      <c r="B3" s="1420" t="s">
        <v>255</v>
      </c>
      <c r="C3" s="200"/>
      <c r="D3" s="345"/>
      <c r="E3" s="345"/>
      <c r="F3" s="345"/>
      <c r="G3" s="345"/>
      <c r="H3" s="346"/>
      <c r="I3" s="346"/>
      <c r="J3" s="346"/>
      <c r="K3" s="346"/>
      <c r="L3" s="346"/>
      <c r="M3" s="346"/>
      <c r="U3" s="1652">
        <f ca="1">TODAY()</f>
        <v>46271</v>
      </c>
    </row>
    <row r="4" spans="1:41" x14ac:dyDescent="0.25">
      <c r="A4" s="220"/>
      <c r="B4" s="16"/>
      <c r="C4" s="347"/>
      <c r="D4" s="220"/>
      <c r="E4" s="220"/>
      <c r="F4" s="346"/>
      <c r="G4" s="346"/>
      <c r="H4" s="346"/>
      <c r="I4" s="346"/>
      <c r="J4" s="346"/>
      <c r="K4" s="346"/>
      <c r="L4" s="346"/>
      <c r="M4" s="346"/>
      <c r="N4" s="346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</row>
    <row r="5" spans="1:41" s="584" customFormat="1" ht="18" customHeight="1" x14ac:dyDescent="0.25">
      <c r="A5" s="1627"/>
      <c r="B5" s="1544" t="s">
        <v>249</v>
      </c>
      <c r="C5" s="1358">
        <f>UNITS</f>
        <v>82</v>
      </c>
      <c r="D5" s="1358"/>
      <c r="E5" s="1627"/>
      <c r="F5" s="1628"/>
      <c r="G5" s="1628"/>
      <c r="H5" s="1628"/>
      <c r="I5" s="1629"/>
      <c r="J5" s="1629"/>
      <c r="K5" s="1629"/>
      <c r="O5" s="1358"/>
      <c r="P5" s="1358"/>
      <c r="Q5" s="1358"/>
      <c r="R5" s="1358"/>
      <c r="S5" s="1358"/>
      <c r="T5" s="1358"/>
      <c r="U5" s="1358"/>
      <c r="V5" s="1358"/>
      <c r="W5" s="1358"/>
      <c r="X5" s="1358"/>
      <c r="Y5" s="1358"/>
      <c r="Z5" s="1358"/>
      <c r="AA5" s="1358"/>
      <c r="AB5" s="1358"/>
      <c r="AC5" s="1358"/>
      <c r="AD5" s="1358"/>
      <c r="AE5" s="1358"/>
      <c r="AF5" s="1358"/>
      <c r="AG5" s="1358"/>
      <c r="AH5" s="1358"/>
      <c r="AI5" s="1358"/>
      <c r="AJ5" s="1358"/>
      <c r="AK5" s="1358"/>
      <c r="AL5" s="1627"/>
      <c r="AM5" s="1627"/>
      <c r="AN5" s="1627"/>
      <c r="AO5" s="1627"/>
    </row>
    <row r="6" spans="1:41" s="584" customFormat="1" ht="18" customHeight="1" x14ac:dyDescent="0.25">
      <c r="A6" s="1627"/>
      <c r="B6" s="1544" t="s">
        <v>250</v>
      </c>
      <c r="C6" s="1564">
        <v>0.95</v>
      </c>
      <c r="D6" s="1630">
        <f>C6*C5</f>
        <v>77.899999999999991</v>
      </c>
      <c r="E6" s="1627"/>
      <c r="F6" s="1631"/>
      <c r="G6" s="1631"/>
      <c r="H6" s="1631"/>
      <c r="I6" s="1629"/>
      <c r="J6" s="1973"/>
      <c r="K6" s="1974"/>
      <c r="O6" s="1632"/>
      <c r="P6" s="1358"/>
      <c r="Q6" s="1358"/>
      <c r="R6" s="1358"/>
      <c r="S6" s="1358"/>
      <c r="T6" s="1358"/>
      <c r="U6" s="1358"/>
      <c r="V6" s="1358"/>
      <c r="W6" s="1358"/>
      <c r="X6" s="1358"/>
      <c r="Y6" s="1358"/>
      <c r="Z6" s="1358"/>
      <c r="AA6" s="1358"/>
      <c r="AB6" s="1358"/>
      <c r="AC6" s="1358"/>
      <c r="AD6" s="1358"/>
      <c r="AE6" s="1358"/>
      <c r="AF6" s="1358"/>
      <c r="AG6" s="1358"/>
      <c r="AH6" s="1358"/>
      <c r="AI6" s="1358"/>
      <c r="AJ6" s="1358"/>
      <c r="AK6" s="1358"/>
      <c r="AL6" s="1627"/>
      <c r="AM6" s="1627"/>
      <c r="AN6" s="1627"/>
      <c r="AO6" s="1627"/>
    </row>
    <row r="7" spans="1:41" s="584" customFormat="1" ht="18" customHeight="1" x14ac:dyDescent="0.25">
      <c r="A7" s="1627"/>
      <c r="B7" s="1544" t="s">
        <v>251</v>
      </c>
      <c r="C7" s="1374"/>
      <c r="D7" s="1633"/>
      <c r="E7" s="1627"/>
      <c r="F7" s="1631"/>
      <c r="G7" s="1631"/>
      <c r="H7" s="1631"/>
      <c r="I7" s="1629"/>
      <c r="J7" s="1629"/>
      <c r="K7" s="1629"/>
      <c r="O7" s="1633"/>
      <c r="P7" s="1358"/>
      <c r="Q7" s="1358"/>
      <c r="R7" s="1358"/>
      <c r="S7" s="1358"/>
      <c r="T7" s="1358"/>
      <c r="U7" s="1358"/>
      <c r="V7" s="1358"/>
      <c r="W7" s="1358"/>
      <c r="X7" s="1358"/>
      <c r="Y7" s="1358"/>
      <c r="Z7" s="1358"/>
      <c r="AA7" s="1358"/>
      <c r="AB7" s="1358"/>
      <c r="AC7" s="1358"/>
      <c r="AD7" s="1358"/>
      <c r="AE7" s="1358"/>
      <c r="AF7" s="1358"/>
      <c r="AG7" s="1358"/>
      <c r="AH7" s="1358"/>
      <c r="AI7" s="1358"/>
      <c r="AJ7" s="1358"/>
      <c r="AK7" s="1358"/>
      <c r="AL7" s="1627"/>
      <c r="AM7" s="1627"/>
      <c r="AN7" s="1627"/>
      <c r="AO7" s="1627"/>
    </row>
    <row r="8" spans="1:41" s="584" customFormat="1" ht="18" customHeight="1" x14ac:dyDescent="0.25">
      <c r="A8" s="1627"/>
      <c r="B8" s="1544"/>
      <c r="C8" s="1374"/>
      <c r="D8" s="1633"/>
      <c r="E8" s="1633"/>
      <c r="O8" s="1633"/>
      <c r="P8" s="1627"/>
      <c r="Q8" s="1627"/>
      <c r="R8" s="1627"/>
      <c r="S8" s="1358"/>
      <c r="T8" s="1358"/>
      <c r="U8" s="1358"/>
      <c r="V8" s="1358"/>
      <c r="W8" s="1358"/>
      <c r="X8" s="1358"/>
      <c r="Y8" s="1358"/>
      <c r="Z8" s="1358"/>
      <c r="AA8" s="1358"/>
      <c r="AB8" s="1358"/>
      <c r="AC8" s="1358"/>
      <c r="AD8" s="1358"/>
      <c r="AE8" s="1358"/>
      <c r="AF8" s="1358"/>
      <c r="AG8" s="1358"/>
      <c r="AH8" s="1358"/>
      <c r="AI8" s="1358"/>
      <c r="AJ8" s="1358"/>
      <c r="AK8" s="1358"/>
      <c r="AL8" s="1627"/>
      <c r="AM8" s="1627"/>
      <c r="AN8" s="1627"/>
      <c r="AO8" s="1627"/>
    </row>
    <row r="9" spans="1:41" s="584" customFormat="1" ht="18" customHeight="1" x14ac:dyDescent="0.25">
      <c r="A9" s="1627"/>
      <c r="B9" s="1544"/>
      <c r="C9" s="1634" t="s">
        <v>253</v>
      </c>
      <c r="D9" s="1635"/>
      <c r="E9" s="1635"/>
      <c r="F9" s="1633"/>
      <c r="G9" s="1633"/>
      <c r="H9" s="1636"/>
      <c r="I9" s="1637"/>
      <c r="J9" s="1336"/>
      <c r="K9" s="1638"/>
      <c r="L9" s="1635"/>
      <c r="M9" s="1633"/>
      <c r="N9" s="1633"/>
      <c r="O9" s="1633"/>
      <c r="P9" s="1627"/>
      <c r="Q9" s="1627"/>
      <c r="R9" s="1627"/>
      <c r="S9" s="1358"/>
      <c r="T9" s="1358"/>
      <c r="U9" s="1358"/>
      <c r="V9" s="1358"/>
      <c r="W9" s="1358"/>
      <c r="X9" s="1358"/>
      <c r="Y9" s="1358"/>
      <c r="Z9" s="1358"/>
      <c r="AA9" s="1358"/>
      <c r="AB9" s="1358"/>
      <c r="AC9" s="1358"/>
      <c r="AD9" s="1358"/>
      <c r="AE9" s="1358"/>
      <c r="AF9" s="1358"/>
      <c r="AG9" s="1358"/>
      <c r="AH9" s="1358"/>
      <c r="AI9" s="1358"/>
      <c r="AJ9" s="1358"/>
      <c r="AK9" s="1358"/>
      <c r="AL9" s="1627"/>
      <c r="AM9" s="1627"/>
      <c r="AN9" s="1627"/>
      <c r="AO9" s="1627"/>
    </row>
    <row r="10" spans="1:41" s="584" customFormat="1" x14ac:dyDescent="0.25">
      <c r="A10" s="1627"/>
      <c r="B10" s="1544"/>
      <c r="C10" s="1634" t="s">
        <v>251</v>
      </c>
      <c r="D10" s="1639"/>
      <c r="E10" s="1639"/>
      <c r="F10" s="1336"/>
      <c r="G10" s="1336"/>
      <c r="H10" s="1336"/>
      <c r="I10" s="1336"/>
      <c r="J10" s="1336"/>
      <c r="K10" s="1336"/>
      <c r="L10" s="1639"/>
      <c r="M10" s="1627"/>
      <c r="N10" s="1627"/>
      <c r="O10" s="1627"/>
      <c r="P10" s="1627"/>
      <c r="Q10" s="1627"/>
      <c r="R10" s="1627"/>
      <c r="S10" s="1627"/>
      <c r="T10" s="1627"/>
      <c r="U10" s="1627"/>
      <c r="V10" s="1627"/>
      <c r="W10" s="1627"/>
      <c r="X10" s="1627"/>
      <c r="Y10" s="1627"/>
      <c r="Z10" s="1358"/>
      <c r="AA10" s="1358"/>
      <c r="AB10" s="1358"/>
      <c r="AC10" s="1358"/>
      <c r="AD10" s="1358"/>
      <c r="AE10" s="1358"/>
      <c r="AF10" s="1358"/>
      <c r="AG10" s="1358"/>
      <c r="AH10" s="1358"/>
      <c r="AI10" s="1358"/>
      <c r="AJ10" s="1358"/>
      <c r="AK10" s="1358"/>
      <c r="AL10" s="1627"/>
      <c r="AM10" s="1627"/>
      <c r="AN10" s="1627"/>
      <c r="AO10" s="1627"/>
    </row>
    <row r="11" spans="1:41" s="584" customFormat="1" x14ac:dyDescent="0.25">
      <c r="A11" s="1627"/>
      <c r="B11" s="1364" t="s">
        <v>254</v>
      </c>
      <c r="C11" s="1640">
        <f>Summary!F18</f>
        <v>47149</v>
      </c>
      <c r="D11" s="1640">
        <f t="shared" ref="D11:U11" si="0">EOMONTH(C11,1)</f>
        <v>47177</v>
      </c>
      <c r="E11" s="1640">
        <f t="shared" si="0"/>
        <v>47208</v>
      </c>
      <c r="F11" s="1640">
        <f t="shared" si="0"/>
        <v>47238</v>
      </c>
      <c r="G11" s="1640">
        <f t="shared" si="0"/>
        <v>47269</v>
      </c>
      <c r="H11" s="1640">
        <f t="shared" si="0"/>
        <v>47299</v>
      </c>
      <c r="I11" s="1640">
        <f t="shared" si="0"/>
        <v>47330</v>
      </c>
      <c r="J11" s="1640">
        <f t="shared" si="0"/>
        <v>47361</v>
      </c>
      <c r="K11" s="1640">
        <f t="shared" si="0"/>
        <v>47391</v>
      </c>
      <c r="L11" s="1640">
        <f t="shared" si="0"/>
        <v>47422</v>
      </c>
      <c r="M11" s="1640">
        <f t="shared" si="0"/>
        <v>47452</v>
      </c>
      <c r="N11" s="1640">
        <f t="shared" si="0"/>
        <v>47483</v>
      </c>
      <c r="O11" s="1640">
        <f t="shared" si="0"/>
        <v>47514</v>
      </c>
      <c r="P11" s="1640">
        <f t="shared" si="0"/>
        <v>47542</v>
      </c>
      <c r="Q11" s="1640">
        <f t="shared" si="0"/>
        <v>47573</v>
      </c>
      <c r="R11" s="1640">
        <f t="shared" si="0"/>
        <v>47603</v>
      </c>
      <c r="S11" s="1640">
        <f t="shared" si="0"/>
        <v>47634</v>
      </c>
      <c r="T11" s="1640">
        <f t="shared" si="0"/>
        <v>47664</v>
      </c>
      <c r="U11" s="1640">
        <f t="shared" si="0"/>
        <v>47695</v>
      </c>
      <c r="V11" s="1627"/>
      <c r="W11" s="1627"/>
      <c r="X11" s="1627"/>
      <c r="Y11" s="1627"/>
      <c r="Z11" s="1627"/>
      <c r="AA11" s="1627"/>
      <c r="AB11" s="1627"/>
      <c r="AC11" s="1627"/>
      <c r="AD11" s="1627"/>
      <c r="AE11" s="1627"/>
      <c r="AF11" s="1627"/>
      <c r="AG11" s="1627"/>
      <c r="AH11" s="1627"/>
      <c r="AI11" s="1627"/>
      <c r="AJ11" s="1627"/>
      <c r="AK11" s="1627"/>
      <c r="AL11" s="1627"/>
      <c r="AM11" s="1627"/>
      <c r="AN11" s="1627"/>
      <c r="AO11" s="1627"/>
    </row>
    <row r="12" spans="1:41" s="584" customFormat="1" x14ac:dyDescent="0.25">
      <c r="A12" s="1627"/>
      <c r="B12" s="1420" t="s">
        <v>255</v>
      </c>
      <c r="C12" s="1641" t="s">
        <v>256</v>
      </c>
      <c r="D12" s="1641" t="s">
        <v>257</v>
      </c>
      <c r="E12" s="1641" t="s">
        <v>258</v>
      </c>
      <c r="F12" s="1641" t="s">
        <v>259</v>
      </c>
      <c r="G12" s="1641" t="s">
        <v>260</v>
      </c>
      <c r="H12" s="1641" t="s">
        <v>261</v>
      </c>
      <c r="I12" s="1641" t="s">
        <v>262</v>
      </c>
      <c r="J12" s="1641" t="s">
        <v>263</v>
      </c>
      <c r="K12" s="1641" t="s">
        <v>264</v>
      </c>
      <c r="L12" s="1641" t="s">
        <v>265</v>
      </c>
      <c r="M12" s="1641" t="s">
        <v>266</v>
      </c>
      <c r="N12" s="1641" t="s">
        <v>267</v>
      </c>
      <c r="O12" s="1641" t="s">
        <v>268</v>
      </c>
      <c r="P12" s="1641" t="s">
        <v>269</v>
      </c>
      <c r="Q12" s="1641" t="s">
        <v>270</v>
      </c>
      <c r="R12" s="1641" t="s">
        <v>271</v>
      </c>
      <c r="S12" s="1641" t="s">
        <v>272</v>
      </c>
      <c r="T12" s="1641" t="s">
        <v>273</v>
      </c>
      <c r="U12" s="1641" t="s">
        <v>274</v>
      </c>
      <c r="V12" s="1627"/>
      <c r="W12" s="1627"/>
      <c r="X12" s="1627"/>
      <c r="Y12" s="1627"/>
      <c r="Z12" s="1627"/>
      <c r="AA12" s="1627"/>
      <c r="AB12" s="1627"/>
      <c r="AC12" s="1627"/>
      <c r="AD12" s="1627"/>
      <c r="AE12" s="1627"/>
      <c r="AF12" s="1627"/>
      <c r="AG12" s="1627"/>
      <c r="AH12" s="1627"/>
      <c r="AI12" s="1627"/>
      <c r="AJ12" s="1627"/>
      <c r="AK12" s="1627"/>
      <c r="AL12" s="1627"/>
      <c r="AM12" s="1627"/>
      <c r="AN12" s="1627"/>
      <c r="AO12" s="1627"/>
    </row>
    <row r="13" spans="1:41" s="584" customFormat="1" x14ac:dyDescent="0.25">
      <c r="A13" s="1627"/>
      <c r="B13" s="1544"/>
      <c r="C13" s="1642" t="s">
        <v>275</v>
      </c>
      <c r="D13" s="1642"/>
      <c r="E13" s="1642"/>
      <c r="F13" s="1642"/>
      <c r="G13" s="1642"/>
      <c r="H13" s="1642"/>
      <c r="I13" s="1642"/>
      <c r="J13" s="1642"/>
      <c r="K13" s="1642"/>
      <c r="L13" s="1642"/>
      <c r="M13" s="1642"/>
      <c r="N13" s="1642"/>
      <c r="O13" s="1642"/>
      <c r="P13" s="1642"/>
      <c r="Q13" s="1642"/>
      <c r="R13" s="1642"/>
      <c r="S13" s="1642"/>
      <c r="T13" s="1642"/>
      <c r="U13" s="1642"/>
      <c r="V13" s="1627"/>
      <c r="W13" s="1627"/>
      <c r="X13" s="1627"/>
      <c r="Y13" s="1627"/>
      <c r="Z13" s="1627"/>
      <c r="AA13" s="1627"/>
      <c r="AB13" s="1627"/>
      <c r="AC13" s="1627"/>
      <c r="AD13" s="1627"/>
      <c r="AE13" s="1627"/>
      <c r="AF13" s="1627"/>
      <c r="AG13" s="1627"/>
      <c r="AH13" s="1627"/>
      <c r="AI13" s="1627"/>
      <c r="AJ13" s="1627"/>
      <c r="AK13" s="1627"/>
      <c r="AL13" s="1627"/>
      <c r="AM13" s="1627"/>
      <c r="AN13" s="1627"/>
      <c r="AO13" s="1627"/>
    </row>
    <row r="14" spans="1:41" s="584" customFormat="1" x14ac:dyDescent="0.25">
      <c r="A14" s="1627"/>
      <c r="B14" s="1544" t="s">
        <v>276</v>
      </c>
      <c r="C14" s="1643">
        <v>8</v>
      </c>
      <c r="D14" s="1644">
        <f t="shared" ref="D14:U14" si="1">C17+C14</f>
        <v>16</v>
      </c>
      <c r="E14" s="1644">
        <f t="shared" si="1"/>
        <v>24</v>
      </c>
      <c r="F14" s="1644">
        <f t="shared" si="1"/>
        <v>32</v>
      </c>
      <c r="G14" s="1644">
        <f t="shared" si="1"/>
        <v>40</v>
      </c>
      <c r="H14" s="1644">
        <f t="shared" si="1"/>
        <v>48</v>
      </c>
      <c r="I14" s="1644">
        <f t="shared" si="1"/>
        <v>56</v>
      </c>
      <c r="J14" s="1644">
        <f t="shared" si="1"/>
        <v>64</v>
      </c>
      <c r="K14" s="1644">
        <f t="shared" si="1"/>
        <v>72</v>
      </c>
      <c r="L14" s="1644">
        <f t="shared" si="1"/>
        <v>80</v>
      </c>
      <c r="M14" s="1644">
        <f t="shared" si="1"/>
        <v>82</v>
      </c>
      <c r="N14" s="1644">
        <f t="shared" si="1"/>
        <v>82</v>
      </c>
      <c r="O14" s="1644">
        <f t="shared" si="1"/>
        <v>82</v>
      </c>
      <c r="P14" s="1644">
        <f t="shared" si="1"/>
        <v>82</v>
      </c>
      <c r="Q14" s="1644">
        <f t="shared" si="1"/>
        <v>82</v>
      </c>
      <c r="R14" s="1644">
        <f t="shared" si="1"/>
        <v>82</v>
      </c>
      <c r="S14" s="1644">
        <f t="shared" si="1"/>
        <v>82</v>
      </c>
      <c r="T14" s="1644">
        <f t="shared" si="1"/>
        <v>82</v>
      </c>
      <c r="U14" s="1644">
        <f t="shared" si="1"/>
        <v>82</v>
      </c>
      <c r="V14" s="1632"/>
      <c r="W14" s="1632"/>
      <c r="X14" s="1632"/>
      <c r="Y14" s="1632"/>
      <c r="Z14" s="1632"/>
      <c r="AA14" s="1632"/>
      <c r="AB14" s="1632"/>
      <c r="AC14" s="1632"/>
      <c r="AD14" s="1632"/>
      <c r="AE14" s="1632"/>
      <c r="AF14" s="1632"/>
      <c r="AG14" s="1632"/>
      <c r="AH14" s="1632"/>
      <c r="AI14" s="1632"/>
      <c r="AJ14" s="1632"/>
      <c r="AK14" s="1632"/>
      <c r="AL14" s="1627"/>
      <c r="AM14" s="1627"/>
      <c r="AN14" s="1627"/>
      <c r="AO14" s="1627"/>
    </row>
    <row r="15" spans="1:41" s="584" customFormat="1" x14ac:dyDescent="0.25">
      <c r="A15" s="1645"/>
      <c r="B15" s="1646" t="s">
        <v>277</v>
      </c>
      <c r="C15" s="1647">
        <f t="shared" ref="C15:U15" si="2">C14/UNITS</f>
        <v>9.7560975609756101E-2</v>
      </c>
      <c r="D15" s="1647">
        <f t="shared" si="2"/>
        <v>0.1951219512195122</v>
      </c>
      <c r="E15" s="1647">
        <f t="shared" si="2"/>
        <v>0.29268292682926828</v>
      </c>
      <c r="F15" s="1647">
        <f t="shared" si="2"/>
        <v>0.3902439024390244</v>
      </c>
      <c r="G15" s="1647">
        <f t="shared" si="2"/>
        <v>0.48780487804878048</v>
      </c>
      <c r="H15" s="1647">
        <f t="shared" si="2"/>
        <v>0.58536585365853655</v>
      </c>
      <c r="I15" s="1647">
        <f t="shared" si="2"/>
        <v>0.68292682926829273</v>
      </c>
      <c r="J15" s="1647">
        <f t="shared" si="2"/>
        <v>0.78048780487804881</v>
      </c>
      <c r="K15" s="1647">
        <f t="shared" si="2"/>
        <v>0.87804878048780488</v>
      </c>
      <c r="L15" s="1647">
        <f t="shared" si="2"/>
        <v>0.97560975609756095</v>
      </c>
      <c r="M15" s="1647">
        <f t="shared" si="2"/>
        <v>1</v>
      </c>
      <c r="N15" s="1647">
        <f t="shared" si="2"/>
        <v>1</v>
      </c>
      <c r="O15" s="1647">
        <f t="shared" si="2"/>
        <v>1</v>
      </c>
      <c r="P15" s="1647">
        <f t="shared" si="2"/>
        <v>1</v>
      </c>
      <c r="Q15" s="1647">
        <f t="shared" si="2"/>
        <v>1</v>
      </c>
      <c r="R15" s="1647">
        <f t="shared" si="2"/>
        <v>1</v>
      </c>
      <c r="S15" s="1647">
        <f t="shared" si="2"/>
        <v>1</v>
      </c>
      <c r="T15" s="1647">
        <f t="shared" si="2"/>
        <v>1</v>
      </c>
      <c r="U15" s="1647">
        <f t="shared" si="2"/>
        <v>1</v>
      </c>
      <c r="V15" s="1648"/>
      <c r="W15" s="1648"/>
      <c r="X15" s="1648"/>
      <c r="Y15" s="1648"/>
      <c r="Z15" s="1648"/>
      <c r="AA15" s="1648"/>
      <c r="AB15" s="1648"/>
      <c r="AC15" s="1648"/>
      <c r="AD15" s="1648"/>
      <c r="AE15" s="1648"/>
      <c r="AF15" s="1648"/>
      <c r="AG15" s="1648"/>
      <c r="AH15" s="1648"/>
      <c r="AI15" s="1648"/>
      <c r="AJ15" s="1648"/>
      <c r="AK15" s="1648"/>
      <c r="AL15" s="1645"/>
      <c r="AM15" s="1645"/>
      <c r="AN15" s="1645"/>
      <c r="AO15" s="1645"/>
    </row>
    <row r="16" spans="1:41" s="584" customFormat="1" ht="6.75" customHeight="1" x14ac:dyDescent="0.25">
      <c r="A16" s="1627"/>
      <c r="B16" s="1649"/>
      <c r="C16" s="1634"/>
      <c r="D16" s="1638"/>
      <c r="E16" s="1638"/>
      <c r="F16" s="1638"/>
      <c r="G16" s="1638"/>
      <c r="H16" s="1638"/>
      <c r="I16" s="1638"/>
      <c r="J16" s="1638"/>
      <c r="K16" s="1638"/>
      <c r="L16" s="1638"/>
      <c r="M16" s="1638"/>
      <c r="N16" s="1638"/>
      <c r="O16" s="1638"/>
      <c r="P16" s="1638"/>
      <c r="Q16" s="1638"/>
      <c r="R16" s="1638"/>
      <c r="S16" s="1638"/>
      <c r="T16" s="1638"/>
      <c r="U16" s="1638"/>
      <c r="V16" s="1632"/>
      <c r="W16" s="1632"/>
      <c r="X16" s="1632"/>
      <c r="Y16" s="1632"/>
      <c r="Z16" s="1632"/>
      <c r="AA16" s="1632"/>
      <c r="AB16" s="1632"/>
      <c r="AC16" s="1632"/>
      <c r="AD16" s="1632"/>
      <c r="AE16" s="1632"/>
      <c r="AF16" s="1632"/>
      <c r="AG16" s="1632"/>
      <c r="AH16" s="1632"/>
      <c r="AI16" s="1632"/>
      <c r="AJ16" s="1632"/>
      <c r="AK16" s="1632"/>
      <c r="AL16" s="1627"/>
      <c r="AM16" s="1627"/>
      <c r="AN16" s="1627"/>
      <c r="AO16" s="1627"/>
    </row>
    <row r="17" spans="1:41" s="584" customFormat="1" x14ac:dyDescent="0.25">
      <c r="A17" s="1627"/>
      <c r="B17" s="1544" t="s">
        <v>278</v>
      </c>
      <c r="C17" s="1650">
        <f>Summary!F19</f>
        <v>8</v>
      </c>
      <c r="D17" s="1651">
        <f t="shared" ref="D17:U17" si="3">IF(D14+C17&gt;=UNITS,UNITS-D14,C17)</f>
        <v>8</v>
      </c>
      <c r="E17" s="1651">
        <f t="shared" si="3"/>
        <v>8</v>
      </c>
      <c r="F17" s="1651">
        <f t="shared" si="3"/>
        <v>8</v>
      </c>
      <c r="G17" s="1651">
        <f t="shared" si="3"/>
        <v>8</v>
      </c>
      <c r="H17" s="1651">
        <f t="shared" si="3"/>
        <v>8</v>
      </c>
      <c r="I17" s="1651">
        <f t="shared" si="3"/>
        <v>8</v>
      </c>
      <c r="J17" s="1651">
        <f t="shared" si="3"/>
        <v>8</v>
      </c>
      <c r="K17" s="1651">
        <f t="shared" si="3"/>
        <v>8</v>
      </c>
      <c r="L17" s="1651">
        <f t="shared" si="3"/>
        <v>2</v>
      </c>
      <c r="M17" s="1651">
        <f t="shared" si="3"/>
        <v>0</v>
      </c>
      <c r="N17" s="1651">
        <f t="shared" si="3"/>
        <v>0</v>
      </c>
      <c r="O17" s="1651">
        <f t="shared" si="3"/>
        <v>0</v>
      </c>
      <c r="P17" s="1651">
        <f t="shared" si="3"/>
        <v>0</v>
      </c>
      <c r="Q17" s="1651">
        <f t="shared" si="3"/>
        <v>0</v>
      </c>
      <c r="R17" s="1651">
        <f t="shared" si="3"/>
        <v>0</v>
      </c>
      <c r="S17" s="1651">
        <f t="shared" si="3"/>
        <v>0</v>
      </c>
      <c r="T17" s="1651">
        <f t="shared" si="3"/>
        <v>0</v>
      </c>
      <c r="U17" s="1651">
        <f t="shared" si="3"/>
        <v>0</v>
      </c>
      <c r="V17" s="1632"/>
      <c r="W17" s="1632"/>
      <c r="X17" s="1632"/>
      <c r="Y17" s="1632"/>
      <c r="Z17" s="1632"/>
      <c r="AA17" s="1632"/>
      <c r="AB17" s="1632"/>
      <c r="AC17" s="1632"/>
      <c r="AD17" s="1632"/>
      <c r="AE17" s="1632"/>
      <c r="AF17" s="1632"/>
      <c r="AG17" s="1632"/>
      <c r="AH17" s="1632"/>
      <c r="AI17" s="1632"/>
      <c r="AJ17" s="1632"/>
      <c r="AK17" s="1632"/>
      <c r="AL17" s="1627"/>
      <c r="AM17" s="1627"/>
      <c r="AN17" s="1627"/>
      <c r="AO17" s="1627"/>
    </row>
    <row r="18" spans="1:41" x14ac:dyDescent="0.25">
      <c r="A18" s="348"/>
      <c r="B18" s="351"/>
      <c r="C18" s="136"/>
      <c r="D18" s="348"/>
      <c r="E18" s="348"/>
      <c r="F18" s="136"/>
      <c r="G18" s="136"/>
      <c r="H18" s="136"/>
      <c r="I18" s="136"/>
      <c r="J18" s="348"/>
      <c r="K18" s="136"/>
      <c r="L18" s="136"/>
      <c r="M18" s="136"/>
      <c r="N18" s="136"/>
      <c r="O18" s="348"/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  <c r="AO18" s="348"/>
    </row>
    <row r="19" spans="1:41" x14ac:dyDescent="0.25">
      <c r="A19" s="348"/>
      <c r="B19" s="351"/>
      <c r="C19" s="349"/>
      <c r="D19" s="136"/>
      <c r="E19" s="348"/>
      <c r="F19" s="136"/>
      <c r="G19" s="136"/>
      <c r="H19" s="348"/>
      <c r="I19" s="348"/>
      <c r="J19" s="136"/>
      <c r="K19" s="136"/>
      <c r="L19" s="136"/>
      <c r="M19" s="136"/>
      <c r="N19" s="136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348"/>
      <c r="AM19" s="348"/>
      <c r="AN19" s="348"/>
      <c r="AO19" s="348"/>
    </row>
    <row r="20" spans="1:41" x14ac:dyDescent="0.25">
      <c r="A20" s="344"/>
      <c r="B20" s="353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</row>
    <row r="21" spans="1:41" ht="15.75" customHeight="1" x14ac:dyDescent="0.25">
      <c r="A21" s="344"/>
      <c r="B21" s="353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</row>
    <row r="22" spans="1:41" ht="15.75" customHeight="1" x14ac:dyDescent="0.25">
      <c r="A22" s="344"/>
      <c r="B22" s="353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</row>
    <row r="23" spans="1:41" ht="15.75" customHeight="1" x14ac:dyDescent="0.25">
      <c r="A23" s="344"/>
      <c r="B23" s="353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</row>
    <row r="24" spans="1:41" ht="15.75" customHeight="1" x14ac:dyDescent="0.25">
      <c r="A24" s="344"/>
      <c r="B24" s="353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</row>
    <row r="25" spans="1:41" ht="15.75" customHeight="1" x14ac:dyDescent="0.25">
      <c r="A25" s="344"/>
      <c r="B25" s="353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</row>
    <row r="26" spans="1:41" ht="15.75" customHeight="1" x14ac:dyDescent="0.25">
      <c r="A26" s="344"/>
      <c r="B26" s="353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</row>
    <row r="27" spans="1:41" ht="15.75" customHeight="1" x14ac:dyDescent="0.25">
      <c r="A27" s="344"/>
      <c r="B27" s="353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</row>
    <row r="28" spans="1:41" ht="15.75" customHeight="1" x14ac:dyDescent="0.25">
      <c r="A28" s="344"/>
      <c r="B28" s="353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</row>
    <row r="29" spans="1:41" ht="15.75" customHeight="1" x14ac:dyDescent="0.25">
      <c r="A29" s="344"/>
      <c r="B29" s="353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</row>
    <row r="30" spans="1:41" ht="15.75" customHeight="1" x14ac:dyDescent="0.25">
      <c r="A30" s="344"/>
      <c r="B30" s="353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</row>
    <row r="31" spans="1:41" ht="15.75" customHeight="1" x14ac:dyDescent="0.25">
      <c r="A31" s="344"/>
      <c r="B31" s="353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</row>
    <row r="32" spans="1:41" ht="15.75" customHeight="1" x14ac:dyDescent="0.25">
      <c r="A32" s="344"/>
      <c r="B32" s="353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</row>
    <row r="33" spans="1:41" ht="15.75" customHeight="1" x14ac:dyDescent="0.25">
      <c r="A33" s="344"/>
      <c r="B33" s="353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</row>
    <row r="34" spans="1:41" ht="15.75" customHeight="1" x14ac:dyDescent="0.25">
      <c r="A34" s="344"/>
      <c r="B34" s="353"/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  <c r="AA34" s="344"/>
      <c r="AB34" s="344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</row>
    <row r="35" spans="1:41" ht="15.75" customHeight="1" x14ac:dyDescent="0.25">
      <c r="A35" s="344"/>
      <c r="B35" s="353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</row>
    <row r="36" spans="1:41" ht="15.75" customHeight="1" x14ac:dyDescent="0.25">
      <c r="A36" s="344"/>
      <c r="B36" s="353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</row>
    <row r="37" spans="1:41" ht="15.75" customHeight="1" x14ac:dyDescent="0.25">
      <c r="A37" s="344"/>
      <c r="B37" s="353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</row>
    <row r="38" spans="1:41" ht="15.75" customHeight="1" x14ac:dyDescent="0.25">
      <c r="A38" s="344"/>
      <c r="B38" s="353"/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</row>
    <row r="39" spans="1:41" ht="15.75" customHeight="1" x14ac:dyDescent="0.25">
      <c r="A39" s="344"/>
      <c r="B39" s="353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</row>
    <row r="40" spans="1:41" ht="15.75" customHeight="1" x14ac:dyDescent="0.25">
      <c r="A40" s="344"/>
      <c r="B40" s="353"/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4"/>
      <c r="AL40" s="344"/>
      <c r="AM40" s="344"/>
      <c r="AN40" s="344"/>
      <c r="AO40" s="344"/>
    </row>
    <row r="41" spans="1:41" ht="15.75" customHeight="1" x14ac:dyDescent="0.25">
      <c r="A41" s="344"/>
      <c r="B41" s="353"/>
      <c r="C41" s="344"/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4"/>
      <c r="AL41" s="344"/>
      <c r="AM41" s="344"/>
      <c r="AN41" s="344"/>
      <c r="AO41" s="344"/>
    </row>
    <row r="42" spans="1:41" ht="15.75" customHeight="1" x14ac:dyDescent="0.25">
      <c r="A42" s="344"/>
      <c r="B42" s="353"/>
      <c r="C42" s="344"/>
      <c r="D42" s="344"/>
      <c r="E42" s="344"/>
      <c r="F42" s="344"/>
      <c r="G42" s="344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  <c r="AA42" s="344"/>
      <c r="AB42" s="344"/>
      <c r="AC42" s="344"/>
      <c r="AD42" s="344"/>
      <c r="AE42" s="344"/>
      <c r="AF42" s="344"/>
      <c r="AG42" s="344"/>
      <c r="AH42" s="344"/>
      <c r="AI42" s="344"/>
      <c r="AJ42" s="344"/>
      <c r="AK42" s="344"/>
      <c r="AL42" s="344"/>
      <c r="AM42" s="344"/>
      <c r="AN42" s="344"/>
      <c r="AO42" s="344"/>
    </row>
    <row r="43" spans="1:41" ht="15.75" customHeight="1" x14ac:dyDescent="0.25">
      <c r="A43" s="344"/>
      <c r="B43" s="353"/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4"/>
      <c r="AL43" s="344"/>
      <c r="AM43" s="344"/>
      <c r="AN43" s="344"/>
      <c r="AO43" s="344"/>
    </row>
    <row r="44" spans="1:41" ht="15.75" customHeight="1" x14ac:dyDescent="0.25">
      <c r="A44" s="344"/>
      <c r="B44" s="353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44"/>
      <c r="AJ44" s="344"/>
      <c r="AK44" s="344"/>
      <c r="AL44" s="344"/>
      <c r="AM44" s="344"/>
      <c r="AN44" s="344"/>
      <c r="AO44" s="344"/>
    </row>
    <row r="45" spans="1:41" ht="15.75" customHeight="1" x14ac:dyDescent="0.25">
      <c r="A45" s="344"/>
      <c r="B45" s="353"/>
      <c r="C45" s="344"/>
      <c r="D45" s="344"/>
      <c r="E45" s="344"/>
      <c r="F45" s="344"/>
      <c r="G45" s="344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4"/>
      <c r="AL45" s="344"/>
      <c r="AM45" s="344"/>
      <c r="AN45" s="344"/>
      <c r="AO45" s="344"/>
    </row>
    <row r="46" spans="1:41" ht="15.75" customHeight="1" x14ac:dyDescent="0.25">
      <c r="A46" s="344"/>
      <c r="B46" s="353"/>
      <c r="C46" s="344"/>
      <c r="D46" s="344"/>
      <c r="E46" s="344"/>
      <c r="F46" s="344"/>
      <c r="G46" s="344"/>
      <c r="H46" s="344"/>
      <c r="I46" s="344"/>
      <c r="J46" s="344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4"/>
    </row>
    <row r="47" spans="1:41" ht="15.75" customHeight="1" x14ac:dyDescent="0.25">
      <c r="A47" s="344"/>
      <c r="B47" s="353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4"/>
    </row>
    <row r="48" spans="1:41" ht="15.75" customHeight="1" x14ac:dyDescent="0.25">
      <c r="A48" s="344"/>
      <c r="B48" s="353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</row>
    <row r="49" spans="1:41" ht="15.75" customHeight="1" x14ac:dyDescent="0.25">
      <c r="A49" s="344"/>
      <c r="B49" s="353"/>
      <c r="C49" s="344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</row>
    <row r="50" spans="1:41" ht="15.75" customHeight="1" x14ac:dyDescent="0.25">
      <c r="A50" s="344"/>
      <c r="B50" s="353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</row>
    <row r="51" spans="1:41" ht="15.75" customHeight="1" x14ac:dyDescent="0.25">
      <c r="A51" s="344"/>
      <c r="B51" s="353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</row>
    <row r="52" spans="1:41" ht="15.75" customHeight="1" x14ac:dyDescent="0.25">
      <c r="A52" s="344"/>
      <c r="B52" s="353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</row>
    <row r="53" spans="1:41" ht="15.75" customHeight="1" x14ac:dyDescent="0.25">
      <c r="A53" s="344"/>
      <c r="B53" s="353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</row>
    <row r="54" spans="1:41" ht="15.75" customHeight="1" x14ac:dyDescent="0.25">
      <c r="A54" s="344"/>
      <c r="B54" s="353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</row>
    <row r="55" spans="1:41" ht="15.75" customHeight="1" x14ac:dyDescent="0.25">
      <c r="A55" s="344"/>
      <c r="B55" s="353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</row>
    <row r="56" spans="1:41" ht="15.75" customHeight="1" x14ac:dyDescent="0.25">
      <c r="A56" s="344"/>
      <c r="B56" s="353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4"/>
    </row>
    <row r="57" spans="1:41" ht="15.75" customHeight="1" x14ac:dyDescent="0.25">
      <c r="A57" s="344"/>
      <c r="B57" s="353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4"/>
    </row>
    <row r="58" spans="1:41" ht="15.75" customHeight="1" x14ac:dyDescent="0.25">
      <c r="A58" s="344"/>
      <c r="B58" s="353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</row>
    <row r="59" spans="1:41" ht="15.75" customHeight="1" x14ac:dyDescent="0.25">
      <c r="A59" s="344"/>
      <c r="B59" s="353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</row>
    <row r="60" spans="1:41" ht="15.75" customHeight="1" x14ac:dyDescent="0.25">
      <c r="A60" s="344"/>
      <c r="B60" s="353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4"/>
    </row>
    <row r="61" spans="1:41" ht="15.75" customHeight="1" x14ac:dyDescent="0.25">
      <c r="A61" s="344"/>
      <c r="B61" s="353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</row>
    <row r="62" spans="1:41" ht="15.75" customHeight="1" x14ac:dyDescent="0.25">
      <c r="A62" s="344"/>
      <c r="B62" s="353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4"/>
    </row>
    <row r="63" spans="1:41" ht="15.75" customHeight="1" x14ac:dyDescent="0.25">
      <c r="A63" s="344"/>
      <c r="B63" s="353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</row>
    <row r="64" spans="1:41" ht="15.75" customHeight="1" x14ac:dyDescent="0.25">
      <c r="A64" s="344"/>
      <c r="B64" s="353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4"/>
    </row>
    <row r="65" spans="1:41" ht="15.75" customHeight="1" x14ac:dyDescent="0.25">
      <c r="A65" s="344"/>
      <c r="B65" s="353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</row>
    <row r="66" spans="1:41" ht="15.75" customHeight="1" x14ac:dyDescent="0.25">
      <c r="A66" s="344"/>
      <c r="B66" s="353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</row>
    <row r="67" spans="1:41" ht="15.75" customHeight="1" x14ac:dyDescent="0.25">
      <c r="A67" s="344"/>
      <c r="B67" s="353"/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</row>
    <row r="68" spans="1:41" ht="15.75" customHeight="1" x14ac:dyDescent="0.25">
      <c r="A68" s="344"/>
      <c r="B68" s="353"/>
      <c r="C68" s="344"/>
      <c r="D68" s="344"/>
      <c r="E68" s="344"/>
      <c r="F68" s="344"/>
      <c r="G68" s="344"/>
      <c r="H68" s="344"/>
      <c r="I68" s="344"/>
      <c r="J68" s="344"/>
      <c r="K68" s="344"/>
      <c r="L68" s="344"/>
      <c r="M68" s="344"/>
      <c r="N68" s="344"/>
      <c r="O68" s="344"/>
      <c r="P68" s="344"/>
      <c r="Q68" s="344"/>
      <c r="R68" s="344"/>
      <c r="S68" s="344"/>
      <c r="T68" s="344"/>
      <c r="U68" s="344"/>
      <c r="V68" s="344"/>
      <c r="W68" s="344"/>
      <c r="X68" s="344"/>
      <c r="Y68" s="344"/>
      <c r="Z68" s="344"/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</row>
    <row r="69" spans="1:41" ht="15.75" customHeight="1" x14ac:dyDescent="0.25">
      <c r="A69" s="344"/>
      <c r="B69" s="353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</row>
    <row r="70" spans="1:41" ht="15.75" customHeight="1" x14ac:dyDescent="0.25">
      <c r="A70" s="344"/>
      <c r="B70" s="353"/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</row>
    <row r="71" spans="1:41" ht="15.75" customHeight="1" x14ac:dyDescent="0.25">
      <c r="A71" s="344"/>
      <c r="B71" s="353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</row>
    <row r="72" spans="1:41" ht="15.75" customHeight="1" x14ac:dyDescent="0.25">
      <c r="A72" s="344"/>
      <c r="B72" s="353"/>
      <c r="C72" s="344"/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/>
      <c r="AK72" s="344"/>
      <c r="AL72" s="344"/>
      <c r="AM72" s="344"/>
      <c r="AN72" s="344"/>
      <c r="AO72" s="344"/>
    </row>
    <row r="73" spans="1:41" ht="15.75" customHeight="1" x14ac:dyDescent="0.25">
      <c r="A73" s="344"/>
      <c r="B73" s="353"/>
      <c r="C73" s="344"/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44"/>
      <c r="AG73" s="344"/>
      <c r="AH73" s="344"/>
      <c r="AI73" s="344"/>
      <c r="AJ73" s="344"/>
      <c r="AK73" s="344"/>
      <c r="AL73" s="344"/>
      <c r="AM73" s="344"/>
      <c r="AN73" s="344"/>
      <c r="AO73" s="344"/>
    </row>
    <row r="74" spans="1:41" ht="15.75" customHeight="1" x14ac:dyDescent="0.25">
      <c r="A74" s="344"/>
      <c r="B74" s="353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44"/>
      <c r="AG74" s="344"/>
      <c r="AH74" s="344"/>
      <c r="AI74" s="344"/>
      <c r="AJ74" s="344"/>
      <c r="AK74" s="344"/>
      <c r="AL74" s="344"/>
      <c r="AM74" s="344"/>
      <c r="AN74" s="344"/>
      <c r="AO74" s="344"/>
    </row>
    <row r="75" spans="1:41" ht="15.75" customHeight="1" x14ac:dyDescent="0.25">
      <c r="A75" s="344"/>
      <c r="B75" s="353"/>
      <c r="C75" s="344"/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  <c r="Y75" s="344"/>
      <c r="Z75" s="344"/>
      <c r="AA75" s="344"/>
      <c r="AB75" s="344"/>
      <c r="AC75" s="344"/>
      <c r="AD75" s="344"/>
      <c r="AE75" s="344"/>
      <c r="AF75" s="344"/>
      <c r="AG75" s="344"/>
      <c r="AH75" s="344"/>
      <c r="AI75" s="344"/>
      <c r="AJ75" s="344"/>
      <c r="AK75" s="344"/>
      <c r="AL75" s="344"/>
      <c r="AM75" s="344"/>
      <c r="AN75" s="344"/>
      <c r="AO75" s="344"/>
    </row>
    <row r="76" spans="1:41" ht="15.75" customHeight="1" x14ac:dyDescent="0.25">
      <c r="A76" s="344"/>
      <c r="B76" s="353"/>
      <c r="C76" s="344"/>
      <c r="D76" s="344"/>
      <c r="E76" s="344"/>
      <c r="F76" s="344"/>
      <c r="G76" s="344"/>
      <c r="H76" s="344"/>
      <c r="I76" s="344"/>
      <c r="J76" s="344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  <c r="Y76" s="344"/>
      <c r="Z76" s="344"/>
      <c r="AA76" s="344"/>
      <c r="AB76" s="344"/>
      <c r="AC76" s="344"/>
      <c r="AD76" s="344"/>
      <c r="AE76" s="344"/>
      <c r="AF76" s="344"/>
      <c r="AG76" s="344"/>
      <c r="AH76" s="344"/>
      <c r="AI76" s="344"/>
      <c r="AJ76" s="344"/>
      <c r="AK76" s="344"/>
      <c r="AL76" s="344"/>
      <c r="AM76" s="344"/>
      <c r="AN76" s="344"/>
      <c r="AO76" s="344"/>
    </row>
    <row r="77" spans="1:41" ht="15.75" customHeight="1" x14ac:dyDescent="0.25">
      <c r="A77" s="344"/>
      <c r="B77" s="353"/>
      <c r="C77" s="344"/>
      <c r="D77" s="344"/>
      <c r="E77" s="344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  <c r="Y77" s="344"/>
      <c r="Z77" s="344"/>
      <c r="AA77" s="344"/>
      <c r="AB77" s="344"/>
      <c r="AC77" s="344"/>
      <c r="AD77" s="344"/>
      <c r="AE77" s="344"/>
      <c r="AF77" s="344"/>
      <c r="AG77" s="344"/>
      <c r="AH77" s="344"/>
      <c r="AI77" s="344"/>
      <c r="AJ77" s="344"/>
      <c r="AK77" s="344"/>
      <c r="AL77" s="344"/>
      <c r="AM77" s="344"/>
      <c r="AN77" s="344"/>
      <c r="AO77" s="344"/>
    </row>
    <row r="78" spans="1:41" ht="15.75" customHeight="1" x14ac:dyDescent="0.25">
      <c r="A78" s="344"/>
      <c r="B78" s="353"/>
      <c r="C78" s="344"/>
      <c r="D78" s="344"/>
      <c r="E78" s="344"/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4"/>
      <c r="AJ78" s="344"/>
      <c r="AK78" s="344"/>
      <c r="AL78" s="344"/>
      <c r="AM78" s="344"/>
      <c r="AN78" s="344"/>
      <c r="AO78" s="344"/>
    </row>
    <row r="79" spans="1:41" ht="15.75" customHeight="1" x14ac:dyDescent="0.25">
      <c r="A79" s="344"/>
      <c r="B79" s="353"/>
      <c r="C79" s="344"/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</row>
    <row r="80" spans="1:41" ht="15.75" customHeight="1" x14ac:dyDescent="0.25">
      <c r="A80" s="344"/>
      <c r="B80" s="353"/>
      <c r="C80" s="344"/>
      <c r="D80" s="344"/>
      <c r="E80" s="344"/>
      <c r="F80" s="344"/>
      <c r="G80" s="344"/>
      <c r="H80" s="344"/>
      <c r="I80" s="344"/>
      <c r="J80" s="344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  <c r="Y80" s="344"/>
      <c r="Z80" s="344"/>
      <c r="AA80" s="344"/>
      <c r="AB80" s="344"/>
      <c r="AC80" s="344"/>
      <c r="AD80" s="344"/>
      <c r="AE80" s="344"/>
      <c r="AF80" s="344"/>
      <c r="AG80" s="344"/>
      <c r="AH80" s="344"/>
      <c r="AI80" s="344"/>
      <c r="AJ80" s="344"/>
      <c r="AK80" s="344"/>
      <c r="AL80" s="344"/>
      <c r="AM80" s="344"/>
      <c r="AN80" s="344"/>
      <c r="AO80" s="344"/>
    </row>
    <row r="81" spans="1:41" ht="15.75" customHeight="1" x14ac:dyDescent="0.25">
      <c r="A81" s="344"/>
      <c r="B81" s="353"/>
      <c r="C81" s="344"/>
      <c r="D81" s="344"/>
      <c r="E81" s="344"/>
      <c r="F81" s="344"/>
      <c r="G81" s="344"/>
      <c r="H81" s="344"/>
      <c r="I81" s="344"/>
      <c r="J81" s="344"/>
      <c r="K81" s="344"/>
      <c r="L81" s="344"/>
      <c r="M81" s="344"/>
      <c r="N81" s="344"/>
      <c r="O81" s="344"/>
      <c r="P81" s="344"/>
      <c r="Q81" s="344"/>
      <c r="R81" s="344"/>
      <c r="S81" s="344"/>
      <c r="T81" s="344"/>
      <c r="U81" s="344"/>
      <c r="V81" s="344"/>
      <c r="W81" s="344"/>
      <c r="X81" s="344"/>
      <c r="Y81" s="344"/>
      <c r="Z81" s="344"/>
      <c r="AA81" s="344"/>
      <c r="AB81" s="344"/>
      <c r="AC81" s="344"/>
      <c r="AD81" s="344"/>
      <c r="AE81" s="344"/>
      <c r="AF81" s="344"/>
      <c r="AG81" s="344"/>
      <c r="AH81" s="344"/>
      <c r="AI81" s="344"/>
      <c r="AJ81" s="344"/>
      <c r="AK81" s="344"/>
      <c r="AL81" s="344"/>
      <c r="AM81" s="344"/>
      <c r="AN81" s="344"/>
      <c r="AO81" s="344"/>
    </row>
    <row r="82" spans="1:41" ht="15.75" customHeight="1" x14ac:dyDescent="0.25">
      <c r="A82" s="344"/>
      <c r="B82" s="353"/>
      <c r="C82" s="344"/>
      <c r="D82" s="344"/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44"/>
      <c r="P82" s="344"/>
      <c r="Q82" s="344"/>
      <c r="R82" s="344"/>
      <c r="S82" s="344"/>
      <c r="T82" s="344"/>
      <c r="U82" s="344"/>
      <c r="V82" s="344"/>
      <c r="W82" s="344"/>
      <c r="X82" s="344"/>
      <c r="Y82" s="344"/>
      <c r="Z82" s="344"/>
      <c r="AA82" s="344"/>
      <c r="AB82" s="344"/>
      <c r="AC82" s="344"/>
      <c r="AD82" s="344"/>
      <c r="AE82" s="344"/>
      <c r="AF82" s="344"/>
      <c r="AG82" s="344"/>
      <c r="AH82" s="344"/>
      <c r="AI82" s="344"/>
      <c r="AJ82" s="344"/>
      <c r="AK82" s="344"/>
      <c r="AL82" s="344"/>
      <c r="AM82" s="344"/>
      <c r="AN82" s="344"/>
      <c r="AO82" s="344"/>
    </row>
    <row r="83" spans="1:41" ht="15.75" customHeight="1" x14ac:dyDescent="0.25">
      <c r="A83" s="344"/>
      <c r="B83" s="353"/>
      <c r="C83" s="344"/>
      <c r="D83" s="344"/>
      <c r="E83" s="344"/>
      <c r="F83" s="344"/>
      <c r="G83" s="344"/>
      <c r="H83" s="344"/>
      <c r="I83" s="344"/>
      <c r="J83" s="344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  <c r="Y83" s="344"/>
      <c r="Z83" s="344"/>
      <c r="AA83" s="344"/>
      <c r="AB83" s="344"/>
      <c r="AC83" s="344"/>
      <c r="AD83" s="344"/>
      <c r="AE83" s="344"/>
      <c r="AF83" s="344"/>
      <c r="AG83" s="344"/>
      <c r="AH83" s="344"/>
      <c r="AI83" s="344"/>
      <c r="AJ83" s="344"/>
      <c r="AK83" s="344"/>
      <c r="AL83" s="344"/>
      <c r="AM83" s="344"/>
      <c r="AN83" s="344"/>
      <c r="AO83" s="344"/>
    </row>
    <row r="84" spans="1:41" ht="15.75" customHeight="1" x14ac:dyDescent="0.25">
      <c r="A84" s="344"/>
      <c r="B84" s="353"/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4"/>
      <c r="AH84" s="344"/>
      <c r="AI84" s="344"/>
      <c r="AJ84" s="344"/>
      <c r="AK84" s="344"/>
      <c r="AL84" s="344"/>
      <c r="AM84" s="344"/>
      <c r="AN84" s="344"/>
      <c r="AO84" s="344"/>
    </row>
    <row r="85" spans="1:41" ht="15.75" customHeight="1" x14ac:dyDescent="0.25">
      <c r="A85" s="344"/>
      <c r="B85" s="353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</row>
    <row r="86" spans="1:41" ht="15.75" customHeight="1" x14ac:dyDescent="0.25">
      <c r="A86" s="344"/>
      <c r="B86" s="353"/>
      <c r="C86" s="344"/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</row>
    <row r="87" spans="1:41" ht="15.75" customHeight="1" x14ac:dyDescent="0.25">
      <c r="A87" s="344"/>
      <c r="B87" s="353"/>
      <c r="C87" s="344"/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</row>
    <row r="88" spans="1:41" ht="15.75" customHeight="1" x14ac:dyDescent="0.25">
      <c r="A88" s="344"/>
      <c r="B88" s="353"/>
      <c r="C88" s="344"/>
      <c r="D88" s="344"/>
      <c r="E88" s="344"/>
      <c r="F88" s="344"/>
      <c r="G88" s="344"/>
      <c r="H88" s="344"/>
      <c r="I88" s="344"/>
      <c r="J88" s="344"/>
      <c r="K88" s="344"/>
      <c r="L88" s="344"/>
      <c r="M88" s="344"/>
      <c r="N88" s="344"/>
      <c r="O88" s="344"/>
      <c r="P88" s="344"/>
      <c r="Q88" s="344"/>
      <c r="R88" s="344"/>
      <c r="S88" s="344"/>
      <c r="T88" s="344"/>
      <c r="U88" s="344"/>
      <c r="V88" s="344"/>
      <c r="W88" s="344"/>
      <c r="X88" s="344"/>
      <c r="Y88" s="344"/>
      <c r="Z88" s="344"/>
      <c r="AA88" s="344"/>
      <c r="AB88" s="344"/>
      <c r="AC88" s="344"/>
      <c r="AD88" s="344"/>
      <c r="AE88" s="344"/>
      <c r="AF88" s="344"/>
      <c r="AG88" s="344"/>
      <c r="AH88" s="344"/>
      <c r="AI88" s="344"/>
      <c r="AJ88" s="344"/>
      <c r="AK88" s="344"/>
      <c r="AL88" s="344"/>
      <c r="AM88" s="344"/>
      <c r="AN88" s="344"/>
      <c r="AO88" s="344"/>
    </row>
    <row r="89" spans="1:41" ht="15.75" customHeight="1" x14ac:dyDescent="0.25">
      <c r="A89" s="344"/>
      <c r="B89" s="353"/>
      <c r="C89" s="344"/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  <c r="O89" s="344"/>
      <c r="P89" s="344"/>
      <c r="Q89" s="344"/>
      <c r="R89" s="344"/>
      <c r="S89" s="344"/>
      <c r="T89" s="344"/>
      <c r="U89" s="344"/>
      <c r="V89" s="344"/>
      <c r="W89" s="344"/>
      <c r="X89" s="344"/>
      <c r="Y89" s="344"/>
      <c r="Z89" s="344"/>
      <c r="AA89" s="344"/>
      <c r="AB89" s="344"/>
      <c r="AC89" s="344"/>
      <c r="AD89" s="344"/>
      <c r="AE89" s="344"/>
      <c r="AF89" s="344"/>
      <c r="AG89" s="344"/>
      <c r="AH89" s="344"/>
      <c r="AI89" s="344"/>
      <c r="AJ89" s="344"/>
      <c r="AK89" s="344"/>
      <c r="AL89" s="344"/>
      <c r="AM89" s="344"/>
      <c r="AN89" s="344"/>
      <c r="AO89" s="344"/>
    </row>
    <row r="90" spans="1:41" ht="15.75" customHeight="1" x14ac:dyDescent="0.25">
      <c r="A90" s="344"/>
      <c r="B90" s="353"/>
      <c r="C90" s="344"/>
      <c r="D90" s="344"/>
      <c r="E90" s="344"/>
      <c r="F90" s="344"/>
      <c r="G90" s="344"/>
      <c r="H90" s="344"/>
      <c r="I90" s="344"/>
      <c r="J90" s="344"/>
      <c r="K90" s="344"/>
      <c r="L90" s="344"/>
      <c r="M90" s="344"/>
      <c r="N90" s="344"/>
      <c r="O90" s="344"/>
      <c r="P90" s="344"/>
      <c r="Q90" s="344"/>
      <c r="R90" s="344"/>
      <c r="S90" s="344"/>
      <c r="T90" s="344"/>
      <c r="U90" s="344"/>
      <c r="V90" s="344"/>
      <c r="W90" s="344"/>
      <c r="X90" s="344"/>
      <c r="Y90" s="344"/>
      <c r="Z90" s="344"/>
      <c r="AA90" s="344"/>
      <c r="AB90" s="344"/>
      <c r="AC90" s="344"/>
      <c r="AD90" s="344"/>
      <c r="AE90" s="344"/>
      <c r="AF90" s="344"/>
      <c r="AG90" s="344"/>
      <c r="AH90" s="344"/>
      <c r="AI90" s="344"/>
      <c r="AJ90" s="344"/>
      <c r="AK90" s="344"/>
      <c r="AL90" s="344"/>
      <c r="AM90" s="344"/>
      <c r="AN90" s="344"/>
      <c r="AO90" s="344"/>
    </row>
    <row r="91" spans="1:41" ht="15.75" customHeight="1" x14ac:dyDescent="0.25">
      <c r="A91" s="344"/>
      <c r="B91" s="353"/>
      <c r="C91" s="344"/>
      <c r="D91" s="344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344"/>
      <c r="S91" s="344"/>
      <c r="T91" s="344"/>
      <c r="U91" s="344"/>
      <c r="V91" s="344"/>
      <c r="W91" s="344"/>
      <c r="X91" s="344"/>
      <c r="Y91" s="344"/>
      <c r="Z91" s="344"/>
      <c r="AA91" s="344"/>
      <c r="AB91" s="344"/>
      <c r="AC91" s="344"/>
      <c r="AD91" s="344"/>
      <c r="AE91" s="344"/>
      <c r="AF91" s="344"/>
      <c r="AG91" s="344"/>
      <c r="AH91" s="344"/>
      <c r="AI91" s="344"/>
      <c r="AJ91" s="344"/>
      <c r="AK91" s="344"/>
      <c r="AL91" s="344"/>
      <c r="AM91" s="344"/>
      <c r="AN91" s="344"/>
      <c r="AO91" s="344"/>
    </row>
    <row r="92" spans="1:41" ht="15.75" customHeight="1" x14ac:dyDescent="0.25">
      <c r="A92" s="344"/>
      <c r="B92" s="353"/>
      <c r="C92" s="344"/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  <c r="AH92" s="344"/>
      <c r="AI92" s="344"/>
      <c r="AJ92" s="344"/>
      <c r="AK92" s="344"/>
      <c r="AL92" s="344"/>
      <c r="AM92" s="344"/>
      <c r="AN92" s="344"/>
      <c r="AO92" s="344"/>
    </row>
    <row r="93" spans="1:41" ht="15.75" customHeight="1" x14ac:dyDescent="0.25">
      <c r="A93" s="344"/>
      <c r="B93" s="353"/>
      <c r="C93" s="344"/>
      <c r="D93" s="344"/>
      <c r="E93" s="344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  <c r="Y93" s="344"/>
      <c r="Z93" s="344"/>
      <c r="AA93" s="344"/>
      <c r="AB93" s="344"/>
      <c r="AC93" s="344"/>
      <c r="AD93" s="344"/>
      <c r="AE93" s="344"/>
      <c r="AF93" s="344"/>
      <c r="AG93" s="344"/>
      <c r="AH93" s="344"/>
      <c r="AI93" s="344"/>
      <c r="AJ93" s="344"/>
      <c r="AK93" s="344"/>
      <c r="AL93" s="344"/>
      <c r="AM93" s="344"/>
      <c r="AN93" s="344"/>
      <c r="AO93" s="344"/>
    </row>
    <row r="94" spans="1:41" ht="15.75" customHeight="1" x14ac:dyDescent="0.25">
      <c r="A94" s="344"/>
      <c r="B94" s="353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  <c r="AC94" s="344"/>
      <c r="AD94" s="344"/>
      <c r="AE94" s="344"/>
      <c r="AF94" s="344"/>
      <c r="AG94" s="344"/>
      <c r="AH94" s="344"/>
      <c r="AI94" s="344"/>
      <c r="AJ94" s="344"/>
      <c r="AK94" s="344"/>
      <c r="AL94" s="344"/>
      <c r="AM94" s="344"/>
      <c r="AN94" s="344"/>
      <c r="AO94" s="344"/>
    </row>
    <row r="95" spans="1:41" ht="15.75" customHeight="1" x14ac:dyDescent="0.25">
      <c r="A95" s="344"/>
      <c r="B95" s="353"/>
      <c r="C95" s="344"/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4"/>
      <c r="AH95" s="344"/>
      <c r="AI95" s="344"/>
      <c r="AJ95" s="344"/>
      <c r="AK95" s="344"/>
      <c r="AL95" s="344"/>
      <c r="AM95" s="344"/>
      <c r="AN95" s="344"/>
      <c r="AO95" s="344"/>
    </row>
    <row r="96" spans="1:41" ht="15.75" customHeight="1" x14ac:dyDescent="0.25">
      <c r="A96" s="344"/>
      <c r="B96" s="353"/>
      <c r="C96" s="344"/>
      <c r="D96" s="344"/>
      <c r="E96" s="344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  <c r="Y96" s="344"/>
      <c r="Z96" s="344"/>
      <c r="AA96" s="344"/>
      <c r="AB96" s="344"/>
      <c r="AC96" s="344"/>
      <c r="AD96" s="344"/>
      <c r="AE96" s="344"/>
      <c r="AF96" s="344"/>
      <c r="AG96" s="344"/>
      <c r="AH96" s="344"/>
      <c r="AI96" s="344"/>
      <c r="AJ96" s="344"/>
      <c r="AK96" s="344"/>
      <c r="AL96" s="344"/>
      <c r="AM96" s="344"/>
      <c r="AN96" s="344"/>
      <c r="AO96" s="344"/>
    </row>
    <row r="97" spans="1:41" ht="15.75" customHeight="1" x14ac:dyDescent="0.25">
      <c r="A97" s="344"/>
      <c r="B97" s="353"/>
      <c r="C97" s="344"/>
      <c r="D97" s="344"/>
      <c r="E97" s="344"/>
      <c r="F97" s="344"/>
      <c r="G97" s="344"/>
      <c r="H97" s="344"/>
      <c r="I97" s="344"/>
      <c r="J97" s="344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  <c r="Y97" s="344"/>
      <c r="Z97" s="344"/>
      <c r="AA97" s="344"/>
      <c r="AB97" s="344"/>
      <c r="AC97" s="344"/>
      <c r="AD97" s="344"/>
      <c r="AE97" s="344"/>
      <c r="AF97" s="344"/>
      <c r="AG97" s="344"/>
      <c r="AH97" s="344"/>
      <c r="AI97" s="344"/>
      <c r="AJ97" s="344"/>
      <c r="AK97" s="344"/>
      <c r="AL97" s="344"/>
      <c r="AM97" s="344"/>
      <c r="AN97" s="344"/>
      <c r="AO97" s="344"/>
    </row>
    <row r="98" spans="1:41" ht="15.75" customHeight="1" x14ac:dyDescent="0.25">
      <c r="A98" s="344"/>
      <c r="B98" s="353"/>
      <c r="C98" s="344"/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  <c r="Y98" s="344"/>
      <c r="Z98" s="344"/>
      <c r="AA98" s="344"/>
      <c r="AB98" s="344"/>
      <c r="AC98" s="344"/>
      <c r="AD98" s="344"/>
      <c r="AE98" s="344"/>
      <c r="AF98" s="344"/>
      <c r="AG98" s="344"/>
      <c r="AH98" s="344"/>
      <c r="AI98" s="344"/>
      <c r="AJ98" s="344"/>
      <c r="AK98" s="344"/>
      <c r="AL98" s="344"/>
      <c r="AM98" s="344"/>
      <c r="AN98" s="344"/>
      <c r="AO98" s="344"/>
    </row>
    <row r="99" spans="1:41" ht="15.75" customHeight="1" x14ac:dyDescent="0.25">
      <c r="A99" s="344"/>
      <c r="B99" s="353"/>
      <c r="C99" s="344"/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  <c r="Y99" s="344"/>
      <c r="Z99" s="344"/>
      <c r="AA99" s="344"/>
      <c r="AB99" s="344"/>
      <c r="AC99" s="344"/>
      <c r="AD99" s="344"/>
      <c r="AE99" s="344"/>
      <c r="AF99" s="344"/>
      <c r="AG99" s="344"/>
      <c r="AH99" s="344"/>
      <c r="AI99" s="344"/>
      <c r="AJ99" s="344"/>
      <c r="AK99" s="344"/>
      <c r="AL99" s="344"/>
      <c r="AM99" s="344"/>
      <c r="AN99" s="344"/>
      <c r="AO99" s="344"/>
    </row>
    <row r="100" spans="1:41" ht="15.75" customHeight="1" x14ac:dyDescent="0.25">
      <c r="A100" s="344"/>
      <c r="B100" s="353"/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4"/>
      <c r="AH100" s="344"/>
      <c r="AI100" s="344"/>
      <c r="AJ100" s="344"/>
      <c r="AK100" s="344"/>
      <c r="AL100" s="344"/>
      <c r="AM100" s="344"/>
      <c r="AN100" s="344"/>
      <c r="AO100" s="344"/>
    </row>
    <row r="101" spans="1:41" ht="15.75" customHeight="1" x14ac:dyDescent="0.25">
      <c r="A101" s="344"/>
      <c r="B101" s="353"/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  <c r="AD101" s="344"/>
      <c r="AE101" s="344"/>
      <c r="AF101" s="344"/>
      <c r="AG101" s="344"/>
      <c r="AH101" s="344"/>
      <c r="AI101" s="344"/>
      <c r="AJ101" s="344"/>
      <c r="AK101" s="344"/>
      <c r="AL101" s="344"/>
      <c r="AM101" s="344"/>
      <c r="AN101" s="344"/>
      <c r="AO101" s="344"/>
    </row>
    <row r="102" spans="1:41" ht="15.75" customHeight="1" x14ac:dyDescent="0.25">
      <c r="A102" s="344"/>
      <c r="B102" s="353"/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  <c r="AC102" s="344"/>
      <c r="AD102" s="344"/>
      <c r="AE102" s="344"/>
      <c r="AF102" s="344"/>
      <c r="AG102" s="344"/>
      <c r="AH102" s="344"/>
      <c r="AI102" s="344"/>
      <c r="AJ102" s="344"/>
      <c r="AK102" s="344"/>
      <c r="AL102" s="344"/>
      <c r="AM102" s="344"/>
      <c r="AN102" s="344"/>
      <c r="AO102" s="344"/>
    </row>
    <row r="103" spans="1:41" ht="15.75" customHeight="1" x14ac:dyDescent="0.25">
      <c r="A103" s="344"/>
      <c r="B103" s="353"/>
      <c r="C103" s="344"/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4"/>
      <c r="AI103" s="344"/>
      <c r="AJ103" s="344"/>
      <c r="AK103" s="344"/>
      <c r="AL103" s="344"/>
      <c r="AM103" s="344"/>
      <c r="AN103" s="344"/>
      <c r="AO103" s="344"/>
    </row>
    <row r="104" spans="1:41" ht="15.75" customHeight="1" x14ac:dyDescent="0.25">
      <c r="A104" s="344"/>
      <c r="B104" s="353"/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  <c r="W104" s="344"/>
      <c r="X104" s="344"/>
      <c r="Y104" s="344"/>
      <c r="Z104" s="344"/>
      <c r="AA104" s="344"/>
      <c r="AB104" s="344"/>
      <c r="AC104" s="344"/>
      <c r="AD104" s="344"/>
      <c r="AE104" s="344"/>
      <c r="AF104" s="344"/>
      <c r="AG104" s="344"/>
      <c r="AH104" s="344"/>
      <c r="AI104" s="344"/>
      <c r="AJ104" s="344"/>
      <c r="AK104" s="344"/>
      <c r="AL104" s="344"/>
      <c r="AM104" s="344"/>
      <c r="AN104" s="344"/>
      <c r="AO104" s="344"/>
    </row>
    <row r="105" spans="1:41" ht="15.75" customHeight="1" x14ac:dyDescent="0.25">
      <c r="A105" s="344"/>
      <c r="B105" s="353"/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  <c r="W105" s="344"/>
      <c r="X105" s="344"/>
      <c r="Y105" s="344"/>
      <c r="Z105" s="344"/>
      <c r="AA105" s="344"/>
      <c r="AB105" s="344"/>
      <c r="AC105" s="344"/>
      <c r="AD105" s="344"/>
      <c r="AE105" s="344"/>
      <c r="AF105" s="344"/>
      <c r="AG105" s="344"/>
      <c r="AH105" s="344"/>
      <c r="AI105" s="344"/>
      <c r="AJ105" s="344"/>
      <c r="AK105" s="344"/>
      <c r="AL105" s="344"/>
      <c r="AM105" s="344"/>
      <c r="AN105" s="344"/>
      <c r="AO105" s="344"/>
    </row>
    <row r="106" spans="1:41" ht="15.75" customHeight="1" x14ac:dyDescent="0.25">
      <c r="A106" s="344"/>
      <c r="B106" s="353"/>
      <c r="C106" s="344"/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4"/>
      <c r="AC106" s="344"/>
      <c r="AD106" s="344"/>
      <c r="AE106" s="344"/>
      <c r="AF106" s="344"/>
      <c r="AG106" s="344"/>
      <c r="AH106" s="344"/>
      <c r="AI106" s="344"/>
      <c r="AJ106" s="344"/>
      <c r="AK106" s="344"/>
      <c r="AL106" s="344"/>
      <c r="AM106" s="344"/>
      <c r="AN106" s="344"/>
      <c r="AO106" s="344"/>
    </row>
    <row r="107" spans="1:41" ht="15.75" customHeight="1" x14ac:dyDescent="0.25">
      <c r="A107" s="344"/>
      <c r="B107" s="353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</row>
    <row r="108" spans="1:41" ht="15.75" customHeight="1" x14ac:dyDescent="0.25">
      <c r="A108" s="344"/>
      <c r="B108" s="353"/>
      <c r="C108" s="344"/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4"/>
      <c r="AC108" s="344"/>
      <c r="AD108" s="344"/>
      <c r="AE108" s="344"/>
      <c r="AF108" s="344"/>
      <c r="AG108" s="344"/>
      <c r="AH108" s="344"/>
      <c r="AI108" s="344"/>
      <c r="AJ108" s="344"/>
      <c r="AK108" s="344"/>
      <c r="AL108" s="344"/>
      <c r="AM108" s="344"/>
      <c r="AN108" s="344"/>
      <c r="AO108" s="344"/>
    </row>
    <row r="109" spans="1:41" ht="15.75" customHeight="1" x14ac:dyDescent="0.25">
      <c r="A109" s="344"/>
      <c r="B109" s="353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</row>
    <row r="110" spans="1:41" ht="15.75" customHeight="1" x14ac:dyDescent="0.25">
      <c r="A110" s="344"/>
      <c r="B110" s="353"/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4"/>
      <c r="AC110" s="344"/>
      <c r="AD110" s="344"/>
      <c r="AE110" s="344"/>
      <c r="AF110" s="344"/>
      <c r="AG110" s="344"/>
      <c r="AH110" s="344"/>
      <c r="AI110" s="344"/>
      <c r="AJ110" s="344"/>
      <c r="AK110" s="344"/>
      <c r="AL110" s="344"/>
      <c r="AM110" s="344"/>
      <c r="AN110" s="344"/>
      <c r="AO110" s="344"/>
    </row>
    <row r="111" spans="1:41" ht="15.75" customHeight="1" x14ac:dyDescent="0.25">
      <c r="A111" s="344"/>
      <c r="B111" s="353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344"/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44"/>
      <c r="AG111" s="344"/>
      <c r="AH111" s="344"/>
      <c r="AI111" s="344"/>
      <c r="AJ111" s="344"/>
      <c r="AK111" s="344"/>
      <c r="AL111" s="344"/>
      <c r="AM111" s="344"/>
      <c r="AN111" s="344"/>
      <c r="AO111" s="344"/>
    </row>
    <row r="112" spans="1:41" ht="15.75" customHeight="1" x14ac:dyDescent="0.25">
      <c r="A112" s="344"/>
      <c r="B112" s="353"/>
      <c r="C112" s="344"/>
      <c r="D112" s="344"/>
      <c r="E112" s="344"/>
      <c r="F112" s="344"/>
      <c r="G112" s="344"/>
      <c r="H112" s="344"/>
      <c r="I112" s="344"/>
      <c r="J112" s="344"/>
      <c r="K112" s="344"/>
      <c r="L112" s="344"/>
      <c r="M112" s="344"/>
      <c r="N112" s="344"/>
      <c r="O112" s="344"/>
      <c r="P112" s="344"/>
      <c r="Q112" s="344"/>
      <c r="R112" s="344"/>
      <c r="S112" s="344"/>
      <c r="T112" s="344"/>
      <c r="U112" s="344"/>
      <c r="V112" s="344"/>
      <c r="W112" s="344"/>
      <c r="X112" s="344"/>
      <c r="Y112" s="344"/>
      <c r="Z112" s="344"/>
      <c r="AA112" s="344"/>
      <c r="AB112" s="344"/>
      <c r="AC112" s="344"/>
      <c r="AD112" s="344"/>
      <c r="AE112" s="344"/>
      <c r="AF112" s="344"/>
      <c r="AG112" s="344"/>
      <c r="AH112" s="344"/>
      <c r="AI112" s="344"/>
      <c r="AJ112" s="344"/>
      <c r="AK112" s="344"/>
      <c r="AL112" s="344"/>
      <c r="AM112" s="344"/>
      <c r="AN112" s="344"/>
      <c r="AO112" s="344"/>
    </row>
    <row r="113" spans="1:41" ht="15.75" customHeight="1" x14ac:dyDescent="0.25">
      <c r="A113" s="344"/>
      <c r="B113" s="353"/>
      <c r="C113" s="344"/>
      <c r="D113" s="344"/>
      <c r="E113" s="344"/>
      <c r="F113" s="344"/>
      <c r="G113" s="344"/>
      <c r="H113" s="344"/>
      <c r="I113" s="344"/>
      <c r="J113" s="344"/>
      <c r="K113" s="344"/>
      <c r="L113" s="344"/>
      <c r="M113" s="344"/>
      <c r="N113" s="344"/>
      <c r="O113" s="344"/>
      <c r="P113" s="344"/>
      <c r="Q113" s="344"/>
      <c r="R113" s="344"/>
      <c r="S113" s="344"/>
      <c r="T113" s="344"/>
      <c r="U113" s="344"/>
      <c r="V113" s="344"/>
      <c r="W113" s="344"/>
      <c r="X113" s="344"/>
      <c r="Y113" s="344"/>
      <c r="Z113" s="344"/>
      <c r="AA113" s="344"/>
      <c r="AB113" s="344"/>
      <c r="AC113" s="344"/>
      <c r="AD113" s="344"/>
      <c r="AE113" s="344"/>
      <c r="AF113" s="344"/>
      <c r="AG113" s="344"/>
      <c r="AH113" s="344"/>
      <c r="AI113" s="344"/>
      <c r="AJ113" s="344"/>
      <c r="AK113" s="344"/>
      <c r="AL113" s="344"/>
      <c r="AM113" s="344"/>
      <c r="AN113" s="344"/>
      <c r="AO113" s="344"/>
    </row>
    <row r="114" spans="1:41" ht="15.75" customHeight="1" x14ac:dyDescent="0.25">
      <c r="A114" s="344"/>
      <c r="B114" s="353"/>
      <c r="C114" s="344"/>
      <c r="D114" s="344"/>
      <c r="E114" s="344"/>
      <c r="F114" s="344"/>
      <c r="G114" s="344"/>
      <c r="H114" s="344"/>
      <c r="I114" s="344"/>
      <c r="J114" s="344"/>
      <c r="K114" s="344"/>
      <c r="L114" s="344"/>
      <c r="M114" s="344"/>
      <c r="N114" s="344"/>
      <c r="O114" s="344"/>
      <c r="P114" s="344"/>
      <c r="Q114" s="344"/>
      <c r="R114" s="344"/>
      <c r="S114" s="344"/>
      <c r="T114" s="344"/>
      <c r="U114" s="344"/>
      <c r="V114" s="344"/>
      <c r="W114" s="344"/>
      <c r="X114" s="344"/>
      <c r="Y114" s="344"/>
      <c r="Z114" s="344"/>
      <c r="AA114" s="344"/>
      <c r="AB114" s="344"/>
      <c r="AC114" s="344"/>
      <c r="AD114" s="344"/>
      <c r="AE114" s="344"/>
      <c r="AF114" s="344"/>
      <c r="AG114" s="344"/>
      <c r="AH114" s="344"/>
      <c r="AI114" s="344"/>
      <c r="AJ114" s="344"/>
      <c r="AK114" s="344"/>
      <c r="AL114" s="344"/>
      <c r="AM114" s="344"/>
      <c r="AN114" s="344"/>
      <c r="AO114" s="344"/>
    </row>
    <row r="115" spans="1:41" ht="15.75" customHeight="1" x14ac:dyDescent="0.25">
      <c r="A115" s="344"/>
      <c r="B115" s="353"/>
      <c r="C115" s="344"/>
      <c r="D115" s="344"/>
      <c r="E115" s="344"/>
      <c r="F115" s="344"/>
      <c r="G115" s="344"/>
      <c r="H115" s="344"/>
      <c r="I115" s="344"/>
      <c r="J115" s="344"/>
      <c r="K115" s="344"/>
      <c r="L115" s="344"/>
      <c r="M115" s="344"/>
      <c r="N115" s="344"/>
      <c r="O115" s="344"/>
      <c r="P115" s="344"/>
      <c r="Q115" s="344"/>
      <c r="R115" s="344"/>
      <c r="S115" s="344"/>
      <c r="T115" s="344"/>
      <c r="U115" s="344"/>
      <c r="V115" s="344"/>
      <c r="W115" s="344"/>
      <c r="X115" s="344"/>
      <c r="Y115" s="344"/>
      <c r="Z115" s="344"/>
      <c r="AA115" s="344"/>
      <c r="AB115" s="344"/>
      <c r="AC115" s="344"/>
      <c r="AD115" s="344"/>
      <c r="AE115" s="344"/>
      <c r="AF115" s="344"/>
      <c r="AG115" s="344"/>
      <c r="AH115" s="344"/>
      <c r="AI115" s="344"/>
      <c r="AJ115" s="344"/>
      <c r="AK115" s="344"/>
      <c r="AL115" s="344"/>
      <c r="AM115" s="344"/>
      <c r="AN115" s="344"/>
      <c r="AO115" s="344"/>
    </row>
    <row r="116" spans="1:41" ht="15.75" customHeight="1" x14ac:dyDescent="0.25">
      <c r="A116" s="344"/>
      <c r="B116" s="353"/>
      <c r="C116" s="344"/>
      <c r="D116" s="344"/>
      <c r="E116" s="344"/>
      <c r="F116" s="344"/>
      <c r="G116" s="344"/>
      <c r="H116" s="344"/>
      <c r="I116" s="344"/>
      <c r="J116" s="344"/>
      <c r="K116" s="344"/>
      <c r="L116" s="344"/>
      <c r="M116" s="344"/>
      <c r="N116" s="344"/>
      <c r="O116" s="344"/>
      <c r="P116" s="344"/>
      <c r="Q116" s="344"/>
      <c r="R116" s="344"/>
      <c r="S116" s="344"/>
      <c r="T116" s="344"/>
      <c r="U116" s="344"/>
      <c r="V116" s="344"/>
      <c r="W116" s="344"/>
      <c r="X116" s="344"/>
      <c r="Y116" s="344"/>
      <c r="Z116" s="344"/>
      <c r="AA116" s="344"/>
      <c r="AB116" s="344"/>
      <c r="AC116" s="344"/>
      <c r="AD116" s="344"/>
      <c r="AE116" s="344"/>
      <c r="AF116" s="344"/>
      <c r="AG116" s="344"/>
      <c r="AH116" s="344"/>
      <c r="AI116" s="344"/>
      <c r="AJ116" s="344"/>
      <c r="AK116" s="344"/>
      <c r="AL116" s="344"/>
      <c r="AM116" s="344"/>
      <c r="AN116" s="344"/>
      <c r="AO116" s="344"/>
    </row>
    <row r="117" spans="1:41" ht="15.75" customHeight="1" x14ac:dyDescent="0.25">
      <c r="A117" s="344"/>
      <c r="B117" s="353"/>
      <c r="C117" s="344"/>
      <c r="D117" s="344"/>
      <c r="E117" s="344"/>
      <c r="F117" s="344"/>
      <c r="G117" s="344"/>
      <c r="H117" s="344"/>
      <c r="I117" s="344"/>
      <c r="J117" s="344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  <c r="Y117" s="344"/>
      <c r="Z117" s="344"/>
      <c r="AA117" s="344"/>
      <c r="AB117" s="344"/>
      <c r="AC117" s="344"/>
      <c r="AD117" s="344"/>
      <c r="AE117" s="344"/>
      <c r="AF117" s="344"/>
      <c r="AG117" s="344"/>
      <c r="AH117" s="344"/>
      <c r="AI117" s="344"/>
      <c r="AJ117" s="344"/>
      <c r="AK117" s="344"/>
      <c r="AL117" s="344"/>
      <c r="AM117" s="344"/>
      <c r="AN117" s="344"/>
      <c r="AO117" s="344"/>
    </row>
    <row r="118" spans="1:41" ht="15.75" customHeight="1" x14ac:dyDescent="0.25">
      <c r="A118" s="344"/>
      <c r="B118" s="353"/>
      <c r="C118" s="344"/>
      <c r="D118" s="344"/>
      <c r="E118" s="344"/>
      <c r="F118" s="344"/>
      <c r="G118" s="344"/>
      <c r="H118" s="344"/>
      <c r="I118" s="344"/>
      <c r="J118" s="344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  <c r="Y118" s="344"/>
      <c r="Z118" s="344"/>
      <c r="AA118" s="344"/>
      <c r="AB118" s="344"/>
      <c r="AC118" s="344"/>
      <c r="AD118" s="344"/>
      <c r="AE118" s="344"/>
      <c r="AF118" s="344"/>
      <c r="AG118" s="344"/>
      <c r="AH118" s="344"/>
      <c r="AI118" s="344"/>
      <c r="AJ118" s="344"/>
      <c r="AK118" s="344"/>
      <c r="AL118" s="344"/>
      <c r="AM118" s="344"/>
      <c r="AN118" s="344"/>
      <c r="AO118" s="344"/>
    </row>
    <row r="119" spans="1:41" ht="15.75" customHeight="1" x14ac:dyDescent="0.25">
      <c r="A119" s="344"/>
      <c r="B119" s="353"/>
      <c r="C119" s="344"/>
      <c r="D119" s="344"/>
      <c r="E119" s="344"/>
      <c r="F119" s="344"/>
      <c r="G119" s="344"/>
      <c r="H119" s="344"/>
      <c r="I119" s="344"/>
      <c r="J119" s="344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  <c r="Y119" s="344"/>
      <c r="Z119" s="344"/>
      <c r="AA119" s="344"/>
      <c r="AB119" s="344"/>
      <c r="AC119" s="344"/>
      <c r="AD119" s="344"/>
      <c r="AE119" s="344"/>
      <c r="AF119" s="344"/>
      <c r="AG119" s="344"/>
      <c r="AH119" s="344"/>
      <c r="AI119" s="344"/>
      <c r="AJ119" s="344"/>
      <c r="AK119" s="344"/>
      <c r="AL119" s="344"/>
      <c r="AM119" s="344"/>
      <c r="AN119" s="344"/>
      <c r="AO119" s="344"/>
    </row>
    <row r="120" spans="1:41" ht="15.75" customHeight="1" x14ac:dyDescent="0.25">
      <c r="A120" s="344"/>
      <c r="B120" s="353"/>
      <c r="C120" s="344"/>
      <c r="D120" s="344"/>
      <c r="E120" s="344"/>
      <c r="F120" s="344"/>
      <c r="G120" s="344"/>
      <c r="H120" s="344"/>
      <c r="I120" s="344"/>
      <c r="J120" s="344"/>
      <c r="K120" s="344"/>
      <c r="L120" s="344"/>
      <c r="M120" s="344"/>
      <c r="N120" s="344"/>
      <c r="O120" s="344"/>
      <c r="P120" s="344"/>
      <c r="Q120" s="344"/>
      <c r="R120" s="344"/>
      <c r="S120" s="344"/>
      <c r="T120" s="344"/>
      <c r="U120" s="344"/>
      <c r="V120" s="344"/>
      <c r="W120" s="344"/>
      <c r="X120" s="344"/>
      <c r="Y120" s="344"/>
      <c r="Z120" s="344"/>
      <c r="AA120" s="344"/>
      <c r="AB120" s="344"/>
      <c r="AC120" s="344"/>
      <c r="AD120" s="344"/>
      <c r="AE120" s="344"/>
      <c r="AF120" s="344"/>
      <c r="AG120" s="344"/>
      <c r="AH120" s="344"/>
      <c r="AI120" s="344"/>
      <c r="AJ120" s="344"/>
      <c r="AK120" s="344"/>
      <c r="AL120" s="344"/>
      <c r="AM120" s="344"/>
      <c r="AN120" s="344"/>
      <c r="AO120" s="344"/>
    </row>
    <row r="121" spans="1:41" ht="15.75" customHeight="1" x14ac:dyDescent="0.25">
      <c r="A121" s="344"/>
      <c r="B121" s="353"/>
      <c r="C121" s="344"/>
      <c r="D121" s="344"/>
      <c r="E121" s="344"/>
      <c r="F121" s="344"/>
      <c r="G121" s="344"/>
      <c r="H121" s="344"/>
      <c r="I121" s="344"/>
      <c r="J121" s="344"/>
      <c r="K121" s="344"/>
      <c r="L121" s="344"/>
      <c r="M121" s="344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  <c r="Y121" s="344"/>
      <c r="Z121" s="344"/>
      <c r="AA121" s="344"/>
      <c r="AB121" s="344"/>
      <c r="AC121" s="344"/>
      <c r="AD121" s="344"/>
      <c r="AE121" s="344"/>
      <c r="AF121" s="344"/>
      <c r="AG121" s="344"/>
      <c r="AH121" s="344"/>
      <c r="AI121" s="344"/>
      <c r="AJ121" s="344"/>
      <c r="AK121" s="344"/>
      <c r="AL121" s="344"/>
      <c r="AM121" s="344"/>
      <c r="AN121" s="344"/>
      <c r="AO121" s="344"/>
    </row>
    <row r="122" spans="1:41" ht="15.75" customHeight="1" x14ac:dyDescent="0.25">
      <c r="A122" s="344"/>
      <c r="B122" s="353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</row>
    <row r="123" spans="1:41" ht="15.75" customHeight="1" x14ac:dyDescent="0.25">
      <c r="A123" s="344"/>
      <c r="B123" s="353"/>
      <c r="C123" s="344"/>
      <c r="D123" s="344"/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  <c r="Y123" s="344"/>
      <c r="Z123" s="344"/>
      <c r="AA123" s="344"/>
      <c r="AB123" s="344"/>
      <c r="AC123" s="344"/>
      <c r="AD123" s="344"/>
      <c r="AE123" s="344"/>
      <c r="AF123" s="344"/>
      <c r="AG123" s="344"/>
      <c r="AH123" s="344"/>
      <c r="AI123" s="344"/>
      <c r="AJ123" s="344"/>
      <c r="AK123" s="344"/>
      <c r="AL123" s="344"/>
      <c r="AM123" s="344"/>
      <c r="AN123" s="344"/>
      <c r="AO123" s="344"/>
    </row>
    <row r="124" spans="1:41" ht="15.75" customHeight="1" x14ac:dyDescent="0.25">
      <c r="A124" s="344"/>
      <c r="B124" s="353"/>
      <c r="C124" s="344"/>
      <c r="D124" s="344"/>
      <c r="E124" s="344"/>
      <c r="F124" s="344"/>
      <c r="G124" s="344"/>
      <c r="H124" s="344"/>
      <c r="I124" s="344"/>
      <c r="J124" s="344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  <c r="Y124" s="344"/>
      <c r="Z124" s="344"/>
      <c r="AA124" s="344"/>
      <c r="AB124" s="344"/>
      <c r="AC124" s="344"/>
      <c r="AD124" s="344"/>
      <c r="AE124" s="344"/>
      <c r="AF124" s="344"/>
      <c r="AG124" s="344"/>
      <c r="AH124" s="344"/>
      <c r="AI124" s="344"/>
      <c r="AJ124" s="344"/>
      <c r="AK124" s="344"/>
      <c r="AL124" s="344"/>
      <c r="AM124" s="344"/>
      <c r="AN124" s="344"/>
      <c r="AO124" s="344"/>
    </row>
    <row r="125" spans="1:41" ht="15.75" customHeight="1" x14ac:dyDescent="0.25">
      <c r="A125" s="344"/>
      <c r="B125" s="353"/>
      <c r="C125" s="344"/>
      <c r="D125" s="344"/>
      <c r="E125" s="344"/>
      <c r="F125" s="344"/>
      <c r="G125" s="344"/>
      <c r="H125" s="344"/>
      <c r="I125" s="344"/>
      <c r="J125" s="344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  <c r="Y125" s="344"/>
      <c r="Z125" s="344"/>
      <c r="AA125" s="344"/>
      <c r="AB125" s="344"/>
      <c r="AC125" s="344"/>
      <c r="AD125" s="344"/>
      <c r="AE125" s="344"/>
      <c r="AF125" s="344"/>
      <c r="AG125" s="344"/>
      <c r="AH125" s="344"/>
      <c r="AI125" s="344"/>
      <c r="AJ125" s="344"/>
      <c r="AK125" s="344"/>
      <c r="AL125" s="344"/>
      <c r="AM125" s="344"/>
      <c r="AN125" s="344"/>
      <c r="AO125" s="344"/>
    </row>
    <row r="126" spans="1:41" ht="15.75" customHeight="1" x14ac:dyDescent="0.25">
      <c r="A126" s="344"/>
      <c r="B126" s="353"/>
      <c r="C126" s="344"/>
      <c r="D126" s="344"/>
      <c r="E126" s="344"/>
      <c r="F126" s="344"/>
      <c r="G126" s="344"/>
      <c r="H126" s="344"/>
      <c r="I126" s="344"/>
      <c r="J126" s="344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  <c r="Y126" s="344"/>
      <c r="Z126" s="344"/>
      <c r="AA126" s="344"/>
      <c r="AB126" s="344"/>
      <c r="AC126" s="344"/>
      <c r="AD126" s="344"/>
      <c r="AE126" s="344"/>
      <c r="AF126" s="344"/>
      <c r="AG126" s="344"/>
      <c r="AH126" s="344"/>
      <c r="AI126" s="344"/>
      <c r="AJ126" s="344"/>
      <c r="AK126" s="344"/>
      <c r="AL126" s="344"/>
      <c r="AM126" s="344"/>
      <c r="AN126" s="344"/>
      <c r="AO126" s="344"/>
    </row>
    <row r="127" spans="1:41" ht="15.75" customHeight="1" x14ac:dyDescent="0.25">
      <c r="A127" s="344"/>
      <c r="B127" s="353"/>
      <c r="C127" s="344"/>
      <c r="D127" s="344"/>
      <c r="E127" s="344"/>
      <c r="F127" s="344"/>
      <c r="G127" s="344"/>
      <c r="H127" s="344"/>
      <c r="I127" s="344"/>
      <c r="J127" s="344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  <c r="Y127" s="344"/>
      <c r="Z127" s="344"/>
      <c r="AA127" s="344"/>
      <c r="AB127" s="344"/>
      <c r="AC127" s="344"/>
      <c r="AD127" s="344"/>
      <c r="AE127" s="344"/>
      <c r="AF127" s="344"/>
      <c r="AG127" s="344"/>
      <c r="AH127" s="344"/>
      <c r="AI127" s="344"/>
      <c r="AJ127" s="344"/>
      <c r="AK127" s="344"/>
      <c r="AL127" s="344"/>
      <c r="AM127" s="344"/>
      <c r="AN127" s="344"/>
      <c r="AO127" s="344"/>
    </row>
    <row r="128" spans="1:41" ht="15.75" customHeight="1" x14ac:dyDescent="0.25">
      <c r="A128" s="344"/>
      <c r="B128" s="353"/>
      <c r="C128" s="344"/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  <c r="Y128" s="344"/>
      <c r="Z128" s="344"/>
      <c r="AA128" s="344"/>
      <c r="AB128" s="344"/>
      <c r="AC128" s="344"/>
      <c r="AD128" s="344"/>
      <c r="AE128" s="344"/>
      <c r="AF128" s="344"/>
      <c r="AG128" s="344"/>
      <c r="AH128" s="344"/>
      <c r="AI128" s="344"/>
      <c r="AJ128" s="344"/>
      <c r="AK128" s="344"/>
      <c r="AL128" s="344"/>
      <c r="AM128" s="344"/>
      <c r="AN128" s="344"/>
      <c r="AO128" s="344"/>
    </row>
    <row r="129" spans="1:41" ht="15.75" customHeight="1" x14ac:dyDescent="0.25">
      <c r="A129" s="344"/>
      <c r="B129" s="353"/>
      <c r="C129" s="344"/>
      <c r="D129" s="344"/>
      <c r="E129" s="344"/>
      <c r="F129" s="344"/>
      <c r="G129" s="344"/>
      <c r="H129" s="344"/>
      <c r="I129" s="344"/>
      <c r="J129" s="344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  <c r="Y129" s="344"/>
      <c r="Z129" s="344"/>
      <c r="AA129" s="344"/>
      <c r="AB129" s="344"/>
      <c r="AC129" s="344"/>
      <c r="AD129" s="344"/>
      <c r="AE129" s="344"/>
      <c r="AF129" s="344"/>
      <c r="AG129" s="344"/>
      <c r="AH129" s="344"/>
      <c r="AI129" s="344"/>
      <c r="AJ129" s="344"/>
      <c r="AK129" s="344"/>
      <c r="AL129" s="344"/>
      <c r="AM129" s="344"/>
      <c r="AN129" s="344"/>
      <c r="AO129" s="344"/>
    </row>
    <row r="130" spans="1:41" ht="15.75" customHeight="1" x14ac:dyDescent="0.25">
      <c r="A130" s="344"/>
      <c r="B130" s="353"/>
      <c r="C130" s="344"/>
      <c r="D130" s="344"/>
      <c r="E130" s="344"/>
      <c r="F130" s="344"/>
      <c r="G130" s="344"/>
      <c r="H130" s="344"/>
      <c r="I130" s="344"/>
      <c r="J130" s="344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  <c r="Y130" s="344"/>
      <c r="Z130" s="344"/>
      <c r="AA130" s="344"/>
      <c r="AB130" s="344"/>
      <c r="AC130" s="344"/>
      <c r="AD130" s="344"/>
      <c r="AE130" s="344"/>
      <c r="AF130" s="344"/>
      <c r="AG130" s="344"/>
      <c r="AH130" s="344"/>
      <c r="AI130" s="344"/>
      <c r="AJ130" s="344"/>
      <c r="AK130" s="344"/>
      <c r="AL130" s="344"/>
      <c r="AM130" s="344"/>
      <c r="AN130" s="344"/>
      <c r="AO130" s="344"/>
    </row>
    <row r="131" spans="1:41" ht="15.75" customHeight="1" x14ac:dyDescent="0.25">
      <c r="A131" s="344"/>
      <c r="B131" s="353"/>
      <c r="C131" s="344"/>
      <c r="D131" s="344"/>
      <c r="E131" s="344"/>
      <c r="F131" s="344"/>
      <c r="G131" s="344"/>
      <c r="H131" s="344"/>
      <c r="I131" s="344"/>
      <c r="J131" s="344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  <c r="Y131" s="344"/>
      <c r="Z131" s="344"/>
      <c r="AA131" s="344"/>
      <c r="AB131" s="344"/>
      <c r="AC131" s="344"/>
      <c r="AD131" s="344"/>
      <c r="AE131" s="344"/>
      <c r="AF131" s="344"/>
      <c r="AG131" s="344"/>
      <c r="AH131" s="344"/>
      <c r="AI131" s="344"/>
      <c r="AJ131" s="344"/>
      <c r="AK131" s="344"/>
      <c r="AL131" s="344"/>
      <c r="AM131" s="344"/>
      <c r="AN131" s="344"/>
      <c r="AO131" s="344"/>
    </row>
    <row r="132" spans="1:41" ht="15.75" customHeight="1" x14ac:dyDescent="0.25">
      <c r="A132" s="344"/>
      <c r="B132" s="353"/>
      <c r="C132" s="344"/>
      <c r="D132" s="344"/>
      <c r="E132" s="344"/>
      <c r="F132" s="344"/>
      <c r="G132" s="344"/>
      <c r="H132" s="344"/>
      <c r="I132" s="344"/>
      <c r="J132" s="344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  <c r="Y132" s="344"/>
      <c r="Z132" s="344"/>
      <c r="AA132" s="344"/>
      <c r="AB132" s="344"/>
      <c r="AC132" s="344"/>
      <c r="AD132" s="344"/>
      <c r="AE132" s="344"/>
      <c r="AF132" s="344"/>
      <c r="AG132" s="344"/>
      <c r="AH132" s="344"/>
      <c r="AI132" s="344"/>
      <c r="AJ132" s="344"/>
      <c r="AK132" s="344"/>
      <c r="AL132" s="344"/>
      <c r="AM132" s="344"/>
      <c r="AN132" s="344"/>
      <c r="AO132" s="344"/>
    </row>
    <row r="133" spans="1:41" ht="15.75" customHeight="1" x14ac:dyDescent="0.25">
      <c r="A133" s="344"/>
      <c r="B133" s="353"/>
      <c r="C133" s="344"/>
      <c r="D133" s="344"/>
      <c r="E133" s="344"/>
      <c r="F133" s="344"/>
      <c r="G133" s="344"/>
      <c r="H133" s="344"/>
      <c r="I133" s="344"/>
      <c r="J133" s="344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  <c r="Y133" s="344"/>
      <c r="Z133" s="344"/>
      <c r="AA133" s="344"/>
      <c r="AB133" s="344"/>
      <c r="AC133" s="344"/>
      <c r="AD133" s="344"/>
      <c r="AE133" s="344"/>
      <c r="AF133" s="344"/>
      <c r="AG133" s="344"/>
      <c r="AH133" s="344"/>
      <c r="AI133" s="344"/>
      <c r="AJ133" s="344"/>
      <c r="AK133" s="344"/>
      <c r="AL133" s="344"/>
      <c r="AM133" s="344"/>
      <c r="AN133" s="344"/>
      <c r="AO133" s="344"/>
    </row>
    <row r="134" spans="1:41" ht="15.75" customHeight="1" x14ac:dyDescent="0.25">
      <c r="A134" s="344"/>
      <c r="B134" s="353"/>
      <c r="C134" s="344"/>
      <c r="D134" s="344"/>
      <c r="E134" s="344"/>
      <c r="F134" s="344"/>
      <c r="G134" s="344"/>
      <c r="H134" s="344"/>
      <c r="I134" s="344"/>
      <c r="J134" s="344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  <c r="Y134" s="344"/>
      <c r="Z134" s="344"/>
      <c r="AA134" s="344"/>
      <c r="AB134" s="344"/>
      <c r="AC134" s="344"/>
      <c r="AD134" s="344"/>
      <c r="AE134" s="344"/>
      <c r="AF134" s="344"/>
      <c r="AG134" s="344"/>
      <c r="AH134" s="344"/>
      <c r="AI134" s="344"/>
      <c r="AJ134" s="344"/>
      <c r="AK134" s="344"/>
      <c r="AL134" s="344"/>
      <c r="AM134" s="344"/>
      <c r="AN134" s="344"/>
      <c r="AO134" s="344"/>
    </row>
    <row r="135" spans="1:41" ht="15.75" customHeight="1" x14ac:dyDescent="0.25">
      <c r="A135" s="344"/>
      <c r="B135" s="353"/>
      <c r="C135" s="344"/>
      <c r="D135" s="344"/>
      <c r="E135" s="344"/>
      <c r="F135" s="344"/>
      <c r="G135" s="344"/>
      <c r="H135" s="344"/>
      <c r="I135" s="344"/>
      <c r="J135" s="344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  <c r="Y135" s="344"/>
      <c r="Z135" s="344"/>
      <c r="AA135" s="344"/>
      <c r="AB135" s="344"/>
      <c r="AC135" s="344"/>
      <c r="AD135" s="344"/>
      <c r="AE135" s="344"/>
      <c r="AF135" s="344"/>
      <c r="AG135" s="344"/>
      <c r="AH135" s="344"/>
      <c r="AI135" s="344"/>
      <c r="AJ135" s="344"/>
      <c r="AK135" s="344"/>
      <c r="AL135" s="344"/>
      <c r="AM135" s="344"/>
      <c r="AN135" s="344"/>
      <c r="AO135" s="344"/>
    </row>
    <row r="136" spans="1:41" ht="15.75" customHeight="1" x14ac:dyDescent="0.25">
      <c r="A136" s="344"/>
      <c r="B136" s="353"/>
      <c r="C136" s="344"/>
      <c r="D136" s="344"/>
      <c r="E136" s="344"/>
      <c r="F136" s="344"/>
      <c r="G136" s="344"/>
      <c r="H136" s="344"/>
      <c r="I136" s="344"/>
      <c r="J136" s="344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  <c r="Y136" s="344"/>
      <c r="Z136" s="344"/>
      <c r="AA136" s="344"/>
      <c r="AB136" s="344"/>
      <c r="AC136" s="344"/>
      <c r="AD136" s="344"/>
      <c r="AE136" s="344"/>
      <c r="AF136" s="344"/>
      <c r="AG136" s="344"/>
      <c r="AH136" s="344"/>
      <c r="AI136" s="344"/>
      <c r="AJ136" s="344"/>
      <c r="AK136" s="344"/>
      <c r="AL136" s="344"/>
      <c r="AM136" s="344"/>
      <c r="AN136" s="344"/>
      <c r="AO136" s="344"/>
    </row>
    <row r="137" spans="1:41" ht="15.75" customHeight="1" x14ac:dyDescent="0.25">
      <c r="A137" s="344"/>
      <c r="B137" s="353"/>
      <c r="C137" s="344"/>
      <c r="D137" s="344"/>
      <c r="E137" s="344"/>
      <c r="F137" s="344"/>
      <c r="G137" s="344"/>
      <c r="H137" s="344"/>
      <c r="I137" s="344"/>
      <c r="J137" s="344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  <c r="Y137" s="344"/>
      <c r="Z137" s="344"/>
      <c r="AA137" s="344"/>
      <c r="AB137" s="344"/>
      <c r="AC137" s="344"/>
      <c r="AD137" s="344"/>
      <c r="AE137" s="344"/>
      <c r="AF137" s="344"/>
      <c r="AG137" s="344"/>
      <c r="AH137" s="344"/>
      <c r="AI137" s="344"/>
      <c r="AJ137" s="344"/>
      <c r="AK137" s="344"/>
      <c r="AL137" s="344"/>
      <c r="AM137" s="344"/>
      <c r="AN137" s="344"/>
      <c r="AO137" s="344"/>
    </row>
    <row r="138" spans="1:41" ht="15.75" customHeight="1" x14ac:dyDescent="0.25">
      <c r="A138" s="344"/>
      <c r="B138" s="353"/>
      <c r="C138" s="344"/>
      <c r="D138" s="344"/>
      <c r="E138" s="344"/>
      <c r="F138" s="344"/>
      <c r="G138" s="344"/>
      <c r="H138" s="344"/>
      <c r="I138" s="344"/>
      <c r="J138" s="344"/>
      <c r="K138" s="344"/>
      <c r="L138" s="344"/>
      <c r="M138" s="344"/>
      <c r="N138" s="344"/>
      <c r="O138" s="344"/>
      <c r="P138" s="344"/>
      <c r="Q138" s="344"/>
      <c r="R138" s="344"/>
      <c r="S138" s="344"/>
      <c r="T138" s="344"/>
      <c r="U138" s="344"/>
      <c r="V138" s="344"/>
      <c r="W138" s="344"/>
      <c r="X138" s="344"/>
      <c r="Y138" s="344"/>
      <c r="Z138" s="344"/>
      <c r="AA138" s="344"/>
      <c r="AB138" s="344"/>
      <c r="AC138" s="344"/>
      <c r="AD138" s="344"/>
      <c r="AE138" s="344"/>
      <c r="AF138" s="344"/>
      <c r="AG138" s="344"/>
      <c r="AH138" s="344"/>
      <c r="AI138" s="344"/>
      <c r="AJ138" s="344"/>
      <c r="AK138" s="344"/>
      <c r="AL138" s="344"/>
      <c r="AM138" s="344"/>
      <c r="AN138" s="344"/>
      <c r="AO138" s="344"/>
    </row>
    <row r="139" spans="1:41" ht="15.75" customHeight="1" x14ac:dyDescent="0.25">
      <c r="A139" s="344"/>
      <c r="B139" s="353"/>
      <c r="C139" s="344"/>
      <c r="D139" s="344"/>
      <c r="E139" s="344"/>
      <c r="F139" s="344"/>
      <c r="G139" s="344"/>
      <c r="H139" s="344"/>
      <c r="I139" s="344"/>
      <c r="J139" s="344"/>
      <c r="K139" s="344"/>
      <c r="L139" s="344"/>
      <c r="M139" s="344"/>
      <c r="N139" s="344"/>
      <c r="O139" s="344"/>
      <c r="P139" s="344"/>
      <c r="Q139" s="344"/>
      <c r="R139" s="344"/>
      <c r="S139" s="344"/>
      <c r="T139" s="344"/>
      <c r="U139" s="344"/>
      <c r="V139" s="344"/>
      <c r="W139" s="344"/>
      <c r="X139" s="344"/>
      <c r="Y139" s="344"/>
      <c r="Z139" s="344"/>
      <c r="AA139" s="344"/>
      <c r="AB139" s="344"/>
      <c r="AC139" s="344"/>
      <c r="AD139" s="344"/>
      <c r="AE139" s="344"/>
      <c r="AF139" s="344"/>
      <c r="AG139" s="344"/>
      <c r="AH139" s="344"/>
      <c r="AI139" s="344"/>
      <c r="AJ139" s="344"/>
      <c r="AK139" s="344"/>
      <c r="AL139" s="344"/>
      <c r="AM139" s="344"/>
      <c r="AN139" s="344"/>
      <c r="AO139" s="344"/>
    </row>
    <row r="140" spans="1:41" ht="15.75" customHeight="1" x14ac:dyDescent="0.25">
      <c r="A140" s="344"/>
      <c r="B140" s="353"/>
      <c r="C140" s="344"/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344"/>
      <c r="Q140" s="344"/>
      <c r="R140" s="344"/>
      <c r="S140" s="344"/>
      <c r="T140" s="344"/>
      <c r="U140" s="344"/>
      <c r="V140" s="344"/>
      <c r="W140" s="344"/>
      <c r="X140" s="344"/>
      <c r="Y140" s="344"/>
      <c r="Z140" s="344"/>
      <c r="AA140" s="344"/>
      <c r="AB140" s="344"/>
      <c r="AC140" s="344"/>
      <c r="AD140" s="344"/>
      <c r="AE140" s="344"/>
      <c r="AF140" s="344"/>
      <c r="AG140" s="344"/>
      <c r="AH140" s="344"/>
      <c r="AI140" s="344"/>
      <c r="AJ140" s="344"/>
      <c r="AK140" s="344"/>
      <c r="AL140" s="344"/>
      <c r="AM140" s="344"/>
      <c r="AN140" s="344"/>
      <c r="AO140" s="344"/>
    </row>
    <row r="141" spans="1:41" ht="15.75" customHeight="1" x14ac:dyDescent="0.25">
      <c r="A141" s="344"/>
      <c r="B141" s="353"/>
      <c r="C141" s="344"/>
      <c r="D141" s="344"/>
      <c r="E141" s="344"/>
      <c r="F141" s="344"/>
      <c r="G141" s="344"/>
      <c r="H141" s="344"/>
      <c r="I141" s="344"/>
      <c r="J141" s="344"/>
      <c r="K141" s="344"/>
      <c r="L141" s="344"/>
      <c r="M141" s="344"/>
      <c r="N141" s="344"/>
      <c r="O141" s="344"/>
      <c r="P141" s="344"/>
      <c r="Q141" s="344"/>
      <c r="R141" s="344"/>
      <c r="S141" s="344"/>
      <c r="T141" s="344"/>
      <c r="U141" s="344"/>
      <c r="V141" s="344"/>
      <c r="W141" s="344"/>
      <c r="X141" s="344"/>
      <c r="Y141" s="344"/>
      <c r="Z141" s="344"/>
      <c r="AA141" s="344"/>
      <c r="AB141" s="344"/>
      <c r="AC141" s="344"/>
      <c r="AD141" s="344"/>
      <c r="AE141" s="344"/>
      <c r="AF141" s="344"/>
      <c r="AG141" s="344"/>
      <c r="AH141" s="344"/>
      <c r="AI141" s="344"/>
      <c r="AJ141" s="344"/>
      <c r="AK141" s="344"/>
      <c r="AL141" s="344"/>
      <c r="AM141" s="344"/>
      <c r="AN141" s="344"/>
      <c r="AO141" s="344"/>
    </row>
    <row r="142" spans="1:41" ht="15.75" customHeight="1" x14ac:dyDescent="0.25">
      <c r="A142" s="344"/>
      <c r="B142" s="353"/>
      <c r="C142" s="344"/>
      <c r="D142" s="344"/>
      <c r="E142" s="344"/>
      <c r="F142" s="344"/>
      <c r="G142" s="344"/>
      <c r="H142" s="344"/>
      <c r="I142" s="344"/>
      <c r="J142" s="344"/>
      <c r="K142" s="344"/>
      <c r="L142" s="344"/>
      <c r="M142" s="344"/>
      <c r="N142" s="344"/>
      <c r="O142" s="344"/>
      <c r="P142" s="344"/>
      <c r="Q142" s="344"/>
      <c r="R142" s="344"/>
      <c r="S142" s="344"/>
      <c r="T142" s="344"/>
      <c r="U142" s="344"/>
      <c r="V142" s="344"/>
      <c r="W142" s="344"/>
      <c r="X142" s="344"/>
      <c r="Y142" s="344"/>
      <c r="Z142" s="344"/>
      <c r="AA142" s="344"/>
      <c r="AB142" s="344"/>
      <c r="AC142" s="344"/>
      <c r="AD142" s="344"/>
      <c r="AE142" s="344"/>
      <c r="AF142" s="344"/>
      <c r="AG142" s="344"/>
      <c r="AH142" s="344"/>
      <c r="AI142" s="344"/>
      <c r="AJ142" s="344"/>
      <c r="AK142" s="344"/>
      <c r="AL142" s="344"/>
      <c r="AM142" s="344"/>
      <c r="AN142" s="344"/>
      <c r="AO142" s="344"/>
    </row>
    <row r="143" spans="1:41" ht="15.75" customHeight="1" x14ac:dyDescent="0.25">
      <c r="A143" s="344"/>
      <c r="B143" s="353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</row>
    <row r="144" spans="1:41" ht="15.75" customHeight="1" x14ac:dyDescent="0.25">
      <c r="A144" s="344"/>
      <c r="B144" s="353"/>
      <c r="C144" s="344"/>
      <c r="D144" s="344"/>
      <c r="E144" s="344"/>
      <c r="F144" s="344"/>
      <c r="G144" s="344"/>
      <c r="H144" s="344"/>
      <c r="I144" s="344"/>
      <c r="J144" s="344"/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  <c r="Y144" s="344"/>
      <c r="Z144" s="344"/>
      <c r="AA144" s="344"/>
      <c r="AB144" s="344"/>
      <c r="AC144" s="344"/>
      <c r="AD144" s="344"/>
      <c r="AE144" s="344"/>
      <c r="AF144" s="344"/>
      <c r="AG144" s="344"/>
      <c r="AH144" s="344"/>
      <c r="AI144" s="344"/>
      <c r="AJ144" s="344"/>
      <c r="AK144" s="344"/>
      <c r="AL144" s="344"/>
      <c r="AM144" s="344"/>
      <c r="AN144" s="344"/>
      <c r="AO144" s="344"/>
    </row>
    <row r="145" spans="1:41" ht="15.75" customHeight="1" x14ac:dyDescent="0.25">
      <c r="A145" s="344"/>
      <c r="B145" s="353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</row>
    <row r="146" spans="1:41" ht="15.75" customHeight="1" x14ac:dyDescent="0.25">
      <c r="A146" s="344"/>
      <c r="B146" s="353"/>
      <c r="C146" s="344"/>
      <c r="D146" s="344"/>
      <c r="E146" s="344"/>
      <c r="F146" s="344"/>
      <c r="G146" s="344"/>
      <c r="H146" s="344"/>
      <c r="I146" s="344"/>
      <c r="J146" s="344"/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  <c r="Y146" s="344"/>
      <c r="Z146" s="344"/>
      <c r="AA146" s="344"/>
      <c r="AB146" s="344"/>
      <c r="AC146" s="344"/>
      <c r="AD146" s="344"/>
      <c r="AE146" s="344"/>
      <c r="AF146" s="344"/>
      <c r="AG146" s="344"/>
      <c r="AH146" s="344"/>
      <c r="AI146" s="344"/>
      <c r="AJ146" s="344"/>
      <c r="AK146" s="344"/>
      <c r="AL146" s="344"/>
      <c r="AM146" s="344"/>
      <c r="AN146" s="344"/>
      <c r="AO146" s="344"/>
    </row>
    <row r="147" spans="1:41" ht="15.75" customHeight="1" x14ac:dyDescent="0.25">
      <c r="A147" s="344"/>
      <c r="B147" s="353"/>
      <c r="C147" s="344"/>
      <c r="D147" s="344"/>
      <c r="E147" s="344"/>
      <c r="F147" s="344"/>
      <c r="G147" s="344"/>
      <c r="H147" s="344"/>
      <c r="I147" s="344"/>
      <c r="J147" s="344"/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  <c r="AA147" s="344"/>
      <c r="AB147" s="344"/>
      <c r="AC147" s="344"/>
      <c r="AD147" s="344"/>
      <c r="AE147" s="344"/>
      <c r="AF147" s="344"/>
      <c r="AG147" s="344"/>
      <c r="AH147" s="344"/>
      <c r="AI147" s="344"/>
      <c r="AJ147" s="344"/>
      <c r="AK147" s="344"/>
      <c r="AL147" s="344"/>
      <c r="AM147" s="344"/>
      <c r="AN147" s="344"/>
      <c r="AO147" s="344"/>
    </row>
    <row r="148" spans="1:41" ht="15.75" customHeight="1" x14ac:dyDescent="0.25">
      <c r="A148" s="344"/>
      <c r="B148" s="353"/>
      <c r="C148" s="344"/>
      <c r="D148" s="344"/>
      <c r="E148" s="344"/>
      <c r="F148" s="344"/>
      <c r="G148" s="344"/>
      <c r="H148" s="344"/>
      <c r="I148" s="344"/>
      <c r="J148" s="344"/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  <c r="Y148" s="344"/>
      <c r="Z148" s="344"/>
      <c r="AA148" s="344"/>
      <c r="AB148" s="344"/>
      <c r="AC148" s="344"/>
      <c r="AD148" s="344"/>
      <c r="AE148" s="344"/>
      <c r="AF148" s="344"/>
      <c r="AG148" s="344"/>
      <c r="AH148" s="344"/>
      <c r="AI148" s="344"/>
      <c r="AJ148" s="344"/>
      <c r="AK148" s="344"/>
      <c r="AL148" s="344"/>
      <c r="AM148" s="344"/>
      <c r="AN148" s="344"/>
      <c r="AO148" s="344"/>
    </row>
    <row r="149" spans="1:41" ht="15.75" customHeight="1" x14ac:dyDescent="0.25">
      <c r="A149" s="344"/>
      <c r="B149" s="353"/>
      <c r="C149" s="344"/>
      <c r="D149" s="344"/>
      <c r="E149" s="344"/>
      <c r="F149" s="344"/>
      <c r="G149" s="344"/>
      <c r="H149" s="344"/>
      <c r="I149" s="344"/>
      <c r="J149" s="344"/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  <c r="Y149" s="344"/>
      <c r="Z149" s="344"/>
      <c r="AA149" s="344"/>
      <c r="AB149" s="344"/>
      <c r="AC149" s="344"/>
      <c r="AD149" s="344"/>
      <c r="AE149" s="344"/>
      <c r="AF149" s="344"/>
      <c r="AG149" s="344"/>
      <c r="AH149" s="344"/>
      <c r="AI149" s="344"/>
      <c r="AJ149" s="344"/>
      <c r="AK149" s="344"/>
      <c r="AL149" s="344"/>
      <c r="AM149" s="344"/>
      <c r="AN149" s="344"/>
      <c r="AO149" s="344"/>
    </row>
    <row r="150" spans="1:41" ht="15.75" customHeight="1" x14ac:dyDescent="0.25">
      <c r="A150" s="344"/>
      <c r="B150" s="353"/>
      <c r="C150" s="344"/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  <c r="Y150" s="344"/>
      <c r="Z150" s="344"/>
      <c r="AA150" s="344"/>
      <c r="AB150" s="344"/>
      <c r="AC150" s="344"/>
      <c r="AD150" s="344"/>
      <c r="AE150" s="344"/>
      <c r="AF150" s="344"/>
      <c r="AG150" s="344"/>
      <c r="AH150" s="344"/>
      <c r="AI150" s="344"/>
      <c r="AJ150" s="344"/>
      <c r="AK150" s="344"/>
      <c r="AL150" s="344"/>
      <c r="AM150" s="344"/>
      <c r="AN150" s="344"/>
      <c r="AO150" s="344"/>
    </row>
    <row r="151" spans="1:41" ht="15.75" customHeight="1" x14ac:dyDescent="0.25">
      <c r="A151" s="344"/>
      <c r="B151" s="353"/>
      <c r="C151" s="344"/>
      <c r="D151" s="344"/>
      <c r="E151" s="344"/>
      <c r="F151" s="344"/>
      <c r="G151" s="344"/>
      <c r="H151" s="344"/>
      <c r="I151" s="344"/>
      <c r="J151" s="344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  <c r="Y151" s="344"/>
      <c r="Z151" s="344"/>
      <c r="AA151" s="344"/>
      <c r="AB151" s="344"/>
      <c r="AC151" s="344"/>
      <c r="AD151" s="344"/>
      <c r="AE151" s="344"/>
      <c r="AF151" s="344"/>
      <c r="AG151" s="344"/>
      <c r="AH151" s="344"/>
      <c r="AI151" s="344"/>
      <c r="AJ151" s="344"/>
      <c r="AK151" s="344"/>
      <c r="AL151" s="344"/>
      <c r="AM151" s="344"/>
      <c r="AN151" s="344"/>
      <c r="AO151" s="344"/>
    </row>
    <row r="152" spans="1:41" ht="15.75" customHeight="1" x14ac:dyDescent="0.25">
      <c r="A152" s="344"/>
      <c r="B152" s="353"/>
      <c r="C152" s="344"/>
      <c r="D152" s="344"/>
      <c r="E152" s="344"/>
      <c r="F152" s="344"/>
      <c r="G152" s="344"/>
      <c r="H152" s="344"/>
      <c r="I152" s="344"/>
      <c r="J152" s="344"/>
      <c r="K152" s="344"/>
      <c r="L152" s="344"/>
      <c r="M152" s="344"/>
      <c r="N152" s="344"/>
      <c r="O152" s="344"/>
      <c r="P152" s="344"/>
      <c r="Q152" s="344"/>
      <c r="R152" s="344"/>
      <c r="S152" s="344"/>
      <c r="T152" s="344"/>
      <c r="U152" s="344"/>
      <c r="V152" s="344"/>
      <c r="W152" s="344"/>
      <c r="X152" s="344"/>
      <c r="Y152" s="344"/>
      <c r="Z152" s="344"/>
      <c r="AA152" s="344"/>
      <c r="AB152" s="344"/>
      <c r="AC152" s="344"/>
      <c r="AD152" s="344"/>
      <c r="AE152" s="344"/>
      <c r="AF152" s="344"/>
      <c r="AG152" s="344"/>
      <c r="AH152" s="344"/>
      <c r="AI152" s="344"/>
      <c r="AJ152" s="344"/>
      <c r="AK152" s="344"/>
      <c r="AL152" s="344"/>
      <c r="AM152" s="344"/>
      <c r="AN152" s="344"/>
      <c r="AO152" s="344"/>
    </row>
    <row r="153" spans="1:41" ht="15.75" customHeight="1" x14ac:dyDescent="0.25">
      <c r="A153" s="344"/>
      <c r="B153" s="353"/>
      <c r="C153" s="344"/>
      <c r="D153" s="344"/>
      <c r="E153" s="344"/>
      <c r="F153" s="344"/>
      <c r="G153" s="344"/>
      <c r="H153" s="344"/>
      <c r="I153" s="344"/>
      <c r="J153" s="344"/>
      <c r="K153" s="344"/>
      <c r="L153" s="344"/>
      <c r="M153" s="344"/>
      <c r="N153" s="344"/>
      <c r="O153" s="344"/>
      <c r="P153" s="344"/>
      <c r="Q153" s="344"/>
      <c r="R153" s="344"/>
      <c r="S153" s="344"/>
      <c r="T153" s="344"/>
      <c r="U153" s="344"/>
      <c r="V153" s="344"/>
      <c r="W153" s="344"/>
      <c r="X153" s="344"/>
      <c r="Y153" s="344"/>
      <c r="Z153" s="344"/>
      <c r="AA153" s="344"/>
      <c r="AB153" s="344"/>
      <c r="AC153" s="344"/>
      <c r="AD153" s="344"/>
      <c r="AE153" s="344"/>
      <c r="AF153" s="344"/>
      <c r="AG153" s="344"/>
      <c r="AH153" s="344"/>
      <c r="AI153" s="344"/>
      <c r="AJ153" s="344"/>
      <c r="AK153" s="344"/>
      <c r="AL153" s="344"/>
      <c r="AM153" s="344"/>
      <c r="AN153" s="344"/>
      <c r="AO153" s="344"/>
    </row>
    <row r="154" spans="1:41" ht="15.75" customHeight="1" x14ac:dyDescent="0.25">
      <c r="A154" s="344"/>
      <c r="B154" s="353"/>
      <c r="C154" s="344"/>
      <c r="D154" s="344"/>
      <c r="E154" s="344"/>
      <c r="F154" s="344"/>
      <c r="G154" s="344"/>
      <c r="H154" s="344"/>
      <c r="I154" s="344"/>
      <c r="J154" s="344"/>
      <c r="K154" s="344"/>
      <c r="L154" s="344"/>
      <c r="M154" s="344"/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4"/>
      <c r="Y154" s="344"/>
      <c r="Z154" s="344"/>
      <c r="AA154" s="344"/>
      <c r="AB154" s="344"/>
      <c r="AC154" s="344"/>
      <c r="AD154" s="344"/>
      <c r="AE154" s="344"/>
      <c r="AF154" s="344"/>
      <c r="AG154" s="344"/>
      <c r="AH154" s="344"/>
      <c r="AI154" s="344"/>
      <c r="AJ154" s="344"/>
      <c r="AK154" s="344"/>
      <c r="AL154" s="344"/>
      <c r="AM154" s="344"/>
      <c r="AN154" s="344"/>
      <c r="AO154" s="344"/>
    </row>
    <row r="155" spans="1:41" ht="15.75" customHeight="1" x14ac:dyDescent="0.25">
      <c r="A155" s="344"/>
      <c r="B155" s="353"/>
      <c r="C155" s="344"/>
      <c r="D155" s="344"/>
      <c r="E155" s="344"/>
      <c r="F155" s="344"/>
      <c r="G155" s="344"/>
      <c r="H155" s="344"/>
      <c r="I155" s="344"/>
      <c r="J155" s="344"/>
      <c r="K155" s="344"/>
      <c r="L155" s="344"/>
      <c r="M155" s="344"/>
      <c r="N155" s="344"/>
      <c r="O155" s="344"/>
      <c r="P155" s="344"/>
      <c r="Q155" s="344"/>
      <c r="R155" s="344"/>
      <c r="S155" s="344"/>
      <c r="T155" s="344"/>
      <c r="U155" s="344"/>
      <c r="V155" s="344"/>
      <c r="W155" s="344"/>
      <c r="X155" s="344"/>
      <c r="Y155" s="344"/>
      <c r="Z155" s="344"/>
      <c r="AA155" s="344"/>
      <c r="AB155" s="344"/>
      <c r="AC155" s="344"/>
      <c r="AD155" s="344"/>
      <c r="AE155" s="344"/>
      <c r="AF155" s="344"/>
      <c r="AG155" s="344"/>
      <c r="AH155" s="344"/>
      <c r="AI155" s="344"/>
      <c r="AJ155" s="344"/>
      <c r="AK155" s="344"/>
      <c r="AL155" s="344"/>
      <c r="AM155" s="344"/>
      <c r="AN155" s="344"/>
      <c r="AO155" s="344"/>
    </row>
    <row r="156" spans="1:41" ht="15.75" customHeight="1" x14ac:dyDescent="0.25">
      <c r="A156" s="344"/>
      <c r="B156" s="353"/>
      <c r="C156" s="344"/>
      <c r="D156" s="344"/>
      <c r="E156" s="344"/>
      <c r="F156" s="344"/>
      <c r="G156" s="344"/>
      <c r="H156" s="344"/>
      <c r="I156" s="344"/>
      <c r="J156" s="344"/>
      <c r="K156" s="344"/>
      <c r="L156" s="344"/>
      <c r="M156" s="344"/>
      <c r="N156" s="344"/>
      <c r="O156" s="344"/>
      <c r="P156" s="344"/>
      <c r="Q156" s="344"/>
      <c r="R156" s="344"/>
      <c r="S156" s="344"/>
      <c r="T156" s="344"/>
      <c r="U156" s="344"/>
      <c r="V156" s="344"/>
      <c r="W156" s="344"/>
      <c r="X156" s="344"/>
      <c r="Y156" s="344"/>
      <c r="Z156" s="344"/>
      <c r="AA156" s="344"/>
      <c r="AB156" s="344"/>
      <c r="AC156" s="344"/>
      <c r="AD156" s="344"/>
      <c r="AE156" s="344"/>
      <c r="AF156" s="344"/>
      <c r="AG156" s="344"/>
      <c r="AH156" s="344"/>
      <c r="AI156" s="344"/>
      <c r="AJ156" s="344"/>
      <c r="AK156" s="344"/>
      <c r="AL156" s="344"/>
      <c r="AM156" s="344"/>
      <c r="AN156" s="344"/>
      <c r="AO156" s="344"/>
    </row>
    <row r="157" spans="1:41" ht="15.75" customHeight="1" x14ac:dyDescent="0.25">
      <c r="A157" s="344"/>
      <c r="B157" s="353"/>
      <c r="C157" s="344"/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4"/>
      <c r="AC157" s="344"/>
      <c r="AD157" s="344"/>
      <c r="AE157" s="344"/>
      <c r="AF157" s="344"/>
      <c r="AG157" s="344"/>
      <c r="AH157" s="344"/>
      <c r="AI157" s="344"/>
      <c r="AJ157" s="344"/>
      <c r="AK157" s="344"/>
      <c r="AL157" s="344"/>
      <c r="AM157" s="344"/>
      <c r="AN157" s="344"/>
      <c r="AO157" s="344"/>
    </row>
    <row r="158" spans="1:41" ht="15.75" customHeight="1" x14ac:dyDescent="0.25">
      <c r="A158" s="344"/>
      <c r="B158" s="353"/>
      <c r="C158" s="344"/>
      <c r="D158" s="344"/>
      <c r="E158" s="344"/>
      <c r="F158" s="344"/>
      <c r="G158" s="344"/>
      <c r="H158" s="344"/>
      <c r="I158" s="344"/>
      <c r="J158" s="344"/>
      <c r="K158" s="344"/>
      <c r="L158" s="344"/>
      <c r="M158" s="344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4"/>
      <c r="AC158" s="344"/>
      <c r="AD158" s="344"/>
      <c r="AE158" s="344"/>
      <c r="AF158" s="344"/>
      <c r="AG158" s="344"/>
      <c r="AH158" s="344"/>
      <c r="AI158" s="344"/>
      <c r="AJ158" s="344"/>
      <c r="AK158" s="344"/>
      <c r="AL158" s="344"/>
      <c r="AM158" s="344"/>
      <c r="AN158" s="344"/>
      <c r="AO158" s="344"/>
    </row>
    <row r="159" spans="1:41" ht="15.75" customHeight="1" x14ac:dyDescent="0.25">
      <c r="A159" s="344"/>
      <c r="B159" s="353"/>
      <c r="C159" s="344"/>
      <c r="D159" s="344"/>
      <c r="E159" s="344"/>
      <c r="F159" s="344"/>
      <c r="G159" s="344"/>
      <c r="H159" s="344"/>
      <c r="I159" s="344"/>
      <c r="J159" s="344"/>
      <c r="K159" s="344"/>
      <c r="L159" s="344"/>
      <c r="M159" s="344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4"/>
      <c r="AC159" s="344"/>
      <c r="AD159" s="344"/>
      <c r="AE159" s="344"/>
      <c r="AF159" s="344"/>
      <c r="AG159" s="344"/>
      <c r="AH159" s="344"/>
      <c r="AI159" s="344"/>
      <c r="AJ159" s="344"/>
      <c r="AK159" s="344"/>
      <c r="AL159" s="344"/>
      <c r="AM159" s="344"/>
      <c r="AN159" s="344"/>
      <c r="AO159" s="344"/>
    </row>
    <row r="160" spans="1:41" ht="15.75" customHeight="1" x14ac:dyDescent="0.25">
      <c r="A160" s="344"/>
      <c r="B160" s="353"/>
      <c r="C160" s="344"/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4"/>
      <c r="AC160" s="344"/>
      <c r="AD160" s="344"/>
      <c r="AE160" s="344"/>
      <c r="AF160" s="344"/>
      <c r="AG160" s="344"/>
      <c r="AH160" s="344"/>
      <c r="AI160" s="344"/>
      <c r="AJ160" s="344"/>
      <c r="AK160" s="344"/>
      <c r="AL160" s="344"/>
      <c r="AM160" s="344"/>
      <c r="AN160" s="344"/>
      <c r="AO160" s="344"/>
    </row>
    <row r="161" spans="1:41" ht="15.75" customHeight="1" x14ac:dyDescent="0.25">
      <c r="A161" s="344"/>
      <c r="B161" s="353"/>
      <c r="C161" s="344"/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4"/>
      <c r="AC161" s="344"/>
      <c r="AD161" s="344"/>
      <c r="AE161" s="344"/>
      <c r="AF161" s="344"/>
      <c r="AG161" s="344"/>
      <c r="AH161" s="344"/>
      <c r="AI161" s="344"/>
      <c r="AJ161" s="344"/>
      <c r="AK161" s="344"/>
      <c r="AL161" s="344"/>
      <c r="AM161" s="344"/>
      <c r="AN161" s="344"/>
      <c r="AO161" s="344"/>
    </row>
    <row r="162" spans="1:41" ht="15.75" customHeight="1" x14ac:dyDescent="0.25">
      <c r="A162" s="344"/>
      <c r="B162" s="353"/>
      <c r="C162" s="344"/>
      <c r="D162" s="344"/>
      <c r="E162" s="344"/>
      <c r="F162" s="344"/>
      <c r="G162" s="344"/>
      <c r="H162" s="344"/>
      <c r="I162" s="344"/>
      <c r="J162" s="344"/>
      <c r="K162" s="344"/>
      <c r="L162" s="344"/>
      <c r="M162" s="344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4"/>
      <c r="AC162" s="344"/>
      <c r="AD162" s="344"/>
      <c r="AE162" s="344"/>
      <c r="AF162" s="344"/>
      <c r="AG162" s="344"/>
      <c r="AH162" s="344"/>
      <c r="AI162" s="344"/>
      <c r="AJ162" s="344"/>
      <c r="AK162" s="344"/>
      <c r="AL162" s="344"/>
      <c r="AM162" s="344"/>
      <c r="AN162" s="344"/>
      <c r="AO162" s="344"/>
    </row>
    <row r="163" spans="1:41" ht="15.75" customHeight="1" x14ac:dyDescent="0.25">
      <c r="A163" s="344"/>
      <c r="B163" s="353"/>
      <c r="C163" s="344"/>
      <c r="D163" s="344"/>
      <c r="E163" s="344"/>
      <c r="F163" s="344"/>
      <c r="G163" s="344"/>
      <c r="H163" s="344"/>
      <c r="I163" s="344"/>
      <c r="J163" s="344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  <c r="AA163" s="344"/>
      <c r="AB163" s="344"/>
      <c r="AC163" s="344"/>
      <c r="AD163" s="344"/>
      <c r="AE163" s="344"/>
      <c r="AF163" s="344"/>
      <c r="AG163" s="344"/>
      <c r="AH163" s="344"/>
      <c r="AI163" s="344"/>
      <c r="AJ163" s="344"/>
      <c r="AK163" s="344"/>
      <c r="AL163" s="344"/>
      <c r="AM163" s="344"/>
      <c r="AN163" s="344"/>
      <c r="AO163" s="344"/>
    </row>
    <row r="164" spans="1:41" ht="15.75" customHeight="1" x14ac:dyDescent="0.25">
      <c r="A164" s="344"/>
      <c r="B164" s="353"/>
      <c r="C164" s="344"/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4"/>
      <c r="AC164" s="344"/>
      <c r="AD164" s="344"/>
      <c r="AE164" s="344"/>
      <c r="AF164" s="344"/>
      <c r="AG164" s="344"/>
      <c r="AH164" s="344"/>
      <c r="AI164" s="344"/>
      <c r="AJ164" s="344"/>
      <c r="AK164" s="344"/>
      <c r="AL164" s="344"/>
      <c r="AM164" s="344"/>
      <c r="AN164" s="344"/>
      <c r="AO164" s="344"/>
    </row>
    <row r="165" spans="1:41" ht="15.75" customHeight="1" x14ac:dyDescent="0.25">
      <c r="A165" s="344"/>
      <c r="B165" s="353"/>
      <c r="C165" s="344"/>
      <c r="D165" s="344"/>
      <c r="E165" s="344"/>
      <c r="F165" s="344"/>
      <c r="G165" s="344"/>
      <c r="H165" s="344"/>
      <c r="I165" s="344"/>
      <c r="J165" s="344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A165" s="344"/>
      <c r="AB165" s="344"/>
      <c r="AC165" s="344"/>
      <c r="AD165" s="344"/>
      <c r="AE165" s="344"/>
      <c r="AF165" s="344"/>
      <c r="AG165" s="344"/>
      <c r="AH165" s="344"/>
      <c r="AI165" s="344"/>
      <c r="AJ165" s="344"/>
      <c r="AK165" s="344"/>
      <c r="AL165" s="344"/>
      <c r="AM165" s="344"/>
      <c r="AN165" s="344"/>
      <c r="AO165" s="344"/>
    </row>
    <row r="166" spans="1:41" ht="15.75" customHeight="1" x14ac:dyDescent="0.25">
      <c r="A166" s="344"/>
      <c r="B166" s="353"/>
      <c r="C166" s="344"/>
      <c r="D166" s="344"/>
      <c r="E166" s="344"/>
      <c r="F166" s="344"/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4"/>
      <c r="AC166" s="344"/>
      <c r="AD166" s="344"/>
      <c r="AE166" s="344"/>
      <c r="AF166" s="344"/>
      <c r="AG166" s="344"/>
      <c r="AH166" s="344"/>
      <c r="AI166" s="344"/>
      <c r="AJ166" s="344"/>
      <c r="AK166" s="344"/>
      <c r="AL166" s="344"/>
      <c r="AM166" s="344"/>
      <c r="AN166" s="344"/>
      <c r="AO166" s="344"/>
    </row>
    <row r="167" spans="1:41" ht="15.75" customHeight="1" x14ac:dyDescent="0.25">
      <c r="A167" s="344"/>
      <c r="B167" s="353"/>
      <c r="C167" s="344"/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4"/>
      <c r="AC167" s="344"/>
      <c r="AD167" s="344"/>
      <c r="AE167" s="344"/>
      <c r="AF167" s="344"/>
      <c r="AG167" s="344"/>
      <c r="AH167" s="344"/>
      <c r="AI167" s="344"/>
      <c r="AJ167" s="344"/>
      <c r="AK167" s="344"/>
      <c r="AL167" s="344"/>
      <c r="AM167" s="344"/>
      <c r="AN167" s="344"/>
      <c r="AO167" s="344"/>
    </row>
    <row r="168" spans="1:41" ht="15.75" customHeight="1" x14ac:dyDescent="0.25">
      <c r="A168" s="344"/>
      <c r="B168" s="353"/>
      <c r="C168" s="344"/>
      <c r="D168" s="344"/>
      <c r="E168" s="344"/>
      <c r="F168" s="344"/>
      <c r="G168" s="344"/>
      <c r="H168" s="344"/>
      <c r="I168" s="344"/>
      <c r="J168" s="344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  <c r="Y168" s="344"/>
      <c r="Z168" s="344"/>
      <c r="AA168" s="344"/>
      <c r="AB168" s="344"/>
      <c r="AC168" s="344"/>
      <c r="AD168" s="344"/>
      <c r="AE168" s="344"/>
      <c r="AF168" s="344"/>
      <c r="AG168" s="344"/>
      <c r="AH168" s="344"/>
      <c r="AI168" s="344"/>
      <c r="AJ168" s="344"/>
      <c r="AK168" s="344"/>
      <c r="AL168" s="344"/>
      <c r="AM168" s="344"/>
      <c r="AN168" s="344"/>
      <c r="AO168" s="344"/>
    </row>
    <row r="169" spans="1:41" ht="15.75" customHeight="1" x14ac:dyDescent="0.25">
      <c r="A169" s="344"/>
      <c r="B169" s="353"/>
      <c r="C169" s="344"/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  <c r="AA169" s="344"/>
      <c r="AB169" s="344"/>
      <c r="AC169" s="344"/>
      <c r="AD169" s="344"/>
      <c r="AE169" s="344"/>
      <c r="AF169" s="344"/>
      <c r="AG169" s="344"/>
      <c r="AH169" s="344"/>
      <c r="AI169" s="344"/>
      <c r="AJ169" s="344"/>
      <c r="AK169" s="344"/>
      <c r="AL169" s="344"/>
      <c r="AM169" s="344"/>
      <c r="AN169" s="344"/>
      <c r="AO169" s="344"/>
    </row>
    <row r="170" spans="1:41" ht="15.75" customHeight="1" x14ac:dyDescent="0.25">
      <c r="A170" s="344"/>
      <c r="B170" s="353"/>
      <c r="C170" s="344"/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  <c r="AA170" s="344"/>
      <c r="AB170" s="344"/>
      <c r="AC170" s="344"/>
      <c r="AD170" s="344"/>
      <c r="AE170" s="344"/>
      <c r="AF170" s="344"/>
      <c r="AG170" s="344"/>
      <c r="AH170" s="344"/>
      <c r="AI170" s="344"/>
      <c r="AJ170" s="344"/>
      <c r="AK170" s="344"/>
      <c r="AL170" s="344"/>
      <c r="AM170" s="344"/>
      <c r="AN170" s="344"/>
      <c r="AO170" s="344"/>
    </row>
    <row r="171" spans="1:41" ht="15.75" customHeight="1" x14ac:dyDescent="0.25">
      <c r="A171" s="344"/>
      <c r="B171" s="353"/>
      <c r="C171" s="344"/>
      <c r="D171" s="344"/>
      <c r="E171" s="344"/>
      <c r="F171" s="344"/>
      <c r="G171" s="344"/>
      <c r="H171" s="344"/>
      <c r="I171" s="344"/>
      <c r="J171" s="344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  <c r="Y171" s="344"/>
      <c r="Z171" s="344"/>
      <c r="AA171" s="344"/>
      <c r="AB171" s="344"/>
      <c r="AC171" s="344"/>
      <c r="AD171" s="344"/>
      <c r="AE171" s="344"/>
      <c r="AF171" s="344"/>
      <c r="AG171" s="344"/>
      <c r="AH171" s="344"/>
      <c r="AI171" s="344"/>
      <c r="AJ171" s="344"/>
      <c r="AK171" s="344"/>
      <c r="AL171" s="344"/>
      <c r="AM171" s="344"/>
      <c r="AN171" s="344"/>
      <c r="AO171" s="344"/>
    </row>
    <row r="172" spans="1:41" ht="15.75" customHeight="1" x14ac:dyDescent="0.25">
      <c r="A172" s="344"/>
      <c r="B172" s="353"/>
      <c r="C172" s="344"/>
      <c r="D172" s="344"/>
      <c r="E172" s="344"/>
      <c r="F172" s="344"/>
      <c r="G172" s="344"/>
      <c r="H172" s="344"/>
      <c r="I172" s="344"/>
      <c r="J172" s="344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  <c r="Y172" s="344"/>
      <c r="Z172" s="344"/>
      <c r="AA172" s="344"/>
      <c r="AB172" s="344"/>
      <c r="AC172" s="344"/>
      <c r="AD172" s="344"/>
      <c r="AE172" s="344"/>
      <c r="AF172" s="344"/>
      <c r="AG172" s="344"/>
      <c r="AH172" s="344"/>
      <c r="AI172" s="344"/>
      <c r="AJ172" s="344"/>
      <c r="AK172" s="344"/>
      <c r="AL172" s="344"/>
      <c r="AM172" s="344"/>
      <c r="AN172" s="344"/>
      <c r="AO172" s="344"/>
    </row>
    <row r="173" spans="1:41" ht="15.75" customHeight="1" x14ac:dyDescent="0.25">
      <c r="A173" s="344"/>
      <c r="B173" s="353"/>
      <c r="C173" s="344"/>
      <c r="D173" s="344"/>
      <c r="E173" s="344"/>
      <c r="F173" s="344"/>
      <c r="G173" s="344"/>
      <c r="H173" s="344"/>
      <c r="I173" s="344"/>
      <c r="J173" s="344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  <c r="Y173" s="344"/>
      <c r="Z173" s="344"/>
      <c r="AA173" s="344"/>
      <c r="AB173" s="344"/>
      <c r="AC173" s="344"/>
      <c r="AD173" s="344"/>
      <c r="AE173" s="344"/>
      <c r="AF173" s="344"/>
      <c r="AG173" s="344"/>
      <c r="AH173" s="344"/>
      <c r="AI173" s="344"/>
      <c r="AJ173" s="344"/>
      <c r="AK173" s="344"/>
      <c r="AL173" s="344"/>
      <c r="AM173" s="344"/>
      <c r="AN173" s="344"/>
      <c r="AO173" s="344"/>
    </row>
    <row r="174" spans="1:41" ht="15.75" customHeight="1" x14ac:dyDescent="0.25">
      <c r="A174" s="344"/>
      <c r="B174" s="353"/>
      <c r="C174" s="344"/>
      <c r="D174" s="344"/>
      <c r="E174" s="344"/>
      <c r="F174" s="344"/>
      <c r="G174" s="344"/>
      <c r="H174" s="344"/>
      <c r="I174" s="344"/>
      <c r="J174" s="344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  <c r="Y174" s="344"/>
      <c r="Z174" s="344"/>
      <c r="AA174" s="344"/>
      <c r="AB174" s="344"/>
      <c r="AC174" s="344"/>
      <c r="AD174" s="344"/>
      <c r="AE174" s="344"/>
      <c r="AF174" s="344"/>
      <c r="AG174" s="344"/>
      <c r="AH174" s="344"/>
      <c r="AI174" s="344"/>
      <c r="AJ174" s="344"/>
      <c r="AK174" s="344"/>
      <c r="AL174" s="344"/>
      <c r="AM174" s="344"/>
      <c r="AN174" s="344"/>
      <c r="AO174" s="344"/>
    </row>
    <row r="175" spans="1:41" ht="15.75" customHeight="1" x14ac:dyDescent="0.25">
      <c r="A175" s="344"/>
      <c r="B175" s="353"/>
      <c r="C175" s="344"/>
      <c r="D175" s="344"/>
      <c r="E175" s="344"/>
      <c r="F175" s="344"/>
      <c r="G175" s="344"/>
      <c r="H175" s="344"/>
      <c r="I175" s="344"/>
      <c r="J175" s="344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  <c r="Y175" s="344"/>
      <c r="Z175" s="344"/>
      <c r="AA175" s="344"/>
      <c r="AB175" s="344"/>
      <c r="AC175" s="344"/>
      <c r="AD175" s="344"/>
      <c r="AE175" s="344"/>
      <c r="AF175" s="344"/>
      <c r="AG175" s="344"/>
      <c r="AH175" s="344"/>
      <c r="AI175" s="344"/>
      <c r="AJ175" s="344"/>
      <c r="AK175" s="344"/>
      <c r="AL175" s="344"/>
      <c r="AM175" s="344"/>
      <c r="AN175" s="344"/>
      <c r="AO175" s="344"/>
    </row>
    <row r="176" spans="1:41" ht="15.75" customHeight="1" x14ac:dyDescent="0.25">
      <c r="A176" s="344"/>
      <c r="B176" s="353"/>
      <c r="C176" s="344"/>
      <c r="D176" s="344"/>
      <c r="E176" s="344"/>
      <c r="F176" s="344"/>
      <c r="G176" s="344"/>
      <c r="H176" s="344"/>
      <c r="I176" s="344"/>
      <c r="J176" s="344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  <c r="Y176" s="344"/>
      <c r="Z176" s="344"/>
      <c r="AA176" s="344"/>
      <c r="AB176" s="344"/>
      <c r="AC176" s="344"/>
      <c r="AD176" s="344"/>
      <c r="AE176" s="344"/>
      <c r="AF176" s="344"/>
      <c r="AG176" s="344"/>
      <c r="AH176" s="344"/>
      <c r="AI176" s="344"/>
      <c r="AJ176" s="344"/>
      <c r="AK176" s="344"/>
      <c r="AL176" s="344"/>
      <c r="AM176" s="344"/>
      <c r="AN176" s="344"/>
      <c r="AO176" s="344"/>
    </row>
    <row r="177" spans="1:41" ht="15.75" customHeight="1" x14ac:dyDescent="0.25">
      <c r="A177" s="344"/>
      <c r="B177" s="353"/>
      <c r="C177" s="344"/>
      <c r="D177" s="344"/>
      <c r="E177" s="344"/>
      <c r="F177" s="344"/>
      <c r="G177" s="344"/>
      <c r="H177" s="344"/>
      <c r="I177" s="344"/>
      <c r="J177" s="344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  <c r="Y177" s="344"/>
      <c r="Z177" s="344"/>
      <c r="AA177" s="344"/>
      <c r="AB177" s="344"/>
      <c r="AC177" s="344"/>
      <c r="AD177" s="344"/>
      <c r="AE177" s="344"/>
      <c r="AF177" s="344"/>
      <c r="AG177" s="344"/>
      <c r="AH177" s="344"/>
      <c r="AI177" s="344"/>
      <c r="AJ177" s="344"/>
      <c r="AK177" s="344"/>
      <c r="AL177" s="344"/>
      <c r="AM177" s="344"/>
      <c r="AN177" s="344"/>
      <c r="AO177" s="344"/>
    </row>
    <row r="178" spans="1:41" ht="15.75" customHeight="1" x14ac:dyDescent="0.25">
      <c r="A178" s="344"/>
      <c r="B178" s="353"/>
      <c r="C178" s="344"/>
      <c r="D178" s="344"/>
      <c r="E178" s="344"/>
      <c r="F178" s="344"/>
      <c r="G178" s="344"/>
      <c r="H178" s="344"/>
      <c r="I178" s="344"/>
      <c r="J178" s="344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  <c r="Y178" s="344"/>
      <c r="Z178" s="344"/>
      <c r="AA178" s="344"/>
      <c r="AB178" s="344"/>
      <c r="AC178" s="344"/>
      <c r="AD178" s="344"/>
      <c r="AE178" s="344"/>
      <c r="AF178" s="344"/>
      <c r="AG178" s="344"/>
      <c r="AH178" s="344"/>
      <c r="AI178" s="344"/>
      <c r="AJ178" s="344"/>
      <c r="AK178" s="344"/>
      <c r="AL178" s="344"/>
      <c r="AM178" s="344"/>
      <c r="AN178" s="344"/>
      <c r="AO178" s="344"/>
    </row>
    <row r="179" spans="1:41" ht="15.75" customHeight="1" x14ac:dyDescent="0.25">
      <c r="A179" s="344"/>
      <c r="B179" s="353"/>
      <c r="C179" s="344"/>
      <c r="D179" s="344"/>
      <c r="E179" s="344"/>
      <c r="F179" s="344"/>
      <c r="G179" s="344"/>
      <c r="H179" s="344"/>
      <c r="I179" s="344"/>
      <c r="J179" s="344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  <c r="Y179" s="344"/>
      <c r="Z179" s="344"/>
      <c r="AA179" s="344"/>
      <c r="AB179" s="344"/>
      <c r="AC179" s="344"/>
      <c r="AD179" s="344"/>
      <c r="AE179" s="344"/>
      <c r="AF179" s="344"/>
      <c r="AG179" s="344"/>
      <c r="AH179" s="344"/>
      <c r="AI179" s="344"/>
      <c r="AJ179" s="344"/>
      <c r="AK179" s="344"/>
      <c r="AL179" s="344"/>
      <c r="AM179" s="344"/>
      <c r="AN179" s="344"/>
      <c r="AO179" s="344"/>
    </row>
    <row r="180" spans="1:41" ht="15.75" customHeight="1" x14ac:dyDescent="0.25">
      <c r="A180" s="344"/>
      <c r="B180" s="353"/>
      <c r="C180" s="344"/>
      <c r="D180" s="344"/>
      <c r="E180" s="344"/>
      <c r="F180" s="344"/>
      <c r="G180" s="344"/>
      <c r="H180" s="344"/>
      <c r="I180" s="344"/>
      <c r="J180" s="344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  <c r="Y180" s="344"/>
      <c r="Z180" s="344"/>
      <c r="AA180" s="344"/>
      <c r="AB180" s="344"/>
      <c r="AC180" s="344"/>
      <c r="AD180" s="344"/>
      <c r="AE180" s="344"/>
      <c r="AF180" s="344"/>
      <c r="AG180" s="344"/>
      <c r="AH180" s="344"/>
      <c r="AI180" s="344"/>
      <c r="AJ180" s="344"/>
      <c r="AK180" s="344"/>
      <c r="AL180" s="344"/>
      <c r="AM180" s="344"/>
      <c r="AN180" s="344"/>
      <c r="AO180" s="344"/>
    </row>
    <row r="181" spans="1:41" ht="15.75" customHeight="1" x14ac:dyDescent="0.25">
      <c r="A181" s="344"/>
      <c r="B181" s="353"/>
      <c r="C181" s="344"/>
      <c r="D181" s="344"/>
      <c r="E181" s="344"/>
      <c r="F181" s="344"/>
      <c r="G181" s="344"/>
      <c r="H181" s="344"/>
      <c r="I181" s="344"/>
      <c r="J181" s="344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  <c r="Y181" s="344"/>
      <c r="Z181" s="344"/>
      <c r="AA181" s="344"/>
      <c r="AB181" s="344"/>
      <c r="AC181" s="344"/>
      <c r="AD181" s="344"/>
      <c r="AE181" s="344"/>
      <c r="AF181" s="344"/>
      <c r="AG181" s="344"/>
      <c r="AH181" s="344"/>
      <c r="AI181" s="344"/>
      <c r="AJ181" s="344"/>
      <c r="AK181" s="344"/>
      <c r="AL181" s="344"/>
      <c r="AM181" s="344"/>
      <c r="AN181" s="344"/>
      <c r="AO181" s="344"/>
    </row>
    <row r="182" spans="1:41" ht="15.75" customHeight="1" x14ac:dyDescent="0.25">
      <c r="A182" s="344"/>
      <c r="B182" s="353"/>
      <c r="C182" s="344"/>
      <c r="D182" s="344"/>
      <c r="E182" s="344"/>
      <c r="F182" s="344"/>
      <c r="G182" s="344"/>
      <c r="H182" s="344"/>
      <c r="I182" s="344"/>
      <c r="J182" s="344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  <c r="AA182" s="344"/>
      <c r="AB182" s="344"/>
      <c r="AC182" s="344"/>
      <c r="AD182" s="344"/>
      <c r="AE182" s="344"/>
      <c r="AF182" s="344"/>
      <c r="AG182" s="344"/>
      <c r="AH182" s="344"/>
      <c r="AI182" s="344"/>
      <c r="AJ182" s="344"/>
      <c r="AK182" s="344"/>
      <c r="AL182" s="344"/>
      <c r="AM182" s="344"/>
      <c r="AN182" s="344"/>
      <c r="AO182" s="344"/>
    </row>
    <row r="183" spans="1:41" ht="15.75" customHeight="1" x14ac:dyDescent="0.25">
      <c r="A183" s="344"/>
      <c r="B183" s="353"/>
      <c r="C183" s="344"/>
      <c r="D183" s="344"/>
      <c r="E183" s="344"/>
      <c r="F183" s="344"/>
      <c r="G183" s="344"/>
      <c r="H183" s="344"/>
      <c r="I183" s="344"/>
      <c r="J183" s="344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  <c r="Y183" s="344"/>
      <c r="Z183" s="344"/>
      <c r="AA183" s="344"/>
      <c r="AB183" s="344"/>
      <c r="AC183" s="344"/>
      <c r="AD183" s="344"/>
      <c r="AE183" s="344"/>
      <c r="AF183" s="344"/>
      <c r="AG183" s="344"/>
      <c r="AH183" s="344"/>
      <c r="AI183" s="344"/>
      <c r="AJ183" s="344"/>
      <c r="AK183" s="344"/>
      <c r="AL183" s="344"/>
      <c r="AM183" s="344"/>
      <c r="AN183" s="344"/>
      <c r="AO183" s="344"/>
    </row>
    <row r="184" spans="1:41" ht="15.75" customHeight="1" x14ac:dyDescent="0.25">
      <c r="A184" s="344"/>
      <c r="B184" s="353"/>
      <c r="C184" s="344"/>
      <c r="D184" s="344"/>
      <c r="E184" s="344"/>
      <c r="F184" s="344"/>
      <c r="G184" s="344"/>
      <c r="H184" s="344"/>
      <c r="I184" s="344"/>
      <c r="J184" s="344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  <c r="Y184" s="344"/>
      <c r="Z184" s="344"/>
      <c r="AA184" s="344"/>
      <c r="AB184" s="344"/>
      <c r="AC184" s="344"/>
      <c r="AD184" s="344"/>
      <c r="AE184" s="344"/>
      <c r="AF184" s="344"/>
      <c r="AG184" s="344"/>
      <c r="AH184" s="344"/>
      <c r="AI184" s="344"/>
      <c r="AJ184" s="344"/>
      <c r="AK184" s="344"/>
      <c r="AL184" s="344"/>
      <c r="AM184" s="344"/>
      <c r="AN184" s="344"/>
      <c r="AO184" s="344"/>
    </row>
    <row r="185" spans="1:41" ht="15.75" customHeight="1" x14ac:dyDescent="0.25">
      <c r="A185" s="344"/>
      <c r="B185" s="353"/>
      <c r="C185" s="344"/>
      <c r="D185" s="344"/>
      <c r="E185" s="344"/>
      <c r="F185" s="344"/>
      <c r="G185" s="344"/>
      <c r="H185" s="344"/>
      <c r="I185" s="344"/>
      <c r="J185" s="344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  <c r="Y185" s="344"/>
      <c r="Z185" s="344"/>
      <c r="AA185" s="344"/>
      <c r="AB185" s="344"/>
      <c r="AC185" s="344"/>
      <c r="AD185" s="344"/>
      <c r="AE185" s="344"/>
      <c r="AF185" s="344"/>
      <c r="AG185" s="344"/>
      <c r="AH185" s="344"/>
      <c r="AI185" s="344"/>
      <c r="AJ185" s="344"/>
      <c r="AK185" s="344"/>
      <c r="AL185" s="344"/>
      <c r="AM185" s="344"/>
      <c r="AN185" s="344"/>
      <c r="AO185" s="344"/>
    </row>
    <row r="186" spans="1:41" ht="15.75" customHeight="1" x14ac:dyDescent="0.25">
      <c r="A186" s="344"/>
      <c r="B186" s="353"/>
      <c r="C186" s="344"/>
      <c r="D186" s="344"/>
      <c r="E186" s="344"/>
      <c r="F186" s="344"/>
      <c r="G186" s="344"/>
      <c r="H186" s="344"/>
      <c r="I186" s="344"/>
      <c r="J186" s="344"/>
      <c r="K186" s="344"/>
      <c r="L186" s="344"/>
      <c r="M186" s="344"/>
      <c r="N186" s="344"/>
      <c r="O186" s="344"/>
      <c r="P186" s="344"/>
      <c r="Q186" s="344"/>
      <c r="R186" s="344"/>
      <c r="S186" s="344"/>
      <c r="T186" s="344"/>
      <c r="U186" s="344"/>
      <c r="V186" s="344"/>
      <c r="W186" s="344"/>
      <c r="X186" s="344"/>
      <c r="Y186" s="344"/>
      <c r="Z186" s="344"/>
      <c r="AA186" s="344"/>
      <c r="AB186" s="344"/>
      <c r="AC186" s="344"/>
      <c r="AD186" s="344"/>
      <c r="AE186" s="344"/>
      <c r="AF186" s="344"/>
      <c r="AG186" s="344"/>
      <c r="AH186" s="344"/>
      <c r="AI186" s="344"/>
      <c r="AJ186" s="344"/>
      <c r="AK186" s="344"/>
      <c r="AL186" s="344"/>
      <c r="AM186" s="344"/>
      <c r="AN186" s="344"/>
      <c r="AO186" s="344"/>
    </row>
    <row r="187" spans="1:41" ht="15.75" customHeight="1" x14ac:dyDescent="0.25">
      <c r="A187" s="344"/>
      <c r="B187" s="353"/>
      <c r="C187" s="344"/>
      <c r="D187" s="344"/>
      <c r="E187" s="344"/>
      <c r="F187" s="344"/>
      <c r="G187" s="344"/>
      <c r="H187" s="344"/>
      <c r="I187" s="344"/>
      <c r="J187" s="344"/>
      <c r="K187" s="344"/>
      <c r="L187" s="344"/>
      <c r="M187" s="344"/>
      <c r="N187" s="344"/>
      <c r="O187" s="344"/>
      <c r="P187" s="344"/>
      <c r="Q187" s="344"/>
      <c r="R187" s="344"/>
      <c r="S187" s="344"/>
      <c r="T187" s="344"/>
      <c r="U187" s="344"/>
      <c r="V187" s="344"/>
      <c r="W187" s="344"/>
      <c r="X187" s="344"/>
      <c r="Y187" s="344"/>
      <c r="Z187" s="344"/>
      <c r="AA187" s="344"/>
      <c r="AB187" s="344"/>
      <c r="AC187" s="344"/>
      <c r="AD187" s="344"/>
      <c r="AE187" s="344"/>
      <c r="AF187" s="344"/>
      <c r="AG187" s="344"/>
      <c r="AH187" s="344"/>
      <c r="AI187" s="344"/>
      <c r="AJ187" s="344"/>
      <c r="AK187" s="344"/>
      <c r="AL187" s="344"/>
      <c r="AM187" s="344"/>
      <c r="AN187" s="344"/>
      <c r="AO187" s="344"/>
    </row>
    <row r="188" spans="1:41" ht="15.75" customHeight="1" x14ac:dyDescent="0.25">
      <c r="A188" s="344"/>
      <c r="B188" s="353"/>
      <c r="C188" s="344"/>
      <c r="D188" s="344"/>
      <c r="E188" s="344"/>
      <c r="F188" s="344"/>
      <c r="G188" s="344"/>
      <c r="H188" s="344"/>
      <c r="I188" s="344"/>
      <c r="J188" s="344"/>
      <c r="K188" s="344"/>
      <c r="L188" s="344"/>
      <c r="M188" s="344"/>
      <c r="N188" s="344"/>
      <c r="O188" s="344"/>
      <c r="P188" s="344"/>
      <c r="Q188" s="344"/>
      <c r="R188" s="344"/>
      <c r="S188" s="344"/>
      <c r="T188" s="344"/>
      <c r="U188" s="344"/>
      <c r="V188" s="344"/>
      <c r="W188" s="344"/>
      <c r="X188" s="344"/>
      <c r="Y188" s="344"/>
      <c r="Z188" s="344"/>
      <c r="AA188" s="344"/>
      <c r="AB188" s="344"/>
      <c r="AC188" s="344"/>
      <c r="AD188" s="344"/>
      <c r="AE188" s="344"/>
      <c r="AF188" s="344"/>
      <c r="AG188" s="344"/>
      <c r="AH188" s="344"/>
      <c r="AI188" s="344"/>
      <c r="AJ188" s="344"/>
      <c r="AK188" s="344"/>
      <c r="AL188" s="344"/>
      <c r="AM188" s="344"/>
      <c r="AN188" s="344"/>
      <c r="AO188" s="344"/>
    </row>
    <row r="189" spans="1:41" ht="15.75" customHeight="1" x14ac:dyDescent="0.25">
      <c r="A189" s="344"/>
      <c r="B189" s="353"/>
      <c r="C189" s="344"/>
      <c r="D189" s="344"/>
      <c r="E189" s="344"/>
      <c r="F189" s="344"/>
      <c r="G189" s="344"/>
      <c r="H189" s="344"/>
      <c r="I189" s="344"/>
      <c r="J189" s="344"/>
      <c r="K189" s="344"/>
      <c r="L189" s="344"/>
      <c r="M189" s="344"/>
      <c r="N189" s="344"/>
      <c r="O189" s="344"/>
      <c r="P189" s="344"/>
      <c r="Q189" s="344"/>
      <c r="R189" s="344"/>
      <c r="S189" s="344"/>
      <c r="T189" s="344"/>
      <c r="U189" s="344"/>
      <c r="V189" s="344"/>
      <c r="W189" s="344"/>
      <c r="X189" s="344"/>
      <c r="Y189" s="344"/>
      <c r="Z189" s="344"/>
      <c r="AA189" s="344"/>
      <c r="AB189" s="344"/>
      <c r="AC189" s="344"/>
      <c r="AD189" s="344"/>
      <c r="AE189" s="344"/>
      <c r="AF189" s="344"/>
      <c r="AG189" s="344"/>
      <c r="AH189" s="344"/>
      <c r="AI189" s="344"/>
      <c r="AJ189" s="344"/>
      <c r="AK189" s="344"/>
      <c r="AL189" s="344"/>
      <c r="AM189" s="344"/>
      <c r="AN189" s="344"/>
      <c r="AO189" s="344"/>
    </row>
    <row r="190" spans="1:41" ht="15.75" customHeight="1" x14ac:dyDescent="0.25">
      <c r="A190" s="344"/>
      <c r="B190" s="353"/>
      <c r="C190" s="344"/>
      <c r="D190" s="344"/>
      <c r="E190" s="344"/>
      <c r="F190" s="344"/>
      <c r="G190" s="344"/>
      <c r="H190" s="344"/>
      <c r="I190" s="344"/>
      <c r="J190" s="344"/>
      <c r="K190" s="344"/>
      <c r="L190" s="344"/>
      <c r="M190" s="344"/>
      <c r="N190" s="344"/>
      <c r="O190" s="344"/>
      <c r="P190" s="344"/>
      <c r="Q190" s="344"/>
      <c r="R190" s="344"/>
      <c r="S190" s="344"/>
      <c r="T190" s="344"/>
      <c r="U190" s="344"/>
      <c r="V190" s="344"/>
      <c r="W190" s="344"/>
      <c r="X190" s="344"/>
      <c r="Y190" s="344"/>
      <c r="Z190" s="344"/>
      <c r="AA190" s="344"/>
      <c r="AB190" s="344"/>
      <c r="AC190" s="344"/>
      <c r="AD190" s="344"/>
      <c r="AE190" s="344"/>
      <c r="AF190" s="344"/>
      <c r="AG190" s="344"/>
      <c r="AH190" s="344"/>
      <c r="AI190" s="344"/>
      <c r="AJ190" s="344"/>
      <c r="AK190" s="344"/>
      <c r="AL190" s="344"/>
      <c r="AM190" s="344"/>
      <c r="AN190" s="344"/>
      <c r="AO190" s="344"/>
    </row>
    <row r="191" spans="1:41" ht="15.75" customHeight="1" x14ac:dyDescent="0.25">
      <c r="A191" s="344"/>
      <c r="B191" s="353"/>
      <c r="C191" s="344"/>
      <c r="D191" s="344"/>
      <c r="E191" s="344"/>
      <c r="F191" s="344"/>
      <c r="G191" s="344"/>
      <c r="H191" s="344"/>
      <c r="I191" s="344"/>
      <c r="J191" s="344"/>
      <c r="K191" s="344"/>
      <c r="L191" s="344"/>
      <c r="M191" s="344"/>
      <c r="N191" s="344"/>
      <c r="O191" s="344"/>
      <c r="P191" s="344"/>
      <c r="Q191" s="344"/>
      <c r="R191" s="344"/>
      <c r="S191" s="344"/>
      <c r="T191" s="344"/>
      <c r="U191" s="344"/>
      <c r="V191" s="344"/>
      <c r="W191" s="344"/>
      <c r="X191" s="344"/>
      <c r="Y191" s="344"/>
      <c r="Z191" s="344"/>
      <c r="AA191" s="344"/>
      <c r="AB191" s="344"/>
      <c r="AC191" s="344"/>
      <c r="AD191" s="344"/>
      <c r="AE191" s="344"/>
      <c r="AF191" s="344"/>
      <c r="AG191" s="344"/>
      <c r="AH191" s="344"/>
      <c r="AI191" s="344"/>
      <c r="AJ191" s="344"/>
      <c r="AK191" s="344"/>
      <c r="AL191" s="344"/>
      <c r="AM191" s="344"/>
      <c r="AN191" s="344"/>
      <c r="AO191" s="344"/>
    </row>
    <row r="192" spans="1:41" ht="15.75" customHeight="1" x14ac:dyDescent="0.25">
      <c r="A192" s="344"/>
      <c r="B192" s="353"/>
      <c r="C192" s="344"/>
      <c r="D192" s="344"/>
      <c r="E192" s="344"/>
      <c r="F192" s="344"/>
      <c r="G192" s="344"/>
      <c r="H192" s="344"/>
      <c r="I192" s="344"/>
      <c r="J192" s="344"/>
      <c r="K192" s="344"/>
      <c r="L192" s="344"/>
      <c r="M192" s="344"/>
      <c r="N192" s="344"/>
      <c r="O192" s="344"/>
      <c r="P192" s="344"/>
      <c r="Q192" s="344"/>
      <c r="R192" s="344"/>
      <c r="S192" s="344"/>
      <c r="T192" s="344"/>
      <c r="U192" s="344"/>
      <c r="V192" s="344"/>
      <c r="W192" s="344"/>
      <c r="X192" s="344"/>
      <c r="Y192" s="344"/>
      <c r="Z192" s="344"/>
      <c r="AA192" s="344"/>
      <c r="AB192" s="344"/>
      <c r="AC192" s="344"/>
      <c r="AD192" s="344"/>
      <c r="AE192" s="344"/>
      <c r="AF192" s="344"/>
      <c r="AG192" s="344"/>
      <c r="AH192" s="344"/>
      <c r="AI192" s="344"/>
      <c r="AJ192" s="344"/>
      <c r="AK192" s="344"/>
      <c r="AL192" s="344"/>
      <c r="AM192" s="344"/>
      <c r="AN192" s="344"/>
      <c r="AO192" s="344"/>
    </row>
    <row r="193" spans="1:41" ht="15.75" customHeight="1" x14ac:dyDescent="0.25">
      <c r="A193" s="344"/>
      <c r="B193" s="353"/>
      <c r="C193" s="344"/>
      <c r="D193" s="344"/>
      <c r="E193" s="344"/>
      <c r="F193" s="344"/>
      <c r="G193" s="344"/>
      <c r="H193" s="344"/>
      <c r="I193" s="344"/>
      <c r="J193" s="344"/>
      <c r="K193" s="344"/>
      <c r="L193" s="344"/>
      <c r="M193" s="344"/>
      <c r="N193" s="344"/>
      <c r="O193" s="344"/>
      <c r="P193" s="344"/>
      <c r="Q193" s="344"/>
      <c r="R193" s="344"/>
      <c r="S193" s="344"/>
      <c r="T193" s="344"/>
      <c r="U193" s="344"/>
      <c r="V193" s="344"/>
      <c r="W193" s="344"/>
      <c r="X193" s="344"/>
      <c r="Y193" s="344"/>
      <c r="Z193" s="344"/>
      <c r="AA193" s="344"/>
      <c r="AB193" s="344"/>
      <c r="AC193" s="344"/>
      <c r="AD193" s="344"/>
      <c r="AE193" s="344"/>
      <c r="AF193" s="344"/>
      <c r="AG193" s="344"/>
      <c r="AH193" s="344"/>
      <c r="AI193" s="344"/>
      <c r="AJ193" s="344"/>
      <c r="AK193" s="344"/>
      <c r="AL193" s="344"/>
      <c r="AM193" s="344"/>
      <c r="AN193" s="344"/>
      <c r="AO193" s="344"/>
    </row>
    <row r="194" spans="1:41" ht="15.75" customHeight="1" x14ac:dyDescent="0.25">
      <c r="A194" s="344"/>
      <c r="B194" s="353"/>
      <c r="C194" s="344"/>
      <c r="D194" s="344"/>
      <c r="E194" s="344"/>
      <c r="F194" s="344"/>
      <c r="G194" s="344"/>
      <c r="H194" s="344"/>
      <c r="I194" s="344"/>
      <c r="J194" s="344"/>
      <c r="K194" s="344"/>
      <c r="L194" s="344"/>
      <c r="M194" s="344"/>
      <c r="N194" s="344"/>
      <c r="O194" s="344"/>
      <c r="P194" s="344"/>
      <c r="Q194" s="344"/>
      <c r="R194" s="344"/>
      <c r="S194" s="344"/>
      <c r="T194" s="344"/>
      <c r="U194" s="344"/>
      <c r="V194" s="344"/>
      <c r="W194" s="344"/>
      <c r="X194" s="344"/>
      <c r="Y194" s="344"/>
      <c r="Z194" s="344"/>
      <c r="AA194" s="344"/>
      <c r="AB194" s="344"/>
      <c r="AC194" s="344"/>
      <c r="AD194" s="344"/>
      <c r="AE194" s="344"/>
      <c r="AF194" s="344"/>
      <c r="AG194" s="344"/>
      <c r="AH194" s="344"/>
      <c r="AI194" s="344"/>
      <c r="AJ194" s="344"/>
      <c r="AK194" s="344"/>
      <c r="AL194" s="344"/>
      <c r="AM194" s="344"/>
      <c r="AN194" s="344"/>
      <c r="AO194" s="344"/>
    </row>
    <row r="195" spans="1:41" ht="15.75" customHeight="1" x14ac:dyDescent="0.25">
      <c r="A195" s="344"/>
      <c r="B195" s="353"/>
      <c r="C195" s="344"/>
      <c r="D195" s="344"/>
      <c r="E195" s="344"/>
      <c r="F195" s="344"/>
      <c r="G195" s="344"/>
      <c r="H195" s="344"/>
      <c r="I195" s="344"/>
      <c r="J195" s="344"/>
      <c r="K195" s="344"/>
      <c r="L195" s="344"/>
      <c r="M195" s="344"/>
      <c r="N195" s="344"/>
      <c r="O195" s="344"/>
      <c r="P195" s="344"/>
      <c r="Q195" s="344"/>
      <c r="R195" s="344"/>
      <c r="S195" s="344"/>
      <c r="T195" s="344"/>
      <c r="U195" s="344"/>
      <c r="V195" s="344"/>
      <c r="W195" s="344"/>
      <c r="X195" s="344"/>
      <c r="Y195" s="344"/>
      <c r="Z195" s="344"/>
      <c r="AA195" s="344"/>
      <c r="AB195" s="344"/>
      <c r="AC195" s="344"/>
      <c r="AD195" s="344"/>
      <c r="AE195" s="344"/>
      <c r="AF195" s="344"/>
      <c r="AG195" s="344"/>
      <c r="AH195" s="344"/>
      <c r="AI195" s="344"/>
      <c r="AJ195" s="344"/>
      <c r="AK195" s="344"/>
      <c r="AL195" s="344"/>
      <c r="AM195" s="344"/>
      <c r="AN195" s="344"/>
      <c r="AO195" s="344"/>
    </row>
    <row r="196" spans="1:41" ht="15.75" customHeight="1" x14ac:dyDescent="0.25">
      <c r="A196" s="344"/>
      <c r="B196" s="353"/>
      <c r="C196" s="344"/>
      <c r="D196" s="344"/>
      <c r="E196" s="344"/>
      <c r="F196" s="344"/>
      <c r="G196" s="344"/>
      <c r="H196" s="344"/>
      <c r="I196" s="344"/>
      <c r="J196" s="344"/>
      <c r="K196" s="344"/>
      <c r="L196" s="344"/>
      <c r="M196" s="344"/>
      <c r="N196" s="344"/>
      <c r="O196" s="344"/>
      <c r="P196" s="344"/>
      <c r="Q196" s="344"/>
      <c r="R196" s="344"/>
      <c r="S196" s="344"/>
      <c r="T196" s="344"/>
      <c r="U196" s="344"/>
      <c r="V196" s="344"/>
      <c r="W196" s="344"/>
      <c r="X196" s="344"/>
      <c r="Y196" s="344"/>
      <c r="Z196" s="344"/>
      <c r="AA196" s="344"/>
      <c r="AB196" s="344"/>
      <c r="AC196" s="344"/>
      <c r="AD196" s="344"/>
      <c r="AE196" s="344"/>
      <c r="AF196" s="344"/>
      <c r="AG196" s="344"/>
      <c r="AH196" s="344"/>
      <c r="AI196" s="344"/>
      <c r="AJ196" s="344"/>
      <c r="AK196" s="344"/>
      <c r="AL196" s="344"/>
      <c r="AM196" s="344"/>
      <c r="AN196" s="344"/>
      <c r="AO196" s="344"/>
    </row>
    <row r="197" spans="1:41" ht="15.75" customHeight="1" x14ac:dyDescent="0.25">
      <c r="A197" s="344"/>
      <c r="B197" s="353"/>
      <c r="C197" s="344"/>
      <c r="D197" s="344"/>
      <c r="E197" s="344"/>
      <c r="F197" s="344"/>
      <c r="G197" s="344"/>
      <c r="H197" s="344"/>
      <c r="I197" s="344"/>
      <c r="J197" s="344"/>
      <c r="K197" s="344"/>
      <c r="L197" s="344"/>
      <c r="M197" s="344"/>
      <c r="N197" s="344"/>
      <c r="O197" s="344"/>
      <c r="P197" s="344"/>
      <c r="Q197" s="344"/>
      <c r="R197" s="344"/>
      <c r="S197" s="344"/>
      <c r="T197" s="344"/>
      <c r="U197" s="344"/>
      <c r="V197" s="344"/>
      <c r="W197" s="344"/>
      <c r="X197" s="344"/>
      <c r="Y197" s="344"/>
      <c r="Z197" s="344"/>
      <c r="AA197" s="344"/>
      <c r="AB197" s="344"/>
      <c r="AC197" s="344"/>
      <c r="AD197" s="344"/>
      <c r="AE197" s="344"/>
      <c r="AF197" s="344"/>
      <c r="AG197" s="344"/>
      <c r="AH197" s="344"/>
      <c r="AI197" s="344"/>
      <c r="AJ197" s="344"/>
      <c r="AK197" s="344"/>
      <c r="AL197" s="344"/>
      <c r="AM197" s="344"/>
      <c r="AN197" s="344"/>
      <c r="AO197" s="344"/>
    </row>
    <row r="198" spans="1:41" ht="15.75" customHeight="1" x14ac:dyDescent="0.25">
      <c r="A198" s="344"/>
      <c r="B198" s="353"/>
      <c r="C198" s="344"/>
      <c r="D198" s="344"/>
      <c r="E198" s="344"/>
      <c r="F198" s="344"/>
      <c r="G198" s="344"/>
      <c r="H198" s="344"/>
      <c r="I198" s="344"/>
      <c r="J198" s="344"/>
      <c r="K198" s="344"/>
      <c r="L198" s="344"/>
      <c r="M198" s="344"/>
      <c r="N198" s="344"/>
      <c r="O198" s="344"/>
      <c r="P198" s="344"/>
      <c r="Q198" s="344"/>
      <c r="R198" s="344"/>
      <c r="S198" s="344"/>
      <c r="T198" s="344"/>
      <c r="U198" s="344"/>
      <c r="V198" s="344"/>
      <c r="W198" s="344"/>
      <c r="X198" s="344"/>
      <c r="Y198" s="344"/>
      <c r="Z198" s="344"/>
      <c r="AA198" s="344"/>
      <c r="AB198" s="344"/>
      <c r="AC198" s="344"/>
      <c r="AD198" s="344"/>
      <c r="AE198" s="344"/>
      <c r="AF198" s="344"/>
      <c r="AG198" s="344"/>
      <c r="AH198" s="344"/>
      <c r="AI198" s="344"/>
      <c r="AJ198" s="344"/>
      <c r="AK198" s="344"/>
      <c r="AL198" s="344"/>
      <c r="AM198" s="344"/>
      <c r="AN198" s="344"/>
      <c r="AO198" s="344"/>
    </row>
    <row r="199" spans="1:41" ht="15.75" customHeight="1" x14ac:dyDescent="0.25">
      <c r="A199" s="344"/>
      <c r="B199" s="353"/>
      <c r="C199" s="344"/>
      <c r="D199" s="344"/>
      <c r="E199" s="344"/>
      <c r="F199" s="344"/>
      <c r="G199" s="344"/>
      <c r="H199" s="344"/>
      <c r="I199" s="344"/>
      <c r="J199" s="344"/>
      <c r="K199" s="344"/>
      <c r="L199" s="344"/>
      <c r="M199" s="344"/>
      <c r="N199" s="344"/>
      <c r="O199" s="344"/>
      <c r="P199" s="344"/>
      <c r="Q199" s="344"/>
      <c r="R199" s="344"/>
      <c r="S199" s="344"/>
      <c r="T199" s="344"/>
      <c r="U199" s="344"/>
      <c r="V199" s="344"/>
      <c r="W199" s="344"/>
      <c r="X199" s="344"/>
      <c r="Y199" s="344"/>
      <c r="Z199" s="344"/>
      <c r="AA199" s="344"/>
      <c r="AB199" s="344"/>
      <c r="AC199" s="344"/>
      <c r="AD199" s="344"/>
      <c r="AE199" s="344"/>
      <c r="AF199" s="344"/>
      <c r="AG199" s="344"/>
      <c r="AH199" s="344"/>
      <c r="AI199" s="344"/>
      <c r="AJ199" s="344"/>
      <c r="AK199" s="344"/>
      <c r="AL199" s="344"/>
      <c r="AM199" s="344"/>
      <c r="AN199" s="344"/>
      <c r="AO199" s="344"/>
    </row>
    <row r="200" spans="1:41" ht="15.75" customHeight="1" x14ac:dyDescent="0.25">
      <c r="A200" s="344"/>
      <c r="B200" s="353"/>
      <c r="C200" s="344"/>
      <c r="D200" s="344"/>
      <c r="E200" s="344"/>
      <c r="F200" s="344"/>
      <c r="G200" s="344"/>
      <c r="H200" s="344"/>
      <c r="I200" s="344"/>
      <c r="J200" s="344"/>
      <c r="K200" s="344"/>
      <c r="L200" s="344"/>
      <c r="M200" s="344"/>
      <c r="N200" s="344"/>
      <c r="O200" s="344"/>
      <c r="P200" s="344"/>
      <c r="Q200" s="344"/>
      <c r="R200" s="344"/>
      <c r="S200" s="344"/>
      <c r="T200" s="344"/>
      <c r="U200" s="344"/>
      <c r="V200" s="344"/>
      <c r="W200" s="344"/>
      <c r="X200" s="344"/>
      <c r="Y200" s="344"/>
      <c r="Z200" s="344"/>
      <c r="AA200" s="344"/>
      <c r="AB200" s="344"/>
      <c r="AC200" s="344"/>
      <c r="AD200" s="344"/>
      <c r="AE200" s="344"/>
      <c r="AF200" s="344"/>
      <c r="AG200" s="344"/>
      <c r="AH200" s="344"/>
      <c r="AI200" s="344"/>
      <c r="AJ200" s="344"/>
      <c r="AK200" s="344"/>
      <c r="AL200" s="344"/>
      <c r="AM200" s="344"/>
      <c r="AN200" s="344"/>
      <c r="AO200" s="344"/>
    </row>
    <row r="201" spans="1:41" ht="15.75" customHeight="1" x14ac:dyDescent="0.25">
      <c r="A201" s="344"/>
      <c r="B201" s="353"/>
      <c r="C201" s="344"/>
      <c r="D201" s="344"/>
      <c r="E201" s="344"/>
      <c r="F201" s="344"/>
      <c r="G201" s="344"/>
      <c r="H201" s="344"/>
      <c r="I201" s="344"/>
      <c r="J201" s="344"/>
      <c r="K201" s="344"/>
      <c r="L201" s="344"/>
      <c r="M201" s="344"/>
      <c r="N201" s="344"/>
      <c r="O201" s="344"/>
      <c r="P201" s="344"/>
      <c r="Q201" s="344"/>
      <c r="R201" s="344"/>
      <c r="S201" s="344"/>
      <c r="T201" s="344"/>
      <c r="U201" s="344"/>
      <c r="V201" s="344"/>
      <c r="W201" s="344"/>
      <c r="X201" s="344"/>
      <c r="Y201" s="344"/>
      <c r="Z201" s="344"/>
      <c r="AA201" s="344"/>
      <c r="AB201" s="344"/>
      <c r="AC201" s="344"/>
      <c r="AD201" s="344"/>
      <c r="AE201" s="344"/>
      <c r="AF201" s="344"/>
      <c r="AG201" s="344"/>
      <c r="AH201" s="344"/>
      <c r="AI201" s="344"/>
      <c r="AJ201" s="344"/>
      <c r="AK201" s="344"/>
      <c r="AL201" s="344"/>
      <c r="AM201" s="344"/>
      <c r="AN201" s="344"/>
      <c r="AO201" s="344"/>
    </row>
    <row r="202" spans="1:41" ht="15.75" customHeight="1" x14ac:dyDescent="0.25">
      <c r="A202" s="344"/>
      <c r="B202" s="353"/>
      <c r="C202" s="344"/>
      <c r="D202" s="344"/>
      <c r="E202" s="344"/>
      <c r="F202" s="344"/>
      <c r="G202" s="344"/>
      <c r="H202" s="344"/>
      <c r="I202" s="344"/>
      <c r="J202" s="344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  <c r="Y202" s="344"/>
      <c r="Z202" s="344"/>
      <c r="AA202" s="344"/>
      <c r="AB202" s="344"/>
      <c r="AC202" s="344"/>
      <c r="AD202" s="344"/>
      <c r="AE202" s="344"/>
      <c r="AF202" s="344"/>
      <c r="AG202" s="344"/>
      <c r="AH202" s="344"/>
      <c r="AI202" s="344"/>
      <c r="AJ202" s="344"/>
      <c r="AK202" s="344"/>
      <c r="AL202" s="344"/>
      <c r="AM202" s="344"/>
      <c r="AN202" s="344"/>
      <c r="AO202" s="344"/>
    </row>
    <row r="203" spans="1:41" ht="15.75" customHeight="1" x14ac:dyDescent="0.25">
      <c r="A203" s="344"/>
      <c r="B203" s="353"/>
      <c r="C203" s="344"/>
      <c r="D203" s="344"/>
      <c r="E203" s="344"/>
      <c r="F203" s="344"/>
      <c r="G203" s="344"/>
      <c r="H203" s="344"/>
      <c r="I203" s="344"/>
      <c r="J203" s="344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  <c r="Y203" s="344"/>
      <c r="Z203" s="344"/>
      <c r="AA203" s="344"/>
      <c r="AB203" s="344"/>
      <c r="AC203" s="344"/>
      <c r="AD203" s="344"/>
      <c r="AE203" s="344"/>
      <c r="AF203" s="344"/>
      <c r="AG203" s="344"/>
      <c r="AH203" s="344"/>
      <c r="AI203" s="344"/>
      <c r="AJ203" s="344"/>
      <c r="AK203" s="344"/>
      <c r="AL203" s="344"/>
      <c r="AM203" s="344"/>
      <c r="AN203" s="344"/>
      <c r="AO203" s="344"/>
    </row>
    <row r="204" spans="1:41" ht="15.75" customHeight="1" x14ac:dyDescent="0.25">
      <c r="A204" s="344"/>
      <c r="B204" s="353"/>
      <c r="C204" s="344"/>
      <c r="D204" s="344"/>
      <c r="E204" s="344"/>
      <c r="F204" s="344"/>
      <c r="G204" s="344"/>
      <c r="H204" s="344"/>
      <c r="I204" s="344"/>
      <c r="J204" s="344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  <c r="Y204" s="344"/>
      <c r="Z204" s="344"/>
      <c r="AA204" s="344"/>
      <c r="AB204" s="344"/>
      <c r="AC204" s="344"/>
      <c r="AD204" s="344"/>
      <c r="AE204" s="344"/>
      <c r="AF204" s="344"/>
      <c r="AG204" s="344"/>
      <c r="AH204" s="344"/>
      <c r="AI204" s="344"/>
      <c r="AJ204" s="344"/>
      <c r="AK204" s="344"/>
      <c r="AL204" s="344"/>
      <c r="AM204" s="344"/>
      <c r="AN204" s="344"/>
      <c r="AO204" s="344"/>
    </row>
    <row r="205" spans="1:41" ht="15.75" customHeight="1" x14ac:dyDescent="0.25">
      <c r="A205" s="344"/>
      <c r="B205" s="353"/>
      <c r="C205" s="344"/>
      <c r="D205" s="344"/>
      <c r="E205" s="344"/>
      <c r="F205" s="344"/>
      <c r="G205" s="344"/>
      <c r="H205" s="344"/>
      <c r="I205" s="344"/>
      <c r="J205" s="344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  <c r="Y205" s="344"/>
      <c r="Z205" s="344"/>
      <c r="AA205" s="344"/>
      <c r="AB205" s="344"/>
      <c r="AC205" s="344"/>
      <c r="AD205" s="344"/>
      <c r="AE205" s="344"/>
      <c r="AF205" s="344"/>
      <c r="AG205" s="344"/>
      <c r="AH205" s="344"/>
      <c r="AI205" s="344"/>
      <c r="AJ205" s="344"/>
      <c r="AK205" s="344"/>
      <c r="AL205" s="344"/>
      <c r="AM205" s="344"/>
      <c r="AN205" s="344"/>
      <c r="AO205" s="344"/>
    </row>
    <row r="206" spans="1:41" ht="15.75" customHeight="1" x14ac:dyDescent="0.25">
      <c r="A206" s="344"/>
      <c r="B206" s="353"/>
      <c r="C206" s="344"/>
      <c r="D206" s="344"/>
      <c r="E206" s="344"/>
      <c r="F206" s="344"/>
      <c r="G206" s="344"/>
      <c r="H206" s="344"/>
      <c r="I206" s="344"/>
      <c r="J206" s="344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  <c r="Y206" s="344"/>
      <c r="Z206" s="344"/>
      <c r="AA206" s="344"/>
      <c r="AB206" s="344"/>
      <c r="AC206" s="344"/>
      <c r="AD206" s="344"/>
      <c r="AE206" s="344"/>
      <c r="AF206" s="344"/>
      <c r="AG206" s="344"/>
      <c r="AH206" s="344"/>
      <c r="AI206" s="344"/>
      <c r="AJ206" s="344"/>
      <c r="AK206" s="344"/>
      <c r="AL206" s="344"/>
      <c r="AM206" s="344"/>
      <c r="AN206" s="344"/>
      <c r="AO206" s="344"/>
    </row>
    <row r="207" spans="1:41" ht="15.75" customHeight="1" x14ac:dyDescent="0.25">
      <c r="A207" s="344"/>
      <c r="B207" s="353"/>
      <c r="C207" s="344"/>
      <c r="D207" s="344"/>
      <c r="E207" s="344"/>
      <c r="F207" s="344"/>
      <c r="G207" s="344"/>
      <c r="H207" s="344"/>
      <c r="I207" s="344"/>
      <c r="J207" s="344"/>
      <c r="K207" s="344"/>
      <c r="L207" s="344"/>
      <c r="M207" s="344"/>
      <c r="N207" s="344"/>
      <c r="O207" s="344"/>
      <c r="P207" s="344"/>
      <c r="Q207" s="344"/>
      <c r="R207" s="344"/>
      <c r="S207" s="344"/>
      <c r="T207" s="344"/>
      <c r="U207" s="344"/>
      <c r="V207" s="344"/>
      <c r="W207" s="344"/>
      <c r="X207" s="344"/>
      <c r="Y207" s="344"/>
      <c r="Z207" s="344"/>
      <c r="AA207" s="344"/>
      <c r="AB207" s="344"/>
      <c r="AC207" s="344"/>
      <c r="AD207" s="344"/>
      <c r="AE207" s="344"/>
      <c r="AF207" s="344"/>
      <c r="AG207" s="344"/>
      <c r="AH207" s="344"/>
      <c r="AI207" s="344"/>
      <c r="AJ207" s="344"/>
      <c r="AK207" s="344"/>
      <c r="AL207" s="344"/>
      <c r="AM207" s="344"/>
      <c r="AN207" s="344"/>
      <c r="AO207" s="344"/>
    </row>
    <row r="208" spans="1:41" ht="15.75" customHeight="1" x14ac:dyDescent="0.25">
      <c r="A208" s="344"/>
      <c r="B208" s="353"/>
      <c r="C208" s="344"/>
      <c r="D208" s="344"/>
      <c r="E208" s="344"/>
      <c r="F208" s="344"/>
      <c r="G208" s="344"/>
      <c r="H208" s="344"/>
      <c r="I208" s="344"/>
      <c r="J208" s="344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  <c r="Y208" s="344"/>
      <c r="Z208" s="344"/>
      <c r="AA208" s="344"/>
      <c r="AB208" s="344"/>
      <c r="AC208" s="344"/>
      <c r="AD208" s="344"/>
      <c r="AE208" s="344"/>
      <c r="AF208" s="344"/>
      <c r="AG208" s="344"/>
      <c r="AH208" s="344"/>
      <c r="AI208" s="344"/>
      <c r="AJ208" s="344"/>
      <c r="AK208" s="344"/>
      <c r="AL208" s="344"/>
      <c r="AM208" s="344"/>
      <c r="AN208" s="344"/>
      <c r="AO208" s="344"/>
    </row>
    <row r="209" spans="1:41" ht="15.75" customHeight="1" x14ac:dyDescent="0.25">
      <c r="A209" s="344"/>
      <c r="B209" s="353"/>
      <c r="C209" s="344"/>
      <c r="D209" s="344"/>
      <c r="E209" s="344"/>
      <c r="F209" s="344"/>
      <c r="G209" s="344"/>
      <c r="H209" s="344"/>
      <c r="I209" s="344"/>
      <c r="J209" s="344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  <c r="Y209" s="344"/>
      <c r="Z209" s="344"/>
      <c r="AA209" s="344"/>
      <c r="AB209" s="344"/>
      <c r="AC209" s="344"/>
      <c r="AD209" s="344"/>
      <c r="AE209" s="344"/>
      <c r="AF209" s="344"/>
      <c r="AG209" s="344"/>
      <c r="AH209" s="344"/>
      <c r="AI209" s="344"/>
      <c r="AJ209" s="344"/>
      <c r="AK209" s="344"/>
      <c r="AL209" s="344"/>
      <c r="AM209" s="344"/>
      <c r="AN209" s="344"/>
      <c r="AO209" s="344"/>
    </row>
    <row r="210" spans="1:41" ht="15.75" customHeight="1" x14ac:dyDescent="0.25">
      <c r="A210" s="344"/>
      <c r="B210" s="353"/>
      <c r="C210" s="344"/>
      <c r="D210" s="344"/>
      <c r="E210" s="344"/>
      <c r="F210" s="344"/>
      <c r="G210" s="344"/>
      <c r="H210" s="344"/>
      <c r="I210" s="344"/>
      <c r="J210" s="344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  <c r="Y210" s="344"/>
      <c r="Z210" s="344"/>
      <c r="AA210" s="344"/>
      <c r="AB210" s="344"/>
      <c r="AC210" s="344"/>
      <c r="AD210" s="344"/>
      <c r="AE210" s="344"/>
      <c r="AF210" s="344"/>
      <c r="AG210" s="344"/>
      <c r="AH210" s="344"/>
      <c r="AI210" s="344"/>
      <c r="AJ210" s="344"/>
      <c r="AK210" s="344"/>
      <c r="AL210" s="344"/>
      <c r="AM210" s="344"/>
      <c r="AN210" s="344"/>
      <c r="AO210" s="344"/>
    </row>
    <row r="211" spans="1:41" ht="15.75" customHeight="1" x14ac:dyDescent="0.25">
      <c r="A211" s="344"/>
      <c r="B211" s="353"/>
      <c r="C211" s="344"/>
      <c r="D211" s="344"/>
      <c r="E211" s="344"/>
      <c r="F211" s="344"/>
      <c r="G211" s="344"/>
      <c r="H211" s="344"/>
      <c r="I211" s="344"/>
      <c r="J211" s="344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  <c r="Y211" s="344"/>
      <c r="Z211" s="344"/>
      <c r="AA211" s="344"/>
      <c r="AB211" s="344"/>
      <c r="AC211" s="344"/>
      <c r="AD211" s="344"/>
      <c r="AE211" s="344"/>
      <c r="AF211" s="344"/>
      <c r="AG211" s="344"/>
      <c r="AH211" s="344"/>
      <c r="AI211" s="344"/>
      <c r="AJ211" s="344"/>
      <c r="AK211" s="344"/>
      <c r="AL211" s="344"/>
      <c r="AM211" s="344"/>
      <c r="AN211" s="344"/>
      <c r="AO211" s="344"/>
    </row>
    <row r="212" spans="1:41" ht="15.75" customHeight="1" x14ac:dyDescent="0.25">
      <c r="A212" s="344"/>
      <c r="B212" s="353"/>
      <c r="C212" s="344"/>
      <c r="D212" s="344"/>
      <c r="E212" s="344"/>
      <c r="F212" s="344"/>
      <c r="G212" s="344"/>
      <c r="H212" s="344"/>
      <c r="I212" s="344"/>
      <c r="J212" s="344"/>
      <c r="K212" s="344"/>
      <c r="L212" s="344"/>
      <c r="M212" s="344"/>
      <c r="N212" s="344"/>
      <c r="O212" s="344"/>
      <c r="P212" s="344"/>
      <c r="Q212" s="344"/>
      <c r="R212" s="344"/>
      <c r="S212" s="344"/>
      <c r="T212" s="344"/>
      <c r="U212" s="344"/>
      <c r="V212" s="344"/>
      <c r="W212" s="344"/>
      <c r="X212" s="344"/>
      <c r="Y212" s="344"/>
      <c r="Z212" s="344"/>
      <c r="AA212" s="344"/>
      <c r="AB212" s="344"/>
      <c r="AC212" s="344"/>
      <c r="AD212" s="344"/>
      <c r="AE212" s="344"/>
      <c r="AF212" s="344"/>
      <c r="AG212" s="344"/>
      <c r="AH212" s="344"/>
      <c r="AI212" s="344"/>
      <c r="AJ212" s="344"/>
      <c r="AK212" s="344"/>
      <c r="AL212" s="344"/>
      <c r="AM212" s="344"/>
      <c r="AN212" s="344"/>
      <c r="AO212" s="344"/>
    </row>
    <row r="213" spans="1:41" ht="15.75" customHeight="1" x14ac:dyDescent="0.25">
      <c r="A213" s="344"/>
      <c r="B213" s="353"/>
      <c r="C213" s="344"/>
      <c r="D213" s="344"/>
      <c r="E213" s="344"/>
      <c r="F213" s="344"/>
      <c r="G213" s="344"/>
      <c r="H213" s="344"/>
      <c r="I213" s="344"/>
      <c r="J213" s="344"/>
      <c r="K213" s="344"/>
      <c r="L213" s="344"/>
      <c r="M213" s="344"/>
      <c r="N213" s="344"/>
      <c r="O213" s="344"/>
      <c r="P213" s="344"/>
      <c r="Q213" s="344"/>
      <c r="R213" s="344"/>
      <c r="S213" s="344"/>
      <c r="T213" s="344"/>
      <c r="U213" s="344"/>
      <c r="V213" s="344"/>
      <c r="W213" s="344"/>
      <c r="X213" s="344"/>
      <c r="Y213" s="344"/>
      <c r="Z213" s="344"/>
      <c r="AA213" s="344"/>
      <c r="AB213" s="344"/>
      <c r="AC213" s="344"/>
      <c r="AD213" s="344"/>
      <c r="AE213" s="344"/>
      <c r="AF213" s="344"/>
      <c r="AG213" s="344"/>
      <c r="AH213" s="344"/>
      <c r="AI213" s="344"/>
      <c r="AJ213" s="344"/>
      <c r="AK213" s="344"/>
      <c r="AL213" s="344"/>
      <c r="AM213" s="344"/>
      <c r="AN213" s="344"/>
      <c r="AO213" s="344"/>
    </row>
    <row r="214" spans="1:41" ht="15.75" customHeight="1" x14ac:dyDescent="0.25">
      <c r="A214" s="344"/>
      <c r="B214" s="353"/>
      <c r="C214" s="344"/>
      <c r="D214" s="344"/>
      <c r="E214" s="344"/>
      <c r="F214" s="344"/>
      <c r="G214" s="344"/>
      <c r="H214" s="344"/>
      <c r="I214" s="344"/>
      <c r="J214" s="344"/>
      <c r="K214" s="344"/>
      <c r="L214" s="344"/>
      <c r="M214" s="344"/>
      <c r="N214" s="344"/>
      <c r="O214" s="344"/>
      <c r="P214" s="344"/>
      <c r="Q214" s="344"/>
      <c r="R214" s="344"/>
      <c r="S214" s="344"/>
      <c r="T214" s="344"/>
      <c r="U214" s="344"/>
      <c r="V214" s="344"/>
      <c r="W214" s="344"/>
      <c r="X214" s="344"/>
      <c r="Y214" s="344"/>
      <c r="Z214" s="344"/>
      <c r="AA214" s="344"/>
      <c r="AB214" s="344"/>
      <c r="AC214" s="344"/>
      <c r="AD214" s="344"/>
      <c r="AE214" s="344"/>
      <c r="AF214" s="344"/>
      <c r="AG214" s="344"/>
      <c r="AH214" s="344"/>
      <c r="AI214" s="344"/>
      <c r="AJ214" s="344"/>
      <c r="AK214" s="344"/>
      <c r="AL214" s="344"/>
      <c r="AM214" s="344"/>
      <c r="AN214" s="344"/>
      <c r="AO214" s="344"/>
    </row>
    <row r="215" spans="1:41" ht="15.75" customHeight="1" x14ac:dyDescent="0.25">
      <c r="A215" s="344"/>
      <c r="B215" s="353"/>
      <c r="C215" s="344"/>
      <c r="D215" s="344"/>
      <c r="E215" s="344"/>
      <c r="F215" s="344"/>
      <c r="G215" s="344"/>
      <c r="H215" s="344"/>
      <c r="I215" s="344"/>
      <c r="J215" s="344"/>
      <c r="K215" s="344"/>
      <c r="L215" s="344"/>
      <c r="M215" s="344"/>
      <c r="N215" s="344"/>
      <c r="O215" s="344"/>
      <c r="P215" s="344"/>
      <c r="Q215" s="344"/>
      <c r="R215" s="344"/>
      <c r="S215" s="344"/>
      <c r="T215" s="344"/>
      <c r="U215" s="344"/>
      <c r="V215" s="344"/>
      <c r="W215" s="344"/>
      <c r="X215" s="344"/>
      <c r="Y215" s="344"/>
      <c r="Z215" s="344"/>
      <c r="AA215" s="344"/>
      <c r="AB215" s="344"/>
      <c r="AC215" s="344"/>
      <c r="AD215" s="344"/>
      <c r="AE215" s="344"/>
      <c r="AF215" s="344"/>
      <c r="AG215" s="344"/>
      <c r="AH215" s="344"/>
      <c r="AI215" s="344"/>
      <c r="AJ215" s="344"/>
      <c r="AK215" s="344"/>
      <c r="AL215" s="344"/>
      <c r="AM215" s="344"/>
      <c r="AN215" s="344"/>
      <c r="AO215" s="344"/>
    </row>
    <row r="216" spans="1:41" ht="15.75" customHeight="1" x14ac:dyDescent="0.25">
      <c r="A216" s="344"/>
      <c r="B216" s="353"/>
      <c r="C216" s="344"/>
      <c r="D216" s="344"/>
      <c r="E216" s="344"/>
      <c r="F216" s="344"/>
      <c r="G216" s="344"/>
      <c r="H216" s="344"/>
      <c r="I216" s="344"/>
      <c r="J216" s="344"/>
      <c r="K216" s="344"/>
      <c r="L216" s="344"/>
      <c r="M216" s="344"/>
      <c r="N216" s="344"/>
      <c r="O216" s="344"/>
      <c r="P216" s="344"/>
      <c r="Q216" s="344"/>
      <c r="R216" s="344"/>
      <c r="S216" s="344"/>
      <c r="T216" s="344"/>
      <c r="U216" s="344"/>
      <c r="V216" s="344"/>
      <c r="W216" s="344"/>
      <c r="X216" s="344"/>
      <c r="Y216" s="344"/>
      <c r="Z216" s="344"/>
      <c r="AA216" s="344"/>
      <c r="AB216" s="344"/>
      <c r="AC216" s="344"/>
      <c r="AD216" s="344"/>
      <c r="AE216" s="344"/>
      <c r="AF216" s="344"/>
      <c r="AG216" s="344"/>
      <c r="AH216" s="344"/>
      <c r="AI216" s="344"/>
      <c r="AJ216" s="344"/>
      <c r="AK216" s="344"/>
      <c r="AL216" s="344"/>
      <c r="AM216" s="344"/>
      <c r="AN216" s="344"/>
      <c r="AO216" s="344"/>
    </row>
    <row r="217" spans="1:41" ht="15.75" customHeight="1" x14ac:dyDescent="0.25">
      <c r="A217" s="344"/>
      <c r="B217" s="35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344"/>
      <c r="O217" s="344"/>
      <c r="P217" s="344"/>
      <c r="Q217" s="344"/>
      <c r="R217" s="344"/>
      <c r="S217" s="344"/>
      <c r="T217" s="344"/>
      <c r="U217" s="344"/>
      <c r="V217" s="344"/>
      <c r="W217" s="344"/>
      <c r="X217" s="344"/>
      <c r="Y217" s="344"/>
      <c r="Z217" s="344"/>
      <c r="AA217" s="344"/>
      <c r="AB217" s="344"/>
      <c r="AC217" s="344"/>
      <c r="AD217" s="344"/>
      <c r="AE217" s="344"/>
      <c r="AF217" s="344"/>
      <c r="AG217" s="344"/>
      <c r="AH217" s="344"/>
      <c r="AI217" s="344"/>
      <c r="AJ217" s="344"/>
      <c r="AK217" s="344"/>
      <c r="AL217" s="344"/>
      <c r="AM217" s="344"/>
      <c r="AN217" s="344"/>
      <c r="AO217" s="344"/>
    </row>
    <row r="218" spans="1:41" ht="15.75" customHeight="1" x14ac:dyDescent="0.25">
      <c r="A218" s="344"/>
      <c r="B218" s="353"/>
      <c r="C218" s="344"/>
      <c r="D218" s="344"/>
      <c r="E218" s="344"/>
      <c r="F218" s="344"/>
      <c r="G218" s="344"/>
      <c r="H218" s="344"/>
      <c r="I218" s="344"/>
      <c r="J218" s="344"/>
      <c r="K218" s="344"/>
      <c r="L218" s="344"/>
      <c r="M218" s="344"/>
      <c r="N218" s="344"/>
      <c r="O218" s="344"/>
      <c r="P218" s="344"/>
      <c r="Q218" s="344"/>
      <c r="R218" s="344"/>
      <c r="S218" s="344"/>
      <c r="T218" s="344"/>
      <c r="U218" s="344"/>
      <c r="V218" s="344"/>
      <c r="W218" s="344"/>
      <c r="X218" s="344"/>
      <c r="Y218" s="344"/>
      <c r="Z218" s="344"/>
      <c r="AA218" s="344"/>
      <c r="AB218" s="344"/>
      <c r="AC218" s="344"/>
      <c r="AD218" s="344"/>
      <c r="AE218" s="344"/>
      <c r="AF218" s="344"/>
      <c r="AG218" s="344"/>
      <c r="AH218" s="344"/>
      <c r="AI218" s="344"/>
      <c r="AJ218" s="344"/>
      <c r="AK218" s="344"/>
      <c r="AL218" s="344"/>
      <c r="AM218" s="344"/>
      <c r="AN218" s="344"/>
      <c r="AO218" s="344"/>
    </row>
    <row r="219" spans="1:41" ht="15.75" customHeight="1" x14ac:dyDescent="0.25">
      <c r="A219" s="344"/>
      <c r="B219" s="353"/>
      <c r="C219" s="344"/>
      <c r="D219" s="344"/>
      <c r="E219" s="344"/>
      <c r="F219" s="344"/>
      <c r="G219" s="344"/>
      <c r="H219" s="344"/>
      <c r="I219" s="344"/>
      <c r="J219" s="344"/>
      <c r="K219" s="344"/>
      <c r="L219" s="344"/>
      <c r="M219" s="344"/>
      <c r="N219" s="344"/>
      <c r="O219" s="344"/>
      <c r="P219" s="344"/>
      <c r="Q219" s="344"/>
      <c r="R219" s="344"/>
      <c r="S219" s="344"/>
      <c r="T219" s="344"/>
      <c r="U219" s="344"/>
      <c r="V219" s="344"/>
      <c r="W219" s="344"/>
      <c r="X219" s="344"/>
      <c r="Y219" s="344"/>
      <c r="Z219" s="344"/>
      <c r="AA219" s="344"/>
      <c r="AB219" s="344"/>
      <c r="AC219" s="344"/>
      <c r="AD219" s="344"/>
      <c r="AE219" s="344"/>
      <c r="AF219" s="344"/>
      <c r="AG219" s="344"/>
      <c r="AH219" s="344"/>
      <c r="AI219" s="344"/>
      <c r="AJ219" s="344"/>
      <c r="AK219" s="344"/>
      <c r="AL219" s="344"/>
      <c r="AM219" s="344"/>
      <c r="AN219" s="344"/>
      <c r="AO219" s="344"/>
    </row>
    <row r="220" spans="1:41" ht="15.75" customHeight="1" x14ac:dyDescent="0.25">
      <c r="A220" s="344"/>
      <c r="B220" s="353"/>
      <c r="C220" s="344"/>
      <c r="D220" s="344"/>
      <c r="E220" s="344"/>
      <c r="F220" s="344"/>
      <c r="G220" s="344"/>
      <c r="H220" s="344"/>
      <c r="I220" s="344"/>
      <c r="J220" s="344"/>
      <c r="K220" s="344"/>
      <c r="L220" s="344"/>
      <c r="M220" s="344"/>
      <c r="N220" s="344"/>
      <c r="O220" s="344"/>
      <c r="P220" s="344"/>
      <c r="Q220" s="344"/>
      <c r="R220" s="344"/>
      <c r="S220" s="344"/>
      <c r="T220" s="344"/>
      <c r="U220" s="344"/>
      <c r="V220" s="344"/>
      <c r="W220" s="344"/>
      <c r="X220" s="344"/>
      <c r="Y220" s="344"/>
      <c r="Z220" s="344"/>
      <c r="AA220" s="344"/>
      <c r="AB220" s="344"/>
      <c r="AC220" s="344"/>
      <c r="AD220" s="344"/>
      <c r="AE220" s="344"/>
      <c r="AF220" s="344"/>
      <c r="AG220" s="344"/>
      <c r="AH220" s="344"/>
      <c r="AI220" s="344"/>
      <c r="AJ220" s="344"/>
      <c r="AK220" s="344"/>
      <c r="AL220" s="344"/>
      <c r="AM220" s="344"/>
      <c r="AN220" s="344"/>
      <c r="AO220" s="344"/>
    </row>
    <row r="221" spans="1:41" ht="15.75" customHeight="1" x14ac:dyDescent="0.25">
      <c r="A221" s="344"/>
      <c r="B221" s="353"/>
      <c r="C221" s="344"/>
      <c r="D221" s="344"/>
      <c r="E221" s="344"/>
      <c r="F221" s="344"/>
      <c r="G221" s="344"/>
      <c r="H221" s="344"/>
      <c r="I221" s="344"/>
      <c r="J221" s="344"/>
      <c r="K221" s="344"/>
      <c r="L221" s="344"/>
      <c r="M221" s="344"/>
      <c r="N221" s="344"/>
      <c r="O221" s="344"/>
      <c r="P221" s="344"/>
      <c r="Q221" s="344"/>
      <c r="R221" s="344"/>
      <c r="S221" s="344"/>
      <c r="T221" s="344"/>
      <c r="U221" s="344"/>
      <c r="V221" s="344"/>
      <c r="W221" s="344"/>
      <c r="X221" s="344"/>
      <c r="Y221" s="344"/>
      <c r="Z221" s="344"/>
      <c r="AA221" s="344"/>
      <c r="AB221" s="344"/>
      <c r="AC221" s="344"/>
      <c r="AD221" s="344"/>
      <c r="AE221" s="344"/>
      <c r="AF221" s="344"/>
      <c r="AG221" s="344"/>
      <c r="AH221" s="344"/>
      <c r="AI221" s="344"/>
      <c r="AJ221" s="344"/>
      <c r="AK221" s="344"/>
      <c r="AL221" s="344"/>
      <c r="AM221" s="344"/>
      <c r="AN221" s="344"/>
      <c r="AO221" s="344"/>
    </row>
    <row r="222" spans="1:41" ht="15.75" customHeight="1" x14ac:dyDescent="0.25">
      <c r="A222" s="344"/>
      <c r="B222" s="353"/>
      <c r="C222" s="344"/>
      <c r="D222" s="344"/>
      <c r="E222" s="344"/>
      <c r="F222" s="344"/>
      <c r="G222" s="344"/>
      <c r="H222" s="344"/>
      <c r="I222" s="344"/>
      <c r="J222" s="344"/>
      <c r="K222" s="344"/>
      <c r="L222" s="344"/>
      <c r="M222" s="344"/>
      <c r="N222" s="344"/>
      <c r="O222" s="344"/>
      <c r="P222" s="344"/>
      <c r="Q222" s="344"/>
      <c r="R222" s="344"/>
      <c r="S222" s="344"/>
      <c r="T222" s="344"/>
      <c r="U222" s="344"/>
      <c r="V222" s="344"/>
      <c r="W222" s="344"/>
      <c r="X222" s="344"/>
      <c r="Y222" s="344"/>
      <c r="Z222" s="344"/>
      <c r="AA222" s="344"/>
      <c r="AB222" s="344"/>
      <c r="AC222" s="344"/>
      <c r="AD222" s="344"/>
      <c r="AE222" s="344"/>
      <c r="AF222" s="344"/>
      <c r="AG222" s="344"/>
      <c r="AH222" s="344"/>
      <c r="AI222" s="344"/>
      <c r="AJ222" s="344"/>
      <c r="AK222" s="344"/>
      <c r="AL222" s="344"/>
      <c r="AM222" s="344"/>
      <c r="AN222" s="344"/>
      <c r="AO222" s="344"/>
    </row>
    <row r="223" spans="1:41" ht="15.75" customHeight="1" x14ac:dyDescent="0.25">
      <c r="A223" s="344"/>
      <c r="B223" s="353"/>
      <c r="C223" s="344"/>
      <c r="D223" s="344"/>
      <c r="E223" s="344"/>
      <c r="F223" s="344"/>
      <c r="G223" s="344"/>
      <c r="H223" s="344"/>
      <c r="I223" s="344"/>
      <c r="J223" s="344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  <c r="Y223" s="344"/>
      <c r="Z223" s="344"/>
      <c r="AA223" s="344"/>
      <c r="AB223" s="344"/>
      <c r="AC223" s="344"/>
      <c r="AD223" s="344"/>
      <c r="AE223" s="344"/>
      <c r="AF223" s="344"/>
      <c r="AG223" s="344"/>
      <c r="AH223" s="344"/>
      <c r="AI223" s="344"/>
      <c r="AJ223" s="344"/>
      <c r="AK223" s="344"/>
      <c r="AL223" s="344"/>
      <c r="AM223" s="344"/>
      <c r="AN223" s="344"/>
      <c r="AO223" s="344"/>
    </row>
    <row r="224" spans="1:41" ht="15.75" customHeight="1" x14ac:dyDescent="0.25">
      <c r="A224" s="344"/>
      <c r="B224" s="353"/>
      <c r="C224" s="344"/>
      <c r="D224" s="344"/>
      <c r="E224" s="344"/>
      <c r="F224" s="344"/>
      <c r="G224" s="344"/>
      <c r="H224" s="344"/>
      <c r="I224" s="344"/>
      <c r="J224" s="344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  <c r="Y224" s="344"/>
      <c r="Z224" s="344"/>
      <c r="AA224" s="344"/>
      <c r="AB224" s="344"/>
      <c r="AC224" s="344"/>
      <c r="AD224" s="344"/>
      <c r="AE224" s="344"/>
      <c r="AF224" s="344"/>
      <c r="AG224" s="344"/>
      <c r="AH224" s="344"/>
      <c r="AI224" s="344"/>
      <c r="AJ224" s="344"/>
      <c r="AK224" s="344"/>
      <c r="AL224" s="344"/>
      <c r="AM224" s="344"/>
      <c r="AN224" s="344"/>
      <c r="AO224" s="344"/>
    </row>
    <row r="225" spans="1:41" ht="15.75" customHeight="1" x14ac:dyDescent="0.25">
      <c r="A225" s="344"/>
      <c r="B225" s="353"/>
      <c r="C225" s="344"/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</row>
    <row r="226" spans="1:41" ht="15.75" customHeight="1" x14ac:dyDescent="0.25">
      <c r="A226" s="344"/>
      <c r="B226" s="353"/>
      <c r="C226" s="344"/>
      <c r="D226" s="344"/>
      <c r="E226" s="344"/>
      <c r="F226" s="344"/>
      <c r="G226" s="344"/>
      <c r="H226" s="344"/>
      <c r="I226" s="344"/>
      <c r="J226" s="344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  <c r="Y226" s="344"/>
      <c r="Z226" s="344"/>
      <c r="AA226" s="344"/>
      <c r="AB226" s="344"/>
      <c r="AC226" s="344"/>
      <c r="AD226" s="344"/>
      <c r="AE226" s="344"/>
      <c r="AF226" s="344"/>
      <c r="AG226" s="344"/>
      <c r="AH226" s="344"/>
      <c r="AI226" s="344"/>
      <c r="AJ226" s="344"/>
      <c r="AK226" s="344"/>
      <c r="AL226" s="344"/>
      <c r="AM226" s="344"/>
      <c r="AN226" s="344"/>
      <c r="AO226" s="344"/>
    </row>
    <row r="227" spans="1:41" ht="15.75" customHeight="1" x14ac:dyDescent="0.25">
      <c r="A227" s="344"/>
      <c r="B227" s="353"/>
      <c r="C227" s="344"/>
      <c r="D227" s="344"/>
      <c r="E227" s="344"/>
      <c r="F227" s="344"/>
      <c r="G227" s="344"/>
      <c r="H227" s="344"/>
      <c r="I227" s="344"/>
      <c r="J227" s="344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  <c r="Y227" s="344"/>
      <c r="Z227" s="344"/>
      <c r="AA227" s="344"/>
      <c r="AB227" s="344"/>
      <c r="AC227" s="344"/>
      <c r="AD227" s="344"/>
      <c r="AE227" s="344"/>
      <c r="AF227" s="344"/>
      <c r="AG227" s="344"/>
      <c r="AH227" s="344"/>
      <c r="AI227" s="344"/>
      <c r="AJ227" s="344"/>
      <c r="AK227" s="344"/>
      <c r="AL227" s="344"/>
      <c r="AM227" s="344"/>
      <c r="AN227" s="344"/>
      <c r="AO227" s="344"/>
    </row>
    <row r="228" spans="1:41" ht="15.75" customHeight="1" x14ac:dyDescent="0.25">
      <c r="A228" s="344"/>
      <c r="B228" s="353"/>
      <c r="C228" s="344"/>
      <c r="D228" s="344"/>
      <c r="E228" s="344"/>
      <c r="F228" s="344"/>
      <c r="G228" s="344"/>
      <c r="H228" s="344"/>
      <c r="I228" s="344"/>
      <c r="J228" s="344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  <c r="Y228" s="344"/>
      <c r="Z228" s="344"/>
      <c r="AA228" s="344"/>
      <c r="AB228" s="344"/>
      <c r="AC228" s="344"/>
      <c r="AD228" s="344"/>
      <c r="AE228" s="344"/>
      <c r="AF228" s="344"/>
      <c r="AG228" s="344"/>
      <c r="AH228" s="344"/>
      <c r="AI228" s="344"/>
      <c r="AJ228" s="344"/>
      <c r="AK228" s="344"/>
      <c r="AL228" s="344"/>
      <c r="AM228" s="344"/>
      <c r="AN228" s="344"/>
      <c r="AO228" s="344"/>
    </row>
    <row r="229" spans="1:41" ht="15.75" customHeight="1" x14ac:dyDescent="0.25">
      <c r="A229" s="344"/>
      <c r="B229" s="353"/>
      <c r="C229" s="344"/>
      <c r="D229" s="344"/>
      <c r="E229" s="344"/>
      <c r="F229" s="344"/>
      <c r="G229" s="344"/>
      <c r="H229" s="344"/>
      <c r="I229" s="344"/>
      <c r="J229" s="344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  <c r="Y229" s="344"/>
      <c r="Z229" s="344"/>
      <c r="AA229" s="344"/>
      <c r="AB229" s="344"/>
      <c r="AC229" s="344"/>
      <c r="AD229" s="344"/>
      <c r="AE229" s="344"/>
      <c r="AF229" s="344"/>
      <c r="AG229" s="344"/>
      <c r="AH229" s="344"/>
      <c r="AI229" s="344"/>
      <c r="AJ229" s="344"/>
      <c r="AK229" s="344"/>
      <c r="AL229" s="344"/>
      <c r="AM229" s="344"/>
      <c r="AN229" s="344"/>
      <c r="AO229" s="344"/>
    </row>
    <row r="230" spans="1:41" ht="15.75" customHeight="1" x14ac:dyDescent="0.25">
      <c r="A230" s="344"/>
      <c r="B230" s="353"/>
      <c r="C230" s="344"/>
      <c r="D230" s="344"/>
      <c r="E230" s="344"/>
      <c r="F230" s="344"/>
      <c r="G230" s="344"/>
      <c r="H230" s="344"/>
      <c r="I230" s="344"/>
      <c r="J230" s="344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  <c r="Y230" s="344"/>
      <c r="Z230" s="344"/>
      <c r="AA230" s="344"/>
      <c r="AB230" s="344"/>
      <c r="AC230" s="344"/>
      <c r="AD230" s="344"/>
      <c r="AE230" s="344"/>
      <c r="AF230" s="344"/>
      <c r="AG230" s="344"/>
      <c r="AH230" s="344"/>
      <c r="AI230" s="344"/>
      <c r="AJ230" s="344"/>
      <c r="AK230" s="344"/>
      <c r="AL230" s="344"/>
      <c r="AM230" s="344"/>
      <c r="AN230" s="344"/>
      <c r="AO230" s="344"/>
    </row>
    <row r="231" spans="1:41" ht="15.75" customHeight="1" x14ac:dyDescent="0.25">
      <c r="A231" s="344"/>
      <c r="B231" s="353"/>
      <c r="C231" s="344"/>
      <c r="D231" s="344"/>
      <c r="E231" s="344"/>
      <c r="F231" s="344"/>
      <c r="G231" s="344"/>
      <c r="H231" s="344"/>
      <c r="I231" s="344"/>
      <c r="J231" s="344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  <c r="Y231" s="344"/>
      <c r="Z231" s="344"/>
      <c r="AA231" s="344"/>
      <c r="AB231" s="344"/>
      <c r="AC231" s="344"/>
      <c r="AD231" s="344"/>
      <c r="AE231" s="344"/>
      <c r="AF231" s="344"/>
      <c r="AG231" s="344"/>
      <c r="AH231" s="344"/>
      <c r="AI231" s="344"/>
      <c r="AJ231" s="344"/>
      <c r="AK231" s="344"/>
      <c r="AL231" s="344"/>
      <c r="AM231" s="344"/>
      <c r="AN231" s="344"/>
      <c r="AO231" s="344"/>
    </row>
    <row r="232" spans="1:41" ht="15.75" customHeight="1" x14ac:dyDescent="0.25">
      <c r="A232" s="344"/>
      <c r="B232" s="353"/>
      <c r="C232" s="344"/>
      <c r="D232" s="344"/>
      <c r="E232" s="344"/>
      <c r="F232" s="344"/>
      <c r="G232" s="344"/>
      <c r="H232" s="344"/>
      <c r="I232" s="344"/>
      <c r="J232" s="344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  <c r="Y232" s="344"/>
      <c r="Z232" s="344"/>
      <c r="AA232" s="344"/>
      <c r="AB232" s="344"/>
      <c r="AC232" s="344"/>
      <c r="AD232" s="344"/>
      <c r="AE232" s="344"/>
      <c r="AF232" s="344"/>
      <c r="AG232" s="344"/>
      <c r="AH232" s="344"/>
      <c r="AI232" s="344"/>
      <c r="AJ232" s="344"/>
      <c r="AK232" s="344"/>
      <c r="AL232" s="344"/>
      <c r="AM232" s="344"/>
      <c r="AN232" s="344"/>
      <c r="AO232" s="344"/>
    </row>
    <row r="233" spans="1:41" ht="15.75" customHeight="1" x14ac:dyDescent="0.25">
      <c r="A233" s="344"/>
      <c r="B233" s="353"/>
      <c r="C233" s="344"/>
      <c r="D233" s="344"/>
      <c r="E233" s="344"/>
      <c r="F233" s="344"/>
      <c r="G233" s="344"/>
      <c r="H233" s="344"/>
      <c r="I233" s="344"/>
      <c r="J233" s="344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  <c r="Y233" s="344"/>
      <c r="Z233" s="344"/>
      <c r="AA233" s="344"/>
      <c r="AB233" s="344"/>
      <c r="AC233" s="344"/>
      <c r="AD233" s="344"/>
      <c r="AE233" s="344"/>
      <c r="AF233" s="344"/>
      <c r="AG233" s="344"/>
      <c r="AH233" s="344"/>
      <c r="AI233" s="344"/>
      <c r="AJ233" s="344"/>
      <c r="AK233" s="344"/>
      <c r="AL233" s="344"/>
      <c r="AM233" s="344"/>
      <c r="AN233" s="344"/>
      <c r="AO233" s="344"/>
    </row>
    <row r="234" spans="1:41" ht="15.75" customHeight="1" x14ac:dyDescent="0.25">
      <c r="A234" s="344"/>
      <c r="B234" s="353"/>
      <c r="C234" s="344"/>
      <c r="D234" s="344"/>
      <c r="E234" s="344"/>
      <c r="F234" s="344"/>
      <c r="G234" s="344"/>
      <c r="H234" s="344"/>
      <c r="I234" s="344"/>
      <c r="J234" s="344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  <c r="Y234" s="344"/>
      <c r="Z234" s="344"/>
      <c r="AA234" s="344"/>
      <c r="AB234" s="344"/>
      <c r="AC234" s="344"/>
      <c r="AD234" s="344"/>
      <c r="AE234" s="344"/>
      <c r="AF234" s="344"/>
      <c r="AG234" s="344"/>
      <c r="AH234" s="344"/>
      <c r="AI234" s="344"/>
      <c r="AJ234" s="344"/>
      <c r="AK234" s="344"/>
      <c r="AL234" s="344"/>
      <c r="AM234" s="344"/>
      <c r="AN234" s="344"/>
      <c r="AO234" s="344"/>
    </row>
    <row r="235" spans="1:41" ht="15.75" customHeight="1" x14ac:dyDescent="0.25">
      <c r="A235" s="344"/>
      <c r="B235" s="353"/>
      <c r="C235" s="344"/>
      <c r="D235" s="344"/>
      <c r="E235" s="344"/>
      <c r="F235" s="344"/>
      <c r="G235" s="344"/>
      <c r="H235" s="344"/>
      <c r="I235" s="344"/>
      <c r="J235" s="344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  <c r="Y235" s="344"/>
      <c r="Z235" s="344"/>
      <c r="AA235" s="344"/>
      <c r="AB235" s="344"/>
      <c r="AC235" s="344"/>
      <c r="AD235" s="344"/>
      <c r="AE235" s="344"/>
      <c r="AF235" s="344"/>
      <c r="AG235" s="344"/>
      <c r="AH235" s="344"/>
      <c r="AI235" s="344"/>
      <c r="AJ235" s="344"/>
      <c r="AK235" s="344"/>
      <c r="AL235" s="344"/>
      <c r="AM235" s="344"/>
      <c r="AN235" s="344"/>
      <c r="AO235" s="344"/>
    </row>
    <row r="236" spans="1:41" ht="15.75" customHeight="1" x14ac:dyDescent="0.25">
      <c r="A236" s="344"/>
      <c r="B236" s="353"/>
      <c r="C236" s="344"/>
      <c r="D236" s="344"/>
      <c r="E236" s="344"/>
      <c r="F236" s="344"/>
      <c r="G236" s="344"/>
      <c r="H236" s="344"/>
      <c r="I236" s="344"/>
      <c r="J236" s="344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  <c r="Y236" s="344"/>
      <c r="Z236" s="344"/>
      <c r="AA236" s="344"/>
      <c r="AB236" s="344"/>
      <c r="AC236" s="344"/>
      <c r="AD236" s="344"/>
      <c r="AE236" s="344"/>
      <c r="AF236" s="344"/>
      <c r="AG236" s="344"/>
      <c r="AH236" s="344"/>
      <c r="AI236" s="344"/>
      <c r="AJ236" s="344"/>
      <c r="AK236" s="344"/>
      <c r="AL236" s="344"/>
      <c r="AM236" s="344"/>
      <c r="AN236" s="344"/>
      <c r="AO236" s="344"/>
    </row>
    <row r="237" spans="1:41" ht="15.75" customHeight="1" x14ac:dyDescent="0.25">
      <c r="A237" s="344"/>
      <c r="B237" s="353"/>
      <c r="C237" s="344"/>
      <c r="D237" s="344"/>
      <c r="E237" s="344"/>
      <c r="F237" s="344"/>
      <c r="G237" s="344"/>
      <c r="H237" s="344"/>
      <c r="I237" s="344"/>
      <c r="J237" s="344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  <c r="Y237" s="344"/>
      <c r="Z237" s="344"/>
      <c r="AA237" s="344"/>
      <c r="AB237" s="344"/>
      <c r="AC237" s="344"/>
      <c r="AD237" s="344"/>
      <c r="AE237" s="344"/>
      <c r="AF237" s="344"/>
      <c r="AG237" s="344"/>
      <c r="AH237" s="344"/>
      <c r="AI237" s="344"/>
      <c r="AJ237" s="344"/>
      <c r="AK237" s="344"/>
      <c r="AL237" s="344"/>
      <c r="AM237" s="344"/>
      <c r="AN237" s="344"/>
      <c r="AO237" s="344"/>
    </row>
    <row r="238" spans="1:41" ht="15.75" customHeight="1" x14ac:dyDescent="0.25">
      <c r="A238" s="344"/>
      <c r="B238" s="353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44"/>
      <c r="AB238" s="344"/>
      <c r="AC238" s="344"/>
      <c r="AD238" s="344"/>
      <c r="AE238" s="344"/>
      <c r="AF238" s="344"/>
      <c r="AG238" s="344"/>
      <c r="AH238" s="344"/>
      <c r="AI238" s="344"/>
      <c r="AJ238" s="344"/>
      <c r="AK238" s="344"/>
      <c r="AL238" s="344"/>
      <c r="AM238" s="344"/>
      <c r="AN238" s="344"/>
      <c r="AO238" s="344"/>
    </row>
    <row r="239" spans="1:41" ht="15.75" customHeight="1" x14ac:dyDescent="0.25">
      <c r="A239" s="344"/>
      <c r="B239" s="353"/>
      <c r="C239" s="344"/>
      <c r="D239" s="344"/>
      <c r="E239" s="344"/>
      <c r="F239" s="344"/>
      <c r="G239" s="344"/>
      <c r="H239" s="344"/>
      <c r="I239" s="344"/>
      <c r="J239" s="344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  <c r="Y239" s="344"/>
      <c r="Z239" s="344"/>
      <c r="AA239" s="344"/>
      <c r="AB239" s="344"/>
      <c r="AC239" s="344"/>
      <c r="AD239" s="344"/>
      <c r="AE239" s="344"/>
      <c r="AF239" s="344"/>
      <c r="AG239" s="344"/>
      <c r="AH239" s="344"/>
      <c r="AI239" s="344"/>
      <c r="AJ239" s="344"/>
      <c r="AK239" s="344"/>
      <c r="AL239" s="344"/>
      <c r="AM239" s="344"/>
      <c r="AN239" s="344"/>
      <c r="AO239" s="344"/>
    </row>
    <row r="240" spans="1:41" ht="15.75" customHeight="1" x14ac:dyDescent="0.25">
      <c r="A240" s="344"/>
      <c r="B240" s="353"/>
      <c r="C240" s="344"/>
      <c r="D240" s="344"/>
      <c r="E240" s="344"/>
      <c r="F240" s="344"/>
      <c r="G240" s="344"/>
      <c r="H240" s="344"/>
      <c r="I240" s="344"/>
      <c r="J240" s="344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  <c r="Y240" s="344"/>
      <c r="Z240" s="344"/>
      <c r="AA240" s="344"/>
      <c r="AB240" s="344"/>
      <c r="AC240" s="344"/>
      <c r="AD240" s="344"/>
      <c r="AE240" s="344"/>
      <c r="AF240" s="344"/>
      <c r="AG240" s="344"/>
      <c r="AH240" s="344"/>
      <c r="AI240" s="344"/>
      <c r="AJ240" s="344"/>
      <c r="AK240" s="344"/>
      <c r="AL240" s="344"/>
      <c r="AM240" s="344"/>
      <c r="AN240" s="344"/>
      <c r="AO240" s="344"/>
    </row>
    <row r="241" spans="1:41" ht="15.75" customHeight="1" x14ac:dyDescent="0.25">
      <c r="A241" s="344"/>
      <c r="B241" s="353"/>
      <c r="C241" s="344"/>
      <c r="D241" s="344"/>
      <c r="E241" s="344"/>
      <c r="F241" s="344"/>
      <c r="G241" s="344"/>
      <c r="H241" s="344"/>
      <c r="I241" s="344"/>
      <c r="J241" s="344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  <c r="Y241" s="344"/>
      <c r="Z241" s="344"/>
      <c r="AA241" s="344"/>
      <c r="AB241" s="344"/>
      <c r="AC241" s="344"/>
      <c r="AD241" s="344"/>
      <c r="AE241" s="344"/>
      <c r="AF241" s="344"/>
      <c r="AG241" s="344"/>
      <c r="AH241" s="344"/>
      <c r="AI241" s="344"/>
      <c r="AJ241" s="344"/>
      <c r="AK241" s="344"/>
      <c r="AL241" s="344"/>
      <c r="AM241" s="344"/>
      <c r="AN241" s="344"/>
      <c r="AO241" s="344"/>
    </row>
    <row r="242" spans="1:41" ht="15.75" customHeight="1" x14ac:dyDescent="0.25">
      <c r="A242" s="344"/>
      <c r="B242" s="353"/>
      <c r="C242" s="344"/>
      <c r="D242" s="344"/>
      <c r="E242" s="344"/>
      <c r="F242" s="344"/>
      <c r="G242" s="344"/>
      <c r="H242" s="344"/>
      <c r="I242" s="344"/>
      <c r="J242" s="344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  <c r="Y242" s="344"/>
      <c r="Z242" s="344"/>
      <c r="AA242" s="344"/>
      <c r="AB242" s="344"/>
      <c r="AC242" s="344"/>
      <c r="AD242" s="344"/>
      <c r="AE242" s="344"/>
      <c r="AF242" s="344"/>
      <c r="AG242" s="344"/>
      <c r="AH242" s="344"/>
      <c r="AI242" s="344"/>
      <c r="AJ242" s="344"/>
      <c r="AK242" s="344"/>
      <c r="AL242" s="344"/>
      <c r="AM242" s="344"/>
      <c r="AN242" s="344"/>
      <c r="AO242" s="344"/>
    </row>
    <row r="243" spans="1:41" ht="15.75" customHeight="1" x14ac:dyDescent="0.25">
      <c r="A243" s="344"/>
      <c r="B243" s="353"/>
      <c r="C243" s="344"/>
      <c r="D243" s="344"/>
      <c r="E243" s="344"/>
      <c r="F243" s="344"/>
      <c r="G243" s="344"/>
      <c r="H243" s="344"/>
      <c r="I243" s="344"/>
      <c r="J243" s="344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  <c r="Y243" s="344"/>
      <c r="Z243" s="344"/>
      <c r="AA243" s="344"/>
      <c r="AB243" s="344"/>
      <c r="AC243" s="344"/>
      <c r="AD243" s="344"/>
      <c r="AE243" s="344"/>
      <c r="AF243" s="344"/>
      <c r="AG243" s="344"/>
      <c r="AH243" s="344"/>
      <c r="AI243" s="344"/>
      <c r="AJ243" s="344"/>
      <c r="AK243" s="344"/>
      <c r="AL243" s="344"/>
      <c r="AM243" s="344"/>
      <c r="AN243" s="344"/>
      <c r="AO243" s="344"/>
    </row>
    <row r="244" spans="1:41" ht="15.75" customHeight="1" x14ac:dyDescent="0.25">
      <c r="A244" s="344"/>
      <c r="B244" s="353"/>
      <c r="C244" s="344"/>
      <c r="D244" s="344"/>
      <c r="E244" s="344"/>
      <c r="F244" s="344"/>
      <c r="G244" s="344"/>
      <c r="H244" s="344"/>
      <c r="I244" s="344"/>
      <c r="J244" s="344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  <c r="Y244" s="344"/>
      <c r="Z244" s="344"/>
      <c r="AA244" s="344"/>
      <c r="AB244" s="344"/>
      <c r="AC244" s="344"/>
      <c r="AD244" s="344"/>
      <c r="AE244" s="344"/>
      <c r="AF244" s="344"/>
      <c r="AG244" s="344"/>
      <c r="AH244" s="344"/>
      <c r="AI244" s="344"/>
      <c r="AJ244" s="344"/>
      <c r="AK244" s="344"/>
      <c r="AL244" s="344"/>
      <c r="AM244" s="344"/>
      <c r="AN244" s="344"/>
      <c r="AO244" s="344"/>
    </row>
    <row r="245" spans="1:41" ht="15.75" customHeight="1" x14ac:dyDescent="0.25">
      <c r="A245" s="344"/>
      <c r="B245" s="353"/>
      <c r="C245" s="344"/>
      <c r="D245" s="344"/>
      <c r="E245" s="344"/>
      <c r="F245" s="344"/>
      <c r="G245" s="344"/>
      <c r="H245" s="344"/>
      <c r="I245" s="344"/>
      <c r="J245" s="344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  <c r="Y245" s="344"/>
      <c r="Z245" s="344"/>
      <c r="AA245" s="344"/>
      <c r="AB245" s="344"/>
      <c r="AC245" s="344"/>
      <c r="AD245" s="344"/>
      <c r="AE245" s="344"/>
      <c r="AF245" s="344"/>
      <c r="AG245" s="344"/>
      <c r="AH245" s="344"/>
      <c r="AI245" s="344"/>
      <c r="AJ245" s="344"/>
      <c r="AK245" s="344"/>
      <c r="AL245" s="344"/>
      <c r="AM245" s="344"/>
      <c r="AN245" s="344"/>
      <c r="AO245" s="344"/>
    </row>
    <row r="246" spans="1:41" ht="15.75" customHeight="1" x14ac:dyDescent="0.25">
      <c r="A246" s="344"/>
      <c r="B246" s="353"/>
      <c r="C246" s="344"/>
      <c r="D246" s="344"/>
      <c r="E246" s="344"/>
      <c r="F246" s="344"/>
      <c r="G246" s="344"/>
      <c r="H246" s="344"/>
      <c r="I246" s="344"/>
      <c r="J246" s="344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  <c r="Y246" s="344"/>
      <c r="Z246" s="344"/>
      <c r="AA246" s="344"/>
      <c r="AB246" s="344"/>
      <c r="AC246" s="344"/>
      <c r="AD246" s="344"/>
      <c r="AE246" s="344"/>
      <c r="AF246" s="344"/>
      <c r="AG246" s="344"/>
      <c r="AH246" s="344"/>
      <c r="AI246" s="344"/>
      <c r="AJ246" s="344"/>
      <c r="AK246" s="344"/>
      <c r="AL246" s="344"/>
      <c r="AM246" s="344"/>
      <c r="AN246" s="344"/>
      <c r="AO246" s="344"/>
    </row>
    <row r="247" spans="1:41" ht="15.75" customHeight="1" x14ac:dyDescent="0.25">
      <c r="A247" s="344"/>
      <c r="B247" s="353"/>
      <c r="C247" s="344"/>
      <c r="D247" s="344"/>
      <c r="E247" s="344"/>
      <c r="F247" s="344"/>
      <c r="G247" s="344"/>
      <c r="H247" s="344"/>
      <c r="I247" s="344"/>
      <c r="J247" s="344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  <c r="Y247" s="344"/>
      <c r="Z247" s="344"/>
      <c r="AA247" s="344"/>
      <c r="AB247" s="344"/>
      <c r="AC247" s="344"/>
      <c r="AD247" s="344"/>
      <c r="AE247" s="344"/>
      <c r="AF247" s="344"/>
      <c r="AG247" s="344"/>
      <c r="AH247" s="344"/>
      <c r="AI247" s="344"/>
      <c r="AJ247" s="344"/>
      <c r="AK247" s="344"/>
      <c r="AL247" s="344"/>
      <c r="AM247" s="344"/>
      <c r="AN247" s="344"/>
      <c r="AO247" s="344"/>
    </row>
    <row r="248" spans="1:41" ht="15.75" customHeight="1" x14ac:dyDescent="0.25">
      <c r="A248" s="344"/>
      <c r="B248" s="353"/>
      <c r="C248" s="344"/>
      <c r="D248" s="344"/>
      <c r="E248" s="344"/>
      <c r="F248" s="344"/>
      <c r="G248" s="344"/>
      <c r="H248" s="344"/>
      <c r="I248" s="344"/>
      <c r="J248" s="344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  <c r="Y248" s="344"/>
      <c r="Z248" s="344"/>
      <c r="AA248" s="344"/>
      <c r="AB248" s="344"/>
      <c r="AC248" s="344"/>
      <c r="AD248" s="344"/>
      <c r="AE248" s="344"/>
      <c r="AF248" s="344"/>
      <c r="AG248" s="344"/>
      <c r="AH248" s="344"/>
      <c r="AI248" s="344"/>
      <c r="AJ248" s="344"/>
      <c r="AK248" s="344"/>
      <c r="AL248" s="344"/>
      <c r="AM248" s="344"/>
      <c r="AN248" s="344"/>
      <c r="AO248" s="344"/>
    </row>
    <row r="249" spans="1:41" ht="15.75" customHeight="1" x14ac:dyDescent="0.25">
      <c r="A249" s="344"/>
      <c r="B249" s="353"/>
      <c r="C249" s="344"/>
      <c r="D249" s="344"/>
      <c r="E249" s="344"/>
      <c r="F249" s="344"/>
      <c r="G249" s="344"/>
      <c r="H249" s="344"/>
      <c r="I249" s="344"/>
      <c r="J249" s="344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  <c r="Y249" s="344"/>
      <c r="Z249" s="344"/>
      <c r="AA249" s="344"/>
      <c r="AB249" s="344"/>
      <c r="AC249" s="344"/>
      <c r="AD249" s="344"/>
      <c r="AE249" s="344"/>
      <c r="AF249" s="344"/>
      <c r="AG249" s="344"/>
      <c r="AH249" s="344"/>
      <c r="AI249" s="344"/>
      <c r="AJ249" s="344"/>
      <c r="AK249" s="344"/>
      <c r="AL249" s="344"/>
      <c r="AM249" s="344"/>
      <c r="AN249" s="344"/>
      <c r="AO249" s="344"/>
    </row>
    <row r="250" spans="1:41" ht="15.75" customHeight="1" x14ac:dyDescent="0.25">
      <c r="A250" s="344"/>
      <c r="B250" s="353"/>
      <c r="C250" s="344"/>
      <c r="D250" s="344"/>
      <c r="E250" s="344"/>
      <c r="F250" s="344"/>
      <c r="G250" s="344"/>
      <c r="H250" s="344"/>
      <c r="I250" s="344"/>
      <c r="J250" s="344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  <c r="Y250" s="344"/>
      <c r="Z250" s="344"/>
      <c r="AA250" s="344"/>
      <c r="AB250" s="344"/>
      <c r="AC250" s="344"/>
      <c r="AD250" s="344"/>
      <c r="AE250" s="344"/>
      <c r="AF250" s="344"/>
      <c r="AG250" s="344"/>
      <c r="AH250" s="344"/>
      <c r="AI250" s="344"/>
      <c r="AJ250" s="344"/>
      <c r="AK250" s="344"/>
      <c r="AL250" s="344"/>
      <c r="AM250" s="344"/>
      <c r="AN250" s="344"/>
      <c r="AO250" s="344"/>
    </row>
    <row r="251" spans="1:41" ht="15.75" customHeight="1" x14ac:dyDescent="0.25">
      <c r="A251" s="344"/>
      <c r="B251" s="353"/>
      <c r="C251" s="344"/>
      <c r="D251" s="344"/>
      <c r="E251" s="344"/>
      <c r="F251" s="344"/>
      <c r="G251" s="344"/>
      <c r="H251" s="344"/>
      <c r="I251" s="344"/>
      <c r="J251" s="344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  <c r="Y251" s="344"/>
      <c r="Z251" s="344"/>
      <c r="AA251" s="344"/>
      <c r="AB251" s="344"/>
      <c r="AC251" s="344"/>
      <c r="AD251" s="344"/>
      <c r="AE251" s="344"/>
      <c r="AF251" s="344"/>
      <c r="AG251" s="344"/>
      <c r="AH251" s="344"/>
      <c r="AI251" s="344"/>
      <c r="AJ251" s="344"/>
      <c r="AK251" s="344"/>
      <c r="AL251" s="344"/>
      <c r="AM251" s="344"/>
      <c r="AN251" s="344"/>
      <c r="AO251" s="344"/>
    </row>
    <row r="252" spans="1:41" ht="15.75" customHeight="1" x14ac:dyDescent="0.25">
      <c r="A252" s="344"/>
      <c r="B252" s="353"/>
      <c r="C252" s="344"/>
      <c r="D252" s="344"/>
      <c r="E252" s="344"/>
      <c r="F252" s="344"/>
      <c r="G252" s="344"/>
      <c r="H252" s="344"/>
      <c r="I252" s="344"/>
      <c r="J252" s="344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  <c r="Y252" s="344"/>
      <c r="Z252" s="344"/>
      <c r="AA252" s="344"/>
      <c r="AB252" s="344"/>
      <c r="AC252" s="344"/>
      <c r="AD252" s="344"/>
      <c r="AE252" s="344"/>
      <c r="AF252" s="344"/>
      <c r="AG252" s="344"/>
      <c r="AH252" s="344"/>
      <c r="AI252" s="344"/>
      <c r="AJ252" s="344"/>
      <c r="AK252" s="344"/>
      <c r="AL252" s="344"/>
      <c r="AM252" s="344"/>
      <c r="AN252" s="344"/>
      <c r="AO252" s="344"/>
    </row>
    <row r="253" spans="1:41" ht="15.75" customHeight="1" x14ac:dyDescent="0.25">
      <c r="A253" s="344"/>
      <c r="B253" s="353"/>
      <c r="C253" s="344"/>
      <c r="D253" s="344"/>
      <c r="E253" s="344"/>
      <c r="F253" s="344"/>
      <c r="G253" s="344"/>
      <c r="H253" s="344"/>
      <c r="I253" s="344"/>
      <c r="J253" s="344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  <c r="Y253" s="344"/>
      <c r="Z253" s="344"/>
      <c r="AA253" s="344"/>
      <c r="AB253" s="344"/>
      <c r="AC253" s="344"/>
      <c r="AD253" s="344"/>
      <c r="AE253" s="344"/>
      <c r="AF253" s="344"/>
      <c r="AG253" s="344"/>
      <c r="AH253" s="344"/>
      <c r="AI253" s="344"/>
      <c r="AJ253" s="344"/>
      <c r="AK253" s="344"/>
      <c r="AL253" s="344"/>
      <c r="AM253" s="344"/>
      <c r="AN253" s="344"/>
      <c r="AO253" s="344"/>
    </row>
    <row r="254" spans="1:41" ht="15.75" customHeight="1" x14ac:dyDescent="0.25">
      <c r="A254" s="344"/>
      <c r="B254" s="353"/>
      <c r="C254" s="344"/>
      <c r="D254" s="344"/>
      <c r="E254" s="344"/>
      <c r="F254" s="344"/>
      <c r="G254" s="344"/>
      <c r="H254" s="344"/>
      <c r="I254" s="344"/>
      <c r="J254" s="344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  <c r="Y254" s="344"/>
      <c r="Z254" s="344"/>
      <c r="AA254" s="344"/>
      <c r="AB254" s="344"/>
      <c r="AC254" s="344"/>
      <c r="AD254" s="344"/>
      <c r="AE254" s="344"/>
      <c r="AF254" s="344"/>
      <c r="AG254" s="344"/>
      <c r="AH254" s="344"/>
      <c r="AI254" s="344"/>
      <c r="AJ254" s="344"/>
      <c r="AK254" s="344"/>
      <c r="AL254" s="344"/>
      <c r="AM254" s="344"/>
      <c r="AN254" s="344"/>
      <c r="AO254" s="344"/>
    </row>
    <row r="255" spans="1:41" ht="15.75" customHeight="1" x14ac:dyDescent="0.25">
      <c r="A255" s="344"/>
      <c r="B255" s="353"/>
      <c r="C255" s="344"/>
      <c r="D255" s="344"/>
      <c r="E255" s="344"/>
      <c r="F255" s="344"/>
      <c r="G255" s="344"/>
      <c r="H255" s="344"/>
      <c r="I255" s="344"/>
      <c r="J255" s="344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  <c r="Y255" s="344"/>
      <c r="Z255" s="344"/>
      <c r="AA255" s="344"/>
      <c r="AB255" s="344"/>
      <c r="AC255" s="344"/>
      <c r="AD255" s="344"/>
      <c r="AE255" s="344"/>
      <c r="AF255" s="344"/>
      <c r="AG255" s="344"/>
      <c r="AH255" s="344"/>
      <c r="AI255" s="344"/>
      <c r="AJ255" s="344"/>
      <c r="AK255" s="344"/>
      <c r="AL255" s="344"/>
      <c r="AM255" s="344"/>
      <c r="AN255" s="344"/>
      <c r="AO255" s="344"/>
    </row>
    <row r="256" spans="1:41" ht="15.75" customHeight="1" x14ac:dyDescent="0.25">
      <c r="A256" s="344"/>
      <c r="B256" s="353"/>
      <c r="C256" s="344"/>
      <c r="D256" s="344"/>
      <c r="E256" s="344"/>
      <c r="F256" s="344"/>
      <c r="G256" s="344"/>
      <c r="H256" s="344"/>
      <c r="I256" s="344"/>
      <c r="J256" s="344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  <c r="Y256" s="344"/>
      <c r="Z256" s="344"/>
      <c r="AA256" s="344"/>
      <c r="AB256" s="344"/>
      <c r="AC256" s="344"/>
      <c r="AD256" s="344"/>
      <c r="AE256" s="344"/>
      <c r="AF256" s="344"/>
      <c r="AG256" s="344"/>
      <c r="AH256" s="344"/>
      <c r="AI256" s="344"/>
      <c r="AJ256" s="344"/>
      <c r="AK256" s="344"/>
      <c r="AL256" s="344"/>
      <c r="AM256" s="344"/>
      <c r="AN256" s="344"/>
      <c r="AO256" s="344"/>
    </row>
    <row r="257" spans="1:41" ht="15.75" customHeight="1" x14ac:dyDescent="0.25">
      <c r="A257" s="344"/>
      <c r="B257" s="353"/>
      <c r="C257" s="344"/>
      <c r="D257" s="344"/>
      <c r="E257" s="344"/>
      <c r="F257" s="344"/>
      <c r="G257" s="344"/>
      <c r="H257" s="344"/>
      <c r="I257" s="344"/>
      <c r="J257" s="344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  <c r="Y257" s="344"/>
      <c r="Z257" s="344"/>
      <c r="AA257" s="344"/>
      <c r="AB257" s="344"/>
      <c r="AC257" s="344"/>
      <c r="AD257" s="344"/>
      <c r="AE257" s="344"/>
      <c r="AF257" s="344"/>
      <c r="AG257" s="344"/>
      <c r="AH257" s="344"/>
      <c r="AI257" s="344"/>
      <c r="AJ257" s="344"/>
      <c r="AK257" s="344"/>
      <c r="AL257" s="344"/>
      <c r="AM257" s="344"/>
      <c r="AN257" s="344"/>
      <c r="AO257" s="344"/>
    </row>
    <row r="258" spans="1:41" ht="15.75" customHeight="1" x14ac:dyDescent="0.25">
      <c r="A258" s="344"/>
      <c r="B258" s="353"/>
      <c r="C258" s="344"/>
      <c r="D258" s="344"/>
      <c r="E258" s="344"/>
      <c r="F258" s="344"/>
      <c r="G258" s="344"/>
      <c r="H258" s="344"/>
      <c r="I258" s="344"/>
      <c r="J258" s="344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  <c r="Y258" s="344"/>
      <c r="Z258" s="344"/>
      <c r="AA258" s="344"/>
      <c r="AB258" s="344"/>
      <c r="AC258" s="344"/>
      <c r="AD258" s="344"/>
      <c r="AE258" s="344"/>
      <c r="AF258" s="344"/>
      <c r="AG258" s="344"/>
      <c r="AH258" s="344"/>
      <c r="AI258" s="344"/>
      <c r="AJ258" s="344"/>
      <c r="AK258" s="344"/>
      <c r="AL258" s="344"/>
      <c r="AM258" s="344"/>
      <c r="AN258" s="344"/>
      <c r="AO258" s="344"/>
    </row>
    <row r="259" spans="1:41" ht="15.75" customHeight="1" x14ac:dyDescent="0.25">
      <c r="A259" s="344"/>
      <c r="B259" s="353"/>
      <c r="C259" s="344"/>
      <c r="D259" s="344"/>
      <c r="E259" s="344"/>
      <c r="F259" s="344"/>
      <c r="G259" s="344"/>
      <c r="H259" s="344"/>
      <c r="I259" s="344"/>
      <c r="J259" s="344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  <c r="Y259" s="344"/>
      <c r="Z259" s="344"/>
      <c r="AA259" s="344"/>
      <c r="AB259" s="344"/>
      <c r="AC259" s="344"/>
      <c r="AD259" s="344"/>
      <c r="AE259" s="344"/>
      <c r="AF259" s="344"/>
      <c r="AG259" s="344"/>
      <c r="AH259" s="344"/>
      <c r="AI259" s="344"/>
      <c r="AJ259" s="344"/>
      <c r="AK259" s="344"/>
      <c r="AL259" s="344"/>
      <c r="AM259" s="344"/>
      <c r="AN259" s="344"/>
      <c r="AO259" s="344"/>
    </row>
    <row r="260" spans="1:41" ht="15.75" customHeight="1" x14ac:dyDescent="0.25">
      <c r="A260" s="344"/>
      <c r="B260" s="353"/>
      <c r="C260" s="344"/>
      <c r="D260" s="344"/>
      <c r="E260" s="344"/>
      <c r="F260" s="344"/>
      <c r="G260" s="344"/>
      <c r="H260" s="344"/>
      <c r="I260" s="344"/>
      <c r="J260" s="344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  <c r="Y260" s="344"/>
      <c r="Z260" s="344"/>
      <c r="AA260" s="344"/>
      <c r="AB260" s="344"/>
      <c r="AC260" s="344"/>
      <c r="AD260" s="344"/>
      <c r="AE260" s="344"/>
      <c r="AF260" s="344"/>
      <c r="AG260" s="344"/>
      <c r="AH260" s="344"/>
      <c r="AI260" s="344"/>
      <c r="AJ260" s="344"/>
      <c r="AK260" s="344"/>
      <c r="AL260" s="344"/>
      <c r="AM260" s="344"/>
      <c r="AN260" s="344"/>
      <c r="AO260" s="344"/>
    </row>
    <row r="261" spans="1:41" ht="15.75" customHeight="1" x14ac:dyDescent="0.25">
      <c r="A261" s="344"/>
      <c r="B261" s="353"/>
      <c r="C261" s="344"/>
      <c r="D261" s="344"/>
      <c r="E261" s="344"/>
      <c r="F261" s="344"/>
      <c r="G261" s="344"/>
      <c r="H261" s="344"/>
      <c r="I261" s="344"/>
      <c r="J261" s="344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  <c r="Y261" s="344"/>
      <c r="Z261" s="344"/>
      <c r="AA261" s="344"/>
      <c r="AB261" s="344"/>
      <c r="AC261" s="344"/>
      <c r="AD261" s="344"/>
      <c r="AE261" s="344"/>
      <c r="AF261" s="344"/>
      <c r="AG261" s="344"/>
      <c r="AH261" s="344"/>
      <c r="AI261" s="344"/>
      <c r="AJ261" s="344"/>
      <c r="AK261" s="344"/>
      <c r="AL261" s="344"/>
      <c r="AM261" s="344"/>
      <c r="AN261" s="344"/>
      <c r="AO261" s="344"/>
    </row>
    <row r="262" spans="1:41" ht="15.75" customHeight="1" x14ac:dyDescent="0.25">
      <c r="A262" s="344"/>
      <c r="B262" s="353"/>
      <c r="C262" s="344"/>
      <c r="D262" s="344"/>
      <c r="E262" s="344"/>
      <c r="F262" s="344"/>
      <c r="G262" s="344"/>
      <c r="H262" s="344"/>
      <c r="I262" s="344"/>
      <c r="J262" s="344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  <c r="Y262" s="344"/>
      <c r="Z262" s="344"/>
      <c r="AA262" s="344"/>
      <c r="AB262" s="344"/>
      <c r="AC262" s="344"/>
      <c r="AD262" s="344"/>
      <c r="AE262" s="344"/>
      <c r="AF262" s="344"/>
      <c r="AG262" s="344"/>
      <c r="AH262" s="344"/>
      <c r="AI262" s="344"/>
      <c r="AJ262" s="344"/>
      <c r="AK262" s="344"/>
      <c r="AL262" s="344"/>
      <c r="AM262" s="344"/>
      <c r="AN262" s="344"/>
      <c r="AO262" s="344"/>
    </row>
    <row r="263" spans="1:41" ht="15.75" customHeight="1" x14ac:dyDescent="0.25">
      <c r="A263" s="344"/>
      <c r="B263" s="353"/>
      <c r="C263" s="344"/>
      <c r="D263" s="344"/>
      <c r="E263" s="344"/>
      <c r="F263" s="344"/>
      <c r="G263" s="344"/>
      <c r="H263" s="344"/>
      <c r="I263" s="344"/>
      <c r="J263" s="344"/>
      <c r="K263" s="344"/>
      <c r="L263" s="344"/>
      <c r="M263" s="344"/>
      <c r="N263" s="344"/>
      <c r="O263" s="344"/>
      <c r="P263" s="344"/>
      <c r="Q263" s="344"/>
      <c r="R263" s="344"/>
      <c r="S263" s="344"/>
      <c r="T263" s="344"/>
      <c r="U263" s="344"/>
      <c r="V263" s="344"/>
      <c r="W263" s="344"/>
      <c r="X263" s="344"/>
      <c r="Y263" s="344"/>
      <c r="Z263" s="344"/>
      <c r="AA263" s="344"/>
      <c r="AB263" s="344"/>
      <c r="AC263" s="344"/>
      <c r="AD263" s="344"/>
      <c r="AE263" s="344"/>
      <c r="AF263" s="344"/>
      <c r="AG263" s="344"/>
      <c r="AH263" s="344"/>
      <c r="AI263" s="344"/>
      <c r="AJ263" s="344"/>
      <c r="AK263" s="344"/>
      <c r="AL263" s="344"/>
      <c r="AM263" s="344"/>
      <c r="AN263" s="344"/>
      <c r="AO263" s="344"/>
    </row>
    <row r="264" spans="1:41" ht="15.75" customHeight="1" x14ac:dyDescent="0.25">
      <c r="A264" s="344"/>
      <c r="B264" s="353"/>
      <c r="C264" s="344"/>
      <c r="D264" s="344"/>
      <c r="E264" s="344"/>
      <c r="F264" s="344"/>
      <c r="G264" s="344"/>
      <c r="H264" s="344"/>
      <c r="I264" s="344"/>
      <c r="J264" s="344"/>
      <c r="K264" s="344"/>
      <c r="L264" s="344"/>
      <c r="M264" s="344"/>
      <c r="N264" s="344"/>
      <c r="O264" s="344"/>
      <c r="P264" s="344"/>
      <c r="Q264" s="344"/>
      <c r="R264" s="344"/>
      <c r="S264" s="344"/>
      <c r="T264" s="344"/>
      <c r="U264" s="344"/>
      <c r="V264" s="344"/>
      <c r="W264" s="344"/>
      <c r="X264" s="344"/>
      <c r="Y264" s="344"/>
      <c r="Z264" s="344"/>
      <c r="AA264" s="344"/>
      <c r="AB264" s="344"/>
      <c r="AC264" s="344"/>
      <c r="AD264" s="344"/>
      <c r="AE264" s="344"/>
      <c r="AF264" s="344"/>
      <c r="AG264" s="344"/>
      <c r="AH264" s="344"/>
      <c r="AI264" s="344"/>
      <c r="AJ264" s="344"/>
      <c r="AK264" s="344"/>
      <c r="AL264" s="344"/>
      <c r="AM264" s="344"/>
      <c r="AN264" s="344"/>
      <c r="AO264" s="344"/>
    </row>
    <row r="265" spans="1:41" ht="15.75" customHeight="1" x14ac:dyDescent="0.25">
      <c r="A265" s="344"/>
      <c r="B265" s="353"/>
      <c r="C265" s="344"/>
      <c r="D265" s="344"/>
      <c r="E265" s="344"/>
      <c r="F265" s="344"/>
      <c r="G265" s="344"/>
      <c r="H265" s="344"/>
      <c r="I265" s="344"/>
      <c r="J265" s="344"/>
      <c r="K265" s="344"/>
      <c r="L265" s="344"/>
      <c r="M265" s="344"/>
      <c r="N265" s="344"/>
      <c r="O265" s="344"/>
      <c r="P265" s="344"/>
      <c r="Q265" s="344"/>
      <c r="R265" s="344"/>
      <c r="S265" s="344"/>
      <c r="T265" s="344"/>
      <c r="U265" s="344"/>
      <c r="V265" s="344"/>
      <c r="W265" s="344"/>
      <c r="X265" s="344"/>
      <c r="Y265" s="344"/>
      <c r="Z265" s="344"/>
      <c r="AA265" s="344"/>
      <c r="AB265" s="344"/>
      <c r="AC265" s="344"/>
      <c r="AD265" s="344"/>
      <c r="AE265" s="344"/>
      <c r="AF265" s="344"/>
      <c r="AG265" s="344"/>
      <c r="AH265" s="344"/>
      <c r="AI265" s="344"/>
      <c r="AJ265" s="344"/>
      <c r="AK265" s="344"/>
      <c r="AL265" s="344"/>
      <c r="AM265" s="344"/>
      <c r="AN265" s="344"/>
      <c r="AO265" s="344"/>
    </row>
    <row r="266" spans="1:41" ht="15.75" customHeight="1" x14ac:dyDescent="0.25">
      <c r="A266" s="344"/>
      <c r="B266" s="353"/>
      <c r="C266" s="344"/>
      <c r="D266" s="344"/>
      <c r="E266" s="344"/>
      <c r="F266" s="344"/>
      <c r="G266" s="344"/>
      <c r="H266" s="344"/>
      <c r="I266" s="344"/>
      <c r="J266" s="344"/>
      <c r="K266" s="344"/>
      <c r="L266" s="344"/>
      <c r="M266" s="344"/>
      <c r="N266" s="344"/>
      <c r="O266" s="344"/>
      <c r="P266" s="344"/>
      <c r="Q266" s="344"/>
      <c r="R266" s="344"/>
      <c r="S266" s="344"/>
      <c r="T266" s="344"/>
      <c r="U266" s="344"/>
      <c r="V266" s="344"/>
      <c r="W266" s="344"/>
      <c r="X266" s="344"/>
      <c r="Y266" s="344"/>
      <c r="Z266" s="344"/>
      <c r="AA266" s="344"/>
      <c r="AB266" s="344"/>
      <c r="AC266" s="344"/>
      <c r="AD266" s="344"/>
      <c r="AE266" s="344"/>
      <c r="AF266" s="344"/>
      <c r="AG266" s="344"/>
      <c r="AH266" s="344"/>
      <c r="AI266" s="344"/>
      <c r="AJ266" s="344"/>
      <c r="AK266" s="344"/>
      <c r="AL266" s="344"/>
      <c r="AM266" s="344"/>
      <c r="AN266" s="344"/>
      <c r="AO266" s="344"/>
    </row>
    <row r="267" spans="1:41" ht="15.75" customHeight="1" x14ac:dyDescent="0.25">
      <c r="A267" s="344"/>
      <c r="B267" s="353"/>
      <c r="C267" s="344"/>
      <c r="D267" s="344"/>
      <c r="E267" s="344"/>
      <c r="F267" s="344"/>
      <c r="G267" s="344"/>
      <c r="H267" s="344"/>
      <c r="I267" s="344"/>
      <c r="J267" s="344"/>
      <c r="K267" s="344"/>
      <c r="L267" s="344"/>
      <c r="M267" s="344"/>
      <c r="N267" s="344"/>
      <c r="O267" s="344"/>
      <c r="P267" s="344"/>
      <c r="Q267" s="344"/>
      <c r="R267" s="344"/>
      <c r="S267" s="344"/>
      <c r="T267" s="344"/>
      <c r="U267" s="344"/>
      <c r="V267" s="344"/>
      <c r="W267" s="344"/>
      <c r="X267" s="344"/>
      <c r="Y267" s="344"/>
      <c r="Z267" s="344"/>
      <c r="AA267" s="344"/>
      <c r="AB267" s="344"/>
      <c r="AC267" s="344"/>
      <c r="AD267" s="344"/>
      <c r="AE267" s="344"/>
      <c r="AF267" s="344"/>
      <c r="AG267" s="344"/>
      <c r="AH267" s="344"/>
      <c r="AI267" s="344"/>
      <c r="AJ267" s="344"/>
      <c r="AK267" s="344"/>
      <c r="AL267" s="344"/>
      <c r="AM267" s="344"/>
      <c r="AN267" s="344"/>
      <c r="AO267" s="344"/>
    </row>
    <row r="268" spans="1:41" ht="15.75" customHeight="1" x14ac:dyDescent="0.25">
      <c r="A268" s="344"/>
      <c r="B268" s="353"/>
      <c r="C268" s="344"/>
      <c r="D268" s="344"/>
      <c r="E268" s="344"/>
      <c r="F268" s="344"/>
      <c r="G268" s="344"/>
      <c r="H268" s="344"/>
      <c r="I268" s="344"/>
      <c r="J268" s="344"/>
      <c r="K268" s="344"/>
      <c r="L268" s="344"/>
      <c r="M268" s="344"/>
      <c r="N268" s="344"/>
      <c r="O268" s="344"/>
      <c r="P268" s="344"/>
      <c r="Q268" s="344"/>
      <c r="R268" s="344"/>
      <c r="S268" s="344"/>
      <c r="T268" s="344"/>
      <c r="U268" s="344"/>
      <c r="V268" s="344"/>
      <c r="W268" s="344"/>
      <c r="X268" s="344"/>
      <c r="Y268" s="344"/>
      <c r="Z268" s="344"/>
      <c r="AA268" s="344"/>
      <c r="AB268" s="344"/>
      <c r="AC268" s="344"/>
      <c r="AD268" s="344"/>
      <c r="AE268" s="344"/>
      <c r="AF268" s="344"/>
      <c r="AG268" s="344"/>
      <c r="AH268" s="344"/>
      <c r="AI268" s="344"/>
      <c r="AJ268" s="344"/>
      <c r="AK268" s="344"/>
      <c r="AL268" s="344"/>
      <c r="AM268" s="344"/>
      <c r="AN268" s="344"/>
      <c r="AO268" s="344"/>
    </row>
    <row r="269" spans="1:41" ht="15.75" customHeight="1" x14ac:dyDescent="0.25">
      <c r="A269" s="344"/>
      <c r="B269" s="353"/>
      <c r="C269" s="344"/>
      <c r="D269" s="344"/>
      <c r="E269" s="344"/>
      <c r="F269" s="344"/>
      <c r="G269" s="344"/>
      <c r="H269" s="344"/>
      <c r="I269" s="344"/>
      <c r="J269" s="344"/>
      <c r="K269" s="344"/>
      <c r="L269" s="344"/>
      <c r="M269" s="344"/>
      <c r="N269" s="344"/>
      <c r="O269" s="344"/>
      <c r="P269" s="344"/>
      <c r="Q269" s="344"/>
      <c r="R269" s="344"/>
      <c r="S269" s="344"/>
      <c r="T269" s="344"/>
      <c r="U269" s="344"/>
      <c r="V269" s="344"/>
      <c r="W269" s="344"/>
      <c r="X269" s="344"/>
      <c r="Y269" s="344"/>
      <c r="Z269" s="344"/>
      <c r="AA269" s="344"/>
      <c r="AB269" s="344"/>
      <c r="AC269" s="344"/>
      <c r="AD269" s="344"/>
      <c r="AE269" s="344"/>
      <c r="AF269" s="344"/>
      <c r="AG269" s="344"/>
      <c r="AH269" s="344"/>
      <c r="AI269" s="344"/>
      <c r="AJ269" s="344"/>
      <c r="AK269" s="344"/>
      <c r="AL269" s="344"/>
      <c r="AM269" s="344"/>
      <c r="AN269" s="344"/>
      <c r="AO269" s="344"/>
    </row>
    <row r="270" spans="1:41" ht="15.75" customHeight="1" x14ac:dyDescent="0.25">
      <c r="A270" s="344"/>
      <c r="B270" s="353"/>
      <c r="C270" s="344"/>
      <c r="D270" s="344"/>
      <c r="E270" s="344"/>
      <c r="F270" s="344"/>
      <c r="G270" s="344"/>
      <c r="H270" s="344"/>
      <c r="I270" s="344"/>
      <c r="J270" s="344"/>
      <c r="K270" s="344"/>
      <c r="L270" s="344"/>
      <c r="M270" s="344"/>
      <c r="N270" s="344"/>
      <c r="O270" s="344"/>
      <c r="P270" s="344"/>
      <c r="Q270" s="344"/>
      <c r="R270" s="344"/>
      <c r="S270" s="344"/>
      <c r="T270" s="344"/>
      <c r="U270" s="344"/>
      <c r="V270" s="344"/>
      <c r="W270" s="344"/>
      <c r="X270" s="344"/>
      <c r="Y270" s="344"/>
      <c r="Z270" s="344"/>
      <c r="AA270" s="344"/>
      <c r="AB270" s="344"/>
      <c r="AC270" s="344"/>
      <c r="AD270" s="344"/>
      <c r="AE270" s="344"/>
      <c r="AF270" s="344"/>
      <c r="AG270" s="344"/>
      <c r="AH270" s="344"/>
      <c r="AI270" s="344"/>
      <c r="AJ270" s="344"/>
      <c r="AK270" s="344"/>
      <c r="AL270" s="344"/>
      <c r="AM270" s="344"/>
      <c r="AN270" s="344"/>
      <c r="AO270" s="344"/>
    </row>
    <row r="271" spans="1:41" ht="15.75" customHeight="1" x14ac:dyDescent="0.25">
      <c r="A271" s="344"/>
      <c r="B271" s="353"/>
      <c r="C271" s="344"/>
      <c r="D271" s="344"/>
      <c r="E271" s="344"/>
      <c r="F271" s="344"/>
      <c r="G271" s="344"/>
      <c r="H271" s="344"/>
      <c r="I271" s="344"/>
      <c r="J271" s="344"/>
      <c r="K271" s="344"/>
      <c r="L271" s="344"/>
      <c r="M271" s="344"/>
      <c r="N271" s="344"/>
      <c r="O271" s="344"/>
      <c r="P271" s="344"/>
      <c r="Q271" s="344"/>
      <c r="R271" s="344"/>
      <c r="S271" s="344"/>
      <c r="T271" s="344"/>
      <c r="U271" s="344"/>
      <c r="V271" s="344"/>
      <c r="W271" s="344"/>
      <c r="X271" s="344"/>
      <c r="Y271" s="344"/>
      <c r="Z271" s="344"/>
      <c r="AA271" s="344"/>
      <c r="AB271" s="344"/>
      <c r="AC271" s="344"/>
      <c r="AD271" s="344"/>
      <c r="AE271" s="344"/>
      <c r="AF271" s="344"/>
      <c r="AG271" s="344"/>
      <c r="AH271" s="344"/>
      <c r="AI271" s="344"/>
      <c r="AJ271" s="344"/>
      <c r="AK271" s="344"/>
      <c r="AL271" s="344"/>
      <c r="AM271" s="344"/>
      <c r="AN271" s="344"/>
      <c r="AO271" s="344"/>
    </row>
    <row r="272" spans="1:41" ht="15.75" customHeight="1" x14ac:dyDescent="0.25">
      <c r="A272" s="344"/>
      <c r="B272" s="353"/>
      <c r="C272" s="344"/>
      <c r="D272" s="344"/>
      <c r="E272" s="344"/>
      <c r="F272" s="344"/>
      <c r="G272" s="344"/>
      <c r="H272" s="344"/>
      <c r="I272" s="344"/>
      <c r="J272" s="344"/>
      <c r="K272" s="344"/>
      <c r="L272" s="344"/>
      <c r="M272" s="344"/>
      <c r="N272" s="344"/>
      <c r="O272" s="344"/>
      <c r="P272" s="344"/>
      <c r="Q272" s="344"/>
      <c r="R272" s="344"/>
      <c r="S272" s="344"/>
      <c r="T272" s="344"/>
      <c r="U272" s="344"/>
      <c r="V272" s="344"/>
      <c r="W272" s="344"/>
      <c r="X272" s="344"/>
      <c r="Y272" s="344"/>
      <c r="Z272" s="344"/>
      <c r="AA272" s="344"/>
      <c r="AB272" s="344"/>
      <c r="AC272" s="344"/>
      <c r="AD272" s="344"/>
      <c r="AE272" s="344"/>
      <c r="AF272" s="344"/>
      <c r="AG272" s="344"/>
      <c r="AH272" s="344"/>
      <c r="AI272" s="344"/>
      <c r="AJ272" s="344"/>
      <c r="AK272" s="344"/>
      <c r="AL272" s="344"/>
      <c r="AM272" s="344"/>
      <c r="AN272" s="344"/>
      <c r="AO272" s="344"/>
    </row>
    <row r="273" spans="1:41" ht="15.75" customHeight="1" x14ac:dyDescent="0.25">
      <c r="A273" s="344"/>
      <c r="B273" s="353"/>
      <c r="C273" s="344"/>
      <c r="D273" s="344"/>
      <c r="E273" s="344"/>
      <c r="F273" s="344"/>
      <c r="G273" s="344"/>
      <c r="H273" s="344"/>
      <c r="I273" s="344"/>
      <c r="J273" s="344"/>
      <c r="K273" s="344"/>
      <c r="L273" s="344"/>
      <c r="M273" s="344"/>
      <c r="N273" s="344"/>
      <c r="O273" s="344"/>
      <c r="P273" s="344"/>
      <c r="Q273" s="344"/>
      <c r="R273" s="344"/>
      <c r="S273" s="344"/>
      <c r="T273" s="344"/>
      <c r="U273" s="344"/>
      <c r="V273" s="344"/>
      <c r="W273" s="344"/>
      <c r="X273" s="344"/>
      <c r="Y273" s="344"/>
      <c r="Z273" s="344"/>
      <c r="AA273" s="344"/>
      <c r="AB273" s="344"/>
      <c r="AC273" s="344"/>
      <c r="AD273" s="344"/>
      <c r="AE273" s="344"/>
      <c r="AF273" s="344"/>
      <c r="AG273" s="344"/>
      <c r="AH273" s="344"/>
      <c r="AI273" s="344"/>
      <c r="AJ273" s="344"/>
      <c r="AK273" s="344"/>
      <c r="AL273" s="344"/>
      <c r="AM273" s="344"/>
      <c r="AN273" s="344"/>
      <c r="AO273" s="344"/>
    </row>
    <row r="274" spans="1:41" ht="15.75" customHeight="1" x14ac:dyDescent="0.25">
      <c r="A274" s="344"/>
      <c r="B274" s="353"/>
      <c r="C274" s="344"/>
      <c r="D274" s="344"/>
      <c r="E274" s="344"/>
      <c r="F274" s="344"/>
      <c r="G274" s="344"/>
      <c r="H274" s="344"/>
      <c r="I274" s="344"/>
      <c r="J274" s="344"/>
      <c r="K274" s="344"/>
      <c r="L274" s="344"/>
      <c r="M274" s="344"/>
      <c r="N274" s="344"/>
      <c r="O274" s="344"/>
      <c r="P274" s="344"/>
      <c r="Q274" s="344"/>
      <c r="R274" s="344"/>
      <c r="S274" s="344"/>
      <c r="T274" s="344"/>
      <c r="U274" s="344"/>
      <c r="V274" s="344"/>
      <c r="W274" s="344"/>
      <c r="X274" s="344"/>
      <c r="Y274" s="344"/>
      <c r="Z274" s="344"/>
      <c r="AA274" s="344"/>
      <c r="AB274" s="344"/>
      <c r="AC274" s="344"/>
      <c r="AD274" s="344"/>
      <c r="AE274" s="344"/>
      <c r="AF274" s="344"/>
      <c r="AG274" s="344"/>
      <c r="AH274" s="344"/>
      <c r="AI274" s="344"/>
      <c r="AJ274" s="344"/>
      <c r="AK274" s="344"/>
      <c r="AL274" s="344"/>
      <c r="AM274" s="344"/>
      <c r="AN274" s="344"/>
      <c r="AO274" s="344"/>
    </row>
    <row r="275" spans="1:41" ht="15.75" customHeight="1" x14ac:dyDescent="0.25">
      <c r="A275" s="344"/>
      <c r="B275" s="353"/>
      <c r="C275" s="344"/>
      <c r="D275" s="344"/>
      <c r="E275" s="344"/>
      <c r="F275" s="344"/>
      <c r="G275" s="344"/>
      <c r="H275" s="344"/>
      <c r="I275" s="344"/>
      <c r="J275" s="344"/>
      <c r="K275" s="344"/>
      <c r="L275" s="344"/>
      <c r="M275" s="344"/>
      <c r="N275" s="344"/>
      <c r="O275" s="344"/>
      <c r="P275" s="344"/>
      <c r="Q275" s="344"/>
      <c r="R275" s="344"/>
      <c r="S275" s="344"/>
      <c r="T275" s="344"/>
      <c r="U275" s="344"/>
      <c r="V275" s="344"/>
      <c r="W275" s="344"/>
      <c r="X275" s="344"/>
      <c r="Y275" s="344"/>
      <c r="Z275" s="344"/>
      <c r="AA275" s="344"/>
      <c r="AB275" s="344"/>
      <c r="AC275" s="344"/>
      <c r="AD275" s="344"/>
      <c r="AE275" s="344"/>
      <c r="AF275" s="344"/>
      <c r="AG275" s="344"/>
      <c r="AH275" s="344"/>
      <c r="AI275" s="344"/>
      <c r="AJ275" s="344"/>
      <c r="AK275" s="344"/>
      <c r="AL275" s="344"/>
      <c r="AM275" s="344"/>
      <c r="AN275" s="344"/>
      <c r="AO275" s="344"/>
    </row>
    <row r="276" spans="1:41" ht="15.75" customHeight="1" x14ac:dyDescent="0.25">
      <c r="A276" s="344"/>
      <c r="B276" s="353"/>
      <c r="C276" s="344"/>
      <c r="D276" s="344"/>
      <c r="E276" s="344"/>
      <c r="F276" s="344"/>
      <c r="G276" s="344"/>
      <c r="H276" s="344"/>
      <c r="I276" s="344"/>
      <c r="J276" s="344"/>
      <c r="K276" s="344"/>
      <c r="L276" s="344"/>
      <c r="M276" s="344"/>
      <c r="N276" s="344"/>
      <c r="O276" s="344"/>
      <c r="P276" s="344"/>
      <c r="Q276" s="344"/>
      <c r="R276" s="344"/>
      <c r="S276" s="344"/>
      <c r="T276" s="344"/>
      <c r="U276" s="344"/>
      <c r="V276" s="344"/>
      <c r="W276" s="344"/>
      <c r="X276" s="344"/>
      <c r="Y276" s="344"/>
      <c r="Z276" s="344"/>
      <c r="AA276" s="344"/>
      <c r="AB276" s="344"/>
      <c r="AC276" s="344"/>
      <c r="AD276" s="344"/>
      <c r="AE276" s="344"/>
      <c r="AF276" s="344"/>
      <c r="AG276" s="344"/>
      <c r="AH276" s="344"/>
      <c r="AI276" s="344"/>
      <c r="AJ276" s="344"/>
      <c r="AK276" s="344"/>
      <c r="AL276" s="344"/>
      <c r="AM276" s="344"/>
      <c r="AN276" s="344"/>
      <c r="AO276" s="344"/>
    </row>
    <row r="277" spans="1:41" ht="15.75" customHeight="1" x14ac:dyDescent="0.25">
      <c r="A277" s="344"/>
      <c r="B277" s="353"/>
      <c r="C277" s="344"/>
      <c r="D277" s="344"/>
      <c r="E277" s="344"/>
      <c r="F277" s="344"/>
      <c r="G277" s="344"/>
      <c r="H277" s="344"/>
      <c r="I277" s="344"/>
      <c r="J277" s="344"/>
      <c r="K277" s="344"/>
      <c r="L277" s="344"/>
      <c r="M277" s="344"/>
      <c r="N277" s="344"/>
      <c r="O277" s="344"/>
      <c r="P277" s="344"/>
      <c r="Q277" s="344"/>
      <c r="R277" s="344"/>
      <c r="S277" s="344"/>
      <c r="T277" s="344"/>
      <c r="U277" s="344"/>
      <c r="V277" s="344"/>
      <c r="W277" s="344"/>
      <c r="X277" s="344"/>
      <c r="Y277" s="344"/>
      <c r="Z277" s="344"/>
      <c r="AA277" s="344"/>
      <c r="AB277" s="344"/>
      <c r="AC277" s="344"/>
      <c r="AD277" s="344"/>
      <c r="AE277" s="344"/>
      <c r="AF277" s="344"/>
      <c r="AG277" s="344"/>
      <c r="AH277" s="344"/>
      <c r="AI277" s="344"/>
      <c r="AJ277" s="344"/>
      <c r="AK277" s="344"/>
      <c r="AL277" s="344"/>
      <c r="AM277" s="344"/>
      <c r="AN277" s="344"/>
      <c r="AO277" s="344"/>
    </row>
    <row r="278" spans="1:41" ht="15.75" customHeight="1" x14ac:dyDescent="0.25">
      <c r="A278" s="344"/>
      <c r="B278" s="353"/>
      <c r="C278" s="344"/>
      <c r="D278" s="344"/>
      <c r="E278" s="344"/>
      <c r="F278" s="344"/>
      <c r="G278" s="344"/>
      <c r="H278" s="344"/>
      <c r="I278" s="344"/>
      <c r="J278" s="344"/>
      <c r="K278" s="344"/>
      <c r="L278" s="344"/>
      <c r="M278" s="344"/>
      <c r="N278" s="344"/>
      <c r="O278" s="344"/>
      <c r="P278" s="344"/>
      <c r="Q278" s="344"/>
      <c r="R278" s="344"/>
      <c r="S278" s="344"/>
      <c r="T278" s="344"/>
      <c r="U278" s="344"/>
      <c r="V278" s="344"/>
      <c r="W278" s="344"/>
      <c r="X278" s="344"/>
      <c r="Y278" s="344"/>
      <c r="Z278" s="344"/>
      <c r="AA278" s="344"/>
      <c r="AB278" s="344"/>
      <c r="AC278" s="344"/>
      <c r="AD278" s="344"/>
      <c r="AE278" s="344"/>
      <c r="AF278" s="344"/>
      <c r="AG278" s="344"/>
      <c r="AH278" s="344"/>
      <c r="AI278" s="344"/>
      <c r="AJ278" s="344"/>
      <c r="AK278" s="344"/>
      <c r="AL278" s="344"/>
      <c r="AM278" s="344"/>
      <c r="AN278" s="344"/>
      <c r="AO278" s="344"/>
    </row>
    <row r="279" spans="1:41" ht="15.75" customHeight="1" x14ac:dyDescent="0.25">
      <c r="A279" s="344"/>
      <c r="B279" s="353"/>
      <c r="C279" s="344"/>
      <c r="D279" s="344"/>
      <c r="E279" s="344"/>
      <c r="F279" s="344"/>
      <c r="G279" s="344"/>
      <c r="H279" s="344"/>
      <c r="I279" s="344"/>
      <c r="J279" s="344"/>
      <c r="K279" s="344"/>
      <c r="L279" s="344"/>
      <c r="M279" s="344"/>
      <c r="N279" s="344"/>
      <c r="O279" s="344"/>
      <c r="P279" s="344"/>
      <c r="Q279" s="344"/>
      <c r="R279" s="344"/>
      <c r="S279" s="344"/>
      <c r="T279" s="344"/>
      <c r="U279" s="344"/>
      <c r="V279" s="344"/>
      <c r="W279" s="344"/>
      <c r="X279" s="344"/>
      <c r="Y279" s="344"/>
      <c r="Z279" s="344"/>
      <c r="AA279" s="344"/>
      <c r="AB279" s="344"/>
      <c r="AC279" s="344"/>
      <c r="AD279" s="344"/>
      <c r="AE279" s="344"/>
      <c r="AF279" s="344"/>
      <c r="AG279" s="344"/>
      <c r="AH279" s="344"/>
      <c r="AI279" s="344"/>
      <c r="AJ279" s="344"/>
      <c r="AK279" s="344"/>
      <c r="AL279" s="344"/>
      <c r="AM279" s="344"/>
      <c r="AN279" s="344"/>
      <c r="AO279" s="344"/>
    </row>
    <row r="280" spans="1:41" ht="15.75" customHeight="1" x14ac:dyDescent="0.25">
      <c r="A280" s="344"/>
      <c r="B280" s="353"/>
      <c r="C280" s="344"/>
      <c r="D280" s="344"/>
      <c r="E280" s="344"/>
      <c r="F280" s="344"/>
      <c r="G280" s="344"/>
      <c r="H280" s="344"/>
      <c r="I280" s="344"/>
      <c r="J280" s="344"/>
      <c r="K280" s="344"/>
      <c r="L280" s="344"/>
      <c r="M280" s="344"/>
      <c r="N280" s="344"/>
      <c r="O280" s="344"/>
      <c r="P280" s="344"/>
      <c r="Q280" s="344"/>
      <c r="R280" s="344"/>
      <c r="S280" s="344"/>
      <c r="T280" s="344"/>
      <c r="U280" s="344"/>
      <c r="V280" s="344"/>
      <c r="W280" s="344"/>
      <c r="X280" s="344"/>
      <c r="Y280" s="344"/>
      <c r="Z280" s="344"/>
      <c r="AA280" s="344"/>
      <c r="AB280" s="344"/>
      <c r="AC280" s="344"/>
      <c r="AD280" s="344"/>
      <c r="AE280" s="344"/>
      <c r="AF280" s="344"/>
      <c r="AG280" s="344"/>
      <c r="AH280" s="344"/>
      <c r="AI280" s="344"/>
      <c r="AJ280" s="344"/>
      <c r="AK280" s="344"/>
      <c r="AL280" s="344"/>
      <c r="AM280" s="344"/>
      <c r="AN280" s="344"/>
      <c r="AO280" s="344"/>
    </row>
    <row r="281" spans="1:41" ht="15.75" customHeight="1" x14ac:dyDescent="0.25">
      <c r="A281" s="344"/>
      <c r="B281" s="353"/>
      <c r="C281" s="344"/>
      <c r="D281" s="344"/>
      <c r="E281" s="344"/>
      <c r="F281" s="344"/>
      <c r="G281" s="344"/>
      <c r="H281" s="344"/>
      <c r="I281" s="344"/>
      <c r="J281" s="344"/>
      <c r="K281" s="344"/>
      <c r="L281" s="344"/>
      <c r="M281" s="344"/>
      <c r="N281" s="344"/>
      <c r="O281" s="344"/>
      <c r="P281" s="344"/>
      <c r="Q281" s="344"/>
      <c r="R281" s="344"/>
      <c r="S281" s="344"/>
      <c r="T281" s="344"/>
      <c r="U281" s="344"/>
      <c r="V281" s="344"/>
      <c r="W281" s="344"/>
      <c r="X281" s="344"/>
      <c r="Y281" s="344"/>
      <c r="Z281" s="344"/>
      <c r="AA281" s="344"/>
      <c r="AB281" s="344"/>
      <c r="AC281" s="344"/>
      <c r="AD281" s="344"/>
      <c r="AE281" s="344"/>
      <c r="AF281" s="344"/>
      <c r="AG281" s="344"/>
      <c r="AH281" s="344"/>
      <c r="AI281" s="344"/>
      <c r="AJ281" s="344"/>
      <c r="AK281" s="344"/>
      <c r="AL281" s="344"/>
      <c r="AM281" s="344"/>
      <c r="AN281" s="344"/>
      <c r="AO281" s="344"/>
    </row>
    <row r="282" spans="1:41" ht="15.75" customHeight="1" x14ac:dyDescent="0.25">
      <c r="A282" s="344"/>
      <c r="B282" s="353"/>
      <c r="C282" s="344"/>
      <c r="D282" s="344"/>
      <c r="E282" s="344"/>
      <c r="F282" s="344"/>
      <c r="G282" s="344"/>
      <c r="H282" s="344"/>
      <c r="I282" s="344"/>
      <c r="J282" s="344"/>
      <c r="K282" s="344"/>
      <c r="L282" s="344"/>
      <c r="M282" s="344"/>
      <c r="N282" s="344"/>
      <c r="O282" s="344"/>
      <c r="P282" s="344"/>
      <c r="Q282" s="344"/>
      <c r="R282" s="344"/>
      <c r="S282" s="344"/>
      <c r="T282" s="344"/>
      <c r="U282" s="344"/>
      <c r="V282" s="344"/>
      <c r="W282" s="344"/>
      <c r="X282" s="344"/>
      <c r="Y282" s="344"/>
      <c r="Z282" s="344"/>
      <c r="AA282" s="344"/>
      <c r="AB282" s="344"/>
      <c r="AC282" s="344"/>
      <c r="AD282" s="344"/>
      <c r="AE282" s="344"/>
      <c r="AF282" s="344"/>
      <c r="AG282" s="344"/>
      <c r="AH282" s="344"/>
      <c r="AI282" s="344"/>
      <c r="AJ282" s="344"/>
      <c r="AK282" s="344"/>
      <c r="AL282" s="344"/>
      <c r="AM282" s="344"/>
      <c r="AN282" s="344"/>
      <c r="AO282" s="344"/>
    </row>
    <row r="283" spans="1:41" ht="15.75" customHeight="1" x14ac:dyDescent="0.25">
      <c r="A283" s="344"/>
      <c r="B283" s="353"/>
      <c r="C283" s="344"/>
      <c r="D283" s="344"/>
      <c r="E283" s="344"/>
      <c r="F283" s="344"/>
      <c r="G283" s="344"/>
      <c r="H283" s="344"/>
      <c r="I283" s="344"/>
      <c r="J283" s="344"/>
      <c r="K283" s="344"/>
      <c r="L283" s="344"/>
      <c r="M283" s="344"/>
      <c r="N283" s="344"/>
      <c r="O283" s="344"/>
      <c r="P283" s="344"/>
      <c r="Q283" s="344"/>
      <c r="R283" s="344"/>
      <c r="S283" s="344"/>
      <c r="T283" s="344"/>
      <c r="U283" s="344"/>
      <c r="V283" s="344"/>
      <c r="W283" s="344"/>
      <c r="X283" s="344"/>
      <c r="Y283" s="344"/>
      <c r="Z283" s="344"/>
      <c r="AA283" s="344"/>
      <c r="AB283" s="344"/>
      <c r="AC283" s="344"/>
      <c r="AD283" s="344"/>
      <c r="AE283" s="344"/>
      <c r="AF283" s="344"/>
      <c r="AG283" s="344"/>
      <c r="AH283" s="344"/>
      <c r="AI283" s="344"/>
      <c r="AJ283" s="344"/>
      <c r="AK283" s="344"/>
      <c r="AL283" s="344"/>
      <c r="AM283" s="344"/>
      <c r="AN283" s="344"/>
      <c r="AO283" s="344"/>
    </row>
    <row r="284" spans="1:41" ht="15.75" customHeight="1" x14ac:dyDescent="0.25">
      <c r="A284" s="344"/>
      <c r="B284" s="353"/>
      <c r="C284" s="344"/>
      <c r="D284" s="344"/>
      <c r="E284" s="344"/>
      <c r="F284" s="344"/>
      <c r="G284" s="344"/>
      <c r="H284" s="344"/>
      <c r="I284" s="344"/>
      <c r="J284" s="344"/>
      <c r="K284" s="344"/>
      <c r="L284" s="344"/>
      <c r="M284" s="344"/>
      <c r="N284" s="344"/>
      <c r="O284" s="344"/>
      <c r="P284" s="344"/>
      <c r="Q284" s="344"/>
      <c r="R284" s="344"/>
      <c r="S284" s="344"/>
      <c r="T284" s="344"/>
      <c r="U284" s="344"/>
      <c r="V284" s="344"/>
      <c r="W284" s="344"/>
      <c r="X284" s="344"/>
      <c r="Y284" s="344"/>
      <c r="Z284" s="344"/>
      <c r="AA284" s="344"/>
      <c r="AB284" s="344"/>
      <c r="AC284" s="344"/>
      <c r="AD284" s="344"/>
      <c r="AE284" s="344"/>
      <c r="AF284" s="344"/>
      <c r="AG284" s="344"/>
      <c r="AH284" s="344"/>
      <c r="AI284" s="344"/>
      <c r="AJ284" s="344"/>
      <c r="AK284" s="344"/>
      <c r="AL284" s="344"/>
      <c r="AM284" s="344"/>
      <c r="AN284" s="344"/>
      <c r="AO284" s="344"/>
    </row>
    <row r="285" spans="1:41" ht="15.75" customHeight="1" x14ac:dyDescent="0.25">
      <c r="A285" s="344"/>
      <c r="B285" s="353"/>
      <c r="C285" s="344"/>
      <c r="D285" s="344"/>
      <c r="E285" s="344"/>
      <c r="F285" s="344"/>
      <c r="G285" s="344"/>
      <c r="H285" s="344"/>
      <c r="I285" s="344"/>
      <c r="J285" s="344"/>
      <c r="K285" s="344"/>
      <c r="L285" s="344"/>
      <c r="M285" s="344"/>
      <c r="N285" s="344"/>
      <c r="O285" s="344"/>
      <c r="P285" s="344"/>
      <c r="Q285" s="344"/>
      <c r="R285" s="344"/>
      <c r="S285" s="344"/>
      <c r="T285" s="344"/>
      <c r="U285" s="344"/>
      <c r="V285" s="344"/>
      <c r="W285" s="344"/>
      <c r="X285" s="344"/>
      <c r="Y285" s="344"/>
      <c r="Z285" s="344"/>
      <c r="AA285" s="344"/>
      <c r="AB285" s="344"/>
      <c r="AC285" s="344"/>
      <c r="AD285" s="344"/>
      <c r="AE285" s="344"/>
      <c r="AF285" s="344"/>
      <c r="AG285" s="344"/>
      <c r="AH285" s="344"/>
      <c r="AI285" s="344"/>
      <c r="AJ285" s="344"/>
      <c r="AK285" s="344"/>
      <c r="AL285" s="344"/>
      <c r="AM285" s="344"/>
      <c r="AN285" s="344"/>
      <c r="AO285" s="344"/>
    </row>
    <row r="286" spans="1:41" ht="15.75" customHeight="1" x14ac:dyDescent="0.25">
      <c r="A286" s="344"/>
      <c r="B286" s="353"/>
      <c r="C286" s="344"/>
      <c r="D286" s="344"/>
      <c r="E286" s="344"/>
      <c r="F286" s="344"/>
      <c r="G286" s="344"/>
      <c r="H286" s="344"/>
      <c r="I286" s="344"/>
      <c r="J286" s="344"/>
      <c r="K286" s="344"/>
      <c r="L286" s="344"/>
      <c r="M286" s="344"/>
      <c r="N286" s="344"/>
      <c r="O286" s="344"/>
      <c r="P286" s="344"/>
      <c r="Q286" s="344"/>
      <c r="R286" s="344"/>
      <c r="S286" s="344"/>
      <c r="T286" s="344"/>
      <c r="U286" s="344"/>
      <c r="V286" s="344"/>
      <c r="W286" s="344"/>
      <c r="X286" s="344"/>
      <c r="Y286" s="344"/>
      <c r="Z286" s="344"/>
      <c r="AA286" s="344"/>
      <c r="AB286" s="344"/>
      <c r="AC286" s="344"/>
      <c r="AD286" s="344"/>
      <c r="AE286" s="344"/>
      <c r="AF286" s="344"/>
      <c r="AG286" s="344"/>
      <c r="AH286" s="344"/>
      <c r="AI286" s="344"/>
      <c r="AJ286" s="344"/>
      <c r="AK286" s="344"/>
      <c r="AL286" s="344"/>
      <c r="AM286" s="344"/>
      <c r="AN286" s="344"/>
      <c r="AO286" s="344"/>
    </row>
    <row r="287" spans="1:41" ht="15.75" customHeight="1" x14ac:dyDescent="0.25">
      <c r="A287" s="344"/>
      <c r="B287" s="353"/>
      <c r="C287" s="344"/>
      <c r="D287" s="344"/>
      <c r="E287" s="344"/>
      <c r="F287" s="344"/>
      <c r="G287" s="344"/>
      <c r="H287" s="344"/>
      <c r="I287" s="344"/>
      <c r="J287" s="344"/>
      <c r="K287" s="344"/>
      <c r="L287" s="344"/>
      <c r="M287" s="344"/>
      <c r="N287" s="344"/>
      <c r="O287" s="344"/>
      <c r="P287" s="344"/>
      <c r="Q287" s="344"/>
      <c r="R287" s="344"/>
      <c r="S287" s="344"/>
      <c r="T287" s="344"/>
      <c r="U287" s="344"/>
      <c r="V287" s="344"/>
      <c r="W287" s="344"/>
      <c r="X287" s="344"/>
      <c r="Y287" s="344"/>
      <c r="Z287" s="344"/>
      <c r="AA287" s="344"/>
      <c r="AB287" s="344"/>
      <c r="AC287" s="344"/>
      <c r="AD287" s="344"/>
      <c r="AE287" s="344"/>
      <c r="AF287" s="344"/>
      <c r="AG287" s="344"/>
      <c r="AH287" s="344"/>
      <c r="AI287" s="344"/>
      <c r="AJ287" s="344"/>
      <c r="AK287" s="344"/>
      <c r="AL287" s="344"/>
      <c r="AM287" s="344"/>
      <c r="AN287" s="344"/>
      <c r="AO287" s="344"/>
    </row>
    <row r="288" spans="1:41" ht="15.75" customHeight="1" x14ac:dyDescent="0.25">
      <c r="A288" s="344"/>
      <c r="B288" s="353"/>
      <c r="C288" s="344"/>
      <c r="D288" s="344"/>
      <c r="E288" s="344"/>
      <c r="F288" s="344"/>
      <c r="G288" s="344"/>
      <c r="H288" s="344"/>
      <c r="I288" s="344"/>
      <c r="J288" s="344"/>
      <c r="K288" s="344"/>
      <c r="L288" s="344"/>
      <c r="M288" s="344"/>
      <c r="N288" s="344"/>
      <c r="O288" s="344"/>
      <c r="P288" s="344"/>
      <c r="Q288" s="344"/>
      <c r="R288" s="344"/>
      <c r="S288" s="344"/>
      <c r="T288" s="344"/>
      <c r="U288" s="344"/>
      <c r="V288" s="344"/>
      <c r="W288" s="344"/>
      <c r="X288" s="344"/>
      <c r="Y288" s="344"/>
      <c r="Z288" s="344"/>
      <c r="AA288" s="344"/>
      <c r="AB288" s="344"/>
      <c r="AC288" s="344"/>
      <c r="AD288" s="344"/>
      <c r="AE288" s="344"/>
      <c r="AF288" s="344"/>
      <c r="AG288" s="344"/>
      <c r="AH288" s="344"/>
      <c r="AI288" s="344"/>
      <c r="AJ288" s="344"/>
      <c r="AK288" s="344"/>
      <c r="AL288" s="344"/>
      <c r="AM288" s="344"/>
      <c r="AN288" s="344"/>
      <c r="AO288" s="344"/>
    </row>
    <row r="289" spans="1:41" ht="15.75" customHeight="1" x14ac:dyDescent="0.25">
      <c r="A289" s="344"/>
      <c r="B289" s="353"/>
      <c r="C289" s="344"/>
      <c r="D289" s="344"/>
      <c r="E289" s="344"/>
      <c r="F289" s="344"/>
      <c r="G289" s="344"/>
      <c r="H289" s="344"/>
      <c r="I289" s="344"/>
      <c r="J289" s="344"/>
      <c r="K289" s="344"/>
      <c r="L289" s="344"/>
      <c r="M289" s="344"/>
      <c r="N289" s="344"/>
      <c r="O289" s="344"/>
      <c r="P289" s="344"/>
      <c r="Q289" s="344"/>
      <c r="R289" s="344"/>
      <c r="S289" s="344"/>
      <c r="T289" s="344"/>
      <c r="U289" s="344"/>
      <c r="V289" s="344"/>
      <c r="W289" s="344"/>
      <c r="X289" s="344"/>
      <c r="Y289" s="344"/>
      <c r="Z289" s="344"/>
      <c r="AA289" s="344"/>
      <c r="AB289" s="344"/>
      <c r="AC289" s="344"/>
      <c r="AD289" s="344"/>
      <c r="AE289" s="344"/>
      <c r="AF289" s="344"/>
      <c r="AG289" s="344"/>
      <c r="AH289" s="344"/>
      <c r="AI289" s="344"/>
      <c r="AJ289" s="344"/>
      <c r="AK289" s="344"/>
      <c r="AL289" s="344"/>
      <c r="AM289" s="344"/>
      <c r="AN289" s="344"/>
      <c r="AO289" s="344"/>
    </row>
    <row r="290" spans="1:41" ht="15.75" customHeight="1" x14ac:dyDescent="0.25">
      <c r="A290" s="344"/>
      <c r="B290" s="353"/>
      <c r="C290" s="344"/>
      <c r="D290" s="344"/>
      <c r="E290" s="344"/>
      <c r="F290" s="344"/>
      <c r="G290" s="344"/>
      <c r="H290" s="344"/>
      <c r="I290" s="344"/>
      <c r="J290" s="344"/>
      <c r="K290" s="344"/>
      <c r="L290" s="344"/>
      <c r="M290" s="344"/>
      <c r="N290" s="344"/>
      <c r="O290" s="344"/>
      <c r="P290" s="344"/>
      <c r="Q290" s="344"/>
      <c r="R290" s="344"/>
      <c r="S290" s="344"/>
      <c r="T290" s="344"/>
      <c r="U290" s="344"/>
      <c r="V290" s="344"/>
      <c r="W290" s="344"/>
      <c r="X290" s="344"/>
      <c r="Y290" s="344"/>
      <c r="Z290" s="344"/>
      <c r="AA290" s="344"/>
      <c r="AB290" s="344"/>
      <c r="AC290" s="344"/>
      <c r="AD290" s="344"/>
      <c r="AE290" s="344"/>
      <c r="AF290" s="344"/>
      <c r="AG290" s="344"/>
      <c r="AH290" s="344"/>
      <c r="AI290" s="344"/>
      <c r="AJ290" s="344"/>
      <c r="AK290" s="344"/>
      <c r="AL290" s="344"/>
      <c r="AM290" s="344"/>
      <c r="AN290" s="344"/>
      <c r="AO290" s="344"/>
    </row>
    <row r="291" spans="1:41" ht="15.75" customHeight="1" x14ac:dyDescent="0.25">
      <c r="A291" s="344"/>
      <c r="B291" s="353"/>
      <c r="C291" s="344"/>
      <c r="D291" s="344"/>
      <c r="E291" s="344"/>
      <c r="F291" s="344"/>
      <c r="G291" s="344"/>
      <c r="H291" s="344"/>
      <c r="I291" s="344"/>
      <c r="J291" s="344"/>
      <c r="K291" s="344"/>
      <c r="L291" s="344"/>
      <c r="M291" s="344"/>
      <c r="N291" s="344"/>
      <c r="O291" s="344"/>
      <c r="P291" s="344"/>
      <c r="Q291" s="344"/>
      <c r="R291" s="344"/>
      <c r="S291" s="344"/>
      <c r="T291" s="344"/>
      <c r="U291" s="344"/>
      <c r="V291" s="344"/>
      <c r="W291" s="344"/>
      <c r="X291" s="344"/>
      <c r="Y291" s="344"/>
      <c r="Z291" s="344"/>
      <c r="AA291" s="344"/>
      <c r="AB291" s="344"/>
      <c r="AC291" s="344"/>
      <c r="AD291" s="344"/>
      <c r="AE291" s="344"/>
      <c r="AF291" s="344"/>
      <c r="AG291" s="344"/>
      <c r="AH291" s="344"/>
      <c r="AI291" s="344"/>
      <c r="AJ291" s="344"/>
      <c r="AK291" s="344"/>
      <c r="AL291" s="344"/>
      <c r="AM291" s="344"/>
      <c r="AN291" s="344"/>
      <c r="AO291" s="344"/>
    </row>
    <row r="292" spans="1:41" ht="15.75" customHeight="1" x14ac:dyDescent="0.25">
      <c r="A292" s="344"/>
      <c r="B292" s="353"/>
      <c r="C292" s="344"/>
      <c r="D292" s="344"/>
      <c r="E292" s="344"/>
      <c r="F292" s="344"/>
      <c r="G292" s="344"/>
      <c r="H292" s="344"/>
      <c r="I292" s="344"/>
      <c r="J292" s="344"/>
      <c r="K292" s="344"/>
      <c r="L292" s="344"/>
      <c r="M292" s="344"/>
      <c r="N292" s="344"/>
      <c r="O292" s="344"/>
      <c r="P292" s="344"/>
      <c r="Q292" s="344"/>
      <c r="R292" s="344"/>
      <c r="S292" s="344"/>
      <c r="T292" s="344"/>
      <c r="U292" s="344"/>
      <c r="V292" s="344"/>
      <c r="W292" s="344"/>
      <c r="X292" s="344"/>
      <c r="Y292" s="344"/>
      <c r="Z292" s="344"/>
      <c r="AA292" s="344"/>
      <c r="AB292" s="344"/>
      <c r="AC292" s="344"/>
      <c r="AD292" s="344"/>
      <c r="AE292" s="344"/>
      <c r="AF292" s="344"/>
      <c r="AG292" s="344"/>
      <c r="AH292" s="344"/>
      <c r="AI292" s="344"/>
      <c r="AJ292" s="344"/>
      <c r="AK292" s="344"/>
      <c r="AL292" s="344"/>
      <c r="AM292" s="344"/>
      <c r="AN292" s="344"/>
      <c r="AO292" s="344"/>
    </row>
    <row r="293" spans="1:41" ht="15.75" customHeight="1" x14ac:dyDescent="0.25">
      <c r="A293" s="344"/>
      <c r="B293" s="353"/>
      <c r="C293" s="344"/>
      <c r="D293" s="344"/>
      <c r="E293" s="344"/>
      <c r="F293" s="344"/>
      <c r="G293" s="344"/>
      <c r="H293" s="344"/>
      <c r="I293" s="344"/>
      <c r="J293" s="344"/>
      <c r="K293" s="344"/>
      <c r="L293" s="344"/>
      <c r="M293" s="344"/>
      <c r="N293" s="344"/>
      <c r="O293" s="344"/>
      <c r="P293" s="344"/>
      <c r="Q293" s="344"/>
      <c r="R293" s="344"/>
      <c r="S293" s="344"/>
      <c r="T293" s="344"/>
      <c r="U293" s="344"/>
      <c r="V293" s="344"/>
      <c r="W293" s="344"/>
      <c r="X293" s="344"/>
      <c r="Y293" s="344"/>
      <c r="Z293" s="344"/>
      <c r="AA293" s="344"/>
      <c r="AB293" s="344"/>
      <c r="AC293" s="344"/>
      <c r="AD293" s="344"/>
      <c r="AE293" s="344"/>
      <c r="AF293" s="344"/>
      <c r="AG293" s="344"/>
      <c r="AH293" s="344"/>
      <c r="AI293" s="344"/>
      <c r="AJ293" s="344"/>
      <c r="AK293" s="344"/>
      <c r="AL293" s="344"/>
      <c r="AM293" s="344"/>
      <c r="AN293" s="344"/>
      <c r="AO293" s="344"/>
    </row>
    <row r="294" spans="1:41" ht="15.75" customHeight="1" x14ac:dyDescent="0.25">
      <c r="A294" s="344"/>
      <c r="B294" s="353"/>
      <c r="C294" s="344"/>
      <c r="D294" s="344"/>
      <c r="E294" s="344"/>
      <c r="F294" s="344"/>
      <c r="G294" s="344"/>
      <c r="H294" s="344"/>
      <c r="I294" s="344"/>
      <c r="J294" s="344"/>
      <c r="K294" s="344"/>
      <c r="L294" s="344"/>
      <c r="M294" s="344"/>
      <c r="N294" s="344"/>
      <c r="O294" s="344"/>
      <c r="P294" s="344"/>
      <c r="Q294" s="344"/>
      <c r="R294" s="344"/>
      <c r="S294" s="344"/>
      <c r="T294" s="344"/>
      <c r="U294" s="344"/>
      <c r="V294" s="344"/>
      <c r="W294" s="344"/>
      <c r="X294" s="344"/>
      <c r="Y294" s="344"/>
      <c r="Z294" s="344"/>
      <c r="AA294" s="344"/>
      <c r="AB294" s="344"/>
      <c r="AC294" s="344"/>
      <c r="AD294" s="344"/>
      <c r="AE294" s="344"/>
      <c r="AF294" s="344"/>
      <c r="AG294" s="344"/>
      <c r="AH294" s="344"/>
      <c r="AI294" s="344"/>
      <c r="AJ294" s="344"/>
      <c r="AK294" s="344"/>
      <c r="AL294" s="344"/>
      <c r="AM294" s="344"/>
      <c r="AN294" s="344"/>
      <c r="AO294" s="344"/>
    </row>
    <row r="295" spans="1:41" ht="15.75" customHeight="1" x14ac:dyDescent="0.25">
      <c r="A295" s="344"/>
      <c r="B295" s="353"/>
      <c r="C295" s="344"/>
      <c r="D295" s="344"/>
      <c r="E295" s="344"/>
      <c r="F295" s="344"/>
      <c r="G295" s="344"/>
      <c r="H295" s="344"/>
      <c r="I295" s="344"/>
      <c r="J295" s="344"/>
      <c r="K295" s="344"/>
      <c r="L295" s="344"/>
      <c r="M295" s="344"/>
      <c r="N295" s="344"/>
      <c r="O295" s="344"/>
      <c r="P295" s="344"/>
      <c r="Q295" s="344"/>
      <c r="R295" s="344"/>
      <c r="S295" s="344"/>
      <c r="T295" s="344"/>
      <c r="U295" s="344"/>
      <c r="V295" s="344"/>
      <c r="W295" s="344"/>
      <c r="X295" s="344"/>
      <c r="Y295" s="344"/>
      <c r="Z295" s="344"/>
      <c r="AA295" s="344"/>
      <c r="AB295" s="344"/>
      <c r="AC295" s="344"/>
      <c r="AD295" s="344"/>
      <c r="AE295" s="344"/>
      <c r="AF295" s="344"/>
      <c r="AG295" s="344"/>
      <c r="AH295" s="344"/>
      <c r="AI295" s="344"/>
      <c r="AJ295" s="344"/>
      <c r="AK295" s="344"/>
      <c r="AL295" s="344"/>
      <c r="AM295" s="344"/>
      <c r="AN295" s="344"/>
      <c r="AO295" s="344"/>
    </row>
    <row r="296" spans="1:41" ht="15.75" customHeight="1" x14ac:dyDescent="0.25">
      <c r="A296" s="344"/>
      <c r="B296" s="353"/>
      <c r="C296" s="344"/>
      <c r="D296" s="344"/>
      <c r="E296" s="344"/>
      <c r="F296" s="344"/>
      <c r="G296" s="344"/>
      <c r="H296" s="344"/>
      <c r="I296" s="344"/>
      <c r="J296" s="344"/>
      <c r="K296" s="344"/>
      <c r="L296" s="344"/>
      <c r="M296" s="344"/>
      <c r="N296" s="344"/>
      <c r="O296" s="344"/>
      <c r="P296" s="344"/>
      <c r="Q296" s="344"/>
      <c r="R296" s="344"/>
      <c r="S296" s="344"/>
      <c r="T296" s="344"/>
      <c r="U296" s="344"/>
      <c r="V296" s="344"/>
      <c r="W296" s="344"/>
      <c r="X296" s="344"/>
      <c r="Y296" s="344"/>
      <c r="Z296" s="344"/>
      <c r="AA296" s="344"/>
      <c r="AB296" s="344"/>
      <c r="AC296" s="344"/>
      <c r="AD296" s="344"/>
      <c r="AE296" s="344"/>
      <c r="AF296" s="344"/>
      <c r="AG296" s="344"/>
      <c r="AH296" s="344"/>
      <c r="AI296" s="344"/>
      <c r="AJ296" s="344"/>
      <c r="AK296" s="344"/>
      <c r="AL296" s="344"/>
      <c r="AM296" s="344"/>
      <c r="AN296" s="344"/>
      <c r="AO296" s="344"/>
    </row>
    <row r="297" spans="1:41" ht="15.75" customHeight="1" x14ac:dyDescent="0.25">
      <c r="A297" s="344"/>
      <c r="B297" s="353"/>
      <c r="C297" s="344"/>
      <c r="D297" s="344"/>
      <c r="E297" s="344"/>
      <c r="F297" s="344"/>
      <c r="G297" s="344"/>
      <c r="H297" s="344"/>
      <c r="I297" s="344"/>
      <c r="J297" s="344"/>
      <c r="K297" s="344"/>
      <c r="L297" s="344"/>
      <c r="M297" s="344"/>
      <c r="N297" s="344"/>
      <c r="O297" s="344"/>
      <c r="P297" s="344"/>
      <c r="Q297" s="344"/>
      <c r="R297" s="344"/>
      <c r="S297" s="344"/>
      <c r="T297" s="344"/>
      <c r="U297" s="344"/>
      <c r="V297" s="344"/>
      <c r="W297" s="344"/>
      <c r="X297" s="344"/>
      <c r="Y297" s="344"/>
      <c r="Z297" s="344"/>
      <c r="AA297" s="344"/>
      <c r="AB297" s="344"/>
      <c r="AC297" s="344"/>
      <c r="AD297" s="344"/>
      <c r="AE297" s="344"/>
      <c r="AF297" s="344"/>
      <c r="AG297" s="344"/>
      <c r="AH297" s="344"/>
      <c r="AI297" s="344"/>
      <c r="AJ297" s="344"/>
      <c r="AK297" s="344"/>
      <c r="AL297" s="344"/>
      <c r="AM297" s="344"/>
      <c r="AN297" s="344"/>
      <c r="AO297" s="344"/>
    </row>
    <row r="298" spans="1:41" ht="15.75" customHeight="1" x14ac:dyDescent="0.25">
      <c r="A298" s="344"/>
      <c r="B298" s="353"/>
      <c r="C298" s="344"/>
      <c r="D298" s="344"/>
      <c r="E298" s="344"/>
      <c r="F298" s="344"/>
      <c r="G298" s="344"/>
      <c r="H298" s="344"/>
      <c r="I298" s="344"/>
      <c r="J298" s="344"/>
      <c r="K298" s="344"/>
      <c r="L298" s="344"/>
      <c r="M298" s="344"/>
      <c r="N298" s="344"/>
      <c r="O298" s="344"/>
      <c r="P298" s="344"/>
      <c r="Q298" s="344"/>
      <c r="R298" s="344"/>
      <c r="S298" s="344"/>
      <c r="T298" s="344"/>
      <c r="U298" s="344"/>
      <c r="V298" s="344"/>
      <c r="W298" s="344"/>
      <c r="X298" s="344"/>
      <c r="Y298" s="344"/>
      <c r="Z298" s="344"/>
      <c r="AA298" s="344"/>
      <c r="AB298" s="344"/>
      <c r="AC298" s="344"/>
      <c r="AD298" s="344"/>
      <c r="AE298" s="344"/>
      <c r="AF298" s="344"/>
      <c r="AG298" s="344"/>
      <c r="AH298" s="344"/>
      <c r="AI298" s="344"/>
      <c r="AJ298" s="344"/>
      <c r="AK298" s="344"/>
      <c r="AL298" s="344"/>
      <c r="AM298" s="344"/>
      <c r="AN298" s="344"/>
      <c r="AO298" s="344"/>
    </row>
    <row r="299" spans="1:41" ht="15.75" customHeight="1" x14ac:dyDescent="0.25">
      <c r="A299" s="344"/>
      <c r="B299" s="353"/>
      <c r="C299" s="344"/>
      <c r="D299" s="344"/>
      <c r="E299" s="344"/>
      <c r="F299" s="344"/>
      <c r="G299" s="344"/>
      <c r="H299" s="344"/>
      <c r="I299" s="344"/>
      <c r="J299" s="344"/>
      <c r="K299" s="344"/>
      <c r="L299" s="344"/>
      <c r="M299" s="344"/>
      <c r="N299" s="344"/>
      <c r="O299" s="344"/>
      <c r="P299" s="344"/>
      <c r="Q299" s="344"/>
      <c r="R299" s="344"/>
      <c r="S299" s="344"/>
      <c r="T299" s="344"/>
      <c r="U299" s="344"/>
      <c r="V299" s="344"/>
      <c r="W299" s="344"/>
      <c r="X299" s="344"/>
      <c r="Y299" s="344"/>
      <c r="Z299" s="344"/>
      <c r="AA299" s="344"/>
      <c r="AB299" s="344"/>
      <c r="AC299" s="344"/>
      <c r="AD299" s="344"/>
      <c r="AE299" s="344"/>
      <c r="AF299" s="344"/>
      <c r="AG299" s="344"/>
      <c r="AH299" s="344"/>
      <c r="AI299" s="344"/>
      <c r="AJ299" s="344"/>
      <c r="AK299" s="344"/>
      <c r="AL299" s="344"/>
      <c r="AM299" s="344"/>
      <c r="AN299" s="344"/>
      <c r="AO299" s="344"/>
    </row>
    <row r="300" spans="1:41" ht="15.75" customHeight="1" x14ac:dyDescent="0.25">
      <c r="A300" s="344"/>
      <c r="B300" s="353"/>
      <c r="C300" s="344"/>
      <c r="D300" s="344"/>
      <c r="E300" s="344"/>
      <c r="F300" s="344"/>
      <c r="G300" s="344"/>
      <c r="H300" s="344"/>
      <c r="I300" s="344"/>
      <c r="J300" s="344"/>
      <c r="K300" s="344"/>
      <c r="L300" s="344"/>
      <c r="M300" s="344"/>
      <c r="N300" s="344"/>
      <c r="O300" s="344"/>
      <c r="P300" s="344"/>
      <c r="Q300" s="344"/>
      <c r="R300" s="344"/>
      <c r="S300" s="344"/>
      <c r="T300" s="344"/>
      <c r="U300" s="344"/>
      <c r="V300" s="344"/>
      <c r="W300" s="344"/>
      <c r="X300" s="344"/>
      <c r="Y300" s="344"/>
      <c r="Z300" s="344"/>
      <c r="AA300" s="344"/>
      <c r="AB300" s="344"/>
      <c r="AC300" s="344"/>
      <c r="AD300" s="344"/>
      <c r="AE300" s="344"/>
      <c r="AF300" s="344"/>
      <c r="AG300" s="344"/>
      <c r="AH300" s="344"/>
      <c r="AI300" s="344"/>
      <c r="AJ300" s="344"/>
      <c r="AK300" s="344"/>
      <c r="AL300" s="344"/>
      <c r="AM300" s="344"/>
      <c r="AN300" s="344"/>
      <c r="AO300" s="344"/>
    </row>
    <row r="301" spans="1:41" ht="15.75" customHeight="1" x14ac:dyDescent="0.25">
      <c r="A301" s="344"/>
      <c r="B301" s="353"/>
      <c r="C301" s="344"/>
      <c r="D301" s="344"/>
      <c r="E301" s="344"/>
      <c r="F301" s="344"/>
      <c r="G301" s="344"/>
      <c r="H301" s="344"/>
      <c r="I301" s="344"/>
      <c r="J301" s="344"/>
      <c r="K301" s="344"/>
      <c r="L301" s="344"/>
      <c r="M301" s="344"/>
      <c r="N301" s="344"/>
      <c r="O301" s="344"/>
      <c r="P301" s="344"/>
      <c r="Q301" s="344"/>
      <c r="R301" s="344"/>
      <c r="S301" s="344"/>
      <c r="T301" s="344"/>
      <c r="U301" s="344"/>
      <c r="V301" s="344"/>
      <c r="W301" s="344"/>
      <c r="X301" s="344"/>
      <c r="Y301" s="344"/>
      <c r="Z301" s="344"/>
      <c r="AA301" s="344"/>
      <c r="AB301" s="344"/>
      <c r="AC301" s="344"/>
      <c r="AD301" s="344"/>
      <c r="AE301" s="344"/>
      <c r="AF301" s="344"/>
      <c r="AG301" s="344"/>
      <c r="AH301" s="344"/>
      <c r="AI301" s="344"/>
      <c r="AJ301" s="344"/>
      <c r="AK301" s="344"/>
      <c r="AL301" s="344"/>
      <c r="AM301" s="344"/>
      <c r="AN301" s="344"/>
      <c r="AO301" s="344"/>
    </row>
    <row r="302" spans="1:41" ht="15.75" customHeight="1" x14ac:dyDescent="0.25">
      <c r="A302" s="344"/>
      <c r="B302" s="353"/>
      <c r="C302" s="344"/>
      <c r="D302" s="344"/>
      <c r="E302" s="344"/>
      <c r="F302" s="344"/>
      <c r="G302" s="344"/>
      <c r="H302" s="344"/>
      <c r="I302" s="344"/>
      <c r="J302" s="344"/>
      <c r="K302" s="344"/>
      <c r="L302" s="344"/>
      <c r="M302" s="344"/>
      <c r="N302" s="344"/>
      <c r="O302" s="344"/>
      <c r="P302" s="344"/>
      <c r="Q302" s="344"/>
      <c r="R302" s="344"/>
      <c r="S302" s="344"/>
      <c r="T302" s="344"/>
      <c r="U302" s="344"/>
      <c r="V302" s="344"/>
      <c r="W302" s="344"/>
      <c r="X302" s="344"/>
      <c r="Y302" s="344"/>
      <c r="Z302" s="344"/>
      <c r="AA302" s="344"/>
      <c r="AB302" s="344"/>
      <c r="AC302" s="344"/>
      <c r="AD302" s="344"/>
      <c r="AE302" s="344"/>
      <c r="AF302" s="344"/>
      <c r="AG302" s="344"/>
      <c r="AH302" s="344"/>
      <c r="AI302" s="344"/>
      <c r="AJ302" s="344"/>
      <c r="AK302" s="344"/>
      <c r="AL302" s="344"/>
      <c r="AM302" s="344"/>
      <c r="AN302" s="344"/>
      <c r="AO302" s="344"/>
    </row>
    <row r="303" spans="1:41" ht="15.75" customHeight="1" x14ac:dyDescent="0.25">
      <c r="A303" s="344"/>
      <c r="B303" s="353"/>
      <c r="C303" s="344"/>
      <c r="D303" s="344"/>
      <c r="E303" s="344"/>
      <c r="F303" s="344"/>
      <c r="G303" s="344"/>
      <c r="H303" s="344"/>
      <c r="I303" s="344"/>
      <c r="J303" s="344"/>
      <c r="K303" s="344"/>
      <c r="L303" s="344"/>
      <c r="M303" s="344"/>
      <c r="N303" s="344"/>
      <c r="O303" s="344"/>
      <c r="P303" s="344"/>
      <c r="Q303" s="344"/>
      <c r="R303" s="344"/>
      <c r="S303" s="344"/>
      <c r="T303" s="344"/>
      <c r="U303" s="344"/>
      <c r="V303" s="344"/>
      <c r="W303" s="344"/>
      <c r="X303" s="344"/>
      <c r="Y303" s="344"/>
      <c r="Z303" s="344"/>
      <c r="AA303" s="344"/>
      <c r="AB303" s="344"/>
      <c r="AC303" s="344"/>
      <c r="AD303" s="344"/>
      <c r="AE303" s="344"/>
      <c r="AF303" s="344"/>
      <c r="AG303" s="344"/>
      <c r="AH303" s="344"/>
      <c r="AI303" s="344"/>
      <c r="AJ303" s="344"/>
      <c r="AK303" s="344"/>
      <c r="AL303" s="344"/>
      <c r="AM303" s="344"/>
      <c r="AN303" s="344"/>
      <c r="AO303" s="344"/>
    </row>
    <row r="304" spans="1:41" ht="15.75" customHeight="1" x14ac:dyDescent="0.25">
      <c r="A304" s="344"/>
      <c r="B304" s="353"/>
      <c r="C304" s="344"/>
      <c r="D304" s="344"/>
      <c r="E304" s="344"/>
      <c r="F304" s="344"/>
      <c r="G304" s="344"/>
      <c r="H304" s="344"/>
      <c r="I304" s="344"/>
      <c r="J304" s="344"/>
      <c r="K304" s="344"/>
      <c r="L304" s="344"/>
      <c r="M304" s="344"/>
      <c r="N304" s="344"/>
      <c r="O304" s="344"/>
      <c r="P304" s="344"/>
      <c r="Q304" s="344"/>
      <c r="R304" s="344"/>
      <c r="S304" s="344"/>
      <c r="T304" s="344"/>
      <c r="U304" s="344"/>
      <c r="V304" s="344"/>
      <c r="W304" s="344"/>
      <c r="X304" s="344"/>
      <c r="Y304" s="344"/>
      <c r="Z304" s="344"/>
      <c r="AA304" s="344"/>
      <c r="AB304" s="344"/>
      <c r="AC304" s="344"/>
      <c r="AD304" s="344"/>
      <c r="AE304" s="344"/>
      <c r="AF304" s="344"/>
      <c r="AG304" s="344"/>
      <c r="AH304" s="344"/>
      <c r="AI304" s="344"/>
      <c r="AJ304" s="344"/>
      <c r="AK304" s="344"/>
      <c r="AL304" s="344"/>
      <c r="AM304" s="344"/>
      <c r="AN304" s="344"/>
      <c r="AO304" s="344"/>
    </row>
    <row r="305" spans="1:41" ht="15.75" customHeight="1" x14ac:dyDescent="0.25">
      <c r="A305" s="344"/>
      <c r="B305" s="353"/>
      <c r="C305" s="344"/>
      <c r="D305" s="344"/>
      <c r="E305" s="344"/>
      <c r="F305" s="344"/>
      <c r="G305" s="344"/>
      <c r="H305" s="344"/>
      <c r="I305" s="344"/>
      <c r="J305" s="344"/>
      <c r="K305" s="344"/>
      <c r="L305" s="344"/>
      <c r="M305" s="344"/>
      <c r="N305" s="344"/>
      <c r="O305" s="344"/>
      <c r="P305" s="344"/>
      <c r="Q305" s="344"/>
      <c r="R305" s="344"/>
      <c r="S305" s="344"/>
      <c r="T305" s="344"/>
      <c r="U305" s="344"/>
      <c r="V305" s="344"/>
      <c r="W305" s="344"/>
      <c r="X305" s="344"/>
      <c r="Y305" s="344"/>
      <c r="Z305" s="344"/>
      <c r="AA305" s="344"/>
      <c r="AB305" s="344"/>
      <c r="AC305" s="344"/>
      <c r="AD305" s="344"/>
      <c r="AE305" s="344"/>
      <c r="AF305" s="344"/>
      <c r="AG305" s="344"/>
      <c r="AH305" s="344"/>
      <c r="AI305" s="344"/>
      <c r="AJ305" s="344"/>
      <c r="AK305" s="344"/>
      <c r="AL305" s="344"/>
      <c r="AM305" s="344"/>
      <c r="AN305" s="344"/>
      <c r="AO305" s="344"/>
    </row>
    <row r="306" spans="1:41" ht="15.75" customHeight="1" x14ac:dyDescent="0.25">
      <c r="A306" s="344"/>
      <c r="B306" s="353"/>
      <c r="C306" s="344"/>
      <c r="D306" s="344"/>
      <c r="E306" s="344"/>
      <c r="F306" s="344"/>
      <c r="G306" s="344"/>
      <c r="H306" s="344"/>
      <c r="I306" s="344"/>
      <c r="J306" s="344"/>
      <c r="K306" s="344"/>
      <c r="L306" s="344"/>
      <c r="M306" s="344"/>
      <c r="N306" s="344"/>
      <c r="O306" s="344"/>
      <c r="P306" s="344"/>
      <c r="Q306" s="344"/>
      <c r="R306" s="344"/>
      <c r="S306" s="344"/>
      <c r="T306" s="344"/>
      <c r="U306" s="344"/>
      <c r="V306" s="344"/>
      <c r="W306" s="344"/>
      <c r="X306" s="344"/>
      <c r="Y306" s="344"/>
      <c r="Z306" s="344"/>
      <c r="AA306" s="344"/>
      <c r="AB306" s="344"/>
      <c r="AC306" s="344"/>
      <c r="AD306" s="344"/>
      <c r="AE306" s="344"/>
      <c r="AF306" s="344"/>
      <c r="AG306" s="344"/>
      <c r="AH306" s="344"/>
      <c r="AI306" s="344"/>
      <c r="AJ306" s="344"/>
      <c r="AK306" s="344"/>
      <c r="AL306" s="344"/>
      <c r="AM306" s="344"/>
      <c r="AN306" s="344"/>
      <c r="AO306" s="344"/>
    </row>
    <row r="307" spans="1:41" ht="15.75" customHeight="1" x14ac:dyDescent="0.25">
      <c r="A307" s="344"/>
      <c r="B307" s="353"/>
      <c r="C307" s="344"/>
      <c r="D307" s="344"/>
      <c r="E307" s="344"/>
      <c r="F307" s="344"/>
      <c r="G307" s="344"/>
      <c r="H307" s="344"/>
      <c r="I307" s="344"/>
      <c r="J307" s="344"/>
      <c r="K307" s="344"/>
      <c r="L307" s="344"/>
      <c r="M307" s="344"/>
      <c r="N307" s="344"/>
      <c r="O307" s="344"/>
      <c r="P307" s="344"/>
      <c r="Q307" s="344"/>
      <c r="R307" s="344"/>
      <c r="S307" s="344"/>
      <c r="T307" s="344"/>
      <c r="U307" s="344"/>
      <c r="V307" s="344"/>
      <c r="W307" s="344"/>
      <c r="X307" s="344"/>
      <c r="Y307" s="344"/>
      <c r="Z307" s="344"/>
      <c r="AA307" s="344"/>
      <c r="AB307" s="344"/>
      <c r="AC307" s="344"/>
      <c r="AD307" s="344"/>
      <c r="AE307" s="344"/>
      <c r="AF307" s="344"/>
      <c r="AG307" s="344"/>
      <c r="AH307" s="344"/>
      <c r="AI307" s="344"/>
      <c r="AJ307" s="344"/>
      <c r="AK307" s="344"/>
      <c r="AL307" s="344"/>
      <c r="AM307" s="344"/>
      <c r="AN307" s="344"/>
      <c r="AO307" s="344"/>
    </row>
    <row r="308" spans="1:41" ht="15.75" customHeight="1" x14ac:dyDescent="0.25">
      <c r="A308" s="344"/>
      <c r="B308" s="353"/>
      <c r="C308" s="344"/>
      <c r="D308" s="344"/>
      <c r="E308" s="344"/>
      <c r="F308" s="344"/>
      <c r="G308" s="344"/>
      <c r="H308" s="344"/>
      <c r="I308" s="344"/>
      <c r="J308" s="344"/>
      <c r="K308" s="344"/>
      <c r="L308" s="344"/>
      <c r="M308" s="344"/>
      <c r="N308" s="344"/>
      <c r="O308" s="344"/>
      <c r="P308" s="344"/>
      <c r="Q308" s="344"/>
      <c r="R308" s="344"/>
      <c r="S308" s="344"/>
      <c r="T308" s="344"/>
      <c r="U308" s="344"/>
      <c r="V308" s="344"/>
      <c r="W308" s="344"/>
      <c r="X308" s="344"/>
      <c r="Y308" s="344"/>
      <c r="Z308" s="344"/>
      <c r="AA308" s="344"/>
      <c r="AB308" s="344"/>
      <c r="AC308" s="344"/>
      <c r="AD308" s="344"/>
      <c r="AE308" s="344"/>
      <c r="AF308" s="344"/>
      <c r="AG308" s="344"/>
      <c r="AH308" s="344"/>
      <c r="AI308" s="344"/>
      <c r="AJ308" s="344"/>
      <c r="AK308" s="344"/>
      <c r="AL308" s="344"/>
      <c r="AM308" s="344"/>
      <c r="AN308" s="344"/>
      <c r="AO308" s="344"/>
    </row>
    <row r="309" spans="1:41" ht="15.75" customHeight="1" x14ac:dyDescent="0.25">
      <c r="A309" s="344"/>
      <c r="B309" s="353"/>
      <c r="C309" s="344"/>
      <c r="D309" s="344"/>
      <c r="E309" s="344"/>
      <c r="F309" s="344"/>
      <c r="G309" s="344"/>
      <c r="H309" s="344"/>
      <c r="I309" s="344"/>
      <c r="J309" s="344"/>
      <c r="K309" s="344"/>
      <c r="L309" s="344"/>
      <c r="M309" s="344"/>
      <c r="N309" s="344"/>
      <c r="O309" s="344"/>
      <c r="P309" s="344"/>
      <c r="Q309" s="344"/>
      <c r="R309" s="344"/>
      <c r="S309" s="344"/>
      <c r="T309" s="344"/>
      <c r="U309" s="344"/>
      <c r="V309" s="344"/>
      <c r="W309" s="344"/>
      <c r="X309" s="344"/>
      <c r="Y309" s="344"/>
      <c r="Z309" s="344"/>
      <c r="AA309" s="344"/>
      <c r="AB309" s="344"/>
      <c r="AC309" s="344"/>
      <c r="AD309" s="344"/>
      <c r="AE309" s="344"/>
      <c r="AF309" s="344"/>
      <c r="AG309" s="344"/>
      <c r="AH309" s="344"/>
      <c r="AI309" s="344"/>
      <c r="AJ309" s="344"/>
      <c r="AK309" s="344"/>
      <c r="AL309" s="344"/>
      <c r="AM309" s="344"/>
      <c r="AN309" s="344"/>
      <c r="AO309" s="344"/>
    </row>
    <row r="310" spans="1:41" ht="15.75" customHeight="1" x14ac:dyDescent="0.25">
      <c r="A310" s="344"/>
      <c r="B310" s="353"/>
      <c r="C310" s="344"/>
      <c r="D310" s="344"/>
      <c r="E310" s="344"/>
      <c r="F310" s="344"/>
      <c r="G310" s="344"/>
      <c r="H310" s="344"/>
      <c r="I310" s="344"/>
      <c r="J310" s="344"/>
      <c r="K310" s="344"/>
      <c r="L310" s="344"/>
      <c r="M310" s="344"/>
      <c r="N310" s="344"/>
      <c r="O310" s="344"/>
      <c r="P310" s="344"/>
      <c r="Q310" s="344"/>
      <c r="R310" s="344"/>
      <c r="S310" s="344"/>
      <c r="T310" s="344"/>
      <c r="U310" s="344"/>
      <c r="V310" s="344"/>
      <c r="W310" s="344"/>
      <c r="X310" s="344"/>
      <c r="Y310" s="344"/>
      <c r="Z310" s="344"/>
      <c r="AA310" s="344"/>
      <c r="AB310" s="344"/>
      <c r="AC310" s="344"/>
      <c r="AD310" s="344"/>
      <c r="AE310" s="344"/>
      <c r="AF310" s="344"/>
      <c r="AG310" s="344"/>
      <c r="AH310" s="344"/>
      <c r="AI310" s="344"/>
      <c r="AJ310" s="344"/>
      <c r="AK310" s="344"/>
      <c r="AL310" s="344"/>
      <c r="AM310" s="344"/>
      <c r="AN310" s="344"/>
      <c r="AO310" s="344"/>
    </row>
    <row r="311" spans="1:41" ht="15.75" customHeight="1" x14ac:dyDescent="0.25">
      <c r="A311" s="344"/>
      <c r="B311" s="353"/>
      <c r="C311" s="344"/>
      <c r="D311" s="344"/>
      <c r="E311" s="344"/>
      <c r="F311" s="344"/>
      <c r="G311" s="344"/>
      <c r="H311" s="344"/>
      <c r="I311" s="344"/>
      <c r="J311" s="344"/>
      <c r="K311" s="344"/>
      <c r="L311" s="344"/>
      <c r="M311" s="344"/>
      <c r="N311" s="344"/>
      <c r="O311" s="344"/>
      <c r="P311" s="344"/>
      <c r="Q311" s="344"/>
      <c r="R311" s="344"/>
      <c r="S311" s="344"/>
      <c r="T311" s="344"/>
      <c r="U311" s="344"/>
      <c r="V311" s="344"/>
      <c r="W311" s="344"/>
      <c r="X311" s="344"/>
      <c r="Y311" s="344"/>
      <c r="Z311" s="344"/>
      <c r="AA311" s="344"/>
      <c r="AB311" s="344"/>
      <c r="AC311" s="344"/>
      <c r="AD311" s="344"/>
      <c r="AE311" s="344"/>
      <c r="AF311" s="344"/>
      <c r="AG311" s="344"/>
      <c r="AH311" s="344"/>
      <c r="AI311" s="344"/>
      <c r="AJ311" s="344"/>
      <c r="AK311" s="344"/>
      <c r="AL311" s="344"/>
      <c r="AM311" s="344"/>
      <c r="AN311" s="344"/>
      <c r="AO311" s="344"/>
    </row>
    <row r="312" spans="1:41" ht="15.75" customHeight="1" x14ac:dyDescent="0.25">
      <c r="A312" s="344"/>
      <c r="B312" s="353"/>
      <c r="C312" s="344"/>
      <c r="D312" s="344"/>
      <c r="E312" s="344"/>
      <c r="F312" s="344"/>
      <c r="G312" s="344"/>
      <c r="H312" s="344"/>
      <c r="I312" s="344"/>
      <c r="J312" s="344"/>
      <c r="K312" s="344"/>
      <c r="L312" s="344"/>
      <c r="M312" s="344"/>
      <c r="N312" s="344"/>
      <c r="O312" s="344"/>
      <c r="P312" s="344"/>
      <c r="Q312" s="344"/>
      <c r="R312" s="344"/>
      <c r="S312" s="344"/>
      <c r="T312" s="344"/>
      <c r="U312" s="344"/>
      <c r="V312" s="344"/>
      <c r="W312" s="344"/>
      <c r="X312" s="344"/>
      <c r="Y312" s="344"/>
      <c r="Z312" s="344"/>
      <c r="AA312" s="344"/>
      <c r="AB312" s="344"/>
      <c r="AC312" s="344"/>
      <c r="AD312" s="344"/>
      <c r="AE312" s="344"/>
      <c r="AF312" s="344"/>
      <c r="AG312" s="344"/>
      <c r="AH312" s="344"/>
      <c r="AI312" s="344"/>
      <c r="AJ312" s="344"/>
      <c r="AK312" s="344"/>
      <c r="AL312" s="344"/>
      <c r="AM312" s="344"/>
      <c r="AN312" s="344"/>
      <c r="AO312" s="344"/>
    </row>
    <row r="313" spans="1:41" ht="15.75" customHeight="1" x14ac:dyDescent="0.25">
      <c r="A313" s="344"/>
      <c r="B313" s="353"/>
      <c r="C313" s="344"/>
      <c r="D313" s="344"/>
      <c r="E313" s="344"/>
      <c r="F313" s="344"/>
      <c r="G313" s="344"/>
      <c r="H313" s="344"/>
      <c r="I313" s="344"/>
      <c r="J313" s="344"/>
      <c r="K313" s="344"/>
      <c r="L313" s="344"/>
      <c r="M313" s="344"/>
      <c r="N313" s="344"/>
      <c r="O313" s="344"/>
      <c r="P313" s="344"/>
      <c r="Q313" s="344"/>
      <c r="R313" s="344"/>
      <c r="S313" s="344"/>
      <c r="T313" s="344"/>
      <c r="U313" s="344"/>
      <c r="V313" s="344"/>
      <c r="W313" s="344"/>
      <c r="X313" s="344"/>
      <c r="Y313" s="344"/>
      <c r="Z313" s="344"/>
      <c r="AA313" s="344"/>
      <c r="AB313" s="344"/>
      <c r="AC313" s="344"/>
      <c r="AD313" s="344"/>
      <c r="AE313" s="344"/>
      <c r="AF313" s="344"/>
      <c r="AG313" s="344"/>
      <c r="AH313" s="344"/>
      <c r="AI313" s="344"/>
      <c r="AJ313" s="344"/>
      <c r="AK313" s="344"/>
      <c r="AL313" s="344"/>
      <c r="AM313" s="344"/>
      <c r="AN313" s="344"/>
      <c r="AO313" s="344"/>
    </row>
    <row r="314" spans="1:41" ht="15.75" customHeight="1" x14ac:dyDescent="0.25">
      <c r="A314" s="344"/>
      <c r="B314" s="353"/>
      <c r="C314" s="344"/>
      <c r="D314" s="344"/>
      <c r="E314" s="344"/>
      <c r="F314" s="344"/>
      <c r="G314" s="344"/>
      <c r="H314" s="344"/>
      <c r="I314" s="344"/>
      <c r="J314" s="344"/>
      <c r="K314" s="344"/>
      <c r="L314" s="344"/>
      <c r="M314" s="344"/>
      <c r="N314" s="344"/>
      <c r="O314" s="344"/>
      <c r="P314" s="344"/>
      <c r="Q314" s="344"/>
      <c r="R314" s="344"/>
      <c r="S314" s="344"/>
      <c r="T314" s="344"/>
      <c r="U314" s="344"/>
      <c r="V314" s="344"/>
      <c r="W314" s="344"/>
      <c r="X314" s="344"/>
      <c r="Y314" s="344"/>
      <c r="Z314" s="344"/>
      <c r="AA314" s="344"/>
      <c r="AB314" s="344"/>
      <c r="AC314" s="344"/>
      <c r="AD314" s="344"/>
      <c r="AE314" s="344"/>
      <c r="AF314" s="344"/>
      <c r="AG314" s="344"/>
      <c r="AH314" s="344"/>
      <c r="AI314" s="344"/>
      <c r="AJ314" s="344"/>
      <c r="AK314" s="344"/>
      <c r="AL314" s="344"/>
      <c r="AM314" s="344"/>
      <c r="AN314" s="344"/>
      <c r="AO314" s="344"/>
    </row>
    <row r="315" spans="1:41" ht="15.75" customHeight="1" x14ac:dyDescent="0.25">
      <c r="A315" s="344"/>
      <c r="B315" s="353"/>
      <c r="C315" s="344"/>
      <c r="D315" s="344"/>
      <c r="E315" s="344"/>
      <c r="F315" s="344"/>
      <c r="G315" s="344"/>
      <c r="H315" s="344"/>
      <c r="I315" s="344"/>
      <c r="J315" s="344"/>
      <c r="K315" s="344"/>
      <c r="L315" s="344"/>
      <c r="M315" s="344"/>
      <c r="N315" s="344"/>
      <c r="O315" s="344"/>
      <c r="P315" s="344"/>
      <c r="Q315" s="344"/>
      <c r="R315" s="344"/>
      <c r="S315" s="344"/>
      <c r="T315" s="344"/>
      <c r="U315" s="344"/>
      <c r="V315" s="344"/>
      <c r="W315" s="344"/>
      <c r="X315" s="344"/>
      <c r="Y315" s="344"/>
      <c r="Z315" s="344"/>
      <c r="AA315" s="344"/>
      <c r="AB315" s="344"/>
      <c r="AC315" s="344"/>
      <c r="AD315" s="344"/>
      <c r="AE315" s="344"/>
      <c r="AF315" s="344"/>
      <c r="AG315" s="344"/>
      <c r="AH315" s="344"/>
      <c r="AI315" s="344"/>
      <c r="AJ315" s="344"/>
      <c r="AK315" s="344"/>
      <c r="AL315" s="344"/>
      <c r="AM315" s="344"/>
      <c r="AN315" s="344"/>
      <c r="AO315" s="344"/>
    </row>
    <row r="316" spans="1:41" ht="15.75" customHeight="1" x14ac:dyDescent="0.25">
      <c r="A316" s="344"/>
      <c r="B316" s="353"/>
      <c r="C316" s="344"/>
      <c r="D316" s="344"/>
      <c r="E316" s="344"/>
      <c r="F316" s="344"/>
      <c r="G316" s="344"/>
      <c r="H316" s="344"/>
      <c r="I316" s="344"/>
      <c r="J316" s="344"/>
      <c r="K316" s="344"/>
      <c r="L316" s="344"/>
      <c r="M316" s="344"/>
      <c r="N316" s="344"/>
      <c r="O316" s="344"/>
      <c r="P316" s="344"/>
      <c r="Q316" s="344"/>
      <c r="R316" s="344"/>
      <c r="S316" s="344"/>
      <c r="T316" s="344"/>
      <c r="U316" s="344"/>
      <c r="V316" s="344"/>
      <c r="W316" s="344"/>
      <c r="X316" s="344"/>
      <c r="Y316" s="344"/>
      <c r="Z316" s="344"/>
      <c r="AA316" s="344"/>
      <c r="AB316" s="344"/>
      <c r="AC316" s="344"/>
      <c r="AD316" s="344"/>
      <c r="AE316" s="344"/>
      <c r="AF316" s="344"/>
      <c r="AG316" s="344"/>
      <c r="AH316" s="344"/>
      <c r="AI316" s="344"/>
      <c r="AJ316" s="344"/>
      <c r="AK316" s="344"/>
      <c r="AL316" s="344"/>
      <c r="AM316" s="344"/>
      <c r="AN316" s="344"/>
      <c r="AO316" s="344"/>
    </row>
    <row r="317" spans="1:41" ht="15.75" customHeight="1" x14ac:dyDescent="0.25">
      <c r="A317" s="344"/>
      <c r="B317" s="353"/>
      <c r="C317" s="344"/>
      <c r="D317" s="344"/>
      <c r="E317" s="344"/>
      <c r="F317" s="344"/>
      <c r="G317" s="344"/>
      <c r="H317" s="344"/>
      <c r="I317" s="344"/>
      <c r="J317" s="344"/>
      <c r="K317" s="344"/>
      <c r="L317" s="344"/>
      <c r="M317" s="344"/>
      <c r="N317" s="344"/>
      <c r="O317" s="344"/>
      <c r="P317" s="344"/>
      <c r="Q317" s="344"/>
      <c r="R317" s="344"/>
      <c r="S317" s="344"/>
      <c r="T317" s="344"/>
      <c r="U317" s="344"/>
      <c r="V317" s="344"/>
      <c r="W317" s="344"/>
      <c r="X317" s="344"/>
      <c r="Y317" s="344"/>
      <c r="Z317" s="344"/>
      <c r="AA317" s="344"/>
      <c r="AB317" s="344"/>
      <c r="AC317" s="344"/>
      <c r="AD317" s="344"/>
      <c r="AE317" s="344"/>
      <c r="AF317" s="344"/>
      <c r="AG317" s="344"/>
      <c r="AH317" s="344"/>
      <c r="AI317" s="344"/>
      <c r="AJ317" s="344"/>
      <c r="AK317" s="344"/>
      <c r="AL317" s="344"/>
      <c r="AM317" s="344"/>
      <c r="AN317" s="344"/>
      <c r="AO317" s="344"/>
    </row>
    <row r="318" spans="1:41" ht="15.75" customHeight="1" x14ac:dyDescent="0.25">
      <c r="A318" s="344"/>
      <c r="B318" s="353"/>
      <c r="C318" s="344"/>
      <c r="D318" s="344"/>
      <c r="E318" s="344"/>
      <c r="F318" s="344"/>
      <c r="G318" s="344"/>
      <c r="H318" s="344"/>
      <c r="I318" s="344"/>
      <c r="J318" s="344"/>
      <c r="K318" s="344"/>
      <c r="L318" s="344"/>
      <c r="M318" s="344"/>
      <c r="N318" s="344"/>
      <c r="O318" s="344"/>
      <c r="P318" s="344"/>
      <c r="Q318" s="344"/>
      <c r="R318" s="344"/>
      <c r="S318" s="344"/>
      <c r="T318" s="344"/>
      <c r="U318" s="344"/>
      <c r="V318" s="344"/>
      <c r="W318" s="344"/>
      <c r="X318" s="344"/>
      <c r="Y318" s="344"/>
      <c r="Z318" s="344"/>
      <c r="AA318" s="344"/>
      <c r="AB318" s="344"/>
      <c r="AC318" s="344"/>
      <c r="AD318" s="344"/>
      <c r="AE318" s="344"/>
      <c r="AF318" s="344"/>
      <c r="AG318" s="344"/>
      <c r="AH318" s="344"/>
      <c r="AI318" s="344"/>
      <c r="AJ318" s="344"/>
      <c r="AK318" s="344"/>
      <c r="AL318" s="344"/>
      <c r="AM318" s="344"/>
      <c r="AN318" s="344"/>
      <c r="AO318" s="344"/>
    </row>
    <row r="319" spans="1:41" ht="15.75" customHeight="1" x14ac:dyDescent="0.25">
      <c r="A319" s="344"/>
      <c r="B319" s="353"/>
      <c r="C319" s="344"/>
      <c r="D319" s="344"/>
      <c r="E319" s="344"/>
      <c r="F319" s="344"/>
      <c r="G319" s="344"/>
      <c r="H319" s="344"/>
      <c r="I319" s="344"/>
      <c r="J319" s="344"/>
      <c r="K319" s="344"/>
      <c r="L319" s="344"/>
      <c r="M319" s="344"/>
      <c r="N319" s="344"/>
      <c r="O319" s="344"/>
      <c r="P319" s="344"/>
      <c r="Q319" s="344"/>
      <c r="R319" s="344"/>
      <c r="S319" s="344"/>
      <c r="T319" s="344"/>
      <c r="U319" s="344"/>
      <c r="V319" s="344"/>
      <c r="W319" s="344"/>
      <c r="X319" s="344"/>
      <c r="Y319" s="344"/>
      <c r="Z319" s="344"/>
      <c r="AA319" s="344"/>
      <c r="AB319" s="344"/>
      <c r="AC319" s="344"/>
      <c r="AD319" s="344"/>
      <c r="AE319" s="344"/>
      <c r="AF319" s="344"/>
      <c r="AG319" s="344"/>
      <c r="AH319" s="344"/>
      <c r="AI319" s="344"/>
      <c r="AJ319" s="344"/>
      <c r="AK319" s="344"/>
      <c r="AL319" s="344"/>
      <c r="AM319" s="344"/>
      <c r="AN319" s="344"/>
      <c r="AO319" s="344"/>
    </row>
    <row r="320" spans="1:41" ht="15.75" customHeight="1" x14ac:dyDescent="0.25">
      <c r="A320" s="344"/>
      <c r="B320" s="353"/>
      <c r="C320" s="344"/>
      <c r="D320" s="344"/>
      <c r="E320" s="344"/>
      <c r="F320" s="344"/>
      <c r="G320" s="344"/>
      <c r="H320" s="344"/>
      <c r="I320" s="344"/>
      <c r="J320" s="344"/>
      <c r="K320" s="344"/>
      <c r="L320" s="344"/>
      <c r="M320" s="344"/>
      <c r="N320" s="344"/>
      <c r="O320" s="344"/>
      <c r="P320" s="344"/>
      <c r="Q320" s="344"/>
      <c r="R320" s="344"/>
      <c r="S320" s="344"/>
      <c r="T320" s="344"/>
      <c r="U320" s="344"/>
      <c r="V320" s="344"/>
      <c r="W320" s="344"/>
      <c r="X320" s="344"/>
      <c r="Y320" s="344"/>
      <c r="Z320" s="344"/>
      <c r="AA320" s="344"/>
      <c r="AB320" s="344"/>
      <c r="AC320" s="344"/>
      <c r="AD320" s="344"/>
      <c r="AE320" s="344"/>
      <c r="AF320" s="344"/>
      <c r="AG320" s="344"/>
      <c r="AH320" s="344"/>
      <c r="AI320" s="344"/>
      <c r="AJ320" s="344"/>
      <c r="AK320" s="344"/>
      <c r="AL320" s="344"/>
      <c r="AM320" s="344"/>
      <c r="AN320" s="344"/>
      <c r="AO320" s="344"/>
    </row>
    <row r="321" spans="1:41" ht="15.75" customHeight="1" x14ac:dyDescent="0.25">
      <c r="A321" s="344"/>
      <c r="B321" s="353"/>
      <c r="C321" s="344"/>
      <c r="D321" s="344"/>
      <c r="E321" s="344"/>
      <c r="F321" s="344"/>
      <c r="G321" s="344"/>
      <c r="H321" s="344"/>
      <c r="I321" s="344"/>
      <c r="J321" s="344"/>
      <c r="K321" s="344"/>
      <c r="L321" s="344"/>
      <c r="M321" s="344"/>
      <c r="N321" s="344"/>
      <c r="O321" s="344"/>
      <c r="P321" s="344"/>
      <c r="Q321" s="344"/>
      <c r="R321" s="344"/>
      <c r="S321" s="344"/>
      <c r="T321" s="344"/>
      <c r="U321" s="344"/>
      <c r="V321" s="344"/>
      <c r="W321" s="344"/>
      <c r="X321" s="344"/>
      <c r="Y321" s="344"/>
      <c r="Z321" s="344"/>
      <c r="AA321" s="344"/>
      <c r="AB321" s="344"/>
      <c r="AC321" s="344"/>
      <c r="AD321" s="344"/>
      <c r="AE321" s="344"/>
      <c r="AF321" s="344"/>
      <c r="AG321" s="344"/>
      <c r="AH321" s="344"/>
      <c r="AI321" s="344"/>
      <c r="AJ321" s="344"/>
      <c r="AK321" s="344"/>
      <c r="AL321" s="344"/>
      <c r="AM321" s="344"/>
      <c r="AN321" s="344"/>
      <c r="AO321" s="344"/>
    </row>
    <row r="322" spans="1:41" ht="15.75" customHeight="1" x14ac:dyDescent="0.25">
      <c r="A322" s="344"/>
      <c r="B322" s="353"/>
      <c r="C322" s="344"/>
      <c r="D322" s="344"/>
      <c r="E322" s="344"/>
      <c r="F322" s="344"/>
      <c r="G322" s="344"/>
      <c r="H322" s="344"/>
      <c r="I322" s="344"/>
      <c r="J322" s="344"/>
      <c r="K322" s="344"/>
      <c r="L322" s="344"/>
      <c r="M322" s="344"/>
      <c r="N322" s="344"/>
      <c r="O322" s="344"/>
      <c r="P322" s="344"/>
      <c r="Q322" s="344"/>
      <c r="R322" s="344"/>
      <c r="S322" s="344"/>
      <c r="T322" s="344"/>
      <c r="U322" s="344"/>
      <c r="V322" s="344"/>
      <c r="W322" s="344"/>
      <c r="X322" s="344"/>
      <c r="Y322" s="344"/>
      <c r="Z322" s="344"/>
      <c r="AA322" s="344"/>
      <c r="AB322" s="344"/>
      <c r="AC322" s="344"/>
      <c r="AD322" s="344"/>
      <c r="AE322" s="344"/>
      <c r="AF322" s="344"/>
      <c r="AG322" s="344"/>
      <c r="AH322" s="344"/>
      <c r="AI322" s="344"/>
      <c r="AJ322" s="344"/>
      <c r="AK322" s="344"/>
      <c r="AL322" s="344"/>
      <c r="AM322" s="344"/>
      <c r="AN322" s="344"/>
      <c r="AO322" s="344"/>
    </row>
    <row r="323" spans="1:41" ht="15.75" customHeight="1" x14ac:dyDescent="0.25">
      <c r="A323" s="344"/>
      <c r="B323" s="353"/>
      <c r="C323" s="344"/>
      <c r="D323" s="344"/>
      <c r="E323" s="344"/>
      <c r="F323" s="344"/>
      <c r="G323" s="344"/>
      <c r="H323" s="344"/>
      <c r="I323" s="344"/>
      <c r="J323" s="344"/>
      <c r="K323" s="344"/>
      <c r="L323" s="344"/>
      <c r="M323" s="344"/>
      <c r="N323" s="344"/>
      <c r="O323" s="344"/>
      <c r="P323" s="344"/>
      <c r="Q323" s="344"/>
      <c r="R323" s="344"/>
      <c r="S323" s="344"/>
      <c r="T323" s="344"/>
      <c r="U323" s="344"/>
      <c r="V323" s="344"/>
      <c r="W323" s="344"/>
      <c r="X323" s="344"/>
      <c r="Y323" s="344"/>
      <c r="Z323" s="344"/>
      <c r="AA323" s="344"/>
      <c r="AB323" s="344"/>
      <c r="AC323" s="344"/>
      <c r="AD323" s="344"/>
      <c r="AE323" s="344"/>
      <c r="AF323" s="344"/>
      <c r="AG323" s="344"/>
      <c r="AH323" s="344"/>
      <c r="AI323" s="344"/>
      <c r="AJ323" s="344"/>
      <c r="AK323" s="344"/>
      <c r="AL323" s="344"/>
      <c r="AM323" s="344"/>
      <c r="AN323" s="344"/>
      <c r="AO323" s="344"/>
    </row>
    <row r="324" spans="1:41" ht="15.75" customHeight="1" x14ac:dyDescent="0.25">
      <c r="A324" s="344"/>
      <c r="B324" s="353"/>
      <c r="C324" s="344"/>
      <c r="D324" s="344"/>
      <c r="E324" s="344"/>
      <c r="F324" s="344"/>
      <c r="G324" s="344"/>
      <c r="H324" s="344"/>
      <c r="I324" s="344"/>
      <c r="J324" s="344"/>
      <c r="K324" s="344"/>
      <c r="L324" s="344"/>
      <c r="M324" s="344"/>
      <c r="N324" s="344"/>
      <c r="O324" s="344"/>
      <c r="P324" s="344"/>
      <c r="Q324" s="344"/>
      <c r="R324" s="344"/>
      <c r="S324" s="344"/>
      <c r="T324" s="344"/>
      <c r="U324" s="344"/>
      <c r="V324" s="344"/>
      <c r="W324" s="344"/>
      <c r="X324" s="344"/>
      <c r="Y324" s="344"/>
      <c r="Z324" s="344"/>
      <c r="AA324" s="344"/>
      <c r="AB324" s="344"/>
      <c r="AC324" s="344"/>
      <c r="AD324" s="344"/>
      <c r="AE324" s="344"/>
      <c r="AF324" s="344"/>
      <c r="AG324" s="344"/>
      <c r="AH324" s="344"/>
      <c r="AI324" s="344"/>
      <c r="AJ324" s="344"/>
      <c r="AK324" s="344"/>
      <c r="AL324" s="344"/>
      <c r="AM324" s="344"/>
      <c r="AN324" s="344"/>
      <c r="AO324" s="344"/>
    </row>
    <row r="325" spans="1:41" ht="15.75" customHeight="1" x14ac:dyDescent="0.25">
      <c r="A325" s="344"/>
      <c r="B325" s="353"/>
      <c r="C325" s="344"/>
      <c r="D325" s="344"/>
      <c r="E325" s="344"/>
      <c r="F325" s="344"/>
      <c r="G325" s="344"/>
      <c r="H325" s="344"/>
      <c r="I325" s="344"/>
      <c r="J325" s="344"/>
      <c r="K325" s="344"/>
      <c r="L325" s="344"/>
      <c r="M325" s="344"/>
      <c r="N325" s="344"/>
      <c r="O325" s="344"/>
      <c r="P325" s="344"/>
      <c r="Q325" s="344"/>
      <c r="R325" s="344"/>
      <c r="S325" s="344"/>
      <c r="T325" s="344"/>
      <c r="U325" s="344"/>
      <c r="V325" s="344"/>
      <c r="W325" s="344"/>
      <c r="X325" s="344"/>
      <c r="Y325" s="344"/>
      <c r="Z325" s="344"/>
      <c r="AA325" s="344"/>
      <c r="AB325" s="344"/>
      <c r="AC325" s="344"/>
      <c r="AD325" s="344"/>
      <c r="AE325" s="344"/>
      <c r="AF325" s="344"/>
      <c r="AG325" s="344"/>
      <c r="AH325" s="344"/>
      <c r="AI325" s="344"/>
      <c r="AJ325" s="344"/>
      <c r="AK325" s="344"/>
      <c r="AL325" s="344"/>
      <c r="AM325" s="344"/>
      <c r="AN325" s="344"/>
      <c r="AO325" s="344"/>
    </row>
    <row r="326" spans="1:41" ht="15.75" customHeight="1" x14ac:dyDescent="0.25">
      <c r="A326" s="344"/>
      <c r="B326" s="353"/>
      <c r="C326" s="344"/>
      <c r="D326" s="344"/>
      <c r="E326" s="344"/>
      <c r="F326" s="344"/>
      <c r="G326" s="344"/>
      <c r="H326" s="344"/>
      <c r="I326" s="344"/>
      <c r="J326" s="344"/>
      <c r="K326" s="344"/>
      <c r="L326" s="344"/>
      <c r="M326" s="344"/>
      <c r="N326" s="344"/>
      <c r="O326" s="344"/>
      <c r="P326" s="344"/>
      <c r="Q326" s="344"/>
      <c r="R326" s="344"/>
      <c r="S326" s="344"/>
      <c r="T326" s="344"/>
      <c r="U326" s="344"/>
      <c r="V326" s="344"/>
      <c r="W326" s="344"/>
      <c r="X326" s="344"/>
      <c r="Y326" s="344"/>
      <c r="Z326" s="344"/>
      <c r="AA326" s="344"/>
      <c r="AB326" s="344"/>
      <c r="AC326" s="344"/>
      <c r="AD326" s="344"/>
      <c r="AE326" s="344"/>
      <c r="AF326" s="344"/>
      <c r="AG326" s="344"/>
      <c r="AH326" s="344"/>
      <c r="AI326" s="344"/>
      <c r="AJ326" s="344"/>
      <c r="AK326" s="344"/>
      <c r="AL326" s="344"/>
      <c r="AM326" s="344"/>
      <c r="AN326" s="344"/>
      <c r="AO326" s="344"/>
    </row>
    <row r="327" spans="1:41" ht="15.75" customHeight="1" x14ac:dyDescent="0.25">
      <c r="A327" s="344"/>
      <c r="B327" s="353"/>
      <c r="C327" s="344"/>
      <c r="D327" s="344"/>
      <c r="E327" s="344"/>
      <c r="F327" s="344"/>
      <c r="G327" s="344"/>
      <c r="H327" s="344"/>
      <c r="I327" s="344"/>
      <c r="J327" s="344"/>
      <c r="K327" s="344"/>
      <c r="L327" s="344"/>
      <c r="M327" s="344"/>
      <c r="N327" s="344"/>
      <c r="O327" s="344"/>
      <c r="P327" s="344"/>
      <c r="Q327" s="344"/>
      <c r="R327" s="344"/>
      <c r="S327" s="344"/>
      <c r="T327" s="344"/>
      <c r="U327" s="344"/>
      <c r="V327" s="344"/>
      <c r="W327" s="344"/>
      <c r="X327" s="344"/>
      <c r="Y327" s="344"/>
      <c r="Z327" s="344"/>
      <c r="AA327" s="344"/>
      <c r="AB327" s="344"/>
      <c r="AC327" s="344"/>
      <c r="AD327" s="344"/>
      <c r="AE327" s="344"/>
      <c r="AF327" s="344"/>
      <c r="AG327" s="344"/>
      <c r="AH327" s="344"/>
      <c r="AI327" s="344"/>
      <c r="AJ327" s="344"/>
      <c r="AK327" s="344"/>
      <c r="AL327" s="344"/>
      <c r="AM327" s="344"/>
      <c r="AN327" s="344"/>
      <c r="AO327" s="344"/>
    </row>
    <row r="328" spans="1:41" ht="15.75" customHeight="1" x14ac:dyDescent="0.25">
      <c r="A328" s="344"/>
      <c r="B328" s="353"/>
      <c r="C328" s="344"/>
      <c r="D328" s="344"/>
      <c r="E328" s="344"/>
      <c r="F328" s="344"/>
      <c r="G328" s="344"/>
      <c r="H328" s="344"/>
      <c r="I328" s="344"/>
      <c r="J328" s="344"/>
      <c r="K328" s="344"/>
      <c r="L328" s="344"/>
      <c r="M328" s="344"/>
      <c r="N328" s="344"/>
      <c r="O328" s="344"/>
      <c r="P328" s="344"/>
      <c r="Q328" s="344"/>
      <c r="R328" s="344"/>
      <c r="S328" s="344"/>
      <c r="T328" s="344"/>
      <c r="U328" s="344"/>
      <c r="V328" s="344"/>
      <c r="W328" s="344"/>
      <c r="X328" s="344"/>
      <c r="Y328" s="344"/>
      <c r="Z328" s="344"/>
      <c r="AA328" s="344"/>
      <c r="AB328" s="344"/>
      <c r="AC328" s="344"/>
      <c r="AD328" s="344"/>
      <c r="AE328" s="344"/>
      <c r="AF328" s="344"/>
      <c r="AG328" s="344"/>
      <c r="AH328" s="344"/>
      <c r="AI328" s="344"/>
      <c r="AJ328" s="344"/>
      <c r="AK328" s="344"/>
      <c r="AL328" s="344"/>
      <c r="AM328" s="344"/>
      <c r="AN328" s="344"/>
      <c r="AO328" s="344"/>
    </row>
    <row r="329" spans="1:41" ht="15.75" customHeight="1" x14ac:dyDescent="0.25">
      <c r="A329" s="344"/>
      <c r="B329" s="353"/>
      <c r="C329" s="344"/>
      <c r="D329" s="344"/>
      <c r="E329" s="344"/>
      <c r="F329" s="344"/>
      <c r="G329" s="344"/>
      <c r="H329" s="344"/>
      <c r="I329" s="344"/>
      <c r="J329" s="344"/>
      <c r="K329" s="344"/>
      <c r="L329" s="344"/>
      <c r="M329" s="344"/>
      <c r="N329" s="344"/>
      <c r="O329" s="344"/>
      <c r="P329" s="344"/>
      <c r="Q329" s="344"/>
      <c r="R329" s="344"/>
      <c r="S329" s="344"/>
      <c r="T329" s="344"/>
      <c r="U329" s="344"/>
      <c r="V329" s="344"/>
      <c r="W329" s="344"/>
      <c r="X329" s="344"/>
      <c r="Y329" s="344"/>
      <c r="Z329" s="344"/>
      <c r="AA329" s="344"/>
      <c r="AB329" s="344"/>
      <c r="AC329" s="344"/>
      <c r="AD329" s="344"/>
      <c r="AE329" s="344"/>
      <c r="AF329" s="344"/>
      <c r="AG329" s="344"/>
      <c r="AH329" s="344"/>
      <c r="AI329" s="344"/>
      <c r="AJ329" s="344"/>
      <c r="AK329" s="344"/>
      <c r="AL329" s="344"/>
      <c r="AM329" s="344"/>
      <c r="AN329" s="344"/>
      <c r="AO329" s="344"/>
    </row>
    <row r="330" spans="1:41" ht="15.75" customHeight="1" x14ac:dyDescent="0.25">
      <c r="A330" s="344"/>
      <c r="B330" s="353"/>
      <c r="C330" s="344"/>
      <c r="D330" s="344"/>
      <c r="E330" s="344"/>
      <c r="F330" s="344"/>
      <c r="G330" s="344"/>
      <c r="H330" s="344"/>
      <c r="I330" s="344"/>
      <c r="J330" s="344"/>
      <c r="K330" s="344"/>
      <c r="L330" s="344"/>
      <c r="M330" s="344"/>
      <c r="N330" s="344"/>
      <c r="O330" s="344"/>
      <c r="P330" s="344"/>
      <c r="Q330" s="344"/>
      <c r="R330" s="344"/>
      <c r="S330" s="344"/>
      <c r="T330" s="344"/>
      <c r="U330" s="344"/>
      <c r="V330" s="344"/>
      <c r="W330" s="344"/>
      <c r="X330" s="344"/>
      <c r="Y330" s="344"/>
      <c r="Z330" s="344"/>
      <c r="AA330" s="344"/>
      <c r="AB330" s="344"/>
      <c r="AC330" s="344"/>
      <c r="AD330" s="344"/>
      <c r="AE330" s="344"/>
      <c r="AF330" s="344"/>
      <c r="AG330" s="344"/>
      <c r="AH330" s="344"/>
      <c r="AI330" s="344"/>
      <c r="AJ330" s="344"/>
      <c r="AK330" s="344"/>
      <c r="AL330" s="344"/>
      <c r="AM330" s="344"/>
      <c r="AN330" s="344"/>
      <c r="AO330" s="344"/>
    </row>
    <row r="331" spans="1:41" ht="15.75" customHeight="1" x14ac:dyDescent="0.25">
      <c r="A331" s="344"/>
      <c r="B331" s="353"/>
      <c r="C331" s="344"/>
      <c r="D331" s="344"/>
      <c r="E331" s="344"/>
      <c r="F331" s="344"/>
      <c r="G331" s="344"/>
      <c r="H331" s="344"/>
      <c r="I331" s="344"/>
      <c r="J331" s="344"/>
      <c r="K331" s="344"/>
      <c r="L331" s="344"/>
      <c r="M331" s="344"/>
      <c r="N331" s="344"/>
      <c r="O331" s="344"/>
      <c r="P331" s="344"/>
      <c r="Q331" s="344"/>
      <c r="R331" s="344"/>
      <c r="S331" s="344"/>
      <c r="T331" s="344"/>
      <c r="U331" s="344"/>
      <c r="V331" s="344"/>
      <c r="W331" s="344"/>
      <c r="X331" s="344"/>
      <c r="Y331" s="344"/>
      <c r="Z331" s="344"/>
      <c r="AA331" s="344"/>
      <c r="AB331" s="344"/>
      <c r="AC331" s="344"/>
      <c r="AD331" s="344"/>
      <c r="AE331" s="344"/>
      <c r="AF331" s="344"/>
      <c r="AG331" s="344"/>
      <c r="AH331" s="344"/>
      <c r="AI331" s="344"/>
      <c r="AJ331" s="344"/>
      <c r="AK331" s="344"/>
      <c r="AL331" s="344"/>
      <c r="AM331" s="344"/>
      <c r="AN331" s="344"/>
      <c r="AO331" s="344"/>
    </row>
    <row r="332" spans="1:41" ht="15.75" customHeight="1" x14ac:dyDescent="0.25">
      <c r="A332" s="344"/>
      <c r="B332" s="353"/>
      <c r="C332" s="344"/>
      <c r="D332" s="344"/>
      <c r="E332" s="344"/>
      <c r="F332" s="344"/>
      <c r="G332" s="344"/>
      <c r="H332" s="344"/>
      <c r="I332" s="344"/>
      <c r="J332" s="344"/>
      <c r="K332" s="344"/>
      <c r="L332" s="344"/>
      <c r="M332" s="344"/>
      <c r="N332" s="344"/>
      <c r="O332" s="344"/>
      <c r="P332" s="344"/>
      <c r="Q332" s="344"/>
      <c r="R332" s="344"/>
      <c r="S332" s="344"/>
      <c r="T332" s="344"/>
      <c r="U332" s="344"/>
      <c r="V332" s="344"/>
      <c r="W332" s="344"/>
      <c r="X332" s="344"/>
      <c r="Y332" s="344"/>
      <c r="Z332" s="344"/>
      <c r="AA332" s="344"/>
      <c r="AB332" s="344"/>
      <c r="AC332" s="344"/>
      <c r="AD332" s="344"/>
      <c r="AE332" s="344"/>
      <c r="AF332" s="344"/>
      <c r="AG332" s="344"/>
      <c r="AH332" s="344"/>
      <c r="AI332" s="344"/>
      <c r="AJ332" s="344"/>
      <c r="AK332" s="344"/>
      <c r="AL332" s="344"/>
      <c r="AM332" s="344"/>
      <c r="AN332" s="344"/>
      <c r="AO332" s="344"/>
    </row>
    <row r="333" spans="1:41" ht="15.75" customHeight="1" x14ac:dyDescent="0.25">
      <c r="A333" s="344"/>
      <c r="B333" s="353"/>
      <c r="C333" s="344"/>
      <c r="D333" s="344"/>
      <c r="E333" s="344"/>
      <c r="F333" s="344"/>
      <c r="G333" s="344"/>
      <c r="H333" s="344"/>
      <c r="I333" s="344"/>
      <c r="J333" s="344"/>
      <c r="K333" s="344"/>
      <c r="L333" s="344"/>
      <c r="M333" s="344"/>
      <c r="N333" s="344"/>
      <c r="O333" s="344"/>
      <c r="P333" s="344"/>
      <c r="Q333" s="344"/>
      <c r="R333" s="344"/>
      <c r="S333" s="344"/>
      <c r="T333" s="344"/>
      <c r="U333" s="344"/>
      <c r="V333" s="344"/>
      <c r="W333" s="344"/>
      <c r="X333" s="344"/>
      <c r="Y333" s="344"/>
      <c r="Z333" s="344"/>
      <c r="AA333" s="344"/>
      <c r="AB333" s="344"/>
      <c r="AC333" s="344"/>
      <c r="AD333" s="344"/>
      <c r="AE333" s="344"/>
      <c r="AF333" s="344"/>
      <c r="AG333" s="344"/>
      <c r="AH333" s="344"/>
      <c r="AI333" s="344"/>
      <c r="AJ333" s="344"/>
      <c r="AK333" s="344"/>
      <c r="AL333" s="344"/>
      <c r="AM333" s="344"/>
      <c r="AN333" s="344"/>
      <c r="AO333" s="344"/>
    </row>
    <row r="334" spans="1:41" ht="15.75" customHeight="1" x14ac:dyDescent="0.25">
      <c r="A334" s="344"/>
      <c r="B334" s="353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4"/>
      <c r="AG334" s="344"/>
      <c r="AH334" s="344"/>
      <c r="AI334" s="344"/>
      <c r="AJ334" s="344"/>
      <c r="AK334" s="344"/>
      <c r="AL334" s="344"/>
      <c r="AM334" s="344"/>
      <c r="AN334" s="344"/>
      <c r="AO334" s="344"/>
    </row>
    <row r="335" spans="1:41" ht="15.75" customHeight="1" x14ac:dyDescent="0.25">
      <c r="A335" s="344"/>
      <c r="B335" s="353"/>
      <c r="C335" s="344"/>
      <c r="D335" s="344"/>
      <c r="E335" s="344"/>
      <c r="F335" s="344"/>
      <c r="G335" s="344"/>
      <c r="H335" s="344"/>
      <c r="I335" s="344"/>
      <c r="J335" s="344"/>
      <c r="K335" s="344"/>
      <c r="L335" s="344"/>
      <c r="M335" s="344"/>
      <c r="N335" s="344"/>
      <c r="O335" s="344"/>
      <c r="P335" s="344"/>
      <c r="Q335" s="344"/>
      <c r="R335" s="344"/>
      <c r="S335" s="344"/>
      <c r="T335" s="344"/>
      <c r="U335" s="344"/>
      <c r="V335" s="344"/>
      <c r="W335" s="344"/>
      <c r="X335" s="344"/>
      <c r="Y335" s="344"/>
      <c r="Z335" s="344"/>
      <c r="AA335" s="344"/>
      <c r="AB335" s="344"/>
      <c r="AC335" s="344"/>
      <c r="AD335" s="344"/>
      <c r="AE335" s="344"/>
      <c r="AF335" s="344"/>
      <c r="AG335" s="344"/>
      <c r="AH335" s="344"/>
      <c r="AI335" s="344"/>
      <c r="AJ335" s="344"/>
      <c r="AK335" s="344"/>
      <c r="AL335" s="344"/>
      <c r="AM335" s="344"/>
      <c r="AN335" s="344"/>
      <c r="AO335" s="344"/>
    </row>
    <row r="336" spans="1:41" ht="15.75" customHeight="1" x14ac:dyDescent="0.25">
      <c r="A336" s="344"/>
      <c r="B336" s="353"/>
      <c r="C336" s="344"/>
      <c r="D336" s="344"/>
      <c r="E336" s="344"/>
      <c r="F336" s="344"/>
      <c r="G336" s="344"/>
      <c r="H336" s="344"/>
      <c r="I336" s="344"/>
      <c r="J336" s="344"/>
      <c r="K336" s="344"/>
      <c r="L336" s="344"/>
      <c r="M336" s="344"/>
      <c r="N336" s="344"/>
      <c r="O336" s="344"/>
      <c r="P336" s="344"/>
      <c r="Q336" s="344"/>
      <c r="R336" s="344"/>
      <c r="S336" s="344"/>
      <c r="T336" s="344"/>
      <c r="U336" s="344"/>
      <c r="V336" s="344"/>
      <c r="W336" s="344"/>
      <c r="X336" s="344"/>
      <c r="Y336" s="344"/>
      <c r="Z336" s="344"/>
      <c r="AA336" s="344"/>
      <c r="AB336" s="344"/>
      <c r="AC336" s="344"/>
      <c r="AD336" s="344"/>
      <c r="AE336" s="344"/>
      <c r="AF336" s="344"/>
      <c r="AG336" s="344"/>
      <c r="AH336" s="344"/>
      <c r="AI336" s="344"/>
      <c r="AJ336" s="344"/>
      <c r="AK336" s="344"/>
      <c r="AL336" s="344"/>
      <c r="AM336" s="344"/>
      <c r="AN336" s="344"/>
      <c r="AO336" s="344"/>
    </row>
    <row r="337" spans="1:41" ht="15.75" customHeight="1" x14ac:dyDescent="0.25">
      <c r="A337" s="344"/>
      <c r="B337" s="353"/>
      <c r="C337" s="344"/>
      <c r="D337" s="344"/>
      <c r="E337" s="344"/>
      <c r="F337" s="344"/>
      <c r="G337" s="344"/>
      <c r="H337" s="344"/>
      <c r="I337" s="344"/>
      <c r="J337" s="344"/>
      <c r="K337" s="344"/>
      <c r="L337" s="344"/>
      <c r="M337" s="344"/>
      <c r="N337" s="344"/>
      <c r="O337" s="344"/>
      <c r="P337" s="344"/>
      <c r="Q337" s="344"/>
      <c r="R337" s="344"/>
      <c r="S337" s="344"/>
      <c r="T337" s="344"/>
      <c r="U337" s="344"/>
      <c r="V337" s="344"/>
      <c r="W337" s="344"/>
      <c r="X337" s="344"/>
      <c r="Y337" s="344"/>
      <c r="Z337" s="344"/>
      <c r="AA337" s="344"/>
      <c r="AB337" s="344"/>
      <c r="AC337" s="344"/>
      <c r="AD337" s="344"/>
      <c r="AE337" s="344"/>
      <c r="AF337" s="344"/>
      <c r="AG337" s="344"/>
      <c r="AH337" s="344"/>
      <c r="AI337" s="344"/>
      <c r="AJ337" s="344"/>
      <c r="AK337" s="344"/>
      <c r="AL337" s="344"/>
      <c r="AM337" s="344"/>
      <c r="AN337" s="344"/>
      <c r="AO337" s="344"/>
    </row>
    <row r="338" spans="1:41" ht="15.75" customHeight="1" x14ac:dyDescent="0.25">
      <c r="A338" s="344"/>
      <c r="B338" s="353"/>
      <c r="C338" s="344"/>
      <c r="D338" s="344"/>
      <c r="E338" s="344"/>
      <c r="F338" s="344"/>
      <c r="G338" s="344"/>
      <c r="H338" s="344"/>
      <c r="I338" s="344"/>
      <c r="J338" s="344"/>
      <c r="K338" s="344"/>
      <c r="L338" s="344"/>
      <c r="M338" s="344"/>
      <c r="N338" s="344"/>
      <c r="O338" s="344"/>
      <c r="P338" s="344"/>
      <c r="Q338" s="344"/>
      <c r="R338" s="344"/>
      <c r="S338" s="344"/>
      <c r="T338" s="344"/>
      <c r="U338" s="344"/>
      <c r="V338" s="344"/>
      <c r="W338" s="344"/>
      <c r="X338" s="344"/>
      <c r="Y338" s="344"/>
      <c r="Z338" s="344"/>
      <c r="AA338" s="344"/>
      <c r="AB338" s="344"/>
      <c r="AC338" s="344"/>
      <c r="AD338" s="344"/>
      <c r="AE338" s="344"/>
      <c r="AF338" s="344"/>
      <c r="AG338" s="344"/>
      <c r="AH338" s="344"/>
      <c r="AI338" s="344"/>
      <c r="AJ338" s="344"/>
      <c r="AK338" s="344"/>
      <c r="AL338" s="344"/>
      <c r="AM338" s="344"/>
      <c r="AN338" s="344"/>
      <c r="AO338" s="344"/>
    </row>
    <row r="339" spans="1:41" ht="15.75" customHeight="1" x14ac:dyDescent="0.25">
      <c r="A339" s="344"/>
      <c r="B339" s="353"/>
      <c r="C339" s="344"/>
      <c r="D339" s="344"/>
      <c r="E339" s="344"/>
      <c r="F339" s="344"/>
      <c r="G339" s="344"/>
      <c r="H339" s="344"/>
      <c r="I339" s="344"/>
      <c r="J339" s="344"/>
      <c r="K339" s="344"/>
      <c r="L339" s="344"/>
      <c r="M339" s="344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  <c r="AA339" s="344"/>
      <c r="AB339" s="344"/>
      <c r="AC339" s="344"/>
      <c r="AD339" s="344"/>
      <c r="AE339" s="344"/>
      <c r="AF339" s="344"/>
      <c r="AG339" s="344"/>
      <c r="AH339" s="344"/>
      <c r="AI339" s="344"/>
      <c r="AJ339" s="344"/>
      <c r="AK339" s="344"/>
      <c r="AL339" s="344"/>
      <c r="AM339" s="344"/>
      <c r="AN339" s="344"/>
      <c r="AO339" s="344"/>
    </row>
    <row r="340" spans="1:41" ht="15.75" customHeight="1" x14ac:dyDescent="0.25">
      <c r="A340" s="344"/>
      <c r="B340" s="353"/>
      <c r="C340" s="344"/>
      <c r="D340" s="344"/>
      <c r="E340" s="344"/>
      <c r="F340" s="344"/>
      <c r="G340" s="344"/>
      <c r="H340" s="344"/>
      <c r="I340" s="344"/>
      <c r="J340" s="344"/>
      <c r="K340" s="344"/>
      <c r="L340" s="344"/>
      <c r="M340" s="344"/>
      <c r="N340" s="344"/>
      <c r="O340" s="344"/>
      <c r="P340" s="344"/>
      <c r="Q340" s="344"/>
      <c r="R340" s="344"/>
      <c r="S340" s="344"/>
      <c r="T340" s="344"/>
      <c r="U340" s="344"/>
      <c r="V340" s="344"/>
      <c r="W340" s="344"/>
      <c r="X340" s="344"/>
      <c r="Y340" s="344"/>
      <c r="Z340" s="344"/>
      <c r="AA340" s="344"/>
      <c r="AB340" s="344"/>
      <c r="AC340" s="344"/>
      <c r="AD340" s="344"/>
      <c r="AE340" s="344"/>
      <c r="AF340" s="344"/>
      <c r="AG340" s="344"/>
      <c r="AH340" s="344"/>
      <c r="AI340" s="344"/>
      <c r="AJ340" s="344"/>
      <c r="AK340" s="344"/>
      <c r="AL340" s="344"/>
      <c r="AM340" s="344"/>
      <c r="AN340" s="344"/>
      <c r="AO340" s="344"/>
    </row>
    <row r="341" spans="1:41" ht="15.75" customHeight="1" x14ac:dyDescent="0.25">
      <c r="A341" s="344"/>
      <c r="B341" s="353"/>
      <c r="C341" s="344"/>
      <c r="D341" s="344"/>
      <c r="E341" s="344"/>
      <c r="F341" s="344"/>
      <c r="G341" s="344"/>
      <c r="H341" s="344"/>
      <c r="I341" s="344"/>
      <c r="J341" s="344"/>
      <c r="K341" s="344"/>
      <c r="L341" s="344"/>
      <c r="M341" s="344"/>
      <c r="N341" s="344"/>
      <c r="O341" s="344"/>
      <c r="P341" s="344"/>
      <c r="Q341" s="344"/>
      <c r="R341" s="344"/>
      <c r="S341" s="344"/>
      <c r="T341" s="344"/>
      <c r="U341" s="344"/>
      <c r="V341" s="344"/>
      <c r="W341" s="344"/>
      <c r="X341" s="344"/>
      <c r="Y341" s="344"/>
      <c r="Z341" s="344"/>
      <c r="AA341" s="344"/>
      <c r="AB341" s="344"/>
      <c r="AC341" s="344"/>
      <c r="AD341" s="344"/>
      <c r="AE341" s="344"/>
      <c r="AF341" s="344"/>
      <c r="AG341" s="344"/>
      <c r="AH341" s="344"/>
      <c r="AI341" s="344"/>
      <c r="AJ341" s="344"/>
      <c r="AK341" s="344"/>
      <c r="AL341" s="344"/>
      <c r="AM341" s="344"/>
      <c r="AN341" s="344"/>
      <c r="AO341" s="344"/>
    </row>
    <row r="342" spans="1:41" ht="15.75" customHeight="1" x14ac:dyDescent="0.25">
      <c r="A342" s="344"/>
      <c r="B342" s="353"/>
      <c r="C342" s="344"/>
      <c r="D342" s="344"/>
      <c r="E342" s="344"/>
      <c r="F342" s="344"/>
      <c r="G342" s="344"/>
      <c r="H342" s="344"/>
      <c r="I342" s="344"/>
      <c r="J342" s="344"/>
      <c r="K342" s="344"/>
      <c r="L342" s="344"/>
      <c r="M342" s="344"/>
      <c r="N342" s="344"/>
      <c r="O342" s="344"/>
      <c r="P342" s="344"/>
      <c r="Q342" s="344"/>
      <c r="R342" s="344"/>
      <c r="S342" s="344"/>
      <c r="T342" s="344"/>
      <c r="U342" s="344"/>
      <c r="V342" s="344"/>
      <c r="W342" s="344"/>
      <c r="X342" s="344"/>
      <c r="Y342" s="344"/>
      <c r="Z342" s="344"/>
      <c r="AA342" s="344"/>
      <c r="AB342" s="344"/>
      <c r="AC342" s="344"/>
      <c r="AD342" s="344"/>
      <c r="AE342" s="344"/>
      <c r="AF342" s="344"/>
      <c r="AG342" s="344"/>
      <c r="AH342" s="344"/>
      <c r="AI342" s="344"/>
      <c r="AJ342" s="344"/>
      <c r="AK342" s="344"/>
      <c r="AL342" s="344"/>
      <c r="AM342" s="344"/>
      <c r="AN342" s="344"/>
      <c r="AO342" s="344"/>
    </row>
    <row r="343" spans="1:41" ht="15.75" customHeight="1" x14ac:dyDescent="0.25">
      <c r="A343" s="344"/>
      <c r="B343" s="353"/>
      <c r="C343" s="344"/>
      <c r="D343" s="344"/>
      <c r="E343" s="344"/>
      <c r="F343" s="344"/>
      <c r="G343" s="344"/>
      <c r="H343" s="344"/>
      <c r="I343" s="344"/>
      <c r="J343" s="344"/>
      <c r="K343" s="344"/>
      <c r="L343" s="344"/>
      <c r="M343" s="344"/>
      <c r="N343" s="344"/>
      <c r="O343" s="344"/>
      <c r="P343" s="344"/>
      <c r="Q343" s="344"/>
      <c r="R343" s="344"/>
      <c r="S343" s="344"/>
      <c r="T343" s="344"/>
      <c r="U343" s="344"/>
      <c r="V343" s="344"/>
      <c r="W343" s="344"/>
      <c r="X343" s="344"/>
      <c r="Y343" s="344"/>
      <c r="Z343" s="344"/>
      <c r="AA343" s="344"/>
      <c r="AB343" s="344"/>
      <c r="AC343" s="344"/>
      <c r="AD343" s="344"/>
      <c r="AE343" s="344"/>
      <c r="AF343" s="344"/>
      <c r="AG343" s="344"/>
      <c r="AH343" s="344"/>
      <c r="AI343" s="344"/>
      <c r="AJ343" s="344"/>
      <c r="AK343" s="344"/>
      <c r="AL343" s="344"/>
      <c r="AM343" s="344"/>
      <c r="AN343" s="344"/>
      <c r="AO343" s="344"/>
    </row>
    <row r="344" spans="1:41" ht="15.75" customHeight="1" x14ac:dyDescent="0.25">
      <c r="A344" s="344"/>
      <c r="B344" s="353"/>
      <c r="C344" s="344"/>
      <c r="D344" s="344"/>
      <c r="E344" s="344"/>
      <c r="F344" s="344"/>
      <c r="G344" s="344"/>
      <c r="H344" s="344"/>
      <c r="I344" s="344"/>
      <c r="J344" s="344"/>
      <c r="K344" s="344"/>
      <c r="L344" s="344"/>
      <c r="M344" s="344"/>
      <c r="N344" s="344"/>
      <c r="O344" s="344"/>
      <c r="P344" s="344"/>
      <c r="Q344" s="344"/>
      <c r="R344" s="344"/>
      <c r="S344" s="344"/>
      <c r="T344" s="344"/>
      <c r="U344" s="344"/>
      <c r="V344" s="344"/>
      <c r="W344" s="344"/>
      <c r="X344" s="344"/>
      <c r="Y344" s="344"/>
      <c r="Z344" s="344"/>
      <c r="AA344" s="344"/>
      <c r="AB344" s="344"/>
      <c r="AC344" s="344"/>
      <c r="AD344" s="344"/>
      <c r="AE344" s="344"/>
      <c r="AF344" s="344"/>
      <c r="AG344" s="344"/>
      <c r="AH344" s="344"/>
      <c r="AI344" s="344"/>
      <c r="AJ344" s="344"/>
      <c r="AK344" s="344"/>
      <c r="AL344" s="344"/>
      <c r="AM344" s="344"/>
      <c r="AN344" s="344"/>
      <c r="AO344" s="344"/>
    </row>
    <row r="345" spans="1:41" ht="15.75" customHeight="1" x14ac:dyDescent="0.25">
      <c r="A345" s="344"/>
      <c r="B345" s="353"/>
      <c r="C345" s="344"/>
      <c r="D345" s="344"/>
      <c r="E345" s="344"/>
      <c r="F345" s="344"/>
      <c r="G345" s="344"/>
      <c r="H345" s="344"/>
      <c r="I345" s="344"/>
      <c r="J345" s="344"/>
      <c r="K345" s="344"/>
      <c r="L345" s="344"/>
      <c r="M345" s="344"/>
      <c r="N345" s="344"/>
      <c r="O345" s="344"/>
      <c r="P345" s="344"/>
      <c r="Q345" s="344"/>
      <c r="R345" s="344"/>
      <c r="S345" s="344"/>
      <c r="T345" s="344"/>
      <c r="U345" s="344"/>
      <c r="V345" s="344"/>
      <c r="W345" s="344"/>
      <c r="X345" s="344"/>
      <c r="Y345" s="344"/>
      <c r="Z345" s="344"/>
      <c r="AA345" s="344"/>
      <c r="AB345" s="344"/>
      <c r="AC345" s="344"/>
      <c r="AD345" s="344"/>
      <c r="AE345" s="344"/>
      <c r="AF345" s="344"/>
      <c r="AG345" s="344"/>
      <c r="AH345" s="344"/>
      <c r="AI345" s="344"/>
      <c r="AJ345" s="344"/>
      <c r="AK345" s="344"/>
      <c r="AL345" s="344"/>
      <c r="AM345" s="344"/>
      <c r="AN345" s="344"/>
      <c r="AO345" s="344"/>
    </row>
    <row r="346" spans="1:41" ht="15.75" customHeight="1" x14ac:dyDescent="0.25">
      <c r="A346" s="344"/>
      <c r="B346" s="353"/>
      <c r="C346" s="344"/>
      <c r="D346" s="344"/>
      <c r="E346" s="344"/>
      <c r="F346" s="344"/>
      <c r="G346" s="344"/>
      <c r="H346" s="344"/>
      <c r="I346" s="344"/>
      <c r="J346" s="344"/>
      <c r="K346" s="344"/>
      <c r="L346" s="344"/>
      <c r="M346" s="344"/>
      <c r="N346" s="344"/>
      <c r="O346" s="344"/>
      <c r="P346" s="344"/>
      <c r="Q346" s="344"/>
      <c r="R346" s="344"/>
      <c r="S346" s="344"/>
      <c r="T346" s="344"/>
      <c r="U346" s="344"/>
      <c r="V346" s="344"/>
      <c r="W346" s="344"/>
      <c r="X346" s="344"/>
      <c r="Y346" s="344"/>
      <c r="Z346" s="344"/>
      <c r="AA346" s="344"/>
      <c r="AB346" s="344"/>
      <c r="AC346" s="344"/>
      <c r="AD346" s="344"/>
      <c r="AE346" s="344"/>
      <c r="AF346" s="344"/>
      <c r="AG346" s="344"/>
      <c r="AH346" s="344"/>
      <c r="AI346" s="344"/>
      <c r="AJ346" s="344"/>
      <c r="AK346" s="344"/>
      <c r="AL346" s="344"/>
      <c r="AM346" s="344"/>
      <c r="AN346" s="344"/>
      <c r="AO346" s="344"/>
    </row>
    <row r="347" spans="1:41" ht="15.75" customHeight="1" x14ac:dyDescent="0.25">
      <c r="A347" s="344"/>
      <c r="B347" s="353"/>
      <c r="C347" s="344"/>
      <c r="D347" s="344"/>
      <c r="E347" s="344"/>
      <c r="F347" s="344"/>
      <c r="G347" s="344"/>
      <c r="H347" s="344"/>
      <c r="I347" s="344"/>
      <c r="J347" s="344"/>
      <c r="K347" s="344"/>
      <c r="L347" s="344"/>
      <c r="M347" s="344"/>
      <c r="N347" s="344"/>
      <c r="O347" s="344"/>
      <c r="P347" s="344"/>
      <c r="Q347" s="344"/>
      <c r="R347" s="344"/>
      <c r="S347" s="344"/>
      <c r="T347" s="344"/>
      <c r="U347" s="344"/>
      <c r="V347" s="344"/>
      <c r="W347" s="344"/>
      <c r="X347" s="344"/>
      <c r="Y347" s="344"/>
      <c r="Z347" s="344"/>
      <c r="AA347" s="344"/>
      <c r="AB347" s="344"/>
      <c r="AC347" s="344"/>
      <c r="AD347" s="344"/>
      <c r="AE347" s="344"/>
      <c r="AF347" s="344"/>
      <c r="AG347" s="344"/>
      <c r="AH347" s="344"/>
      <c r="AI347" s="344"/>
      <c r="AJ347" s="344"/>
      <c r="AK347" s="344"/>
      <c r="AL347" s="344"/>
      <c r="AM347" s="344"/>
      <c r="AN347" s="344"/>
      <c r="AO347" s="344"/>
    </row>
    <row r="348" spans="1:41" ht="15.75" customHeight="1" x14ac:dyDescent="0.25">
      <c r="A348" s="344"/>
      <c r="B348" s="353"/>
      <c r="C348" s="344"/>
      <c r="D348" s="344"/>
      <c r="E348" s="344"/>
      <c r="F348" s="344"/>
      <c r="G348" s="344"/>
      <c r="H348" s="344"/>
      <c r="I348" s="344"/>
      <c r="J348" s="344"/>
      <c r="K348" s="344"/>
      <c r="L348" s="344"/>
      <c r="M348" s="344"/>
      <c r="N348" s="344"/>
      <c r="O348" s="344"/>
      <c r="P348" s="344"/>
      <c r="Q348" s="344"/>
      <c r="R348" s="344"/>
      <c r="S348" s="344"/>
      <c r="T348" s="344"/>
      <c r="U348" s="344"/>
      <c r="V348" s="344"/>
      <c r="W348" s="344"/>
      <c r="X348" s="344"/>
      <c r="Y348" s="344"/>
      <c r="Z348" s="344"/>
      <c r="AA348" s="344"/>
      <c r="AB348" s="344"/>
      <c r="AC348" s="344"/>
      <c r="AD348" s="344"/>
      <c r="AE348" s="344"/>
      <c r="AF348" s="344"/>
      <c r="AG348" s="344"/>
      <c r="AH348" s="344"/>
      <c r="AI348" s="344"/>
      <c r="AJ348" s="344"/>
      <c r="AK348" s="344"/>
      <c r="AL348" s="344"/>
      <c r="AM348" s="344"/>
      <c r="AN348" s="344"/>
      <c r="AO348" s="344"/>
    </row>
    <row r="349" spans="1:41" ht="15.75" customHeight="1" x14ac:dyDescent="0.25">
      <c r="A349" s="344"/>
      <c r="B349" s="353"/>
      <c r="C349" s="344"/>
      <c r="D349" s="344"/>
      <c r="E349" s="344"/>
      <c r="F349" s="344"/>
      <c r="G349" s="344"/>
      <c r="H349" s="344"/>
      <c r="I349" s="344"/>
      <c r="J349" s="344"/>
      <c r="K349" s="344"/>
      <c r="L349" s="344"/>
      <c r="M349" s="344"/>
      <c r="N349" s="344"/>
      <c r="O349" s="344"/>
      <c r="P349" s="344"/>
      <c r="Q349" s="344"/>
      <c r="R349" s="344"/>
      <c r="S349" s="344"/>
      <c r="T349" s="344"/>
      <c r="U349" s="344"/>
      <c r="V349" s="344"/>
      <c r="W349" s="344"/>
      <c r="X349" s="344"/>
      <c r="Y349" s="344"/>
      <c r="Z349" s="344"/>
      <c r="AA349" s="344"/>
      <c r="AB349" s="344"/>
      <c r="AC349" s="344"/>
      <c r="AD349" s="344"/>
      <c r="AE349" s="344"/>
      <c r="AF349" s="344"/>
      <c r="AG349" s="344"/>
      <c r="AH349" s="344"/>
      <c r="AI349" s="344"/>
      <c r="AJ349" s="344"/>
      <c r="AK349" s="344"/>
      <c r="AL349" s="344"/>
      <c r="AM349" s="344"/>
      <c r="AN349" s="344"/>
      <c r="AO349" s="344"/>
    </row>
    <row r="350" spans="1:41" ht="15.75" customHeight="1" x14ac:dyDescent="0.25">
      <c r="A350" s="344"/>
      <c r="B350" s="353"/>
      <c r="C350" s="344"/>
      <c r="D350" s="344"/>
      <c r="E350" s="344"/>
      <c r="F350" s="344"/>
      <c r="G350" s="344"/>
      <c r="H350" s="344"/>
      <c r="I350" s="344"/>
      <c r="J350" s="344"/>
      <c r="K350" s="344"/>
      <c r="L350" s="344"/>
      <c r="M350" s="344"/>
      <c r="N350" s="344"/>
      <c r="O350" s="344"/>
      <c r="P350" s="344"/>
      <c r="Q350" s="344"/>
      <c r="R350" s="344"/>
      <c r="S350" s="344"/>
      <c r="T350" s="344"/>
      <c r="U350" s="344"/>
      <c r="V350" s="344"/>
      <c r="W350" s="344"/>
      <c r="X350" s="344"/>
      <c r="Y350" s="344"/>
      <c r="Z350" s="344"/>
      <c r="AA350" s="344"/>
      <c r="AB350" s="344"/>
      <c r="AC350" s="344"/>
      <c r="AD350" s="344"/>
      <c r="AE350" s="344"/>
      <c r="AF350" s="344"/>
      <c r="AG350" s="344"/>
      <c r="AH350" s="344"/>
      <c r="AI350" s="344"/>
      <c r="AJ350" s="344"/>
      <c r="AK350" s="344"/>
      <c r="AL350" s="344"/>
      <c r="AM350" s="344"/>
      <c r="AN350" s="344"/>
      <c r="AO350" s="344"/>
    </row>
    <row r="351" spans="1:41" ht="15.75" customHeight="1" x14ac:dyDescent="0.25">
      <c r="A351" s="344"/>
      <c r="B351" s="353"/>
      <c r="C351" s="344"/>
      <c r="D351" s="344"/>
      <c r="E351" s="344"/>
      <c r="F351" s="344"/>
      <c r="G351" s="344"/>
      <c r="H351" s="344"/>
      <c r="I351" s="344"/>
      <c r="J351" s="344"/>
      <c r="K351" s="344"/>
      <c r="L351" s="344"/>
      <c r="M351" s="344"/>
      <c r="N351" s="344"/>
      <c r="O351" s="344"/>
      <c r="P351" s="344"/>
      <c r="Q351" s="344"/>
      <c r="R351" s="344"/>
      <c r="S351" s="344"/>
      <c r="T351" s="344"/>
      <c r="U351" s="344"/>
      <c r="V351" s="344"/>
      <c r="W351" s="344"/>
      <c r="X351" s="344"/>
      <c r="Y351" s="344"/>
      <c r="Z351" s="344"/>
      <c r="AA351" s="344"/>
      <c r="AB351" s="344"/>
      <c r="AC351" s="344"/>
      <c r="AD351" s="344"/>
      <c r="AE351" s="344"/>
      <c r="AF351" s="344"/>
      <c r="AG351" s="344"/>
      <c r="AH351" s="344"/>
      <c r="AI351" s="344"/>
      <c r="AJ351" s="344"/>
      <c r="AK351" s="344"/>
      <c r="AL351" s="344"/>
      <c r="AM351" s="344"/>
      <c r="AN351" s="344"/>
      <c r="AO351" s="344"/>
    </row>
    <row r="352" spans="1:41" ht="15.75" customHeight="1" x14ac:dyDescent="0.25">
      <c r="A352" s="344"/>
      <c r="B352" s="353"/>
      <c r="C352" s="344"/>
      <c r="D352" s="344"/>
      <c r="E352" s="344"/>
      <c r="F352" s="344"/>
      <c r="G352" s="344"/>
      <c r="H352" s="344"/>
      <c r="I352" s="344"/>
      <c r="J352" s="344"/>
      <c r="K352" s="344"/>
      <c r="L352" s="344"/>
      <c r="M352" s="344"/>
      <c r="N352" s="344"/>
      <c r="O352" s="344"/>
      <c r="P352" s="344"/>
      <c r="Q352" s="344"/>
      <c r="R352" s="344"/>
      <c r="S352" s="344"/>
      <c r="T352" s="344"/>
      <c r="U352" s="344"/>
      <c r="V352" s="344"/>
      <c r="W352" s="344"/>
      <c r="X352" s="344"/>
      <c r="Y352" s="344"/>
      <c r="Z352" s="344"/>
      <c r="AA352" s="344"/>
      <c r="AB352" s="344"/>
      <c r="AC352" s="344"/>
      <c r="AD352" s="344"/>
      <c r="AE352" s="344"/>
      <c r="AF352" s="344"/>
      <c r="AG352" s="344"/>
      <c r="AH352" s="344"/>
      <c r="AI352" s="344"/>
      <c r="AJ352" s="344"/>
      <c r="AK352" s="344"/>
      <c r="AL352" s="344"/>
      <c r="AM352" s="344"/>
      <c r="AN352" s="344"/>
      <c r="AO352" s="344"/>
    </row>
    <row r="353" spans="1:41" ht="15.75" customHeight="1" x14ac:dyDescent="0.25">
      <c r="A353" s="344"/>
      <c r="B353" s="353"/>
      <c r="C353" s="344"/>
      <c r="D353" s="344"/>
      <c r="E353" s="344"/>
      <c r="F353" s="344"/>
      <c r="G353" s="344"/>
      <c r="H353" s="344"/>
      <c r="I353" s="344"/>
      <c r="J353" s="344"/>
      <c r="K353" s="344"/>
      <c r="L353" s="344"/>
      <c r="M353" s="344"/>
      <c r="N353" s="344"/>
      <c r="O353" s="344"/>
      <c r="P353" s="344"/>
      <c r="Q353" s="344"/>
      <c r="R353" s="344"/>
      <c r="S353" s="344"/>
      <c r="T353" s="344"/>
      <c r="U353" s="344"/>
      <c r="V353" s="344"/>
      <c r="W353" s="344"/>
      <c r="X353" s="344"/>
      <c r="Y353" s="344"/>
      <c r="Z353" s="344"/>
      <c r="AA353" s="344"/>
      <c r="AB353" s="344"/>
      <c r="AC353" s="344"/>
      <c r="AD353" s="344"/>
      <c r="AE353" s="344"/>
      <c r="AF353" s="344"/>
      <c r="AG353" s="344"/>
      <c r="AH353" s="344"/>
      <c r="AI353" s="344"/>
      <c r="AJ353" s="344"/>
      <c r="AK353" s="344"/>
      <c r="AL353" s="344"/>
      <c r="AM353" s="344"/>
      <c r="AN353" s="344"/>
      <c r="AO353" s="344"/>
    </row>
    <row r="354" spans="1:41" ht="15.75" customHeight="1" x14ac:dyDescent="0.25">
      <c r="A354" s="344"/>
      <c r="B354" s="353"/>
      <c r="C354" s="344"/>
      <c r="D354" s="344"/>
      <c r="E354" s="344"/>
      <c r="F354" s="344"/>
      <c r="G354" s="344"/>
      <c r="H354" s="344"/>
      <c r="I354" s="344"/>
      <c r="J354" s="344"/>
      <c r="K354" s="344"/>
      <c r="L354" s="344"/>
      <c r="M354" s="344"/>
      <c r="N354" s="344"/>
      <c r="O354" s="344"/>
      <c r="P354" s="344"/>
      <c r="Q354" s="344"/>
      <c r="R354" s="344"/>
      <c r="S354" s="344"/>
      <c r="T354" s="344"/>
      <c r="U354" s="344"/>
      <c r="V354" s="344"/>
      <c r="W354" s="344"/>
      <c r="X354" s="344"/>
      <c r="Y354" s="344"/>
      <c r="Z354" s="344"/>
      <c r="AA354" s="344"/>
      <c r="AB354" s="344"/>
      <c r="AC354" s="344"/>
      <c r="AD354" s="344"/>
      <c r="AE354" s="344"/>
      <c r="AF354" s="344"/>
      <c r="AG354" s="344"/>
      <c r="AH354" s="344"/>
      <c r="AI354" s="344"/>
      <c r="AJ354" s="344"/>
      <c r="AK354" s="344"/>
      <c r="AL354" s="344"/>
      <c r="AM354" s="344"/>
      <c r="AN354" s="344"/>
      <c r="AO354" s="344"/>
    </row>
    <row r="355" spans="1:41" ht="15.75" customHeight="1" x14ac:dyDescent="0.25">
      <c r="A355" s="344"/>
      <c r="B355" s="353"/>
      <c r="C355" s="344"/>
      <c r="D355" s="344"/>
      <c r="E355" s="344"/>
      <c r="F355" s="344"/>
      <c r="G355" s="344"/>
      <c r="H355" s="344"/>
      <c r="I355" s="344"/>
      <c r="J355" s="344"/>
      <c r="K355" s="344"/>
      <c r="L355" s="344"/>
      <c r="M355" s="344"/>
      <c r="N355" s="344"/>
      <c r="O355" s="344"/>
      <c r="P355" s="344"/>
      <c r="Q355" s="344"/>
      <c r="R355" s="344"/>
      <c r="S355" s="344"/>
      <c r="T355" s="344"/>
      <c r="U355" s="344"/>
      <c r="V355" s="344"/>
      <c r="W355" s="344"/>
      <c r="X355" s="344"/>
      <c r="Y355" s="344"/>
      <c r="Z355" s="344"/>
      <c r="AA355" s="344"/>
      <c r="AB355" s="344"/>
      <c r="AC355" s="344"/>
      <c r="AD355" s="344"/>
      <c r="AE355" s="344"/>
      <c r="AF355" s="344"/>
      <c r="AG355" s="344"/>
      <c r="AH355" s="344"/>
      <c r="AI355" s="344"/>
      <c r="AJ355" s="344"/>
      <c r="AK355" s="344"/>
      <c r="AL355" s="344"/>
      <c r="AM355" s="344"/>
      <c r="AN355" s="344"/>
      <c r="AO355" s="344"/>
    </row>
    <row r="356" spans="1:41" ht="15.75" customHeight="1" x14ac:dyDescent="0.25">
      <c r="A356" s="344"/>
      <c r="B356" s="353"/>
      <c r="C356" s="344"/>
      <c r="D356" s="344"/>
      <c r="E356" s="344"/>
      <c r="F356" s="344"/>
      <c r="G356" s="344"/>
      <c r="H356" s="344"/>
      <c r="I356" s="344"/>
      <c r="J356" s="344"/>
      <c r="K356" s="344"/>
      <c r="L356" s="344"/>
      <c r="M356" s="344"/>
      <c r="N356" s="344"/>
      <c r="O356" s="344"/>
      <c r="P356" s="344"/>
      <c r="Q356" s="344"/>
      <c r="R356" s="344"/>
      <c r="S356" s="344"/>
      <c r="T356" s="344"/>
      <c r="U356" s="344"/>
      <c r="V356" s="344"/>
      <c r="W356" s="344"/>
      <c r="X356" s="344"/>
      <c r="Y356" s="344"/>
      <c r="Z356" s="344"/>
      <c r="AA356" s="344"/>
      <c r="AB356" s="344"/>
      <c r="AC356" s="344"/>
      <c r="AD356" s="344"/>
      <c r="AE356" s="344"/>
      <c r="AF356" s="344"/>
      <c r="AG356" s="344"/>
      <c r="AH356" s="344"/>
      <c r="AI356" s="344"/>
      <c r="AJ356" s="344"/>
      <c r="AK356" s="344"/>
      <c r="AL356" s="344"/>
      <c r="AM356" s="344"/>
      <c r="AN356" s="344"/>
      <c r="AO356" s="344"/>
    </row>
    <row r="357" spans="1:41" ht="15.75" customHeight="1" x14ac:dyDescent="0.25">
      <c r="A357" s="344"/>
      <c r="B357" s="353"/>
      <c r="C357" s="344"/>
      <c r="D357" s="344"/>
      <c r="E357" s="344"/>
      <c r="F357" s="344"/>
      <c r="G357" s="344"/>
      <c r="H357" s="344"/>
      <c r="I357" s="344"/>
      <c r="J357" s="344"/>
      <c r="K357" s="344"/>
      <c r="L357" s="344"/>
      <c r="M357" s="344"/>
      <c r="N357" s="344"/>
      <c r="O357" s="344"/>
      <c r="P357" s="344"/>
      <c r="Q357" s="344"/>
      <c r="R357" s="344"/>
      <c r="S357" s="344"/>
      <c r="T357" s="344"/>
      <c r="U357" s="344"/>
      <c r="V357" s="344"/>
      <c r="W357" s="344"/>
      <c r="X357" s="344"/>
      <c r="Y357" s="344"/>
      <c r="Z357" s="344"/>
      <c r="AA357" s="344"/>
      <c r="AB357" s="344"/>
      <c r="AC357" s="344"/>
      <c r="AD357" s="344"/>
      <c r="AE357" s="344"/>
      <c r="AF357" s="344"/>
      <c r="AG357" s="344"/>
      <c r="AH357" s="344"/>
      <c r="AI357" s="344"/>
      <c r="AJ357" s="344"/>
      <c r="AK357" s="344"/>
      <c r="AL357" s="344"/>
      <c r="AM357" s="344"/>
      <c r="AN357" s="344"/>
      <c r="AO357" s="344"/>
    </row>
    <row r="358" spans="1:41" ht="15.75" customHeight="1" x14ac:dyDescent="0.25">
      <c r="A358" s="344"/>
      <c r="B358" s="353"/>
      <c r="C358" s="344"/>
      <c r="D358" s="344"/>
      <c r="E358" s="344"/>
      <c r="F358" s="344"/>
      <c r="G358" s="344"/>
      <c r="H358" s="344"/>
      <c r="I358" s="344"/>
      <c r="J358" s="344"/>
      <c r="K358" s="344"/>
      <c r="L358" s="344"/>
      <c r="M358" s="344"/>
      <c r="N358" s="344"/>
      <c r="O358" s="344"/>
      <c r="P358" s="344"/>
      <c r="Q358" s="344"/>
      <c r="R358" s="344"/>
      <c r="S358" s="344"/>
      <c r="T358" s="344"/>
      <c r="U358" s="344"/>
      <c r="V358" s="344"/>
      <c r="W358" s="344"/>
      <c r="X358" s="344"/>
      <c r="Y358" s="344"/>
      <c r="Z358" s="344"/>
      <c r="AA358" s="344"/>
      <c r="AB358" s="344"/>
      <c r="AC358" s="344"/>
      <c r="AD358" s="344"/>
      <c r="AE358" s="344"/>
      <c r="AF358" s="344"/>
      <c r="AG358" s="344"/>
      <c r="AH358" s="344"/>
      <c r="AI358" s="344"/>
      <c r="AJ358" s="344"/>
      <c r="AK358" s="344"/>
      <c r="AL358" s="344"/>
      <c r="AM358" s="344"/>
      <c r="AN358" s="344"/>
      <c r="AO358" s="344"/>
    </row>
    <row r="359" spans="1:41" ht="15.75" customHeight="1" x14ac:dyDescent="0.25">
      <c r="A359" s="344"/>
      <c r="B359" s="353"/>
      <c r="C359" s="344"/>
      <c r="D359" s="344"/>
      <c r="E359" s="344"/>
      <c r="F359" s="344"/>
      <c r="G359" s="344"/>
      <c r="H359" s="344"/>
      <c r="I359" s="344"/>
      <c r="J359" s="344"/>
      <c r="K359" s="344"/>
      <c r="L359" s="344"/>
      <c r="M359" s="344"/>
      <c r="N359" s="344"/>
      <c r="O359" s="344"/>
      <c r="P359" s="344"/>
      <c r="Q359" s="344"/>
      <c r="R359" s="344"/>
      <c r="S359" s="344"/>
      <c r="T359" s="344"/>
      <c r="U359" s="344"/>
      <c r="V359" s="344"/>
      <c r="W359" s="344"/>
      <c r="X359" s="344"/>
      <c r="Y359" s="344"/>
      <c r="Z359" s="344"/>
      <c r="AA359" s="344"/>
      <c r="AB359" s="344"/>
      <c r="AC359" s="344"/>
      <c r="AD359" s="344"/>
      <c r="AE359" s="344"/>
      <c r="AF359" s="344"/>
      <c r="AG359" s="344"/>
      <c r="AH359" s="344"/>
      <c r="AI359" s="344"/>
      <c r="AJ359" s="344"/>
      <c r="AK359" s="344"/>
      <c r="AL359" s="344"/>
      <c r="AM359" s="344"/>
      <c r="AN359" s="344"/>
      <c r="AO359" s="344"/>
    </row>
    <row r="360" spans="1:41" ht="15.75" customHeight="1" x14ac:dyDescent="0.25">
      <c r="A360" s="344"/>
      <c r="B360" s="353"/>
      <c r="C360" s="344"/>
      <c r="D360" s="344"/>
      <c r="E360" s="344"/>
      <c r="F360" s="344"/>
      <c r="G360" s="344"/>
      <c r="H360" s="344"/>
      <c r="I360" s="344"/>
      <c r="J360" s="344"/>
      <c r="K360" s="344"/>
      <c r="L360" s="344"/>
      <c r="M360" s="344"/>
      <c r="N360" s="344"/>
      <c r="O360" s="344"/>
      <c r="P360" s="344"/>
      <c r="Q360" s="344"/>
      <c r="R360" s="344"/>
      <c r="S360" s="344"/>
      <c r="T360" s="344"/>
      <c r="U360" s="344"/>
      <c r="V360" s="344"/>
      <c r="W360" s="344"/>
      <c r="X360" s="344"/>
      <c r="Y360" s="344"/>
      <c r="Z360" s="344"/>
      <c r="AA360" s="344"/>
      <c r="AB360" s="344"/>
      <c r="AC360" s="344"/>
      <c r="AD360" s="344"/>
      <c r="AE360" s="344"/>
      <c r="AF360" s="344"/>
      <c r="AG360" s="344"/>
      <c r="AH360" s="344"/>
      <c r="AI360" s="344"/>
      <c r="AJ360" s="344"/>
      <c r="AK360" s="344"/>
      <c r="AL360" s="344"/>
      <c r="AM360" s="344"/>
      <c r="AN360" s="344"/>
      <c r="AO360" s="344"/>
    </row>
    <row r="361" spans="1:41" ht="15.75" customHeight="1" x14ac:dyDescent="0.25">
      <c r="A361" s="344"/>
      <c r="B361" s="353"/>
      <c r="C361" s="344"/>
      <c r="D361" s="344"/>
      <c r="E361" s="344"/>
      <c r="F361" s="344"/>
      <c r="G361" s="344"/>
      <c r="H361" s="344"/>
      <c r="I361" s="344"/>
      <c r="J361" s="344"/>
      <c r="K361" s="344"/>
      <c r="L361" s="344"/>
      <c r="M361" s="344"/>
      <c r="N361" s="344"/>
      <c r="O361" s="344"/>
      <c r="P361" s="344"/>
      <c r="Q361" s="344"/>
      <c r="R361" s="344"/>
      <c r="S361" s="344"/>
      <c r="T361" s="344"/>
      <c r="U361" s="344"/>
      <c r="V361" s="344"/>
      <c r="W361" s="344"/>
      <c r="X361" s="344"/>
      <c r="Y361" s="344"/>
      <c r="Z361" s="344"/>
      <c r="AA361" s="344"/>
      <c r="AB361" s="344"/>
      <c r="AC361" s="344"/>
      <c r="AD361" s="344"/>
      <c r="AE361" s="344"/>
      <c r="AF361" s="344"/>
      <c r="AG361" s="344"/>
      <c r="AH361" s="344"/>
      <c r="AI361" s="344"/>
      <c r="AJ361" s="344"/>
      <c r="AK361" s="344"/>
      <c r="AL361" s="344"/>
      <c r="AM361" s="344"/>
      <c r="AN361" s="344"/>
      <c r="AO361" s="344"/>
    </row>
    <row r="362" spans="1:41" ht="15.75" customHeight="1" x14ac:dyDescent="0.25">
      <c r="A362" s="344"/>
      <c r="B362" s="353"/>
      <c r="C362" s="344"/>
      <c r="D362" s="344"/>
      <c r="E362" s="344"/>
      <c r="F362" s="344"/>
      <c r="G362" s="344"/>
      <c r="H362" s="344"/>
      <c r="I362" s="344"/>
      <c r="J362" s="344"/>
      <c r="K362" s="344"/>
      <c r="L362" s="344"/>
      <c r="M362" s="344"/>
      <c r="N362" s="344"/>
      <c r="O362" s="344"/>
      <c r="P362" s="344"/>
      <c r="Q362" s="344"/>
      <c r="R362" s="344"/>
      <c r="S362" s="344"/>
      <c r="T362" s="344"/>
      <c r="U362" s="344"/>
      <c r="V362" s="344"/>
      <c r="W362" s="344"/>
      <c r="X362" s="344"/>
      <c r="Y362" s="344"/>
      <c r="Z362" s="344"/>
      <c r="AA362" s="344"/>
      <c r="AB362" s="344"/>
      <c r="AC362" s="344"/>
      <c r="AD362" s="344"/>
      <c r="AE362" s="344"/>
      <c r="AF362" s="344"/>
      <c r="AG362" s="344"/>
      <c r="AH362" s="344"/>
      <c r="AI362" s="344"/>
      <c r="AJ362" s="344"/>
      <c r="AK362" s="344"/>
      <c r="AL362" s="344"/>
      <c r="AM362" s="344"/>
      <c r="AN362" s="344"/>
      <c r="AO362" s="344"/>
    </row>
    <row r="363" spans="1:41" ht="15.75" customHeight="1" x14ac:dyDescent="0.25">
      <c r="A363" s="344"/>
      <c r="B363" s="353"/>
      <c r="C363" s="344"/>
      <c r="D363" s="344"/>
      <c r="E363" s="344"/>
      <c r="F363" s="344"/>
      <c r="G363" s="344"/>
      <c r="H363" s="344"/>
      <c r="I363" s="344"/>
      <c r="J363" s="344"/>
      <c r="K363" s="344"/>
      <c r="L363" s="344"/>
      <c r="M363" s="344"/>
      <c r="N363" s="344"/>
      <c r="O363" s="344"/>
      <c r="P363" s="344"/>
      <c r="Q363" s="344"/>
      <c r="R363" s="344"/>
      <c r="S363" s="344"/>
      <c r="T363" s="344"/>
      <c r="U363" s="344"/>
      <c r="V363" s="344"/>
      <c r="W363" s="344"/>
      <c r="X363" s="344"/>
      <c r="Y363" s="344"/>
      <c r="Z363" s="344"/>
      <c r="AA363" s="344"/>
      <c r="AB363" s="344"/>
      <c r="AC363" s="344"/>
      <c r="AD363" s="344"/>
      <c r="AE363" s="344"/>
      <c r="AF363" s="344"/>
      <c r="AG363" s="344"/>
      <c r="AH363" s="344"/>
      <c r="AI363" s="344"/>
      <c r="AJ363" s="344"/>
      <c r="AK363" s="344"/>
      <c r="AL363" s="344"/>
      <c r="AM363" s="344"/>
      <c r="AN363" s="344"/>
      <c r="AO363" s="344"/>
    </row>
    <row r="364" spans="1:41" ht="15.75" customHeight="1" x14ac:dyDescent="0.25">
      <c r="A364" s="344"/>
      <c r="B364" s="353"/>
      <c r="C364" s="344"/>
      <c r="D364" s="344"/>
      <c r="E364" s="344"/>
      <c r="F364" s="344"/>
      <c r="G364" s="344"/>
      <c r="H364" s="344"/>
      <c r="I364" s="344"/>
      <c r="J364" s="344"/>
      <c r="K364" s="344"/>
      <c r="L364" s="344"/>
      <c r="M364" s="344"/>
      <c r="N364" s="344"/>
      <c r="O364" s="344"/>
      <c r="P364" s="344"/>
      <c r="Q364" s="344"/>
      <c r="R364" s="344"/>
      <c r="S364" s="344"/>
      <c r="T364" s="344"/>
      <c r="U364" s="344"/>
      <c r="V364" s="344"/>
      <c r="W364" s="344"/>
      <c r="X364" s="344"/>
      <c r="Y364" s="344"/>
      <c r="Z364" s="344"/>
      <c r="AA364" s="344"/>
      <c r="AB364" s="344"/>
      <c r="AC364" s="344"/>
      <c r="AD364" s="344"/>
      <c r="AE364" s="344"/>
      <c r="AF364" s="344"/>
      <c r="AG364" s="344"/>
      <c r="AH364" s="344"/>
      <c r="AI364" s="344"/>
      <c r="AJ364" s="344"/>
      <c r="AK364" s="344"/>
      <c r="AL364" s="344"/>
      <c r="AM364" s="344"/>
      <c r="AN364" s="344"/>
      <c r="AO364" s="344"/>
    </row>
    <row r="365" spans="1:41" ht="15.75" customHeight="1" x14ac:dyDescent="0.25">
      <c r="A365" s="344"/>
      <c r="B365" s="353"/>
      <c r="C365" s="344"/>
      <c r="D365" s="344"/>
      <c r="E365" s="344"/>
      <c r="F365" s="344"/>
      <c r="G365" s="344"/>
      <c r="H365" s="344"/>
      <c r="I365" s="344"/>
      <c r="J365" s="344"/>
      <c r="K365" s="344"/>
      <c r="L365" s="344"/>
      <c r="M365" s="344"/>
      <c r="N365" s="344"/>
      <c r="O365" s="344"/>
      <c r="P365" s="344"/>
      <c r="Q365" s="344"/>
      <c r="R365" s="344"/>
      <c r="S365" s="344"/>
      <c r="T365" s="344"/>
      <c r="U365" s="344"/>
      <c r="V365" s="344"/>
      <c r="W365" s="344"/>
      <c r="X365" s="344"/>
      <c r="Y365" s="344"/>
      <c r="Z365" s="344"/>
      <c r="AA365" s="344"/>
      <c r="AB365" s="344"/>
      <c r="AC365" s="344"/>
      <c r="AD365" s="344"/>
      <c r="AE365" s="344"/>
      <c r="AF365" s="344"/>
      <c r="AG365" s="344"/>
      <c r="AH365" s="344"/>
      <c r="AI365" s="344"/>
      <c r="AJ365" s="344"/>
      <c r="AK365" s="344"/>
      <c r="AL365" s="344"/>
      <c r="AM365" s="344"/>
      <c r="AN365" s="344"/>
      <c r="AO365" s="344"/>
    </row>
    <row r="366" spans="1:41" ht="15.75" customHeight="1" x14ac:dyDescent="0.25">
      <c r="A366" s="344"/>
      <c r="B366" s="353"/>
      <c r="C366" s="344"/>
      <c r="D366" s="344"/>
      <c r="E366" s="344"/>
      <c r="F366" s="344"/>
      <c r="G366" s="344"/>
      <c r="H366" s="344"/>
      <c r="I366" s="344"/>
      <c r="J366" s="344"/>
      <c r="K366" s="344"/>
      <c r="L366" s="344"/>
      <c r="M366" s="344"/>
      <c r="N366" s="344"/>
      <c r="O366" s="344"/>
      <c r="P366" s="344"/>
      <c r="Q366" s="344"/>
      <c r="R366" s="344"/>
      <c r="S366" s="344"/>
      <c r="T366" s="344"/>
      <c r="U366" s="344"/>
      <c r="V366" s="344"/>
      <c r="W366" s="344"/>
      <c r="X366" s="344"/>
      <c r="Y366" s="344"/>
      <c r="Z366" s="344"/>
      <c r="AA366" s="344"/>
      <c r="AB366" s="344"/>
      <c r="AC366" s="344"/>
      <c r="AD366" s="344"/>
      <c r="AE366" s="344"/>
      <c r="AF366" s="344"/>
      <c r="AG366" s="344"/>
      <c r="AH366" s="344"/>
      <c r="AI366" s="344"/>
      <c r="AJ366" s="344"/>
      <c r="AK366" s="344"/>
      <c r="AL366" s="344"/>
      <c r="AM366" s="344"/>
      <c r="AN366" s="344"/>
      <c r="AO366" s="344"/>
    </row>
    <row r="367" spans="1:41" ht="15.75" customHeight="1" x14ac:dyDescent="0.25">
      <c r="A367" s="344"/>
      <c r="B367" s="353"/>
      <c r="C367" s="344"/>
      <c r="D367" s="344"/>
      <c r="E367" s="344"/>
      <c r="F367" s="344"/>
      <c r="G367" s="344"/>
      <c r="H367" s="344"/>
      <c r="I367" s="344"/>
      <c r="J367" s="344"/>
      <c r="K367" s="344"/>
      <c r="L367" s="344"/>
      <c r="M367" s="344"/>
      <c r="N367" s="344"/>
      <c r="O367" s="344"/>
      <c r="P367" s="344"/>
      <c r="Q367" s="344"/>
      <c r="R367" s="344"/>
      <c r="S367" s="344"/>
      <c r="T367" s="344"/>
      <c r="U367" s="344"/>
      <c r="V367" s="344"/>
      <c r="W367" s="344"/>
      <c r="X367" s="344"/>
      <c r="Y367" s="344"/>
      <c r="Z367" s="344"/>
      <c r="AA367" s="344"/>
      <c r="AB367" s="344"/>
      <c r="AC367" s="344"/>
      <c r="AD367" s="344"/>
      <c r="AE367" s="344"/>
      <c r="AF367" s="344"/>
      <c r="AG367" s="344"/>
      <c r="AH367" s="344"/>
      <c r="AI367" s="344"/>
      <c r="AJ367" s="344"/>
      <c r="AK367" s="344"/>
      <c r="AL367" s="344"/>
      <c r="AM367" s="344"/>
      <c r="AN367" s="344"/>
      <c r="AO367" s="344"/>
    </row>
    <row r="368" spans="1:41" ht="15.75" customHeight="1" x14ac:dyDescent="0.25">
      <c r="A368" s="344"/>
      <c r="B368" s="353"/>
      <c r="C368" s="344"/>
      <c r="D368" s="344"/>
      <c r="E368" s="344"/>
      <c r="F368" s="344"/>
      <c r="G368" s="344"/>
      <c r="H368" s="344"/>
      <c r="I368" s="344"/>
      <c r="J368" s="344"/>
      <c r="K368" s="344"/>
      <c r="L368" s="344"/>
      <c r="M368" s="344"/>
      <c r="N368" s="344"/>
      <c r="O368" s="344"/>
      <c r="P368" s="344"/>
      <c r="Q368" s="344"/>
      <c r="R368" s="344"/>
      <c r="S368" s="344"/>
      <c r="T368" s="344"/>
      <c r="U368" s="344"/>
      <c r="V368" s="344"/>
      <c r="W368" s="344"/>
      <c r="X368" s="344"/>
      <c r="Y368" s="344"/>
      <c r="Z368" s="344"/>
      <c r="AA368" s="344"/>
      <c r="AB368" s="344"/>
      <c r="AC368" s="344"/>
      <c r="AD368" s="344"/>
      <c r="AE368" s="344"/>
      <c r="AF368" s="344"/>
      <c r="AG368" s="344"/>
      <c r="AH368" s="344"/>
      <c r="AI368" s="344"/>
      <c r="AJ368" s="344"/>
      <c r="AK368" s="344"/>
      <c r="AL368" s="344"/>
      <c r="AM368" s="344"/>
      <c r="AN368" s="344"/>
      <c r="AO368" s="344"/>
    </row>
    <row r="369" spans="1:41" ht="15.75" customHeight="1" x14ac:dyDescent="0.25">
      <c r="A369" s="344"/>
      <c r="B369" s="353"/>
      <c r="C369" s="344"/>
      <c r="D369" s="344"/>
      <c r="E369" s="344"/>
      <c r="F369" s="344"/>
      <c r="G369" s="344"/>
      <c r="H369" s="344"/>
      <c r="I369" s="344"/>
      <c r="J369" s="344"/>
      <c r="K369" s="344"/>
      <c r="L369" s="344"/>
      <c r="M369" s="344"/>
      <c r="N369" s="344"/>
      <c r="O369" s="344"/>
      <c r="P369" s="344"/>
      <c r="Q369" s="344"/>
      <c r="R369" s="344"/>
      <c r="S369" s="344"/>
      <c r="T369" s="344"/>
      <c r="U369" s="344"/>
      <c r="V369" s="344"/>
      <c r="W369" s="344"/>
      <c r="X369" s="344"/>
      <c r="Y369" s="344"/>
      <c r="Z369" s="344"/>
      <c r="AA369" s="344"/>
      <c r="AB369" s="344"/>
      <c r="AC369" s="344"/>
      <c r="AD369" s="344"/>
      <c r="AE369" s="344"/>
      <c r="AF369" s="344"/>
      <c r="AG369" s="344"/>
      <c r="AH369" s="344"/>
      <c r="AI369" s="344"/>
      <c r="AJ369" s="344"/>
      <c r="AK369" s="344"/>
      <c r="AL369" s="344"/>
      <c r="AM369" s="344"/>
      <c r="AN369" s="344"/>
      <c r="AO369" s="344"/>
    </row>
    <row r="370" spans="1:41" ht="15.75" customHeight="1" x14ac:dyDescent="0.25">
      <c r="A370" s="344"/>
      <c r="B370" s="353"/>
      <c r="C370" s="344"/>
      <c r="D370" s="344"/>
      <c r="E370" s="344"/>
      <c r="F370" s="344"/>
      <c r="G370" s="344"/>
      <c r="H370" s="344"/>
      <c r="I370" s="344"/>
      <c r="J370" s="344"/>
      <c r="K370" s="344"/>
      <c r="L370" s="344"/>
      <c r="M370" s="344"/>
      <c r="N370" s="344"/>
      <c r="O370" s="344"/>
      <c r="P370" s="344"/>
      <c r="Q370" s="344"/>
      <c r="R370" s="344"/>
      <c r="S370" s="344"/>
      <c r="T370" s="344"/>
      <c r="U370" s="344"/>
      <c r="V370" s="344"/>
      <c r="W370" s="344"/>
      <c r="X370" s="344"/>
      <c r="Y370" s="344"/>
      <c r="Z370" s="344"/>
      <c r="AA370" s="344"/>
      <c r="AB370" s="344"/>
      <c r="AC370" s="344"/>
      <c r="AD370" s="344"/>
      <c r="AE370" s="344"/>
      <c r="AF370" s="344"/>
      <c r="AG370" s="344"/>
      <c r="AH370" s="344"/>
      <c r="AI370" s="344"/>
      <c r="AJ370" s="344"/>
      <c r="AK370" s="344"/>
      <c r="AL370" s="344"/>
      <c r="AM370" s="344"/>
      <c r="AN370" s="344"/>
      <c r="AO370" s="344"/>
    </row>
    <row r="371" spans="1:41" ht="15.75" customHeight="1" x14ac:dyDescent="0.25">
      <c r="A371" s="344"/>
      <c r="B371" s="353"/>
      <c r="C371" s="344"/>
      <c r="D371" s="344"/>
      <c r="E371" s="344"/>
      <c r="F371" s="344"/>
      <c r="G371" s="344"/>
      <c r="H371" s="344"/>
      <c r="I371" s="344"/>
      <c r="J371" s="344"/>
      <c r="K371" s="344"/>
      <c r="L371" s="344"/>
      <c r="M371" s="344"/>
      <c r="N371" s="344"/>
      <c r="O371" s="344"/>
      <c r="P371" s="344"/>
      <c r="Q371" s="344"/>
      <c r="R371" s="344"/>
      <c r="S371" s="344"/>
      <c r="T371" s="344"/>
      <c r="U371" s="344"/>
      <c r="V371" s="344"/>
      <c r="W371" s="344"/>
      <c r="X371" s="344"/>
      <c r="Y371" s="344"/>
      <c r="Z371" s="344"/>
      <c r="AA371" s="344"/>
      <c r="AB371" s="344"/>
      <c r="AC371" s="344"/>
      <c r="AD371" s="344"/>
      <c r="AE371" s="344"/>
      <c r="AF371" s="344"/>
      <c r="AG371" s="344"/>
      <c r="AH371" s="344"/>
      <c r="AI371" s="344"/>
      <c r="AJ371" s="344"/>
      <c r="AK371" s="344"/>
      <c r="AL371" s="344"/>
      <c r="AM371" s="344"/>
      <c r="AN371" s="344"/>
      <c r="AO371" s="344"/>
    </row>
    <row r="372" spans="1:41" ht="15.75" customHeight="1" x14ac:dyDescent="0.25">
      <c r="A372" s="344"/>
      <c r="B372" s="353"/>
      <c r="C372" s="344"/>
      <c r="D372" s="344"/>
      <c r="E372" s="344"/>
      <c r="F372" s="344"/>
      <c r="G372" s="344"/>
      <c r="H372" s="344"/>
      <c r="I372" s="344"/>
      <c r="J372" s="344"/>
      <c r="K372" s="344"/>
      <c r="L372" s="344"/>
      <c r="M372" s="344"/>
      <c r="N372" s="344"/>
      <c r="O372" s="344"/>
      <c r="P372" s="344"/>
      <c r="Q372" s="344"/>
      <c r="R372" s="344"/>
      <c r="S372" s="344"/>
      <c r="T372" s="344"/>
      <c r="U372" s="344"/>
      <c r="V372" s="344"/>
      <c r="W372" s="344"/>
      <c r="X372" s="344"/>
      <c r="Y372" s="344"/>
      <c r="Z372" s="344"/>
      <c r="AA372" s="344"/>
      <c r="AB372" s="344"/>
      <c r="AC372" s="344"/>
      <c r="AD372" s="344"/>
      <c r="AE372" s="344"/>
      <c r="AF372" s="344"/>
      <c r="AG372" s="344"/>
      <c r="AH372" s="344"/>
      <c r="AI372" s="344"/>
      <c r="AJ372" s="344"/>
      <c r="AK372" s="344"/>
      <c r="AL372" s="344"/>
      <c r="AM372" s="344"/>
      <c r="AN372" s="344"/>
      <c r="AO372" s="344"/>
    </row>
    <row r="373" spans="1:41" ht="15.75" customHeight="1" x14ac:dyDescent="0.25">
      <c r="A373" s="344"/>
      <c r="B373" s="353"/>
      <c r="C373" s="344"/>
      <c r="D373" s="344"/>
      <c r="E373" s="344"/>
      <c r="F373" s="344"/>
      <c r="G373" s="344"/>
      <c r="H373" s="344"/>
      <c r="I373" s="344"/>
      <c r="J373" s="344"/>
      <c r="K373" s="344"/>
      <c r="L373" s="344"/>
      <c r="M373" s="344"/>
      <c r="N373" s="344"/>
      <c r="O373" s="344"/>
      <c r="P373" s="344"/>
      <c r="Q373" s="344"/>
      <c r="R373" s="344"/>
      <c r="S373" s="344"/>
      <c r="T373" s="344"/>
      <c r="U373" s="344"/>
      <c r="V373" s="344"/>
      <c r="W373" s="344"/>
      <c r="X373" s="344"/>
      <c r="Y373" s="344"/>
      <c r="Z373" s="344"/>
      <c r="AA373" s="344"/>
      <c r="AB373" s="344"/>
      <c r="AC373" s="344"/>
      <c r="AD373" s="344"/>
      <c r="AE373" s="344"/>
      <c r="AF373" s="344"/>
      <c r="AG373" s="344"/>
      <c r="AH373" s="344"/>
      <c r="AI373" s="344"/>
      <c r="AJ373" s="344"/>
      <c r="AK373" s="344"/>
      <c r="AL373" s="344"/>
      <c r="AM373" s="344"/>
      <c r="AN373" s="344"/>
      <c r="AO373" s="344"/>
    </row>
    <row r="374" spans="1:41" ht="15.75" customHeight="1" x14ac:dyDescent="0.25">
      <c r="A374" s="344"/>
      <c r="B374" s="353"/>
      <c r="C374" s="344"/>
      <c r="D374" s="344"/>
      <c r="E374" s="344"/>
      <c r="F374" s="344"/>
      <c r="G374" s="344"/>
      <c r="H374" s="344"/>
      <c r="I374" s="344"/>
      <c r="J374" s="344"/>
      <c r="K374" s="344"/>
      <c r="L374" s="344"/>
      <c r="M374" s="344"/>
      <c r="N374" s="344"/>
      <c r="O374" s="344"/>
      <c r="P374" s="344"/>
      <c r="Q374" s="344"/>
      <c r="R374" s="344"/>
      <c r="S374" s="344"/>
      <c r="T374" s="344"/>
      <c r="U374" s="344"/>
      <c r="V374" s="344"/>
      <c r="W374" s="344"/>
      <c r="X374" s="344"/>
      <c r="Y374" s="344"/>
      <c r="Z374" s="344"/>
      <c r="AA374" s="344"/>
      <c r="AB374" s="344"/>
      <c r="AC374" s="344"/>
      <c r="AD374" s="344"/>
      <c r="AE374" s="344"/>
      <c r="AF374" s="344"/>
      <c r="AG374" s="344"/>
      <c r="AH374" s="344"/>
      <c r="AI374" s="344"/>
      <c r="AJ374" s="344"/>
      <c r="AK374" s="344"/>
      <c r="AL374" s="344"/>
      <c r="AM374" s="344"/>
      <c r="AN374" s="344"/>
      <c r="AO374" s="344"/>
    </row>
    <row r="375" spans="1:41" ht="15.75" customHeight="1" x14ac:dyDescent="0.25">
      <c r="A375" s="344"/>
      <c r="B375" s="353"/>
      <c r="C375" s="344"/>
      <c r="D375" s="344"/>
      <c r="E375" s="344"/>
      <c r="F375" s="344"/>
      <c r="G375" s="344"/>
      <c r="H375" s="344"/>
      <c r="I375" s="344"/>
      <c r="J375" s="344"/>
      <c r="K375" s="344"/>
      <c r="L375" s="344"/>
      <c r="M375" s="344"/>
      <c r="N375" s="344"/>
      <c r="O375" s="344"/>
      <c r="P375" s="344"/>
      <c r="Q375" s="344"/>
      <c r="R375" s="344"/>
      <c r="S375" s="344"/>
      <c r="T375" s="344"/>
      <c r="U375" s="344"/>
      <c r="V375" s="344"/>
      <c r="W375" s="344"/>
      <c r="X375" s="344"/>
      <c r="Y375" s="344"/>
      <c r="Z375" s="344"/>
      <c r="AA375" s="344"/>
      <c r="AB375" s="344"/>
      <c r="AC375" s="344"/>
      <c r="AD375" s="344"/>
      <c r="AE375" s="344"/>
      <c r="AF375" s="344"/>
      <c r="AG375" s="344"/>
      <c r="AH375" s="344"/>
      <c r="AI375" s="344"/>
      <c r="AJ375" s="344"/>
      <c r="AK375" s="344"/>
      <c r="AL375" s="344"/>
      <c r="AM375" s="344"/>
      <c r="AN375" s="344"/>
      <c r="AO375" s="344"/>
    </row>
    <row r="376" spans="1:41" ht="15.75" customHeight="1" x14ac:dyDescent="0.25">
      <c r="A376" s="344"/>
      <c r="B376" s="353"/>
      <c r="C376" s="344"/>
      <c r="D376" s="344"/>
      <c r="E376" s="344"/>
      <c r="F376" s="344"/>
      <c r="G376" s="344"/>
      <c r="H376" s="344"/>
      <c r="I376" s="344"/>
      <c r="J376" s="344"/>
      <c r="K376" s="344"/>
      <c r="L376" s="344"/>
      <c r="M376" s="344"/>
      <c r="N376" s="344"/>
      <c r="O376" s="344"/>
      <c r="P376" s="344"/>
      <c r="Q376" s="344"/>
      <c r="R376" s="344"/>
      <c r="S376" s="344"/>
      <c r="T376" s="344"/>
      <c r="U376" s="344"/>
      <c r="V376" s="344"/>
      <c r="W376" s="344"/>
      <c r="X376" s="344"/>
      <c r="Y376" s="344"/>
      <c r="Z376" s="344"/>
      <c r="AA376" s="344"/>
      <c r="AB376" s="344"/>
      <c r="AC376" s="344"/>
      <c r="AD376" s="344"/>
      <c r="AE376" s="344"/>
      <c r="AF376" s="344"/>
      <c r="AG376" s="344"/>
      <c r="AH376" s="344"/>
      <c r="AI376" s="344"/>
      <c r="AJ376" s="344"/>
      <c r="AK376" s="344"/>
      <c r="AL376" s="344"/>
      <c r="AM376" s="344"/>
      <c r="AN376" s="344"/>
      <c r="AO376" s="344"/>
    </row>
    <row r="377" spans="1:41" ht="15.75" customHeight="1" x14ac:dyDescent="0.25">
      <c r="A377" s="344"/>
      <c r="B377" s="353"/>
      <c r="C377" s="344"/>
      <c r="D377" s="344"/>
      <c r="E377" s="344"/>
      <c r="F377" s="344"/>
      <c r="G377" s="344"/>
      <c r="H377" s="344"/>
      <c r="I377" s="344"/>
      <c r="J377" s="344"/>
      <c r="K377" s="344"/>
      <c r="L377" s="344"/>
      <c r="M377" s="344"/>
      <c r="N377" s="344"/>
      <c r="O377" s="344"/>
      <c r="P377" s="344"/>
      <c r="Q377" s="344"/>
      <c r="R377" s="344"/>
      <c r="S377" s="344"/>
      <c r="T377" s="344"/>
      <c r="U377" s="344"/>
      <c r="V377" s="344"/>
      <c r="W377" s="344"/>
      <c r="X377" s="344"/>
      <c r="Y377" s="344"/>
      <c r="Z377" s="344"/>
      <c r="AA377" s="344"/>
      <c r="AB377" s="344"/>
      <c r="AC377" s="344"/>
      <c r="AD377" s="344"/>
      <c r="AE377" s="344"/>
      <c r="AF377" s="344"/>
      <c r="AG377" s="344"/>
      <c r="AH377" s="344"/>
      <c r="AI377" s="344"/>
      <c r="AJ377" s="344"/>
      <c r="AK377" s="344"/>
      <c r="AL377" s="344"/>
      <c r="AM377" s="344"/>
      <c r="AN377" s="344"/>
      <c r="AO377" s="344"/>
    </row>
    <row r="378" spans="1:41" ht="15.75" customHeight="1" x14ac:dyDescent="0.25">
      <c r="A378" s="344"/>
      <c r="B378" s="353"/>
      <c r="C378" s="344"/>
      <c r="D378" s="344"/>
      <c r="E378" s="344"/>
      <c r="F378" s="344"/>
      <c r="G378" s="344"/>
      <c r="H378" s="344"/>
      <c r="I378" s="344"/>
      <c r="J378" s="344"/>
      <c r="K378" s="344"/>
      <c r="L378" s="344"/>
      <c r="M378" s="344"/>
      <c r="N378" s="344"/>
      <c r="O378" s="344"/>
      <c r="P378" s="344"/>
      <c r="Q378" s="344"/>
      <c r="R378" s="344"/>
      <c r="S378" s="344"/>
      <c r="T378" s="344"/>
      <c r="U378" s="344"/>
      <c r="V378" s="344"/>
      <c r="W378" s="344"/>
      <c r="X378" s="344"/>
      <c r="Y378" s="344"/>
      <c r="Z378" s="344"/>
      <c r="AA378" s="344"/>
      <c r="AB378" s="344"/>
      <c r="AC378" s="344"/>
      <c r="AD378" s="344"/>
      <c r="AE378" s="344"/>
      <c r="AF378" s="344"/>
      <c r="AG378" s="344"/>
      <c r="AH378" s="344"/>
      <c r="AI378" s="344"/>
      <c r="AJ378" s="344"/>
      <c r="AK378" s="344"/>
      <c r="AL378" s="344"/>
      <c r="AM378" s="344"/>
      <c r="AN378" s="344"/>
      <c r="AO378" s="344"/>
    </row>
    <row r="379" spans="1:41" ht="15.75" customHeight="1" x14ac:dyDescent="0.25">
      <c r="A379" s="344"/>
      <c r="B379" s="353"/>
      <c r="C379" s="344"/>
      <c r="D379" s="344"/>
      <c r="E379" s="344"/>
      <c r="F379" s="344"/>
      <c r="G379" s="344"/>
      <c r="H379" s="344"/>
      <c r="I379" s="344"/>
      <c r="J379" s="344"/>
      <c r="K379" s="344"/>
      <c r="L379" s="344"/>
      <c r="M379" s="344"/>
      <c r="N379" s="344"/>
      <c r="O379" s="344"/>
      <c r="P379" s="344"/>
      <c r="Q379" s="344"/>
      <c r="R379" s="344"/>
      <c r="S379" s="344"/>
      <c r="T379" s="344"/>
      <c r="U379" s="344"/>
      <c r="V379" s="344"/>
      <c r="W379" s="344"/>
      <c r="X379" s="344"/>
      <c r="Y379" s="344"/>
      <c r="Z379" s="344"/>
      <c r="AA379" s="344"/>
      <c r="AB379" s="344"/>
      <c r="AC379" s="344"/>
      <c r="AD379" s="344"/>
      <c r="AE379" s="344"/>
      <c r="AF379" s="344"/>
      <c r="AG379" s="344"/>
      <c r="AH379" s="344"/>
      <c r="AI379" s="344"/>
      <c r="AJ379" s="344"/>
      <c r="AK379" s="344"/>
      <c r="AL379" s="344"/>
      <c r="AM379" s="344"/>
      <c r="AN379" s="344"/>
      <c r="AO379" s="344"/>
    </row>
    <row r="380" spans="1:41" ht="15.75" customHeight="1" x14ac:dyDescent="0.25">
      <c r="A380" s="344"/>
      <c r="B380" s="353"/>
      <c r="C380" s="344"/>
      <c r="D380" s="344"/>
      <c r="E380" s="344"/>
      <c r="F380" s="344"/>
      <c r="G380" s="344"/>
      <c r="H380" s="344"/>
      <c r="I380" s="344"/>
      <c r="J380" s="344"/>
      <c r="K380" s="344"/>
      <c r="L380" s="344"/>
      <c r="M380" s="344"/>
      <c r="N380" s="344"/>
      <c r="O380" s="344"/>
      <c r="P380" s="344"/>
      <c r="Q380" s="344"/>
      <c r="R380" s="344"/>
      <c r="S380" s="344"/>
      <c r="T380" s="344"/>
      <c r="U380" s="344"/>
      <c r="V380" s="344"/>
      <c r="W380" s="344"/>
      <c r="X380" s="344"/>
      <c r="Y380" s="344"/>
      <c r="Z380" s="344"/>
      <c r="AA380" s="344"/>
      <c r="AB380" s="344"/>
      <c r="AC380" s="344"/>
      <c r="AD380" s="344"/>
      <c r="AE380" s="344"/>
      <c r="AF380" s="344"/>
      <c r="AG380" s="344"/>
      <c r="AH380" s="344"/>
      <c r="AI380" s="344"/>
      <c r="AJ380" s="344"/>
      <c r="AK380" s="344"/>
      <c r="AL380" s="344"/>
      <c r="AM380" s="344"/>
      <c r="AN380" s="344"/>
      <c r="AO380" s="344"/>
    </row>
    <row r="381" spans="1:41" ht="15.75" customHeight="1" x14ac:dyDescent="0.25">
      <c r="A381" s="344"/>
      <c r="B381" s="353"/>
      <c r="C381" s="344"/>
      <c r="D381" s="344"/>
      <c r="E381" s="344"/>
      <c r="F381" s="344"/>
      <c r="G381" s="344"/>
      <c r="H381" s="344"/>
      <c r="I381" s="344"/>
      <c r="J381" s="344"/>
      <c r="K381" s="344"/>
      <c r="L381" s="344"/>
      <c r="M381" s="344"/>
      <c r="N381" s="344"/>
      <c r="O381" s="344"/>
      <c r="P381" s="344"/>
      <c r="Q381" s="344"/>
      <c r="R381" s="344"/>
      <c r="S381" s="344"/>
      <c r="T381" s="344"/>
      <c r="U381" s="344"/>
      <c r="V381" s="344"/>
      <c r="W381" s="344"/>
      <c r="X381" s="344"/>
      <c r="Y381" s="344"/>
      <c r="Z381" s="344"/>
      <c r="AA381" s="344"/>
      <c r="AB381" s="344"/>
      <c r="AC381" s="344"/>
      <c r="AD381" s="344"/>
      <c r="AE381" s="344"/>
      <c r="AF381" s="344"/>
      <c r="AG381" s="344"/>
      <c r="AH381" s="344"/>
      <c r="AI381" s="344"/>
      <c r="AJ381" s="344"/>
      <c r="AK381" s="344"/>
      <c r="AL381" s="344"/>
      <c r="AM381" s="344"/>
      <c r="AN381" s="344"/>
      <c r="AO381" s="344"/>
    </row>
    <row r="382" spans="1:41" ht="15.75" customHeight="1" x14ac:dyDescent="0.25">
      <c r="A382" s="344"/>
      <c r="B382" s="353"/>
      <c r="C382" s="344"/>
      <c r="D382" s="344"/>
      <c r="E382" s="344"/>
      <c r="F382" s="344"/>
      <c r="G382" s="344"/>
      <c r="H382" s="344"/>
      <c r="I382" s="344"/>
      <c r="J382" s="344"/>
      <c r="K382" s="344"/>
      <c r="L382" s="344"/>
      <c r="M382" s="344"/>
      <c r="N382" s="344"/>
      <c r="O382" s="344"/>
      <c r="P382" s="344"/>
      <c r="Q382" s="344"/>
      <c r="R382" s="344"/>
      <c r="S382" s="344"/>
      <c r="T382" s="344"/>
      <c r="U382" s="344"/>
      <c r="V382" s="344"/>
      <c r="W382" s="344"/>
      <c r="X382" s="344"/>
      <c r="Y382" s="344"/>
      <c r="Z382" s="344"/>
      <c r="AA382" s="344"/>
      <c r="AB382" s="344"/>
      <c r="AC382" s="344"/>
      <c r="AD382" s="344"/>
      <c r="AE382" s="344"/>
      <c r="AF382" s="344"/>
      <c r="AG382" s="344"/>
      <c r="AH382" s="344"/>
      <c r="AI382" s="344"/>
      <c r="AJ382" s="344"/>
      <c r="AK382" s="344"/>
      <c r="AL382" s="344"/>
      <c r="AM382" s="344"/>
      <c r="AN382" s="344"/>
      <c r="AO382" s="344"/>
    </row>
    <row r="383" spans="1:41" ht="15.75" customHeight="1" x14ac:dyDescent="0.25">
      <c r="A383" s="344"/>
      <c r="B383" s="353"/>
      <c r="C383" s="344"/>
      <c r="D383" s="344"/>
      <c r="E383" s="344"/>
      <c r="F383" s="344"/>
      <c r="G383" s="344"/>
      <c r="H383" s="344"/>
      <c r="I383" s="344"/>
      <c r="J383" s="344"/>
      <c r="K383" s="344"/>
      <c r="L383" s="344"/>
      <c r="M383" s="344"/>
      <c r="N383" s="344"/>
      <c r="O383" s="344"/>
      <c r="P383" s="344"/>
      <c r="Q383" s="344"/>
      <c r="R383" s="344"/>
      <c r="S383" s="344"/>
      <c r="T383" s="344"/>
      <c r="U383" s="344"/>
      <c r="V383" s="344"/>
      <c r="W383" s="344"/>
      <c r="X383" s="344"/>
      <c r="Y383" s="344"/>
      <c r="Z383" s="344"/>
      <c r="AA383" s="344"/>
      <c r="AB383" s="344"/>
      <c r="AC383" s="344"/>
      <c r="AD383" s="344"/>
      <c r="AE383" s="344"/>
      <c r="AF383" s="344"/>
      <c r="AG383" s="344"/>
      <c r="AH383" s="344"/>
      <c r="AI383" s="344"/>
      <c r="AJ383" s="344"/>
      <c r="AK383" s="344"/>
      <c r="AL383" s="344"/>
      <c r="AM383" s="344"/>
      <c r="AN383" s="344"/>
      <c r="AO383" s="344"/>
    </row>
    <row r="384" spans="1:41" ht="15.75" customHeight="1" x14ac:dyDescent="0.25">
      <c r="A384" s="344"/>
      <c r="B384" s="353"/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4"/>
      <c r="AB384" s="344"/>
      <c r="AC384" s="344"/>
      <c r="AD384" s="344"/>
      <c r="AE384" s="344"/>
      <c r="AF384" s="344"/>
      <c r="AG384" s="344"/>
      <c r="AH384" s="344"/>
      <c r="AI384" s="344"/>
      <c r="AJ384" s="344"/>
      <c r="AK384" s="344"/>
      <c r="AL384" s="344"/>
      <c r="AM384" s="344"/>
      <c r="AN384" s="344"/>
      <c r="AO384" s="344"/>
    </row>
    <row r="385" spans="1:41" ht="15.75" customHeight="1" x14ac:dyDescent="0.25">
      <c r="A385" s="344"/>
      <c r="B385" s="353"/>
      <c r="C385" s="344"/>
      <c r="D385" s="344"/>
      <c r="E385" s="344"/>
      <c r="F385" s="344"/>
      <c r="G385" s="344"/>
      <c r="H385" s="344"/>
      <c r="I385" s="344"/>
      <c r="J385" s="344"/>
      <c r="K385" s="344"/>
      <c r="L385" s="344"/>
      <c r="M385" s="344"/>
      <c r="N385" s="344"/>
      <c r="O385" s="344"/>
      <c r="P385" s="344"/>
      <c r="Q385" s="344"/>
      <c r="R385" s="344"/>
      <c r="S385" s="344"/>
      <c r="T385" s="344"/>
      <c r="U385" s="344"/>
      <c r="V385" s="344"/>
      <c r="W385" s="344"/>
      <c r="X385" s="344"/>
      <c r="Y385" s="344"/>
      <c r="Z385" s="344"/>
      <c r="AA385" s="344"/>
      <c r="AB385" s="344"/>
      <c r="AC385" s="344"/>
      <c r="AD385" s="344"/>
      <c r="AE385" s="344"/>
      <c r="AF385" s="344"/>
      <c r="AG385" s="344"/>
      <c r="AH385" s="344"/>
      <c r="AI385" s="344"/>
      <c r="AJ385" s="344"/>
      <c r="AK385" s="344"/>
      <c r="AL385" s="344"/>
      <c r="AM385" s="344"/>
      <c r="AN385" s="344"/>
      <c r="AO385" s="344"/>
    </row>
    <row r="386" spans="1:41" ht="15.75" customHeight="1" x14ac:dyDescent="0.25">
      <c r="A386" s="344"/>
      <c r="B386" s="353"/>
      <c r="C386" s="344"/>
      <c r="D386" s="344"/>
      <c r="E386" s="344"/>
      <c r="F386" s="344"/>
      <c r="G386" s="344"/>
      <c r="H386" s="344"/>
      <c r="I386" s="344"/>
      <c r="J386" s="344"/>
      <c r="K386" s="344"/>
      <c r="L386" s="344"/>
      <c r="M386" s="344"/>
      <c r="N386" s="344"/>
      <c r="O386" s="344"/>
      <c r="P386" s="344"/>
      <c r="Q386" s="344"/>
      <c r="R386" s="344"/>
      <c r="S386" s="344"/>
      <c r="T386" s="344"/>
      <c r="U386" s="344"/>
      <c r="V386" s="344"/>
      <c r="W386" s="344"/>
      <c r="X386" s="344"/>
      <c r="Y386" s="344"/>
      <c r="Z386" s="344"/>
      <c r="AA386" s="344"/>
      <c r="AB386" s="344"/>
      <c r="AC386" s="344"/>
      <c r="AD386" s="344"/>
      <c r="AE386" s="344"/>
      <c r="AF386" s="344"/>
      <c r="AG386" s="344"/>
      <c r="AH386" s="344"/>
      <c r="AI386" s="344"/>
      <c r="AJ386" s="344"/>
      <c r="AK386" s="344"/>
      <c r="AL386" s="344"/>
      <c r="AM386" s="344"/>
      <c r="AN386" s="344"/>
      <c r="AO386" s="344"/>
    </row>
    <row r="387" spans="1:41" ht="15.75" customHeight="1" x14ac:dyDescent="0.25">
      <c r="A387" s="344"/>
      <c r="B387" s="353"/>
      <c r="C387" s="344"/>
      <c r="D387" s="344"/>
      <c r="E387" s="344"/>
      <c r="F387" s="344"/>
      <c r="G387" s="344"/>
      <c r="H387" s="344"/>
      <c r="I387" s="344"/>
      <c r="J387" s="344"/>
      <c r="K387" s="344"/>
      <c r="L387" s="344"/>
      <c r="M387" s="344"/>
      <c r="N387" s="344"/>
      <c r="O387" s="344"/>
      <c r="P387" s="344"/>
      <c r="Q387" s="344"/>
      <c r="R387" s="344"/>
      <c r="S387" s="344"/>
      <c r="T387" s="344"/>
      <c r="U387" s="344"/>
      <c r="V387" s="344"/>
      <c r="W387" s="344"/>
      <c r="X387" s="344"/>
      <c r="Y387" s="344"/>
      <c r="Z387" s="344"/>
      <c r="AA387" s="344"/>
      <c r="AB387" s="344"/>
      <c r="AC387" s="344"/>
      <c r="AD387" s="344"/>
      <c r="AE387" s="344"/>
      <c r="AF387" s="344"/>
      <c r="AG387" s="344"/>
      <c r="AH387" s="344"/>
      <c r="AI387" s="344"/>
      <c r="AJ387" s="344"/>
      <c r="AK387" s="344"/>
      <c r="AL387" s="344"/>
      <c r="AM387" s="344"/>
      <c r="AN387" s="344"/>
      <c r="AO387" s="344"/>
    </row>
    <row r="388" spans="1:41" ht="15.75" customHeight="1" x14ac:dyDescent="0.25">
      <c r="A388" s="344"/>
      <c r="B388" s="353"/>
      <c r="C388" s="344"/>
      <c r="D388" s="344"/>
      <c r="E388" s="344"/>
      <c r="F388" s="344"/>
      <c r="G388" s="344"/>
      <c r="H388" s="344"/>
      <c r="I388" s="344"/>
      <c r="J388" s="344"/>
      <c r="K388" s="344"/>
      <c r="L388" s="344"/>
      <c r="M388" s="344"/>
      <c r="N388" s="344"/>
      <c r="O388" s="344"/>
      <c r="P388" s="344"/>
      <c r="Q388" s="344"/>
      <c r="R388" s="344"/>
      <c r="S388" s="344"/>
      <c r="T388" s="344"/>
      <c r="U388" s="344"/>
      <c r="V388" s="344"/>
      <c r="W388" s="344"/>
      <c r="X388" s="344"/>
      <c r="Y388" s="344"/>
      <c r="Z388" s="344"/>
      <c r="AA388" s="344"/>
      <c r="AB388" s="344"/>
      <c r="AC388" s="344"/>
      <c r="AD388" s="344"/>
      <c r="AE388" s="344"/>
      <c r="AF388" s="344"/>
      <c r="AG388" s="344"/>
      <c r="AH388" s="344"/>
      <c r="AI388" s="344"/>
      <c r="AJ388" s="344"/>
      <c r="AK388" s="344"/>
      <c r="AL388" s="344"/>
      <c r="AM388" s="344"/>
      <c r="AN388" s="344"/>
      <c r="AO388" s="344"/>
    </row>
    <row r="389" spans="1:41" ht="15.75" customHeight="1" x14ac:dyDescent="0.25">
      <c r="A389" s="344"/>
      <c r="B389" s="353"/>
      <c r="C389" s="344"/>
      <c r="D389" s="344"/>
      <c r="E389" s="344"/>
      <c r="F389" s="344"/>
      <c r="G389" s="344"/>
      <c r="H389" s="344"/>
      <c r="I389" s="344"/>
      <c r="J389" s="344"/>
      <c r="K389" s="344"/>
      <c r="L389" s="344"/>
      <c r="M389" s="344"/>
      <c r="N389" s="344"/>
      <c r="O389" s="344"/>
      <c r="P389" s="344"/>
      <c r="Q389" s="344"/>
      <c r="R389" s="344"/>
      <c r="S389" s="344"/>
      <c r="T389" s="344"/>
      <c r="U389" s="344"/>
      <c r="V389" s="344"/>
      <c r="W389" s="344"/>
      <c r="X389" s="344"/>
      <c r="Y389" s="344"/>
      <c r="Z389" s="344"/>
      <c r="AA389" s="344"/>
      <c r="AB389" s="344"/>
      <c r="AC389" s="344"/>
      <c r="AD389" s="344"/>
      <c r="AE389" s="344"/>
      <c r="AF389" s="344"/>
      <c r="AG389" s="344"/>
      <c r="AH389" s="344"/>
      <c r="AI389" s="344"/>
      <c r="AJ389" s="344"/>
      <c r="AK389" s="344"/>
      <c r="AL389" s="344"/>
      <c r="AM389" s="344"/>
      <c r="AN389" s="344"/>
      <c r="AO389" s="344"/>
    </row>
    <row r="390" spans="1:41" ht="15.75" customHeight="1" x14ac:dyDescent="0.25">
      <c r="A390" s="344"/>
      <c r="B390" s="353"/>
      <c r="C390" s="344"/>
      <c r="D390" s="344"/>
      <c r="E390" s="344"/>
      <c r="F390" s="344"/>
      <c r="G390" s="344"/>
      <c r="H390" s="344"/>
      <c r="I390" s="344"/>
      <c r="J390" s="344"/>
      <c r="K390" s="344"/>
      <c r="L390" s="344"/>
      <c r="M390" s="344"/>
      <c r="N390" s="344"/>
      <c r="O390" s="344"/>
      <c r="P390" s="344"/>
      <c r="Q390" s="344"/>
      <c r="R390" s="344"/>
      <c r="S390" s="344"/>
      <c r="T390" s="344"/>
      <c r="U390" s="344"/>
      <c r="V390" s="344"/>
      <c r="W390" s="344"/>
      <c r="X390" s="344"/>
      <c r="Y390" s="344"/>
      <c r="Z390" s="344"/>
      <c r="AA390" s="344"/>
      <c r="AB390" s="344"/>
      <c r="AC390" s="344"/>
      <c r="AD390" s="344"/>
      <c r="AE390" s="344"/>
      <c r="AF390" s="344"/>
      <c r="AG390" s="344"/>
      <c r="AH390" s="344"/>
      <c r="AI390" s="344"/>
      <c r="AJ390" s="344"/>
      <c r="AK390" s="344"/>
      <c r="AL390" s="344"/>
      <c r="AM390" s="344"/>
      <c r="AN390" s="344"/>
      <c r="AO390" s="344"/>
    </row>
    <row r="391" spans="1:41" ht="15.75" customHeight="1" x14ac:dyDescent="0.25">
      <c r="A391" s="344"/>
      <c r="B391" s="353"/>
      <c r="C391" s="344"/>
      <c r="D391" s="344"/>
      <c r="E391" s="344"/>
      <c r="F391" s="344"/>
      <c r="G391" s="344"/>
      <c r="H391" s="344"/>
      <c r="I391" s="344"/>
      <c r="J391" s="344"/>
      <c r="K391" s="344"/>
      <c r="L391" s="344"/>
      <c r="M391" s="344"/>
      <c r="N391" s="344"/>
      <c r="O391" s="344"/>
      <c r="P391" s="344"/>
      <c r="Q391" s="344"/>
      <c r="R391" s="344"/>
      <c r="S391" s="344"/>
      <c r="T391" s="344"/>
      <c r="U391" s="344"/>
      <c r="V391" s="344"/>
      <c r="W391" s="344"/>
      <c r="X391" s="344"/>
      <c r="Y391" s="344"/>
      <c r="Z391" s="344"/>
      <c r="AA391" s="344"/>
      <c r="AB391" s="344"/>
      <c r="AC391" s="344"/>
      <c r="AD391" s="344"/>
      <c r="AE391" s="344"/>
      <c r="AF391" s="344"/>
      <c r="AG391" s="344"/>
      <c r="AH391" s="344"/>
      <c r="AI391" s="344"/>
      <c r="AJ391" s="344"/>
      <c r="AK391" s="344"/>
      <c r="AL391" s="344"/>
      <c r="AM391" s="344"/>
      <c r="AN391" s="344"/>
      <c r="AO391" s="344"/>
    </row>
    <row r="392" spans="1:41" ht="15.75" customHeight="1" x14ac:dyDescent="0.25">
      <c r="A392" s="344"/>
      <c r="B392" s="353"/>
      <c r="C392" s="344"/>
      <c r="D392" s="344"/>
      <c r="E392" s="344"/>
      <c r="F392" s="344"/>
      <c r="G392" s="344"/>
      <c r="H392" s="344"/>
      <c r="I392" s="344"/>
      <c r="J392" s="344"/>
      <c r="K392" s="344"/>
      <c r="L392" s="344"/>
      <c r="M392" s="344"/>
      <c r="N392" s="344"/>
      <c r="O392" s="344"/>
      <c r="P392" s="344"/>
      <c r="Q392" s="344"/>
      <c r="R392" s="344"/>
      <c r="S392" s="344"/>
      <c r="T392" s="344"/>
      <c r="U392" s="344"/>
      <c r="V392" s="344"/>
      <c r="W392" s="344"/>
      <c r="X392" s="344"/>
      <c r="Y392" s="344"/>
      <c r="Z392" s="344"/>
      <c r="AA392" s="344"/>
      <c r="AB392" s="344"/>
      <c r="AC392" s="344"/>
      <c r="AD392" s="344"/>
      <c r="AE392" s="344"/>
      <c r="AF392" s="344"/>
      <c r="AG392" s="344"/>
      <c r="AH392" s="344"/>
      <c r="AI392" s="344"/>
      <c r="AJ392" s="344"/>
      <c r="AK392" s="344"/>
      <c r="AL392" s="344"/>
      <c r="AM392" s="344"/>
      <c r="AN392" s="344"/>
      <c r="AO392" s="344"/>
    </row>
    <row r="393" spans="1:41" ht="15.75" customHeight="1" x14ac:dyDescent="0.25">
      <c r="A393" s="344"/>
      <c r="B393" s="353"/>
      <c r="C393" s="344"/>
      <c r="D393" s="344"/>
      <c r="E393" s="344"/>
      <c r="F393" s="344"/>
      <c r="G393" s="344"/>
      <c r="H393" s="344"/>
      <c r="I393" s="344"/>
      <c r="J393" s="344"/>
      <c r="K393" s="344"/>
      <c r="L393" s="344"/>
      <c r="M393" s="344"/>
      <c r="N393" s="344"/>
      <c r="O393" s="344"/>
      <c r="P393" s="344"/>
      <c r="Q393" s="344"/>
      <c r="R393" s="344"/>
      <c r="S393" s="344"/>
      <c r="T393" s="344"/>
      <c r="U393" s="344"/>
      <c r="V393" s="344"/>
      <c r="W393" s="344"/>
      <c r="X393" s="344"/>
      <c r="Y393" s="344"/>
      <c r="Z393" s="344"/>
      <c r="AA393" s="344"/>
      <c r="AB393" s="344"/>
      <c r="AC393" s="344"/>
      <c r="AD393" s="344"/>
      <c r="AE393" s="344"/>
      <c r="AF393" s="344"/>
      <c r="AG393" s="344"/>
      <c r="AH393" s="344"/>
      <c r="AI393" s="344"/>
      <c r="AJ393" s="344"/>
      <c r="AK393" s="344"/>
      <c r="AL393" s="344"/>
      <c r="AM393" s="344"/>
      <c r="AN393" s="344"/>
      <c r="AO393" s="344"/>
    </row>
    <row r="394" spans="1:41" ht="15.75" customHeight="1" x14ac:dyDescent="0.25">
      <c r="A394" s="344"/>
      <c r="B394" s="353"/>
      <c r="C394" s="344"/>
      <c r="D394" s="344"/>
      <c r="E394" s="344"/>
      <c r="F394" s="344"/>
      <c r="G394" s="344"/>
      <c r="H394" s="344"/>
      <c r="I394" s="344"/>
      <c r="J394" s="344"/>
      <c r="K394" s="344"/>
      <c r="L394" s="344"/>
      <c r="M394" s="344"/>
      <c r="N394" s="344"/>
      <c r="O394" s="344"/>
      <c r="P394" s="344"/>
      <c r="Q394" s="344"/>
      <c r="R394" s="344"/>
      <c r="S394" s="344"/>
      <c r="T394" s="344"/>
      <c r="U394" s="344"/>
      <c r="V394" s="344"/>
      <c r="W394" s="344"/>
      <c r="X394" s="344"/>
      <c r="Y394" s="344"/>
      <c r="Z394" s="344"/>
      <c r="AA394" s="344"/>
      <c r="AB394" s="344"/>
      <c r="AC394" s="344"/>
      <c r="AD394" s="344"/>
      <c r="AE394" s="344"/>
      <c r="AF394" s="344"/>
      <c r="AG394" s="344"/>
      <c r="AH394" s="344"/>
      <c r="AI394" s="344"/>
      <c r="AJ394" s="344"/>
      <c r="AK394" s="344"/>
      <c r="AL394" s="344"/>
      <c r="AM394" s="344"/>
      <c r="AN394" s="344"/>
      <c r="AO394" s="344"/>
    </row>
    <row r="395" spans="1:41" ht="15.75" customHeight="1" x14ac:dyDescent="0.25">
      <c r="A395" s="344"/>
      <c r="B395" s="353"/>
      <c r="C395" s="344"/>
      <c r="D395" s="344"/>
      <c r="E395" s="344"/>
      <c r="F395" s="344"/>
      <c r="G395" s="344"/>
      <c r="H395" s="344"/>
      <c r="I395" s="344"/>
      <c r="J395" s="344"/>
      <c r="K395" s="344"/>
      <c r="L395" s="344"/>
      <c r="M395" s="344"/>
      <c r="N395" s="344"/>
      <c r="O395" s="344"/>
      <c r="P395" s="344"/>
      <c r="Q395" s="344"/>
      <c r="R395" s="344"/>
      <c r="S395" s="344"/>
      <c r="T395" s="344"/>
      <c r="U395" s="344"/>
      <c r="V395" s="344"/>
      <c r="W395" s="344"/>
      <c r="X395" s="344"/>
      <c r="Y395" s="344"/>
      <c r="Z395" s="344"/>
      <c r="AA395" s="344"/>
      <c r="AB395" s="344"/>
      <c r="AC395" s="344"/>
      <c r="AD395" s="344"/>
      <c r="AE395" s="344"/>
      <c r="AF395" s="344"/>
      <c r="AG395" s="344"/>
      <c r="AH395" s="344"/>
      <c r="AI395" s="344"/>
      <c r="AJ395" s="344"/>
      <c r="AK395" s="344"/>
      <c r="AL395" s="344"/>
      <c r="AM395" s="344"/>
      <c r="AN395" s="344"/>
      <c r="AO395" s="344"/>
    </row>
    <row r="396" spans="1:41" ht="15.75" customHeight="1" x14ac:dyDescent="0.25">
      <c r="A396" s="344"/>
      <c r="B396" s="353"/>
      <c r="C396" s="344"/>
      <c r="D396" s="344"/>
      <c r="E396" s="344"/>
      <c r="F396" s="344"/>
      <c r="G396" s="344"/>
      <c r="H396" s="344"/>
      <c r="I396" s="344"/>
      <c r="J396" s="344"/>
      <c r="K396" s="344"/>
      <c r="L396" s="344"/>
      <c r="M396" s="344"/>
      <c r="N396" s="344"/>
      <c r="O396" s="344"/>
      <c r="P396" s="344"/>
      <c r="Q396" s="344"/>
      <c r="R396" s="344"/>
      <c r="S396" s="344"/>
      <c r="T396" s="344"/>
      <c r="U396" s="344"/>
      <c r="V396" s="344"/>
      <c r="W396" s="344"/>
      <c r="X396" s="344"/>
      <c r="Y396" s="344"/>
      <c r="Z396" s="344"/>
      <c r="AA396" s="344"/>
      <c r="AB396" s="344"/>
      <c r="AC396" s="344"/>
      <c r="AD396" s="344"/>
      <c r="AE396" s="344"/>
      <c r="AF396" s="344"/>
      <c r="AG396" s="344"/>
      <c r="AH396" s="344"/>
      <c r="AI396" s="344"/>
      <c r="AJ396" s="344"/>
      <c r="AK396" s="344"/>
      <c r="AL396" s="344"/>
      <c r="AM396" s="344"/>
      <c r="AN396" s="344"/>
      <c r="AO396" s="344"/>
    </row>
    <row r="397" spans="1:41" ht="15.75" customHeight="1" x14ac:dyDescent="0.25">
      <c r="A397" s="344"/>
      <c r="B397" s="353"/>
      <c r="C397" s="344"/>
      <c r="D397" s="344"/>
      <c r="E397" s="344"/>
      <c r="F397" s="344"/>
      <c r="G397" s="344"/>
      <c r="H397" s="344"/>
      <c r="I397" s="344"/>
      <c r="J397" s="344"/>
      <c r="K397" s="344"/>
      <c r="L397" s="344"/>
      <c r="M397" s="344"/>
      <c r="N397" s="344"/>
      <c r="O397" s="344"/>
      <c r="P397" s="344"/>
      <c r="Q397" s="344"/>
      <c r="R397" s="344"/>
      <c r="S397" s="344"/>
      <c r="T397" s="344"/>
      <c r="U397" s="344"/>
      <c r="V397" s="344"/>
      <c r="W397" s="344"/>
      <c r="X397" s="344"/>
      <c r="Y397" s="344"/>
      <c r="Z397" s="344"/>
      <c r="AA397" s="344"/>
      <c r="AB397" s="344"/>
      <c r="AC397" s="344"/>
      <c r="AD397" s="344"/>
      <c r="AE397" s="344"/>
      <c r="AF397" s="344"/>
      <c r="AG397" s="344"/>
      <c r="AH397" s="344"/>
      <c r="AI397" s="344"/>
      <c r="AJ397" s="344"/>
      <c r="AK397" s="344"/>
      <c r="AL397" s="344"/>
      <c r="AM397" s="344"/>
      <c r="AN397" s="344"/>
      <c r="AO397" s="344"/>
    </row>
    <row r="398" spans="1:41" ht="15.75" customHeight="1" x14ac:dyDescent="0.25">
      <c r="A398" s="344"/>
      <c r="B398" s="353"/>
      <c r="C398" s="344"/>
      <c r="D398" s="344"/>
      <c r="E398" s="344"/>
      <c r="F398" s="344"/>
      <c r="G398" s="344"/>
      <c r="H398" s="344"/>
      <c r="I398" s="344"/>
      <c r="J398" s="344"/>
      <c r="K398" s="344"/>
      <c r="L398" s="344"/>
      <c r="M398" s="344"/>
      <c r="N398" s="344"/>
      <c r="O398" s="344"/>
      <c r="P398" s="344"/>
      <c r="Q398" s="344"/>
      <c r="R398" s="344"/>
      <c r="S398" s="344"/>
      <c r="T398" s="344"/>
      <c r="U398" s="344"/>
      <c r="V398" s="344"/>
      <c r="W398" s="344"/>
      <c r="X398" s="344"/>
      <c r="Y398" s="344"/>
      <c r="Z398" s="344"/>
      <c r="AA398" s="344"/>
      <c r="AB398" s="344"/>
      <c r="AC398" s="344"/>
      <c r="AD398" s="344"/>
      <c r="AE398" s="344"/>
      <c r="AF398" s="344"/>
      <c r="AG398" s="344"/>
      <c r="AH398" s="344"/>
      <c r="AI398" s="344"/>
      <c r="AJ398" s="344"/>
      <c r="AK398" s="344"/>
      <c r="AL398" s="344"/>
      <c r="AM398" s="344"/>
      <c r="AN398" s="344"/>
      <c r="AO398" s="344"/>
    </row>
    <row r="399" spans="1:41" ht="15.75" customHeight="1" x14ac:dyDescent="0.25">
      <c r="A399" s="344"/>
      <c r="B399" s="353"/>
      <c r="C399" s="344"/>
      <c r="D399" s="344"/>
      <c r="E399" s="344"/>
      <c r="F399" s="344"/>
      <c r="G399" s="344"/>
      <c r="H399" s="344"/>
      <c r="I399" s="344"/>
      <c r="J399" s="344"/>
      <c r="K399" s="344"/>
      <c r="L399" s="344"/>
      <c r="M399" s="344"/>
      <c r="N399" s="344"/>
      <c r="O399" s="344"/>
      <c r="P399" s="344"/>
      <c r="Q399" s="344"/>
      <c r="R399" s="344"/>
      <c r="S399" s="344"/>
      <c r="T399" s="344"/>
      <c r="U399" s="344"/>
      <c r="V399" s="344"/>
      <c r="W399" s="344"/>
      <c r="X399" s="344"/>
      <c r="Y399" s="344"/>
      <c r="Z399" s="344"/>
      <c r="AA399" s="344"/>
      <c r="AB399" s="344"/>
      <c r="AC399" s="344"/>
      <c r="AD399" s="344"/>
      <c r="AE399" s="344"/>
      <c r="AF399" s="344"/>
      <c r="AG399" s="344"/>
      <c r="AH399" s="344"/>
      <c r="AI399" s="344"/>
      <c r="AJ399" s="344"/>
      <c r="AK399" s="344"/>
      <c r="AL399" s="344"/>
      <c r="AM399" s="344"/>
      <c r="AN399" s="344"/>
      <c r="AO399" s="344"/>
    </row>
    <row r="400" spans="1:41" ht="15.75" customHeight="1" x14ac:dyDescent="0.25">
      <c r="A400" s="344"/>
      <c r="B400" s="353"/>
      <c r="C400" s="344"/>
      <c r="D400" s="344"/>
      <c r="E400" s="344"/>
      <c r="F400" s="344"/>
      <c r="G400" s="344"/>
      <c r="H400" s="344"/>
      <c r="I400" s="344"/>
      <c r="J400" s="344"/>
      <c r="K400" s="344"/>
      <c r="L400" s="344"/>
      <c r="M400" s="344"/>
      <c r="N400" s="344"/>
      <c r="O400" s="344"/>
      <c r="P400" s="344"/>
      <c r="Q400" s="344"/>
      <c r="R400" s="344"/>
      <c r="S400" s="344"/>
      <c r="T400" s="344"/>
      <c r="U400" s="344"/>
      <c r="V400" s="344"/>
      <c r="W400" s="344"/>
      <c r="X400" s="344"/>
      <c r="Y400" s="344"/>
      <c r="Z400" s="344"/>
      <c r="AA400" s="344"/>
      <c r="AB400" s="344"/>
      <c r="AC400" s="344"/>
      <c r="AD400" s="344"/>
      <c r="AE400" s="344"/>
      <c r="AF400" s="344"/>
      <c r="AG400" s="344"/>
      <c r="AH400" s="344"/>
      <c r="AI400" s="344"/>
      <c r="AJ400" s="344"/>
      <c r="AK400" s="344"/>
      <c r="AL400" s="344"/>
      <c r="AM400" s="344"/>
      <c r="AN400" s="344"/>
      <c r="AO400" s="344"/>
    </row>
    <row r="401" spans="1:41" ht="15.75" customHeight="1" x14ac:dyDescent="0.25">
      <c r="A401" s="344"/>
      <c r="B401" s="353"/>
      <c r="C401" s="344"/>
      <c r="D401" s="344"/>
      <c r="E401" s="344"/>
      <c r="F401" s="344"/>
      <c r="G401" s="344"/>
      <c r="H401" s="344"/>
      <c r="I401" s="344"/>
      <c r="J401" s="344"/>
      <c r="K401" s="344"/>
      <c r="L401" s="344"/>
      <c r="M401" s="344"/>
      <c r="N401" s="344"/>
      <c r="O401" s="344"/>
      <c r="P401" s="344"/>
      <c r="Q401" s="344"/>
      <c r="R401" s="344"/>
      <c r="S401" s="344"/>
      <c r="T401" s="344"/>
      <c r="U401" s="344"/>
      <c r="V401" s="344"/>
      <c r="W401" s="344"/>
      <c r="X401" s="344"/>
      <c r="Y401" s="344"/>
      <c r="Z401" s="344"/>
      <c r="AA401" s="344"/>
      <c r="AB401" s="344"/>
      <c r="AC401" s="344"/>
      <c r="AD401" s="344"/>
      <c r="AE401" s="344"/>
      <c r="AF401" s="344"/>
      <c r="AG401" s="344"/>
      <c r="AH401" s="344"/>
      <c r="AI401" s="344"/>
      <c r="AJ401" s="344"/>
      <c r="AK401" s="344"/>
      <c r="AL401" s="344"/>
      <c r="AM401" s="344"/>
      <c r="AN401" s="344"/>
      <c r="AO401" s="344"/>
    </row>
    <row r="402" spans="1:41" ht="15.75" customHeight="1" x14ac:dyDescent="0.25">
      <c r="A402" s="344"/>
      <c r="B402" s="353"/>
      <c r="C402" s="344"/>
      <c r="D402" s="344"/>
      <c r="E402" s="344"/>
      <c r="F402" s="344"/>
      <c r="G402" s="344"/>
      <c r="H402" s="344"/>
      <c r="I402" s="344"/>
      <c r="J402" s="344"/>
      <c r="K402" s="344"/>
      <c r="L402" s="344"/>
      <c r="M402" s="344"/>
      <c r="N402" s="344"/>
      <c r="O402" s="344"/>
      <c r="P402" s="344"/>
      <c r="Q402" s="344"/>
      <c r="R402" s="344"/>
      <c r="S402" s="344"/>
      <c r="T402" s="344"/>
      <c r="U402" s="344"/>
      <c r="V402" s="344"/>
      <c r="W402" s="344"/>
      <c r="X402" s="344"/>
      <c r="Y402" s="344"/>
      <c r="Z402" s="344"/>
      <c r="AA402" s="344"/>
      <c r="AB402" s="344"/>
      <c r="AC402" s="344"/>
      <c r="AD402" s="344"/>
      <c r="AE402" s="344"/>
      <c r="AF402" s="344"/>
      <c r="AG402" s="344"/>
      <c r="AH402" s="344"/>
      <c r="AI402" s="344"/>
      <c r="AJ402" s="344"/>
      <c r="AK402" s="344"/>
      <c r="AL402" s="344"/>
      <c r="AM402" s="344"/>
      <c r="AN402" s="344"/>
      <c r="AO402" s="344"/>
    </row>
    <row r="403" spans="1:41" ht="15.75" customHeight="1" x14ac:dyDescent="0.25">
      <c r="A403" s="344"/>
      <c r="B403" s="353"/>
      <c r="C403" s="344"/>
      <c r="D403" s="344"/>
      <c r="E403" s="344"/>
      <c r="F403" s="344"/>
      <c r="G403" s="344"/>
      <c r="H403" s="344"/>
      <c r="I403" s="344"/>
      <c r="J403" s="344"/>
      <c r="K403" s="344"/>
      <c r="L403" s="344"/>
      <c r="M403" s="344"/>
      <c r="N403" s="344"/>
      <c r="O403" s="344"/>
      <c r="P403" s="344"/>
      <c r="Q403" s="344"/>
      <c r="R403" s="344"/>
      <c r="S403" s="344"/>
      <c r="T403" s="344"/>
      <c r="U403" s="344"/>
      <c r="V403" s="344"/>
      <c r="W403" s="344"/>
      <c r="X403" s="344"/>
      <c r="Y403" s="344"/>
      <c r="Z403" s="344"/>
      <c r="AA403" s="344"/>
      <c r="AB403" s="344"/>
      <c r="AC403" s="344"/>
      <c r="AD403" s="344"/>
      <c r="AE403" s="344"/>
      <c r="AF403" s="344"/>
      <c r="AG403" s="344"/>
      <c r="AH403" s="344"/>
      <c r="AI403" s="344"/>
      <c r="AJ403" s="344"/>
      <c r="AK403" s="344"/>
      <c r="AL403" s="344"/>
      <c r="AM403" s="344"/>
      <c r="AN403" s="344"/>
      <c r="AO403" s="344"/>
    </row>
    <row r="404" spans="1:41" ht="15.75" customHeight="1" x14ac:dyDescent="0.25">
      <c r="A404" s="344"/>
      <c r="B404" s="353"/>
      <c r="C404" s="344"/>
      <c r="D404" s="344"/>
      <c r="E404" s="344"/>
      <c r="F404" s="344"/>
      <c r="G404" s="344"/>
      <c r="H404" s="344"/>
      <c r="I404" s="344"/>
      <c r="J404" s="344"/>
      <c r="K404" s="344"/>
      <c r="L404" s="344"/>
      <c r="M404" s="344"/>
      <c r="N404" s="344"/>
      <c r="O404" s="344"/>
      <c r="P404" s="344"/>
      <c r="Q404" s="344"/>
      <c r="R404" s="344"/>
      <c r="S404" s="344"/>
      <c r="T404" s="344"/>
      <c r="U404" s="344"/>
      <c r="V404" s="344"/>
      <c r="W404" s="344"/>
      <c r="X404" s="344"/>
      <c r="Y404" s="344"/>
      <c r="Z404" s="344"/>
      <c r="AA404" s="344"/>
      <c r="AB404" s="344"/>
      <c r="AC404" s="344"/>
      <c r="AD404" s="344"/>
      <c r="AE404" s="344"/>
      <c r="AF404" s="344"/>
      <c r="AG404" s="344"/>
      <c r="AH404" s="344"/>
      <c r="AI404" s="344"/>
      <c r="AJ404" s="344"/>
      <c r="AK404" s="344"/>
      <c r="AL404" s="344"/>
      <c r="AM404" s="344"/>
      <c r="AN404" s="344"/>
      <c r="AO404" s="344"/>
    </row>
    <row r="405" spans="1:41" ht="15.75" customHeight="1" x14ac:dyDescent="0.25">
      <c r="A405" s="344"/>
      <c r="B405" s="353"/>
      <c r="C405" s="344"/>
      <c r="D405" s="344"/>
      <c r="E405" s="344"/>
      <c r="F405" s="344"/>
      <c r="G405" s="344"/>
      <c r="H405" s="344"/>
      <c r="I405" s="344"/>
      <c r="J405" s="344"/>
      <c r="K405" s="344"/>
      <c r="L405" s="344"/>
      <c r="M405" s="344"/>
      <c r="N405" s="344"/>
      <c r="O405" s="344"/>
      <c r="P405" s="344"/>
      <c r="Q405" s="344"/>
      <c r="R405" s="344"/>
      <c r="S405" s="344"/>
      <c r="T405" s="344"/>
      <c r="U405" s="344"/>
      <c r="V405" s="344"/>
      <c r="W405" s="344"/>
      <c r="X405" s="344"/>
      <c r="Y405" s="344"/>
      <c r="Z405" s="344"/>
      <c r="AA405" s="344"/>
      <c r="AB405" s="344"/>
      <c r="AC405" s="344"/>
      <c r="AD405" s="344"/>
      <c r="AE405" s="344"/>
      <c r="AF405" s="344"/>
      <c r="AG405" s="344"/>
      <c r="AH405" s="344"/>
      <c r="AI405" s="344"/>
      <c r="AJ405" s="344"/>
      <c r="AK405" s="344"/>
      <c r="AL405" s="344"/>
      <c r="AM405" s="344"/>
      <c r="AN405" s="344"/>
      <c r="AO405" s="344"/>
    </row>
    <row r="406" spans="1:41" ht="15.75" customHeight="1" x14ac:dyDescent="0.25">
      <c r="A406" s="344"/>
      <c r="B406" s="353"/>
      <c r="C406" s="344"/>
      <c r="D406" s="344"/>
      <c r="E406" s="344"/>
      <c r="F406" s="344"/>
      <c r="G406" s="344"/>
      <c r="H406" s="344"/>
      <c r="I406" s="344"/>
      <c r="J406" s="344"/>
      <c r="K406" s="344"/>
      <c r="L406" s="344"/>
      <c r="M406" s="344"/>
      <c r="N406" s="344"/>
      <c r="O406" s="344"/>
      <c r="P406" s="344"/>
      <c r="Q406" s="344"/>
      <c r="R406" s="344"/>
      <c r="S406" s="344"/>
      <c r="T406" s="344"/>
      <c r="U406" s="344"/>
      <c r="V406" s="344"/>
      <c r="W406" s="344"/>
      <c r="X406" s="344"/>
      <c r="Y406" s="344"/>
      <c r="Z406" s="344"/>
      <c r="AA406" s="344"/>
      <c r="AB406" s="344"/>
      <c r="AC406" s="344"/>
      <c r="AD406" s="344"/>
      <c r="AE406" s="344"/>
      <c r="AF406" s="344"/>
      <c r="AG406" s="344"/>
      <c r="AH406" s="344"/>
      <c r="AI406" s="344"/>
      <c r="AJ406" s="344"/>
      <c r="AK406" s="344"/>
      <c r="AL406" s="344"/>
      <c r="AM406" s="344"/>
      <c r="AN406" s="344"/>
      <c r="AO406" s="344"/>
    </row>
    <row r="407" spans="1:41" ht="15.75" customHeight="1" x14ac:dyDescent="0.25">
      <c r="A407" s="344"/>
      <c r="B407" s="353"/>
      <c r="C407" s="344"/>
      <c r="D407" s="344"/>
      <c r="E407" s="344"/>
      <c r="F407" s="344"/>
      <c r="G407" s="344"/>
      <c r="H407" s="344"/>
      <c r="I407" s="344"/>
      <c r="J407" s="344"/>
      <c r="K407" s="344"/>
      <c r="L407" s="344"/>
      <c r="M407" s="344"/>
      <c r="N407" s="344"/>
      <c r="O407" s="344"/>
      <c r="P407" s="344"/>
      <c r="Q407" s="344"/>
      <c r="R407" s="344"/>
      <c r="S407" s="344"/>
      <c r="T407" s="344"/>
      <c r="U407" s="344"/>
      <c r="V407" s="344"/>
      <c r="W407" s="344"/>
      <c r="X407" s="344"/>
      <c r="Y407" s="344"/>
      <c r="Z407" s="344"/>
      <c r="AA407" s="344"/>
      <c r="AB407" s="344"/>
      <c r="AC407" s="344"/>
      <c r="AD407" s="344"/>
      <c r="AE407" s="344"/>
      <c r="AF407" s="344"/>
      <c r="AG407" s="344"/>
      <c r="AH407" s="344"/>
      <c r="AI407" s="344"/>
      <c r="AJ407" s="344"/>
      <c r="AK407" s="344"/>
      <c r="AL407" s="344"/>
      <c r="AM407" s="344"/>
      <c r="AN407" s="344"/>
      <c r="AO407" s="344"/>
    </row>
    <row r="408" spans="1:41" ht="15.75" customHeight="1" x14ac:dyDescent="0.25">
      <c r="A408" s="344"/>
      <c r="B408" s="353"/>
      <c r="C408" s="344"/>
      <c r="D408" s="344"/>
      <c r="E408" s="344"/>
      <c r="F408" s="344"/>
      <c r="G408" s="344"/>
      <c r="H408" s="344"/>
      <c r="I408" s="344"/>
      <c r="J408" s="344"/>
      <c r="K408" s="344"/>
      <c r="L408" s="344"/>
      <c r="M408" s="344"/>
      <c r="N408" s="344"/>
      <c r="O408" s="344"/>
      <c r="P408" s="344"/>
      <c r="Q408" s="344"/>
      <c r="R408" s="344"/>
      <c r="S408" s="344"/>
      <c r="T408" s="344"/>
      <c r="U408" s="344"/>
      <c r="V408" s="344"/>
      <c r="W408" s="344"/>
      <c r="X408" s="344"/>
      <c r="Y408" s="344"/>
      <c r="Z408" s="344"/>
      <c r="AA408" s="344"/>
      <c r="AB408" s="344"/>
      <c r="AC408" s="344"/>
      <c r="AD408" s="344"/>
      <c r="AE408" s="344"/>
      <c r="AF408" s="344"/>
      <c r="AG408" s="344"/>
      <c r="AH408" s="344"/>
      <c r="AI408" s="344"/>
      <c r="AJ408" s="344"/>
      <c r="AK408" s="344"/>
      <c r="AL408" s="344"/>
      <c r="AM408" s="344"/>
      <c r="AN408" s="344"/>
      <c r="AO408" s="344"/>
    </row>
    <row r="409" spans="1:41" ht="15.75" customHeight="1" x14ac:dyDescent="0.25">
      <c r="A409" s="344"/>
      <c r="B409" s="353"/>
      <c r="C409" s="344"/>
      <c r="D409" s="344"/>
      <c r="E409" s="344"/>
      <c r="F409" s="344"/>
      <c r="G409" s="344"/>
      <c r="H409" s="344"/>
      <c r="I409" s="344"/>
      <c r="J409" s="344"/>
      <c r="K409" s="344"/>
      <c r="L409" s="344"/>
      <c r="M409" s="344"/>
      <c r="N409" s="344"/>
      <c r="O409" s="344"/>
      <c r="P409" s="344"/>
      <c r="Q409" s="344"/>
      <c r="R409" s="344"/>
      <c r="S409" s="344"/>
      <c r="T409" s="344"/>
      <c r="U409" s="344"/>
      <c r="V409" s="344"/>
      <c r="W409" s="344"/>
      <c r="X409" s="344"/>
      <c r="Y409" s="344"/>
      <c r="Z409" s="344"/>
      <c r="AA409" s="344"/>
      <c r="AB409" s="344"/>
      <c r="AC409" s="344"/>
      <c r="AD409" s="344"/>
      <c r="AE409" s="344"/>
      <c r="AF409" s="344"/>
      <c r="AG409" s="344"/>
      <c r="AH409" s="344"/>
      <c r="AI409" s="344"/>
      <c r="AJ409" s="344"/>
      <c r="AK409" s="344"/>
      <c r="AL409" s="344"/>
      <c r="AM409" s="344"/>
      <c r="AN409" s="344"/>
      <c r="AO409" s="344"/>
    </row>
    <row r="410" spans="1:41" ht="15.75" customHeight="1" x14ac:dyDescent="0.25">
      <c r="A410" s="344"/>
      <c r="B410" s="353"/>
      <c r="C410" s="344"/>
      <c r="D410" s="344"/>
      <c r="E410" s="344"/>
      <c r="F410" s="344"/>
      <c r="G410" s="344"/>
      <c r="H410" s="344"/>
      <c r="I410" s="344"/>
      <c r="J410" s="344"/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  <c r="Y410" s="344"/>
      <c r="Z410" s="344"/>
      <c r="AA410" s="344"/>
      <c r="AB410" s="344"/>
      <c r="AC410" s="344"/>
      <c r="AD410" s="344"/>
      <c r="AE410" s="344"/>
      <c r="AF410" s="344"/>
      <c r="AG410" s="344"/>
      <c r="AH410" s="344"/>
      <c r="AI410" s="344"/>
      <c r="AJ410" s="344"/>
      <c r="AK410" s="344"/>
      <c r="AL410" s="344"/>
      <c r="AM410" s="344"/>
      <c r="AN410" s="344"/>
      <c r="AO410" s="344"/>
    </row>
    <row r="411" spans="1:41" ht="15.75" customHeight="1" x14ac:dyDescent="0.25">
      <c r="A411" s="344"/>
      <c r="B411" s="353"/>
      <c r="C411" s="344"/>
      <c r="D411" s="344"/>
      <c r="E411" s="344"/>
      <c r="F411" s="344"/>
      <c r="G411" s="344"/>
      <c r="H411" s="344"/>
      <c r="I411" s="344"/>
      <c r="J411" s="344"/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  <c r="Y411" s="344"/>
      <c r="Z411" s="344"/>
      <c r="AA411" s="344"/>
      <c r="AB411" s="344"/>
      <c r="AC411" s="344"/>
      <c r="AD411" s="344"/>
      <c r="AE411" s="344"/>
      <c r="AF411" s="344"/>
      <c r="AG411" s="344"/>
      <c r="AH411" s="344"/>
      <c r="AI411" s="344"/>
      <c r="AJ411" s="344"/>
      <c r="AK411" s="344"/>
      <c r="AL411" s="344"/>
      <c r="AM411" s="344"/>
      <c r="AN411" s="344"/>
      <c r="AO411" s="344"/>
    </row>
    <row r="412" spans="1:41" ht="15.75" customHeight="1" x14ac:dyDescent="0.25">
      <c r="A412" s="344"/>
      <c r="B412" s="353"/>
      <c r="C412" s="344"/>
      <c r="D412" s="344"/>
      <c r="E412" s="344"/>
      <c r="F412" s="344"/>
      <c r="G412" s="344"/>
      <c r="H412" s="344"/>
      <c r="I412" s="344"/>
      <c r="J412" s="344"/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  <c r="Y412" s="344"/>
      <c r="Z412" s="344"/>
      <c r="AA412" s="344"/>
      <c r="AB412" s="344"/>
      <c r="AC412" s="344"/>
      <c r="AD412" s="344"/>
      <c r="AE412" s="344"/>
      <c r="AF412" s="344"/>
      <c r="AG412" s="344"/>
      <c r="AH412" s="344"/>
      <c r="AI412" s="344"/>
      <c r="AJ412" s="344"/>
      <c r="AK412" s="344"/>
      <c r="AL412" s="344"/>
      <c r="AM412" s="344"/>
      <c r="AN412" s="344"/>
      <c r="AO412" s="344"/>
    </row>
    <row r="413" spans="1:41" ht="15.75" customHeight="1" x14ac:dyDescent="0.25">
      <c r="A413" s="344"/>
      <c r="B413" s="353"/>
      <c r="C413" s="344"/>
      <c r="D413" s="344"/>
      <c r="E413" s="344"/>
      <c r="F413" s="344"/>
      <c r="G413" s="344"/>
      <c r="H413" s="344"/>
      <c r="I413" s="344"/>
      <c r="J413" s="344"/>
      <c r="K413" s="344"/>
      <c r="L413" s="344"/>
      <c r="M413" s="344"/>
      <c r="N413" s="344"/>
      <c r="O413" s="344"/>
      <c r="P413" s="344"/>
      <c r="Q413" s="344"/>
      <c r="R413" s="344"/>
      <c r="S413" s="344"/>
      <c r="T413" s="344"/>
      <c r="U413" s="344"/>
      <c r="V413" s="344"/>
      <c r="W413" s="344"/>
      <c r="X413" s="344"/>
      <c r="Y413" s="344"/>
      <c r="Z413" s="344"/>
      <c r="AA413" s="344"/>
      <c r="AB413" s="344"/>
      <c r="AC413" s="344"/>
      <c r="AD413" s="344"/>
      <c r="AE413" s="344"/>
      <c r="AF413" s="344"/>
      <c r="AG413" s="344"/>
      <c r="AH413" s="344"/>
      <c r="AI413" s="344"/>
      <c r="AJ413" s="344"/>
      <c r="AK413" s="344"/>
      <c r="AL413" s="344"/>
      <c r="AM413" s="344"/>
      <c r="AN413" s="344"/>
      <c r="AO413" s="344"/>
    </row>
    <row r="414" spans="1:41" ht="15.75" customHeight="1" x14ac:dyDescent="0.25">
      <c r="A414" s="344"/>
      <c r="B414" s="353"/>
      <c r="C414" s="344"/>
      <c r="D414" s="344"/>
      <c r="E414" s="344"/>
      <c r="F414" s="344"/>
      <c r="G414" s="344"/>
      <c r="H414" s="344"/>
      <c r="I414" s="344"/>
      <c r="J414" s="344"/>
      <c r="K414" s="344"/>
      <c r="L414" s="344"/>
      <c r="M414" s="344"/>
      <c r="N414" s="344"/>
      <c r="O414" s="344"/>
      <c r="P414" s="344"/>
      <c r="Q414" s="344"/>
      <c r="R414" s="344"/>
      <c r="S414" s="344"/>
      <c r="T414" s="344"/>
      <c r="U414" s="344"/>
      <c r="V414" s="344"/>
      <c r="W414" s="344"/>
      <c r="X414" s="344"/>
      <c r="Y414" s="344"/>
      <c r="Z414" s="344"/>
      <c r="AA414" s="344"/>
      <c r="AB414" s="344"/>
      <c r="AC414" s="344"/>
      <c r="AD414" s="344"/>
      <c r="AE414" s="344"/>
      <c r="AF414" s="344"/>
      <c r="AG414" s="344"/>
      <c r="AH414" s="344"/>
      <c r="AI414" s="344"/>
      <c r="AJ414" s="344"/>
      <c r="AK414" s="344"/>
      <c r="AL414" s="344"/>
      <c r="AM414" s="344"/>
      <c r="AN414" s="344"/>
      <c r="AO414" s="344"/>
    </row>
    <row r="415" spans="1:41" ht="15.75" customHeight="1" x14ac:dyDescent="0.25">
      <c r="A415" s="344"/>
      <c r="B415" s="353"/>
      <c r="C415" s="344"/>
      <c r="D415" s="344"/>
      <c r="E415" s="344"/>
      <c r="F415" s="344"/>
      <c r="G415" s="344"/>
      <c r="H415" s="344"/>
      <c r="I415" s="344"/>
      <c r="J415" s="344"/>
      <c r="K415" s="344"/>
      <c r="L415" s="344"/>
      <c r="M415" s="344"/>
      <c r="N415" s="344"/>
      <c r="O415" s="344"/>
      <c r="P415" s="344"/>
      <c r="Q415" s="344"/>
      <c r="R415" s="344"/>
      <c r="S415" s="344"/>
      <c r="T415" s="344"/>
      <c r="U415" s="344"/>
      <c r="V415" s="344"/>
      <c r="W415" s="344"/>
      <c r="X415" s="344"/>
      <c r="Y415" s="344"/>
      <c r="Z415" s="344"/>
      <c r="AA415" s="344"/>
      <c r="AB415" s="344"/>
      <c r="AC415" s="344"/>
      <c r="AD415" s="344"/>
      <c r="AE415" s="344"/>
      <c r="AF415" s="344"/>
      <c r="AG415" s="344"/>
      <c r="AH415" s="344"/>
      <c r="AI415" s="344"/>
      <c r="AJ415" s="344"/>
      <c r="AK415" s="344"/>
      <c r="AL415" s="344"/>
      <c r="AM415" s="344"/>
      <c r="AN415" s="344"/>
      <c r="AO415" s="344"/>
    </row>
    <row r="416" spans="1:41" ht="15.75" customHeight="1" x14ac:dyDescent="0.25">
      <c r="A416" s="344"/>
      <c r="B416" s="353"/>
      <c r="C416" s="344"/>
      <c r="D416" s="344"/>
      <c r="E416" s="344"/>
      <c r="F416" s="344"/>
      <c r="G416" s="344"/>
      <c r="H416" s="344"/>
      <c r="I416" s="344"/>
      <c r="J416" s="344"/>
      <c r="K416" s="344"/>
      <c r="L416" s="344"/>
      <c r="M416" s="344"/>
      <c r="N416" s="344"/>
      <c r="O416" s="344"/>
      <c r="P416" s="344"/>
      <c r="Q416" s="344"/>
      <c r="R416" s="344"/>
      <c r="S416" s="344"/>
      <c r="T416" s="344"/>
      <c r="U416" s="344"/>
      <c r="V416" s="344"/>
      <c r="W416" s="344"/>
      <c r="X416" s="344"/>
      <c r="Y416" s="344"/>
      <c r="Z416" s="344"/>
      <c r="AA416" s="344"/>
      <c r="AB416" s="344"/>
      <c r="AC416" s="344"/>
      <c r="AD416" s="344"/>
      <c r="AE416" s="344"/>
      <c r="AF416" s="344"/>
      <c r="AG416" s="344"/>
      <c r="AH416" s="344"/>
      <c r="AI416" s="344"/>
      <c r="AJ416" s="344"/>
      <c r="AK416" s="344"/>
      <c r="AL416" s="344"/>
      <c r="AM416" s="344"/>
      <c r="AN416" s="344"/>
      <c r="AO416" s="344"/>
    </row>
    <row r="417" spans="1:41" ht="15.75" customHeight="1" x14ac:dyDescent="0.25">
      <c r="A417" s="344"/>
      <c r="B417" s="353"/>
      <c r="C417" s="344"/>
      <c r="D417" s="344"/>
      <c r="E417" s="344"/>
      <c r="F417" s="344"/>
      <c r="G417" s="344"/>
      <c r="H417" s="344"/>
      <c r="I417" s="344"/>
      <c r="J417" s="344"/>
      <c r="K417" s="344"/>
      <c r="L417" s="344"/>
      <c r="M417" s="344"/>
      <c r="N417" s="344"/>
      <c r="O417" s="344"/>
      <c r="P417" s="344"/>
      <c r="Q417" s="344"/>
      <c r="R417" s="344"/>
      <c r="S417" s="344"/>
      <c r="T417" s="344"/>
      <c r="U417" s="344"/>
      <c r="V417" s="344"/>
      <c r="W417" s="344"/>
      <c r="X417" s="344"/>
      <c r="Y417" s="344"/>
      <c r="Z417" s="344"/>
      <c r="AA417" s="344"/>
      <c r="AB417" s="344"/>
      <c r="AC417" s="344"/>
      <c r="AD417" s="344"/>
      <c r="AE417" s="344"/>
      <c r="AF417" s="344"/>
      <c r="AG417" s="344"/>
      <c r="AH417" s="344"/>
      <c r="AI417" s="344"/>
      <c r="AJ417" s="344"/>
      <c r="AK417" s="344"/>
      <c r="AL417" s="344"/>
      <c r="AM417" s="344"/>
      <c r="AN417" s="344"/>
      <c r="AO417" s="344"/>
    </row>
    <row r="418" spans="1:41" ht="15.75" customHeight="1" x14ac:dyDescent="0.25">
      <c r="A418" s="344"/>
      <c r="B418" s="353"/>
      <c r="C418" s="344"/>
      <c r="D418" s="344"/>
      <c r="E418" s="344"/>
      <c r="F418" s="344"/>
      <c r="G418" s="344"/>
      <c r="H418" s="344"/>
      <c r="I418" s="344"/>
      <c r="J418" s="344"/>
      <c r="K418" s="344"/>
      <c r="L418" s="344"/>
      <c r="M418" s="344"/>
      <c r="N418" s="344"/>
      <c r="O418" s="344"/>
      <c r="P418" s="344"/>
      <c r="Q418" s="344"/>
      <c r="R418" s="344"/>
      <c r="S418" s="344"/>
      <c r="T418" s="344"/>
      <c r="U418" s="344"/>
      <c r="V418" s="344"/>
      <c r="W418" s="344"/>
      <c r="X418" s="344"/>
      <c r="Y418" s="344"/>
      <c r="Z418" s="344"/>
      <c r="AA418" s="344"/>
      <c r="AB418" s="344"/>
      <c r="AC418" s="344"/>
      <c r="AD418" s="344"/>
      <c r="AE418" s="344"/>
      <c r="AF418" s="344"/>
      <c r="AG418" s="344"/>
      <c r="AH418" s="344"/>
      <c r="AI418" s="344"/>
      <c r="AJ418" s="344"/>
      <c r="AK418" s="344"/>
      <c r="AL418" s="344"/>
      <c r="AM418" s="344"/>
      <c r="AN418" s="344"/>
      <c r="AO418" s="344"/>
    </row>
    <row r="419" spans="1:41" ht="15.75" customHeight="1" x14ac:dyDescent="0.25">
      <c r="A419" s="344"/>
      <c r="B419" s="353"/>
      <c r="C419" s="344"/>
      <c r="D419" s="344"/>
      <c r="E419" s="344"/>
      <c r="F419" s="344"/>
      <c r="G419" s="344"/>
      <c r="H419" s="344"/>
      <c r="I419" s="344"/>
      <c r="J419" s="344"/>
      <c r="K419" s="344"/>
      <c r="L419" s="344"/>
      <c r="M419" s="344"/>
      <c r="N419" s="344"/>
      <c r="O419" s="344"/>
      <c r="P419" s="344"/>
      <c r="Q419" s="344"/>
      <c r="R419" s="344"/>
      <c r="S419" s="344"/>
      <c r="T419" s="344"/>
      <c r="U419" s="344"/>
      <c r="V419" s="344"/>
      <c r="W419" s="344"/>
      <c r="X419" s="344"/>
      <c r="Y419" s="344"/>
      <c r="Z419" s="344"/>
      <c r="AA419" s="344"/>
      <c r="AB419" s="344"/>
      <c r="AC419" s="344"/>
      <c r="AD419" s="344"/>
      <c r="AE419" s="344"/>
      <c r="AF419" s="344"/>
      <c r="AG419" s="344"/>
      <c r="AH419" s="344"/>
      <c r="AI419" s="344"/>
      <c r="AJ419" s="344"/>
      <c r="AK419" s="344"/>
      <c r="AL419" s="344"/>
      <c r="AM419" s="344"/>
      <c r="AN419" s="344"/>
      <c r="AO419" s="344"/>
    </row>
    <row r="420" spans="1:41" ht="15.75" customHeight="1" x14ac:dyDescent="0.25">
      <c r="A420" s="344"/>
      <c r="B420" s="353"/>
      <c r="C420" s="344"/>
      <c r="D420" s="344"/>
      <c r="E420" s="344"/>
      <c r="F420" s="344"/>
      <c r="G420" s="344"/>
      <c r="H420" s="344"/>
      <c r="I420" s="344"/>
      <c r="J420" s="344"/>
      <c r="K420" s="344"/>
      <c r="L420" s="344"/>
      <c r="M420" s="344"/>
      <c r="N420" s="344"/>
      <c r="O420" s="344"/>
      <c r="P420" s="344"/>
      <c r="Q420" s="344"/>
      <c r="R420" s="344"/>
      <c r="S420" s="344"/>
      <c r="T420" s="344"/>
      <c r="U420" s="344"/>
      <c r="V420" s="344"/>
      <c r="W420" s="344"/>
      <c r="X420" s="344"/>
      <c r="Y420" s="344"/>
      <c r="Z420" s="344"/>
      <c r="AA420" s="344"/>
      <c r="AB420" s="344"/>
      <c r="AC420" s="344"/>
      <c r="AD420" s="344"/>
      <c r="AE420" s="344"/>
      <c r="AF420" s="344"/>
      <c r="AG420" s="344"/>
      <c r="AH420" s="344"/>
      <c r="AI420" s="344"/>
      <c r="AJ420" s="344"/>
      <c r="AK420" s="344"/>
      <c r="AL420" s="344"/>
      <c r="AM420" s="344"/>
      <c r="AN420" s="344"/>
      <c r="AO420" s="344"/>
    </row>
    <row r="421" spans="1:41" ht="15.75" customHeight="1" x14ac:dyDescent="0.25">
      <c r="A421" s="344"/>
      <c r="B421" s="353"/>
      <c r="C421" s="344"/>
      <c r="D421" s="344"/>
      <c r="E421" s="344"/>
      <c r="F421" s="344"/>
      <c r="G421" s="344"/>
      <c r="H421" s="344"/>
      <c r="I421" s="344"/>
      <c r="J421" s="344"/>
      <c r="K421" s="344"/>
      <c r="L421" s="344"/>
      <c r="M421" s="344"/>
      <c r="N421" s="344"/>
      <c r="O421" s="344"/>
      <c r="P421" s="344"/>
      <c r="Q421" s="344"/>
      <c r="R421" s="344"/>
      <c r="S421" s="344"/>
      <c r="T421" s="344"/>
      <c r="U421" s="344"/>
      <c r="V421" s="344"/>
      <c r="W421" s="344"/>
      <c r="X421" s="344"/>
      <c r="Y421" s="344"/>
      <c r="Z421" s="344"/>
      <c r="AA421" s="344"/>
      <c r="AB421" s="344"/>
      <c r="AC421" s="344"/>
      <c r="AD421" s="344"/>
      <c r="AE421" s="344"/>
      <c r="AF421" s="344"/>
      <c r="AG421" s="344"/>
      <c r="AH421" s="344"/>
      <c r="AI421" s="344"/>
      <c r="AJ421" s="344"/>
      <c r="AK421" s="344"/>
      <c r="AL421" s="344"/>
      <c r="AM421" s="344"/>
      <c r="AN421" s="344"/>
      <c r="AO421" s="344"/>
    </row>
    <row r="422" spans="1:41" ht="15.75" customHeight="1" x14ac:dyDescent="0.25">
      <c r="A422" s="344"/>
      <c r="B422" s="353"/>
      <c r="C422" s="344"/>
      <c r="D422" s="344"/>
      <c r="E422" s="344"/>
      <c r="F422" s="344"/>
      <c r="G422" s="344"/>
      <c r="H422" s="344"/>
      <c r="I422" s="344"/>
      <c r="J422" s="344"/>
      <c r="K422" s="344"/>
      <c r="L422" s="344"/>
      <c r="M422" s="344"/>
      <c r="N422" s="344"/>
      <c r="O422" s="344"/>
      <c r="P422" s="344"/>
      <c r="Q422" s="344"/>
      <c r="R422" s="344"/>
      <c r="S422" s="344"/>
      <c r="T422" s="344"/>
      <c r="U422" s="344"/>
      <c r="V422" s="344"/>
      <c r="W422" s="344"/>
      <c r="X422" s="344"/>
      <c r="Y422" s="344"/>
      <c r="Z422" s="344"/>
      <c r="AA422" s="344"/>
      <c r="AB422" s="344"/>
      <c r="AC422" s="344"/>
      <c r="AD422" s="344"/>
      <c r="AE422" s="344"/>
      <c r="AF422" s="344"/>
      <c r="AG422" s="344"/>
      <c r="AH422" s="344"/>
      <c r="AI422" s="344"/>
      <c r="AJ422" s="344"/>
      <c r="AK422" s="344"/>
      <c r="AL422" s="344"/>
      <c r="AM422" s="344"/>
      <c r="AN422" s="344"/>
      <c r="AO422" s="344"/>
    </row>
    <row r="423" spans="1:41" ht="15.75" customHeight="1" x14ac:dyDescent="0.25">
      <c r="A423" s="344"/>
      <c r="B423" s="353"/>
      <c r="C423" s="344"/>
      <c r="D423" s="344"/>
      <c r="E423" s="344"/>
      <c r="F423" s="344"/>
      <c r="G423" s="344"/>
      <c r="H423" s="344"/>
      <c r="I423" s="344"/>
      <c r="J423" s="344"/>
      <c r="K423" s="344"/>
      <c r="L423" s="344"/>
      <c r="M423" s="344"/>
      <c r="N423" s="344"/>
      <c r="O423" s="344"/>
      <c r="P423" s="344"/>
      <c r="Q423" s="344"/>
      <c r="R423" s="344"/>
      <c r="S423" s="344"/>
      <c r="T423" s="344"/>
      <c r="U423" s="344"/>
      <c r="V423" s="344"/>
      <c r="W423" s="344"/>
      <c r="X423" s="344"/>
      <c r="Y423" s="344"/>
      <c r="Z423" s="344"/>
      <c r="AA423" s="344"/>
      <c r="AB423" s="344"/>
      <c r="AC423" s="344"/>
      <c r="AD423" s="344"/>
      <c r="AE423" s="344"/>
      <c r="AF423" s="344"/>
      <c r="AG423" s="344"/>
      <c r="AH423" s="344"/>
      <c r="AI423" s="344"/>
      <c r="AJ423" s="344"/>
      <c r="AK423" s="344"/>
      <c r="AL423" s="344"/>
      <c r="AM423" s="344"/>
      <c r="AN423" s="344"/>
      <c r="AO423" s="344"/>
    </row>
    <row r="424" spans="1:41" ht="15.75" customHeight="1" x14ac:dyDescent="0.25">
      <c r="A424" s="344"/>
      <c r="B424" s="353"/>
      <c r="C424" s="344"/>
      <c r="D424" s="344"/>
      <c r="E424" s="344"/>
      <c r="F424" s="344"/>
      <c r="G424" s="344"/>
      <c r="H424" s="344"/>
      <c r="I424" s="344"/>
      <c r="J424" s="344"/>
      <c r="K424" s="344"/>
      <c r="L424" s="344"/>
      <c r="M424" s="344"/>
      <c r="N424" s="344"/>
      <c r="O424" s="344"/>
      <c r="P424" s="344"/>
      <c r="Q424" s="344"/>
      <c r="R424" s="344"/>
      <c r="S424" s="344"/>
      <c r="T424" s="344"/>
      <c r="U424" s="344"/>
      <c r="V424" s="344"/>
      <c r="W424" s="344"/>
      <c r="X424" s="344"/>
      <c r="Y424" s="344"/>
      <c r="Z424" s="344"/>
      <c r="AA424" s="344"/>
      <c r="AB424" s="344"/>
      <c r="AC424" s="344"/>
      <c r="AD424" s="344"/>
      <c r="AE424" s="344"/>
      <c r="AF424" s="344"/>
      <c r="AG424" s="344"/>
      <c r="AH424" s="344"/>
      <c r="AI424" s="344"/>
      <c r="AJ424" s="344"/>
      <c r="AK424" s="344"/>
      <c r="AL424" s="344"/>
      <c r="AM424" s="344"/>
      <c r="AN424" s="344"/>
      <c r="AO424" s="344"/>
    </row>
    <row r="425" spans="1:41" ht="15.75" customHeight="1" x14ac:dyDescent="0.25">
      <c r="A425" s="344"/>
      <c r="B425" s="353"/>
      <c r="C425" s="344"/>
      <c r="D425" s="344"/>
      <c r="E425" s="344"/>
      <c r="F425" s="344"/>
      <c r="G425" s="344"/>
      <c r="H425" s="344"/>
      <c r="I425" s="344"/>
      <c r="J425" s="344"/>
      <c r="K425" s="344"/>
      <c r="L425" s="344"/>
      <c r="M425" s="344"/>
      <c r="N425" s="344"/>
      <c r="O425" s="344"/>
      <c r="P425" s="344"/>
      <c r="Q425" s="344"/>
      <c r="R425" s="344"/>
      <c r="S425" s="344"/>
      <c r="T425" s="344"/>
      <c r="U425" s="344"/>
      <c r="V425" s="344"/>
      <c r="W425" s="344"/>
      <c r="X425" s="344"/>
      <c r="Y425" s="344"/>
      <c r="Z425" s="344"/>
      <c r="AA425" s="344"/>
      <c r="AB425" s="344"/>
      <c r="AC425" s="344"/>
      <c r="AD425" s="344"/>
      <c r="AE425" s="344"/>
      <c r="AF425" s="344"/>
      <c r="AG425" s="344"/>
      <c r="AH425" s="344"/>
      <c r="AI425" s="344"/>
      <c r="AJ425" s="344"/>
      <c r="AK425" s="344"/>
      <c r="AL425" s="344"/>
      <c r="AM425" s="344"/>
      <c r="AN425" s="344"/>
      <c r="AO425" s="344"/>
    </row>
    <row r="426" spans="1:41" ht="15.75" customHeight="1" x14ac:dyDescent="0.25">
      <c r="A426" s="344"/>
      <c r="B426" s="353"/>
      <c r="C426" s="344"/>
      <c r="D426" s="344"/>
      <c r="E426" s="344"/>
      <c r="F426" s="344"/>
      <c r="G426" s="344"/>
      <c r="H426" s="344"/>
      <c r="I426" s="344"/>
      <c r="J426" s="344"/>
      <c r="K426" s="344"/>
      <c r="L426" s="344"/>
      <c r="M426" s="344"/>
      <c r="N426" s="344"/>
      <c r="O426" s="344"/>
      <c r="P426" s="344"/>
      <c r="Q426" s="344"/>
      <c r="R426" s="344"/>
      <c r="S426" s="344"/>
      <c r="T426" s="344"/>
      <c r="U426" s="344"/>
      <c r="V426" s="344"/>
      <c r="W426" s="344"/>
      <c r="X426" s="344"/>
      <c r="Y426" s="344"/>
      <c r="Z426" s="344"/>
      <c r="AA426" s="344"/>
      <c r="AB426" s="344"/>
      <c r="AC426" s="344"/>
      <c r="AD426" s="344"/>
      <c r="AE426" s="344"/>
      <c r="AF426" s="344"/>
      <c r="AG426" s="344"/>
      <c r="AH426" s="344"/>
      <c r="AI426" s="344"/>
      <c r="AJ426" s="344"/>
      <c r="AK426" s="344"/>
      <c r="AL426" s="344"/>
      <c r="AM426" s="344"/>
      <c r="AN426" s="344"/>
      <c r="AO426" s="344"/>
    </row>
    <row r="427" spans="1:41" ht="15.75" customHeight="1" x14ac:dyDescent="0.25">
      <c r="A427" s="344"/>
      <c r="B427" s="353"/>
      <c r="C427" s="344"/>
      <c r="D427" s="344"/>
      <c r="E427" s="344"/>
      <c r="F427" s="344"/>
      <c r="G427" s="344"/>
      <c r="H427" s="344"/>
      <c r="I427" s="344"/>
      <c r="J427" s="344"/>
      <c r="K427" s="344"/>
      <c r="L427" s="344"/>
      <c r="M427" s="344"/>
      <c r="N427" s="344"/>
      <c r="O427" s="344"/>
      <c r="P427" s="344"/>
      <c r="Q427" s="344"/>
      <c r="R427" s="344"/>
      <c r="S427" s="344"/>
      <c r="T427" s="344"/>
      <c r="U427" s="344"/>
      <c r="V427" s="344"/>
      <c r="W427" s="344"/>
      <c r="X427" s="344"/>
      <c r="Y427" s="344"/>
      <c r="Z427" s="344"/>
      <c r="AA427" s="344"/>
      <c r="AB427" s="344"/>
      <c r="AC427" s="344"/>
      <c r="AD427" s="344"/>
      <c r="AE427" s="344"/>
      <c r="AF427" s="344"/>
      <c r="AG427" s="344"/>
      <c r="AH427" s="344"/>
      <c r="AI427" s="344"/>
      <c r="AJ427" s="344"/>
      <c r="AK427" s="344"/>
      <c r="AL427" s="344"/>
      <c r="AM427" s="344"/>
      <c r="AN427" s="344"/>
      <c r="AO427" s="344"/>
    </row>
    <row r="428" spans="1:41" ht="15.75" customHeight="1" x14ac:dyDescent="0.25">
      <c r="A428" s="344"/>
      <c r="B428" s="353"/>
      <c r="C428" s="344"/>
      <c r="D428" s="344"/>
      <c r="E428" s="344"/>
      <c r="F428" s="344"/>
      <c r="G428" s="344"/>
      <c r="H428" s="344"/>
      <c r="I428" s="344"/>
      <c r="J428" s="344"/>
      <c r="K428" s="344"/>
      <c r="L428" s="344"/>
      <c r="M428" s="344"/>
      <c r="N428" s="344"/>
      <c r="O428" s="344"/>
      <c r="P428" s="344"/>
      <c r="Q428" s="344"/>
      <c r="R428" s="344"/>
      <c r="S428" s="344"/>
      <c r="T428" s="344"/>
      <c r="U428" s="344"/>
      <c r="V428" s="344"/>
      <c r="W428" s="344"/>
      <c r="X428" s="344"/>
      <c r="Y428" s="344"/>
      <c r="Z428" s="344"/>
      <c r="AA428" s="344"/>
      <c r="AB428" s="344"/>
      <c r="AC428" s="344"/>
      <c r="AD428" s="344"/>
      <c r="AE428" s="344"/>
      <c r="AF428" s="344"/>
      <c r="AG428" s="344"/>
      <c r="AH428" s="344"/>
      <c r="AI428" s="344"/>
      <c r="AJ428" s="344"/>
      <c r="AK428" s="344"/>
      <c r="AL428" s="344"/>
      <c r="AM428" s="344"/>
      <c r="AN428" s="344"/>
      <c r="AO428" s="344"/>
    </row>
    <row r="429" spans="1:41" ht="15.75" customHeight="1" x14ac:dyDescent="0.25">
      <c r="A429" s="344"/>
      <c r="B429" s="353"/>
      <c r="C429" s="344"/>
      <c r="D429" s="344"/>
      <c r="E429" s="344"/>
      <c r="F429" s="344"/>
      <c r="G429" s="344"/>
      <c r="H429" s="344"/>
      <c r="I429" s="344"/>
      <c r="J429" s="344"/>
      <c r="K429" s="344"/>
      <c r="L429" s="344"/>
      <c r="M429" s="344"/>
      <c r="N429" s="344"/>
      <c r="O429" s="344"/>
      <c r="P429" s="344"/>
      <c r="Q429" s="344"/>
      <c r="R429" s="344"/>
      <c r="S429" s="344"/>
      <c r="T429" s="344"/>
      <c r="U429" s="344"/>
      <c r="V429" s="344"/>
      <c r="W429" s="344"/>
      <c r="X429" s="344"/>
      <c r="Y429" s="344"/>
      <c r="Z429" s="344"/>
      <c r="AA429" s="344"/>
      <c r="AB429" s="344"/>
      <c r="AC429" s="344"/>
      <c r="AD429" s="344"/>
      <c r="AE429" s="344"/>
      <c r="AF429" s="344"/>
      <c r="AG429" s="344"/>
      <c r="AH429" s="344"/>
      <c r="AI429" s="344"/>
      <c r="AJ429" s="344"/>
      <c r="AK429" s="344"/>
      <c r="AL429" s="344"/>
      <c r="AM429" s="344"/>
      <c r="AN429" s="344"/>
      <c r="AO429" s="344"/>
    </row>
    <row r="430" spans="1:41" ht="15.75" customHeight="1" x14ac:dyDescent="0.25">
      <c r="A430" s="344"/>
      <c r="B430" s="353"/>
      <c r="C430" s="344"/>
      <c r="D430" s="344"/>
      <c r="E430" s="344"/>
      <c r="F430" s="344"/>
      <c r="G430" s="344"/>
      <c r="H430" s="344"/>
      <c r="I430" s="344"/>
      <c r="J430" s="344"/>
      <c r="K430" s="344"/>
      <c r="L430" s="344"/>
      <c r="M430" s="344"/>
      <c r="N430" s="344"/>
      <c r="O430" s="344"/>
      <c r="P430" s="344"/>
      <c r="Q430" s="344"/>
      <c r="R430" s="344"/>
      <c r="S430" s="344"/>
      <c r="T430" s="344"/>
      <c r="U430" s="344"/>
      <c r="V430" s="344"/>
      <c r="W430" s="344"/>
      <c r="X430" s="344"/>
      <c r="Y430" s="344"/>
      <c r="Z430" s="344"/>
      <c r="AA430" s="344"/>
      <c r="AB430" s="344"/>
      <c r="AC430" s="344"/>
      <c r="AD430" s="344"/>
      <c r="AE430" s="344"/>
      <c r="AF430" s="344"/>
      <c r="AG430" s="344"/>
      <c r="AH430" s="344"/>
      <c r="AI430" s="344"/>
      <c r="AJ430" s="344"/>
      <c r="AK430" s="344"/>
      <c r="AL430" s="344"/>
      <c r="AM430" s="344"/>
      <c r="AN430" s="344"/>
      <c r="AO430" s="344"/>
    </row>
    <row r="431" spans="1:41" ht="15.75" customHeight="1" x14ac:dyDescent="0.25">
      <c r="A431" s="344"/>
      <c r="B431" s="353"/>
      <c r="C431" s="344"/>
      <c r="D431" s="344"/>
      <c r="E431" s="344"/>
      <c r="F431" s="344"/>
      <c r="G431" s="344"/>
      <c r="H431" s="344"/>
      <c r="I431" s="344"/>
      <c r="J431" s="344"/>
      <c r="K431" s="344"/>
      <c r="L431" s="344"/>
      <c r="M431" s="344"/>
      <c r="N431" s="344"/>
      <c r="O431" s="344"/>
      <c r="P431" s="344"/>
      <c r="Q431" s="344"/>
      <c r="R431" s="344"/>
      <c r="S431" s="344"/>
      <c r="T431" s="344"/>
      <c r="U431" s="344"/>
      <c r="V431" s="344"/>
      <c r="W431" s="344"/>
      <c r="X431" s="344"/>
      <c r="Y431" s="344"/>
      <c r="Z431" s="344"/>
      <c r="AA431" s="344"/>
      <c r="AB431" s="344"/>
      <c r="AC431" s="344"/>
      <c r="AD431" s="344"/>
      <c r="AE431" s="344"/>
      <c r="AF431" s="344"/>
      <c r="AG431" s="344"/>
      <c r="AH431" s="344"/>
      <c r="AI431" s="344"/>
      <c r="AJ431" s="344"/>
      <c r="AK431" s="344"/>
      <c r="AL431" s="344"/>
      <c r="AM431" s="344"/>
      <c r="AN431" s="344"/>
      <c r="AO431" s="344"/>
    </row>
    <row r="432" spans="1:41" ht="15.75" customHeight="1" x14ac:dyDescent="0.25">
      <c r="A432" s="344"/>
      <c r="B432" s="353"/>
      <c r="C432" s="344"/>
      <c r="D432" s="344"/>
      <c r="E432" s="344"/>
      <c r="F432" s="344"/>
      <c r="G432" s="344"/>
      <c r="H432" s="344"/>
      <c r="I432" s="344"/>
      <c r="J432" s="344"/>
      <c r="K432" s="344"/>
      <c r="L432" s="344"/>
      <c r="M432" s="344"/>
      <c r="N432" s="344"/>
      <c r="O432" s="344"/>
      <c r="P432" s="344"/>
      <c r="Q432" s="344"/>
      <c r="R432" s="344"/>
      <c r="S432" s="344"/>
      <c r="T432" s="344"/>
      <c r="U432" s="344"/>
      <c r="V432" s="344"/>
      <c r="W432" s="344"/>
      <c r="X432" s="344"/>
      <c r="Y432" s="344"/>
      <c r="Z432" s="344"/>
      <c r="AA432" s="344"/>
      <c r="AB432" s="344"/>
      <c r="AC432" s="344"/>
      <c r="AD432" s="344"/>
      <c r="AE432" s="344"/>
      <c r="AF432" s="344"/>
      <c r="AG432" s="344"/>
      <c r="AH432" s="344"/>
      <c r="AI432" s="344"/>
      <c r="AJ432" s="344"/>
      <c r="AK432" s="344"/>
      <c r="AL432" s="344"/>
      <c r="AM432" s="344"/>
      <c r="AN432" s="344"/>
      <c r="AO432" s="344"/>
    </row>
    <row r="433" spans="1:41" ht="15.75" customHeight="1" x14ac:dyDescent="0.25">
      <c r="A433" s="344"/>
      <c r="B433" s="353"/>
      <c r="C433" s="344"/>
      <c r="D433" s="344"/>
      <c r="E433" s="344"/>
      <c r="F433" s="344"/>
      <c r="G433" s="344"/>
      <c r="H433" s="344"/>
      <c r="I433" s="344"/>
      <c r="J433" s="344"/>
      <c r="K433" s="344"/>
      <c r="L433" s="344"/>
      <c r="M433" s="344"/>
      <c r="N433" s="344"/>
      <c r="O433" s="344"/>
      <c r="P433" s="344"/>
      <c r="Q433" s="344"/>
      <c r="R433" s="344"/>
      <c r="S433" s="344"/>
      <c r="T433" s="344"/>
      <c r="U433" s="344"/>
      <c r="V433" s="344"/>
      <c r="W433" s="344"/>
      <c r="X433" s="344"/>
      <c r="Y433" s="344"/>
      <c r="Z433" s="344"/>
      <c r="AA433" s="344"/>
      <c r="AB433" s="344"/>
      <c r="AC433" s="344"/>
      <c r="AD433" s="344"/>
      <c r="AE433" s="344"/>
      <c r="AF433" s="344"/>
      <c r="AG433" s="344"/>
      <c r="AH433" s="344"/>
      <c r="AI433" s="344"/>
      <c r="AJ433" s="344"/>
      <c r="AK433" s="344"/>
      <c r="AL433" s="344"/>
      <c r="AM433" s="344"/>
      <c r="AN433" s="344"/>
      <c r="AO433" s="344"/>
    </row>
    <row r="434" spans="1:41" ht="15.75" customHeight="1" x14ac:dyDescent="0.25">
      <c r="A434" s="344"/>
      <c r="B434" s="353"/>
      <c r="C434" s="344"/>
      <c r="D434" s="344"/>
      <c r="E434" s="344"/>
      <c r="F434" s="344"/>
      <c r="G434" s="344"/>
      <c r="H434" s="344"/>
      <c r="I434" s="344"/>
      <c r="J434" s="344"/>
      <c r="K434" s="344"/>
      <c r="L434" s="344"/>
      <c r="M434" s="344"/>
      <c r="N434" s="344"/>
      <c r="O434" s="344"/>
      <c r="P434" s="344"/>
      <c r="Q434" s="344"/>
      <c r="R434" s="344"/>
      <c r="S434" s="344"/>
      <c r="T434" s="344"/>
      <c r="U434" s="344"/>
      <c r="V434" s="344"/>
      <c r="W434" s="344"/>
      <c r="X434" s="344"/>
      <c r="Y434" s="344"/>
      <c r="Z434" s="344"/>
      <c r="AA434" s="344"/>
      <c r="AB434" s="344"/>
      <c r="AC434" s="344"/>
      <c r="AD434" s="344"/>
      <c r="AE434" s="344"/>
      <c r="AF434" s="344"/>
      <c r="AG434" s="344"/>
      <c r="AH434" s="344"/>
      <c r="AI434" s="344"/>
      <c r="AJ434" s="344"/>
      <c r="AK434" s="344"/>
      <c r="AL434" s="344"/>
      <c r="AM434" s="344"/>
      <c r="AN434" s="344"/>
      <c r="AO434" s="344"/>
    </row>
    <row r="435" spans="1:41" ht="15.75" customHeight="1" x14ac:dyDescent="0.25">
      <c r="A435" s="344"/>
      <c r="B435" s="353"/>
      <c r="C435" s="344"/>
      <c r="D435" s="344"/>
      <c r="E435" s="344"/>
      <c r="F435" s="344"/>
      <c r="G435" s="344"/>
      <c r="H435" s="344"/>
      <c r="I435" s="344"/>
      <c r="J435" s="344"/>
      <c r="K435" s="344"/>
      <c r="L435" s="344"/>
      <c r="M435" s="344"/>
      <c r="N435" s="344"/>
      <c r="O435" s="344"/>
      <c r="P435" s="344"/>
      <c r="Q435" s="344"/>
      <c r="R435" s="344"/>
      <c r="S435" s="344"/>
      <c r="T435" s="344"/>
      <c r="U435" s="344"/>
      <c r="V435" s="344"/>
      <c r="W435" s="344"/>
      <c r="X435" s="344"/>
      <c r="Y435" s="344"/>
      <c r="Z435" s="344"/>
      <c r="AA435" s="344"/>
      <c r="AB435" s="344"/>
      <c r="AC435" s="344"/>
      <c r="AD435" s="344"/>
      <c r="AE435" s="344"/>
      <c r="AF435" s="344"/>
      <c r="AG435" s="344"/>
      <c r="AH435" s="344"/>
      <c r="AI435" s="344"/>
      <c r="AJ435" s="344"/>
      <c r="AK435" s="344"/>
      <c r="AL435" s="344"/>
      <c r="AM435" s="344"/>
      <c r="AN435" s="344"/>
      <c r="AO435" s="344"/>
    </row>
    <row r="436" spans="1:41" ht="15.75" customHeight="1" x14ac:dyDescent="0.25">
      <c r="A436" s="344"/>
      <c r="B436" s="353"/>
      <c r="C436" s="344"/>
      <c r="D436" s="344"/>
      <c r="E436" s="344"/>
      <c r="F436" s="344"/>
      <c r="G436" s="344"/>
      <c r="H436" s="344"/>
      <c r="I436" s="344"/>
      <c r="J436" s="344"/>
      <c r="K436" s="344"/>
      <c r="L436" s="344"/>
      <c r="M436" s="344"/>
      <c r="N436" s="344"/>
      <c r="O436" s="344"/>
      <c r="P436" s="344"/>
      <c r="Q436" s="344"/>
      <c r="R436" s="344"/>
      <c r="S436" s="344"/>
      <c r="T436" s="344"/>
      <c r="U436" s="344"/>
      <c r="V436" s="344"/>
      <c r="W436" s="344"/>
      <c r="X436" s="344"/>
      <c r="Y436" s="344"/>
      <c r="Z436" s="344"/>
      <c r="AA436" s="344"/>
      <c r="AB436" s="344"/>
      <c r="AC436" s="344"/>
      <c r="AD436" s="344"/>
      <c r="AE436" s="344"/>
      <c r="AF436" s="344"/>
      <c r="AG436" s="344"/>
      <c r="AH436" s="344"/>
      <c r="AI436" s="344"/>
      <c r="AJ436" s="344"/>
      <c r="AK436" s="344"/>
      <c r="AL436" s="344"/>
      <c r="AM436" s="344"/>
      <c r="AN436" s="344"/>
      <c r="AO436" s="344"/>
    </row>
    <row r="437" spans="1:41" ht="15.75" customHeight="1" x14ac:dyDescent="0.25">
      <c r="A437" s="344"/>
      <c r="B437" s="353"/>
      <c r="C437" s="344"/>
      <c r="D437" s="344"/>
      <c r="E437" s="344"/>
      <c r="F437" s="344"/>
      <c r="G437" s="344"/>
      <c r="H437" s="344"/>
      <c r="I437" s="344"/>
      <c r="J437" s="344"/>
      <c r="K437" s="344"/>
      <c r="L437" s="344"/>
      <c r="M437" s="344"/>
      <c r="N437" s="344"/>
      <c r="O437" s="344"/>
      <c r="P437" s="344"/>
      <c r="Q437" s="344"/>
      <c r="R437" s="344"/>
      <c r="S437" s="344"/>
      <c r="T437" s="344"/>
      <c r="U437" s="344"/>
      <c r="V437" s="344"/>
      <c r="W437" s="344"/>
      <c r="X437" s="344"/>
      <c r="Y437" s="344"/>
      <c r="Z437" s="344"/>
      <c r="AA437" s="344"/>
      <c r="AB437" s="344"/>
      <c r="AC437" s="344"/>
      <c r="AD437" s="344"/>
      <c r="AE437" s="344"/>
      <c r="AF437" s="344"/>
      <c r="AG437" s="344"/>
      <c r="AH437" s="344"/>
      <c r="AI437" s="344"/>
      <c r="AJ437" s="344"/>
      <c r="AK437" s="344"/>
      <c r="AL437" s="344"/>
      <c r="AM437" s="344"/>
      <c r="AN437" s="344"/>
      <c r="AO437" s="344"/>
    </row>
    <row r="438" spans="1:41" ht="15.75" customHeight="1" x14ac:dyDescent="0.25">
      <c r="A438" s="344"/>
      <c r="B438" s="353"/>
      <c r="C438" s="344"/>
      <c r="D438" s="344"/>
      <c r="E438" s="344"/>
      <c r="F438" s="344"/>
      <c r="G438" s="344"/>
      <c r="H438" s="344"/>
      <c r="I438" s="344"/>
      <c r="J438" s="344"/>
      <c r="K438" s="344"/>
      <c r="L438" s="344"/>
      <c r="M438" s="344"/>
      <c r="N438" s="344"/>
      <c r="O438" s="344"/>
      <c r="P438" s="344"/>
      <c r="Q438" s="344"/>
      <c r="R438" s="344"/>
      <c r="S438" s="344"/>
      <c r="T438" s="344"/>
      <c r="U438" s="344"/>
      <c r="V438" s="344"/>
      <c r="W438" s="344"/>
      <c r="X438" s="344"/>
      <c r="Y438" s="344"/>
      <c r="Z438" s="344"/>
      <c r="AA438" s="344"/>
      <c r="AB438" s="344"/>
      <c r="AC438" s="344"/>
      <c r="AD438" s="344"/>
      <c r="AE438" s="344"/>
      <c r="AF438" s="344"/>
      <c r="AG438" s="344"/>
      <c r="AH438" s="344"/>
      <c r="AI438" s="344"/>
      <c r="AJ438" s="344"/>
      <c r="AK438" s="344"/>
      <c r="AL438" s="344"/>
      <c r="AM438" s="344"/>
      <c r="AN438" s="344"/>
      <c r="AO438" s="344"/>
    </row>
    <row r="439" spans="1:41" ht="15.75" customHeight="1" x14ac:dyDescent="0.25">
      <c r="A439" s="344"/>
      <c r="B439" s="353"/>
      <c r="C439" s="344"/>
      <c r="D439" s="344"/>
      <c r="E439" s="344"/>
      <c r="F439" s="344"/>
      <c r="G439" s="344"/>
      <c r="H439" s="344"/>
      <c r="I439" s="344"/>
      <c r="J439" s="344"/>
      <c r="K439" s="344"/>
      <c r="L439" s="344"/>
      <c r="M439" s="344"/>
      <c r="N439" s="344"/>
      <c r="O439" s="344"/>
      <c r="P439" s="344"/>
      <c r="Q439" s="344"/>
      <c r="R439" s="344"/>
      <c r="S439" s="344"/>
      <c r="T439" s="344"/>
      <c r="U439" s="344"/>
      <c r="V439" s="344"/>
      <c r="W439" s="344"/>
      <c r="X439" s="344"/>
      <c r="Y439" s="344"/>
      <c r="Z439" s="344"/>
      <c r="AA439" s="344"/>
      <c r="AB439" s="344"/>
      <c r="AC439" s="344"/>
      <c r="AD439" s="344"/>
      <c r="AE439" s="344"/>
      <c r="AF439" s="344"/>
      <c r="AG439" s="344"/>
      <c r="AH439" s="344"/>
      <c r="AI439" s="344"/>
      <c r="AJ439" s="344"/>
      <c r="AK439" s="344"/>
      <c r="AL439" s="344"/>
      <c r="AM439" s="344"/>
      <c r="AN439" s="344"/>
      <c r="AO439" s="344"/>
    </row>
    <row r="440" spans="1:41" ht="15.75" customHeight="1" x14ac:dyDescent="0.25">
      <c r="A440" s="344"/>
      <c r="B440" s="353"/>
      <c r="C440" s="344"/>
      <c r="D440" s="344"/>
      <c r="E440" s="344"/>
      <c r="F440" s="344"/>
      <c r="G440" s="344"/>
      <c r="H440" s="344"/>
      <c r="I440" s="344"/>
      <c r="J440" s="344"/>
      <c r="K440" s="344"/>
      <c r="L440" s="344"/>
      <c r="M440" s="344"/>
      <c r="N440" s="344"/>
      <c r="O440" s="344"/>
      <c r="P440" s="344"/>
      <c r="Q440" s="344"/>
      <c r="R440" s="344"/>
      <c r="S440" s="344"/>
      <c r="T440" s="344"/>
      <c r="U440" s="344"/>
      <c r="V440" s="344"/>
      <c r="W440" s="344"/>
      <c r="X440" s="344"/>
      <c r="Y440" s="344"/>
      <c r="Z440" s="344"/>
      <c r="AA440" s="344"/>
      <c r="AB440" s="344"/>
      <c r="AC440" s="344"/>
      <c r="AD440" s="344"/>
      <c r="AE440" s="344"/>
      <c r="AF440" s="344"/>
      <c r="AG440" s="344"/>
      <c r="AH440" s="344"/>
      <c r="AI440" s="344"/>
      <c r="AJ440" s="344"/>
      <c r="AK440" s="344"/>
      <c r="AL440" s="344"/>
      <c r="AM440" s="344"/>
      <c r="AN440" s="344"/>
      <c r="AO440" s="344"/>
    </row>
    <row r="441" spans="1:41" ht="15.75" customHeight="1" x14ac:dyDescent="0.25">
      <c r="A441" s="344"/>
      <c r="B441" s="353"/>
      <c r="C441" s="344"/>
      <c r="D441" s="344"/>
      <c r="E441" s="344"/>
      <c r="F441" s="344"/>
      <c r="G441" s="344"/>
      <c r="H441" s="344"/>
      <c r="I441" s="344"/>
      <c r="J441" s="344"/>
      <c r="K441" s="344"/>
      <c r="L441" s="344"/>
      <c r="M441" s="344"/>
      <c r="N441" s="344"/>
      <c r="O441" s="344"/>
      <c r="P441" s="344"/>
      <c r="Q441" s="344"/>
      <c r="R441" s="344"/>
      <c r="S441" s="344"/>
      <c r="T441" s="344"/>
      <c r="U441" s="344"/>
      <c r="V441" s="344"/>
      <c r="W441" s="344"/>
      <c r="X441" s="344"/>
      <c r="Y441" s="344"/>
      <c r="Z441" s="344"/>
      <c r="AA441" s="344"/>
      <c r="AB441" s="344"/>
      <c r="AC441" s="344"/>
      <c r="AD441" s="344"/>
      <c r="AE441" s="344"/>
      <c r="AF441" s="344"/>
      <c r="AG441" s="344"/>
      <c r="AH441" s="344"/>
      <c r="AI441" s="344"/>
      <c r="AJ441" s="344"/>
      <c r="AK441" s="344"/>
      <c r="AL441" s="344"/>
      <c r="AM441" s="344"/>
      <c r="AN441" s="344"/>
      <c r="AO441" s="344"/>
    </row>
    <row r="442" spans="1:41" ht="15.75" customHeight="1" x14ac:dyDescent="0.25">
      <c r="A442" s="344"/>
      <c r="B442" s="353"/>
      <c r="C442" s="344"/>
      <c r="D442" s="344"/>
      <c r="E442" s="344"/>
      <c r="F442" s="344"/>
      <c r="G442" s="344"/>
      <c r="H442" s="344"/>
      <c r="I442" s="344"/>
      <c r="J442" s="344"/>
      <c r="K442" s="344"/>
      <c r="L442" s="344"/>
      <c r="M442" s="344"/>
      <c r="N442" s="344"/>
      <c r="O442" s="344"/>
      <c r="P442" s="344"/>
      <c r="Q442" s="344"/>
      <c r="R442" s="344"/>
      <c r="S442" s="344"/>
      <c r="T442" s="344"/>
      <c r="U442" s="344"/>
      <c r="V442" s="344"/>
      <c r="W442" s="344"/>
      <c r="X442" s="344"/>
      <c r="Y442" s="344"/>
      <c r="Z442" s="344"/>
      <c r="AA442" s="344"/>
      <c r="AB442" s="344"/>
      <c r="AC442" s="344"/>
      <c r="AD442" s="344"/>
      <c r="AE442" s="344"/>
      <c r="AF442" s="344"/>
      <c r="AG442" s="344"/>
      <c r="AH442" s="344"/>
      <c r="AI442" s="344"/>
      <c r="AJ442" s="344"/>
      <c r="AK442" s="344"/>
      <c r="AL442" s="344"/>
      <c r="AM442" s="344"/>
      <c r="AN442" s="344"/>
      <c r="AO442" s="344"/>
    </row>
    <row r="443" spans="1:41" ht="15.75" customHeight="1" x14ac:dyDescent="0.25">
      <c r="A443" s="344"/>
      <c r="B443" s="353"/>
      <c r="C443" s="344"/>
      <c r="D443" s="344"/>
      <c r="E443" s="344"/>
      <c r="F443" s="344"/>
      <c r="G443" s="344"/>
      <c r="H443" s="344"/>
      <c r="I443" s="344"/>
      <c r="J443" s="344"/>
      <c r="K443" s="344"/>
      <c r="L443" s="344"/>
      <c r="M443" s="344"/>
      <c r="N443" s="344"/>
      <c r="O443" s="344"/>
      <c r="P443" s="344"/>
      <c r="Q443" s="344"/>
      <c r="R443" s="344"/>
      <c r="S443" s="344"/>
      <c r="T443" s="344"/>
      <c r="U443" s="344"/>
      <c r="V443" s="344"/>
      <c r="W443" s="344"/>
      <c r="X443" s="344"/>
      <c r="Y443" s="344"/>
      <c r="Z443" s="344"/>
      <c r="AA443" s="344"/>
      <c r="AB443" s="344"/>
      <c r="AC443" s="344"/>
      <c r="AD443" s="344"/>
      <c r="AE443" s="344"/>
      <c r="AF443" s="344"/>
      <c r="AG443" s="344"/>
      <c r="AH443" s="344"/>
      <c r="AI443" s="344"/>
      <c r="AJ443" s="344"/>
      <c r="AK443" s="344"/>
      <c r="AL443" s="344"/>
      <c r="AM443" s="344"/>
      <c r="AN443" s="344"/>
      <c r="AO443" s="344"/>
    </row>
    <row r="444" spans="1:41" ht="15.75" customHeight="1" x14ac:dyDescent="0.25">
      <c r="A444" s="344"/>
      <c r="B444" s="353"/>
      <c r="C444" s="344"/>
      <c r="D444" s="344"/>
      <c r="E444" s="344"/>
      <c r="F444" s="344"/>
      <c r="G444" s="344"/>
      <c r="H444" s="344"/>
      <c r="I444" s="344"/>
      <c r="J444" s="344"/>
      <c r="K444" s="344"/>
      <c r="L444" s="344"/>
      <c r="M444" s="344"/>
      <c r="N444" s="344"/>
      <c r="O444" s="344"/>
      <c r="P444" s="344"/>
      <c r="Q444" s="344"/>
      <c r="R444" s="344"/>
      <c r="S444" s="344"/>
      <c r="T444" s="344"/>
      <c r="U444" s="344"/>
      <c r="V444" s="344"/>
      <c r="W444" s="344"/>
      <c r="X444" s="344"/>
      <c r="Y444" s="344"/>
      <c r="Z444" s="344"/>
      <c r="AA444" s="344"/>
      <c r="AB444" s="344"/>
      <c r="AC444" s="344"/>
      <c r="AD444" s="344"/>
      <c r="AE444" s="344"/>
      <c r="AF444" s="344"/>
      <c r="AG444" s="344"/>
      <c r="AH444" s="344"/>
      <c r="AI444" s="344"/>
      <c r="AJ444" s="344"/>
      <c r="AK444" s="344"/>
      <c r="AL444" s="344"/>
      <c r="AM444" s="344"/>
      <c r="AN444" s="344"/>
      <c r="AO444" s="344"/>
    </row>
    <row r="445" spans="1:41" ht="15.75" customHeight="1" x14ac:dyDescent="0.25">
      <c r="A445" s="344"/>
      <c r="B445" s="353"/>
      <c r="C445" s="344"/>
      <c r="D445" s="344"/>
      <c r="E445" s="344"/>
      <c r="F445" s="344"/>
      <c r="G445" s="344"/>
      <c r="H445" s="344"/>
      <c r="I445" s="344"/>
      <c r="J445" s="344"/>
      <c r="K445" s="344"/>
      <c r="L445" s="344"/>
      <c r="M445" s="344"/>
      <c r="N445" s="344"/>
      <c r="O445" s="344"/>
      <c r="P445" s="344"/>
      <c r="Q445" s="344"/>
      <c r="R445" s="344"/>
      <c r="S445" s="344"/>
      <c r="T445" s="344"/>
      <c r="U445" s="344"/>
      <c r="V445" s="344"/>
      <c r="W445" s="344"/>
      <c r="X445" s="344"/>
      <c r="Y445" s="344"/>
      <c r="Z445" s="344"/>
      <c r="AA445" s="344"/>
      <c r="AB445" s="344"/>
      <c r="AC445" s="344"/>
      <c r="AD445" s="344"/>
      <c r="AE445" s="344"/>
      <c r="AF445" s="344"/>
      <c r="AG445" s="344"/>
      <c r="AH445" s="344"/>
      <c r="AI445" s="344"/>
      <c r="AJ445" s="344"/>
      <c r="AK445" s="344"/>
      <c r="AL445" s="344"/>
      <c r="AM445" s="344"/>
      <c r="AN445" s="344"/>
      <c r="AO445" s="344"/>
    </row>
    <row r="446" spans="1:41" ht="15.75" customHeight="1" x14ac:dyDescent="0.25">
      <c r="A446" s="344"/>
      <c r="B446" s="353"/>
      <c r="C446" s="344"/>
      <c r="D446" s="344"/>
      <c r="E446" s="344"/>
      <c r="F446" s="344"/>
      <c r="G446" s="344"/>
      <c r="H446" s="344"/>
      <c r="I446" s="344"/>
      <c r="J446" s="344"/>
      <c r="K446" s="344"/>
      <c r="L446" s="344"/>
      <c r="M446" s="344"/>
      <c r="N446" s="344"/>
      <c r="O446" s="344"/>
      <c r="P446" s="344"/>
      <c r="Q446" s="344"/>
      <c r="R446" s="344"/>
      <c r="S446" s="344"/>
      <c r="T446" s="344"/>
      <c r="U446" s="344"/>
      <c r="V446" s="344"/>
      <c r="W446" s="344"/>
      <c r="X446" s="344"/>
      <c r="Y446" s="344"/>
      <c r="Z446" s="344"/>
      <c r="AA446" s="344"/>
      <c r="AB446" s="344"/>
      <c r="AC446" s="344"/>
      <c r="AD446" s="344"/>
      <c r="AE446" s="344"/>
      <c r="AF446" s="344"/>
      <c r="AG446" s="344"/>
      <c r="AH446" s="344"/>
      <c r="AI446" s="344"/>
      <c r="AJ446" s="344"/>
      <c r="AK446" s="344"/>
      <c r="AL446" s="344"/>
      <c r="AM446" s="344"/>
      <c r="AN446" s="344"/>
      <c r="AO446" s="344"/>
    </row>
    <row r="447" spans="1:41" ht="15.75" customHeight="1" x14ac:dyDescent="0.25">
      <c r="A447" s="344"/>
      <c r="B447" s="353"/>
      <c r="C447" s="344"/>
      <c r="D447" s="344"/>
      <c r="E447" s="344"/>
      <c r="F447" s="344"/>
      <c r="G447" s="344"/>
      <c r="H447" s="344"/>
      <c r="I447" s="344"/>
      <c r="J447" s="344"/>
      <c r="K447" s="344"/>
      <c r="L447" s="344"/>
      <c r="M447" s="344"/>
      <c r="N447" s="344"/>
      <c r="O447" s="344"/>
      <c r="P447" s="344"/>
      <c r="Q447" s="344"/>
      <c r="R447" s="344"/>
      <c r="S447" s="344"/>
      <c r="T447" s="344"/>
      <c r="U447" s="344"/>
      <c r="V447" s="344"/>
      <c r="W447" s="344"/>
      <c r="X447" s="344"/>
      <c r="Y447" s="344"/>
      <c r="Z447" s="344"/>
      <c r="AA447" s="344"/>
      <c r="AB447" s="344"/>
      <c r="AC447" s="344"/>
      <c r="AD447" s="344"/>
      <c r="AE447" s="344"/>
      <c r="AF447" s="344"/>
      <c r="AG447" s="344"/>
      <c r="AH447" s="344"/>
      <c r="AI447" s="344"/>
      <c r="AJ447" s="344"/>
      <c r="AK447" s="344"/>
      <c r="AL447" s="344"/>
      <c r="AM447" s="344"/>
      <c r="AN447" s="344"/>
      <c r="AO447" s="344"/>
    </row>
    <row r="448" spans="1:41" ht="15.75" customHeight="1" x14ac:dyDescent="0.25">
      <c r="A448" s="344"/>
      <c r="B448" s="353"/>
      <c r="C448" s="344"/>
      <c r="D448" s="344"/>
      <c r="E448" s="344"/>
      <c r="F448" s="344"/>
      <c r="G448" s="344"/>
      <c r="H448" s="344"/>
      <c r="I448" s="344"/>
      <c r="J448" s="344"/>
      <c r="K448" s="344"/>
      <c r="L448" s="344"/>
      <c r="M448" s="344"/>
      <c r="N448" s="344"/>
      <c r="O448" s="344"/>
      <c r="P448" s="344"/>
      <c r="Q448" s="344"/>
      <c r="R448" s="344"/>
      <c r="S448" s="344"/>
      <c r="T448" s="344"/>
      <c r="U448" s="344"/>
      <c r="V448" s="344"/>
      <c r="W448" s="344"/>
      <c r="X448" s="344"/>
      <c r="Y448" s="344"/>
      <c r="Z448" s="344"/>
      <c r="AA448" s="344"/>
      <c r="AB448" s="344"/>
      <c r="AC448" s="344"/>
      <c r="AD448" s="344"/>
      <c r="AE448" s="344"/>
      <c r="AF448" s="344"/>
      <c r="AG448" s="344"/>
      <c r="AH448" s="344"/>
      <c r="AI448" s="344"/>
      <c r="AJ448" s="344"/>
      <c r="AK448" s="344"/>
      <c r="AL448" s="344"/>
      <c r="AM448" s="344"/>
      <c r="AN448" s="344"/>
      <c r="AO448" s="344"/>
    </row>
    <row r="449" spans="1:41" ht="15.75" customHeight="1" x14ac:dyDescent="0.25">
      <c r="A449" s="344"/>
      <c r="B449" s="353"/>
      <c r="C449" s="344"/>
      <c r="D449" s="344"/>
      <c r="E449" s="344"/>
      <c r="F449" s="344"/>
      <c r="G449" s="344"/>
      <c r="H449" s="344"/>
      <c r="I449" s="344"/>
      <c r="J449" s="344"/>
      <c r="K449" s="344"/>
      <c r="L449" s="344"/>
      <c r="M449" s="344"/>
      <c r="N449" s="344"/>
      <c r="O449" s="344"/>
      <c r="P449" s="344"/>
      <c r="Q449" s="344"/>
      <c r="R449" s="344"/>
      <c r="S449" s="344"/>
      <c r="T449" s="344"/>
      <c r="U449" s="344"/>
      <c r="V449" s="344"/>
      <c r="W449" s="344"/>
      <c r="X449" s="344"/>
      <c r="Y449" s="344"/>
      <c r="Z449" s="344"/>
      <c r="AA449" s="344"/>
      <c r="AB449" s="344"/>
      <c r="AC449" s="344"/>
      <c r="AD449" s="344"/>
      <c r="AE449" s="344"/>
      <c r="AF449" s="344"/>
      <c r="AG449" s="344"/>
      <c r="AH449" s="344"/>
      <c r="AI449" s="344"/>
      <c r="AJ449" s="344"/>
      <c r="AK449" s="344"/>
      <c r="AL449" s="344"/>
      <c r="AM449" s="344"/>
      <c r="AN449" s="344"/>
      <c r="AO449" s="344"/>
    </row>
    <row r="450" spans="1:41" ht="15.75" customHeight="1" x14ac:dyDescent="0.25">
      <c r="A450" s="344"/>
      <c r="B450" s="353"/>
      <c r="C450" s="344"/>
      <c r="D450" s="344"/>
      <c r="E450" s="344"/>
      <c r="F450" s="344"/>
      <c r="G450" s="344"/>
      <c r="H450" s="344"/>
      <c r="I450" s="344"/>
      <c r="J450" s="344"/>
      <c r="K450" s="344"/>
      <c r="L450" s="344"/>
      <c r="M450" s="344"/>
      <c r="N450" s="344"/>
      <c r="O450" s="344"/>
      <c r="P450" s="344"/>
      <c r="Q450" s="344"/>
      <c r="R450" s="344"/>
      <c r="S450" s="344"/>
      <c r="T450" s="344"/>
      <c r="U450" s="344"/>
      <c r="V450" s="344"/>
      <c r="W450" s="344"/>
      <c r="X450" s="344"/>
      <c r="Y450" s="344"/>
      <c r="Z450" s="344"/>
      <c r="AA450" s="344"/>
      <c r="AB450" s="344"/>
      <c r="AC450" s="344"/>
      <c r="AD450" s="344"/>
      <c r="AE450" s="344"/>
      <c r="AF450" s="344"/>
      <c r="AG450" s="344"/>
      <c r="AH450" s="344"/>
      <c r="AI450" s="344"/>
      <c r="AJ450" s="344"/>
      <c r="AK450" s="344"/>
      <c r="AL450" s="344"/>
      <c r="AM450" s="344"/>
      <c r="AN450" s="344"/>
      <c r="AO450" s="344"/>
    </row>
    <row r="451" spans="1:41" ht="15.75" customHeight="1" x14ac:dyDescent="0.25">
      <c r="A451" s="344"/>
      <c r="B451" s="353"/>
      <c r="C451" s="344"/>
      <c r="D451" s="344"/>
      <c r="E451" s="344"/>
      <c r="F451" s="344"/>
      <c r="G451" s="344"/>
      <c r="H451" s="344"/>
      <c r="I451" s="344"/>
      <c r="J451" s="344"/>
      <c r="K451" s="344"/>
      <c r="L451" s="344"/>
      <c r="M451" s="344"/>
      <c r="N451" s="344"/>
      <c r="O451" s="344"/>
      <c r="P451" s="344"/>
      <c r="Q451" s="344"/>
      <c r="R451" s="344"/>
      <c r="S451" s="344"/>
      <c r="T451" s="344"/>
      <c r="U451" s="344"/>
      <c r="V451" s="344"/>
      <c r="W451" s="344"/>
      <c r="X451" s="344"/>
      <c r="Y451" s="344"/>
      <c r="Z451" s="344"/>
      <c r="AA451" s="344"/>
      <c r="AB451" s="344"/>
      <c r="AC451" s="344"/>
      <c r="AD451" s="344"/>
      <c r="AE451" s="344"/>
      <c r="AF451" s="344"/>
      <c r="AG451" s="344"/>
      <c r="AH451" s="344"/>
      <c r="AI451" s="344"/>
      <c r="AJ451" s="344"/>
      <c r="AK451" s="344"/>
      <c r="AL451" s="344"/>
      <c r="AM451" s="344"/>
      <c r="AN451" s="344"/>
      <c r="AO451" s="344"/>
    </row>
    <row r="452" spans="1:41" ht="15.75" customHeight="1" x14ac:dyDescent="0.25">
      <c r="A452" s="344"/>
      <c r="B452" s="353"/>
      <c r="C452" s="344"/>
      <c r="D452" s="344"/>
      <c r="E452" s="344"/>
      <c r="F452" s="344"/>
      <c r="G452" s="344"/>
      <c r="H452" s="344"/>
      <c r="I452" s="344"/>
      <c r="J452" s="344"/>
      <c r="K452" s="344"/>
      <c r="L452" s="344"/>
      <c r="M452" s="344"/>
      <c r="N452" s="344"/>
      <c r="O452" s="344"/>
      <c r="P452" s="344"/>
      <c r="Q452" s="344"/>
      <c r="R452" s="344"/>
      <c r="S452" s="344"/>
      <c r="T452" s="344"/>
      <c r="U452" s="344"/>
      <c r="V452" s="344"/>
      <c r="W452" s="344"/>
      <c r="X452" s="344"/>
      <c r="Y452" s="344"/>
      <c r="Z452" s="344"/>
      <c r="AA452" s="344"/>
      <c r="AB452" s="344"/>
      <c r="AC452" s="344"/>
      <c r="AD452" s="344"/>
      <c r="AE452" s="344"/>
      <c r="AF452" s="344"/>
      <c r="AG452" s="344"/>
      <c r="AH452" s="344"/>
      <c r="AI452" s="344"/>
      <c r="AJ452" s="344"/>
      <c r="AK452" s="344"/>
      <c r="AL452" s="344"/>
      <c r="AM452" s="344"/>
      <c r="AN452" s="344"/>
      <c r="AO452" s="344"/>
    </row>
    <row r="453" spans="1:41" ht="15.75" customHeight="1" x14ac:dyDescent="0.25">
      <c r="A453" s="344"/>
      <c r="B453" s="353"/>
      <c r="C453" s="344"/>
      <c r="D453" s="344"/>
      <c r="E453" s="344"/>
      <c r="F453" s="344"/>
      <c r="G453" s="344"/>
      <c r="H453" s="344"/>
      <c r="I453" s="344"/>
      <c r="J453" s="344"/>
      <c r="K453" s="344"/>
      <c r="L453" s="344"/>
      <c r="M453" s="344"/>
      <c r="N453" s="344"/>
      <c r="O453" s="344"/>
      <c r="P453" s="344"/>
      <c r="Q453" s="344"/>
      <c r="R453" s="344"/>
      <c r="S453" s="344"/>
      <c r="T453" s="344"/>
      <c r="U453" s="344"/>
      <c r="V453" s="344"/>
      <c r="W453" s="344"/>
      <c r="X453" s="344"/>
      <c r="Y453" s="344"/>
      <c r="Z453" s="344"/>
      <c r="AA453" s="344"/>
      <c r="AB453" s="344"/>
      <c r="AC453" s="344"/>
      <c r="AD453" s="344"/>
      <c r="AE453" s="344"/>
      <c r="AF453" s="344"/>
      <c r="AG453" s="344"/>
      <c r="AH453" s="344"/>
      <c r="AI453" s="344"/>
      <c r="AJ453" s="344"/>
      <c r="AK453" s="344"/>
      <c r="AL453" s="344"/>
      <c r="AM453" s="344"/>
      <c r="AN453" s="344"/>
      <c r="AO453" s="344"/>
    </row>
    <row r="454" spans="1:41" ht="15.75" customHeight="1" x14ac:dyDescent="0.25">
      <c r="A454" s="344"/>
      <c r="B454" s="353"/>
      <c r="C454" s="344"/>
      <c r="D454" s="344"/>
      <c r="E454" s="344"/>
      <c r="F454" s="344"/>
      <c r="G454" s="344"/>
      <c r="H454" s="344"/>
      <c r="I454" s="344"/>
      <c r="J454" s="344"/>
      <c r="K454" s="344"/>
      <c r="L454" s="344"/>
      <c r="M454" s="344"/>
      <c r="N454" s="344"/>
      <c r="O454" s="344"/>
      <c r="P454" s="344"/>
      <c r="Q454" s="344"/>
      <c r="R454" s="344"/>
      <c r="S454" s="344"/>
      <c r="T454" s="344"/>
      <c r="U454" s="344"/>
      <c r="V454" s="344"/>
      <c r="W454" s="344"/>
      <c r="X454" s="344"/>
      <c r="Y454" s="344"/>
      <c r="Z454" s="344"/>
      <c r="AA454" s="344"/>
      <c r="AB454" s="344"/>
      <c r="AC454" s="344"/>
      <c r="AD454" s="344"/>
      <c r="AE454" s="344"/>
      <c r="AF454" s="344"/>
      <c r="AG454" s="344"/>
      <c r="AH454" s="344"/>
      <c r="AI454" s="344"/>
      <c r="AJ454" s="344"/>
      <c r="AK454" s="344"/>
      <c r="AL454" s="344"/>
      <c r="AM454" s="344"/>
      <c r="AN454" s="344"/>
      <c r="AO454" s="344"/>
    </row>
    <row r="455" spans="1:41" ht="15.75" customHeight="1" x14ac:dyDescent="0.25">
      <c r="A455" s="344"/>
      <c r="B455" s="353"/>
      <c r="C455" s="344"/>
      <c r="D455" s="344"/>
      <c r="E455" s="344"/>
      <c r="F455" s="344"/>
      <c r="G455" s="344"/>
      <c r="H455" s="344"/>
      <c r="I455" s="344"/>
      <c r="J455" s="344"/>
      <c r="K455" s="344"/>
      <c r="L455" s="344"/>
      <c r="M455" s="344"/>
      <c r="N455" s="344"/>
      <c r="O455" s="344"/>
      <c r="P455" s="344"/>
      <c r="Q455" s="344"/>
      <c r="R455" s="344"/>
      <c r="S455" s="344"/>
      <c r="T455" s="344"/>
      <c r="U455" s="344"/>
      <c r="V455" s="344"/>
      <c r="W455" s="344"/>
      <c r="X455" s="344"/>
      <c r="Y455" s="344"/>
      <c r="Z455" s="344"/>
      <c r="AA455" s="344"/>
      <c r="AB455" s="344"/>
      <c r="AC455" s="344"/>
      <c r="AD455" s="344"/>
      <c r="AE455" s="344"/>
      <c r="AF455" s="344"/>
      <c r="AG455" s="344"/>
      <c r="AH455" s="344"/>
      <c r="AI455" s="344"/>
      <c r="AJ455" s="344"/>
      <c r="AK455" s="344"/>
      <c r="AL455" s="344"/>
      <c r="AM455" s="344"/>
      <c r="AN455" s="344"/>
      <c r="AO455" s="344"/>
    </row>
    <row r="456" spans="1:41" ht="15.75" customHeight="1" x14ac:dyDescent="0.25">
      <c r="A456" s="344"/>
      <c r="B456" s="353"/>
      <c r="C456" s="344"/>
      <c r="D456" s="344"/>
      <c r="E456" s="344"/>
      <c r="F456" s="344"/>
      <c r="G456" s="344"/>
      <c r="H456" s="344"/>
      <c r="I456" s="344"/>
      <c r="J456" s="344"/>
      <c r="K456" s="344"/>
      <c r="L456" s="344"/>
      <c r="M456" s="344"/>
      <c r="N456" s="344"/>
      <c r="O456" s="344"/>
      <c r="P456" s="344"/>
      <c r="Q456" s="344"/>
      <c r="R456" s="344"/>
      <c r="S456" s="344"/>
      <c r="T456" s="344"/>
      <c r="U456" s="344"/>
      <c r="V456" s="344"/>
      <c r="W456" s="344"/>
      <c r="X456" s="344"/>
      <c r="Y456" s="344"/>
      <c r="Z456" s="344"/>
      <c r="AA456" s="344"/>
      <c r="AB456" s="344"/>
      <c r="AC456" s="344"/>
      <c r="AD456" s="344"/>
      <c r="AE456" s="344"/>
      <c r="AF456" s="344"/>
      <c r="AG456" s="344"/>
      <c r="AH456" s="344"/>
      <c r="AI456" s="344"/>
      <c r="AJ456" s="344"/>
      <c r="AK456" s="344"/>
      <c r="AL456" s="344"/>
      <c r="AM456" s="344"/>
      <c r="AN456" s="344"/>
      <c r="AO456" s="344"/>
    </row>
    <row r="457" spans="1:41" ht="15.75" customHeight="1" x14ac:dyDescent="0.25">
      <c r="A457" s="344"/>
      <c r="B457" s="353"/>
      <c r="C457" s="344"/>
      <c r="D457" s="344"/>
      <c r="E457" s="344"/>
      <c r="F457" s="344"/>
      <c r="G457" s="344"/>
      <c r="H457" s="344"/>
      <c r="I457" s="344"/>
      <c r="J457" s="344"/>
      <c r="K457" s="344"/>
      <c r="L457" s="344"/>
      <c r="M457" s="344"/>
      <c r="N457" s="344"/>
      <c r="O457" s="344"/>
      <c r="P457" s="344"/>
      <c r="Q457" s="344"/>
      <c r="R457" s="344"/>
      <c r="S457" s="344"/>
      <c r="T457" s="344"/>
      <c r="U457" s="344"/>
      <c r="V457" s="344"/>
      <c r="W457" s="344"/>
      <c r="X457" s="344"/>
      <c r="Y457" s="344"/>
      <c r="Z457" s="344"/>
      <c r="AA457" s="344"/>
      <c r="AB457" s="344"/>
      <c r="AC457" s="344"/>
      <c r="AD457" s="344"/>
      <c r="AE457" s="344"/>
      <c r="AF457" s="344"/>
      <c r="AG457" s="344"/>
      <c r="AH457" s="344"/>
      <c r="AI457" s="344"/>
      <c r="AJ457" s="344"/>
      <c r="AK457" s="344"/>
      <c r="AL457" s="344"/>
      <c r="AM457" s="344"/>
      <c r="AN457" s="344"/>
      <c r="AO457" s="344"/>
    </row>
    <row r="458" spans="1:41" ht="15.75" customHeight="1" x14ac:dyDescent="0.25">
      <c r="A458" s="344"/>
      <c r="B458" s="353"/>
      <c r="C458" s="344"/>
      <c r="D458" s="344"/>
      <c r="E458" s="344"/>
      <c r="F458" s="344"/>
      <c r="G458" s="344"/>
      <c r="H458" s="344"/>
      <c r="I458" s="344"/>
      <c r="J458" s="344"/>
      <c r="K458" s="344"/>
      <c r="L458" s="344"/>
      <c r="M458" s="344"/>
      <c r="N458" s="344"/>
      <c r="O458" s="344"/>
      <c r="P458" s="344"/>
      <c r="Q458" s="344"/>
      <c r="R458" s="344"/>
      <c r="S458" s="344"/>
      <c r="T458" s="344"/>
      <c r="U458" s="344"/>
      <c r="V458" s="344"/>
      <c r="W458" s="344"/>
      <c r="X458" s="344"/>
      <c r="Y458" s="344"/>
      <c r="Z458" s="344"/>
      <c r="AA458" s="344"/>
      <c r="AB458" s="344"/>
      <c r="AC458" s="344"/>
      <c r="AD458" s="344"/>
      <c r="AE458" s="344"/>
      <c r="AF458" s="344"/>
      <c r="AG458" s="344"/>
      <c r="AH458" s="344"/>
      <c r="AI458" s="344"/>
      <c r="AJ458" s="344"/>
      <c r="AK458" s="344"/>
      <c r="AL458" s="344"/>
      <c r="AM458" s="344"/>
      <c r="AN458" s="344"/>
      <c r="AO458" s="344"/>
    </row>
    <row r="459" spans="1:41" ht="15.75" customHeight="1" x14ac:dyDescent="0.25">
      <c r="A459" s="344"/>
      <c r="B459" s="353"/>
      <c r="C459" s="344"/>
      <c r="D459" s="344"/>
      <c r="E459" s="344"/>
      <c r="F459" s="344"/>
      <c r="G459" s="344"/>
      <c r="H459" s="344"/>
      <c r="I459" s="344"/>
      <c r="J459" s="344"/>
      <c r="K459" s="344"/>
      <c r="L459" s="344"/>
      <c r="M459" s="344"/>
      <c r="N459" s="344"/>
      <c r="O459" s="344"/>
      <c r="P459" s="344"/>
      <c r="Q459" s="344"/>
      <c r="R459" s="344"/>
      <c r="S459" s="344"/>
      <c r="T459" s="344"/>
      <c r="U459" s="344"/>
      <c r="V459" s="344"/>
      <c r="W459" s="344"/>
      <c r="X459" s="344"/>
      <c r="Y459" s="344"/>
      <c r="Z459" s="344"/>
      <c r="AA459" s="344"/>
      <c r="AB459" s="344"/>
      <c r="AC459" s="344"/>
      <c r="AD459" s="344"/>
      <c r="AE459" s="344"/>
      <c r="AF459" s="344"/>
      <c r="AG459" s="344"/>
      <c r="AH459" s="344"/>
      <c r="AI459" s="344"/>
      <c r="AJ459" s="344"/>
      <c r="AK459" s="344"/>
      <c r="AL459" s="344"/>
      <c r="AM459" s="344"/>
      <c r="AN459" s="344"/>
      <c r="AO459" s="344"/>
    </row>
    <row r="460" spans="1:41" ht="15.75" customHeight="1" x14ac:dyDescent="0.25">
      <c r="A460" s="344"/>
      <c r="B460" s="353"/>
      <c r="C460" s="344"/>
      <c r="D460" s="344"/>
      <c r="E460" s="344"/>
      <c r="F460" s="344"/>
      <c r="G460" s="344"/>
      <c r="H460" s="344"/>
      <c r="I460" s="344"/>
      <c r="J460" s="344"/>
      <c r="K460" s="344"/>
      <c r="L460" s="344"/>
      <c r="M460" s="344"/>
      <c r="N460" s="344"/>
      <c r="O460" s="344"/>
      <c r="P460" s="344"/>
      <c r="Q460" s="344"/>
      <c r="R460" s="344"/>
      <c r="S460" s="344"/>
      <c r="T460" s="344"/>
      <c r="U460" s="344"/>
      <c r="V460" s="344"/>
      <c r="W460" s="344"/>
      <c r="X460" s="344"/>
      <c r="Y460" s="344"/>
      <c r="Z460" s="344"/>
      <c r="AA460" s="344"/>
      <c r="AB460" s="344"/>
      <c r="AC460" s="344"/>
      <c r="AD460" s="344"/>
      <c r="AE460" s="344"/>
      <c r="AF460" s="344"/>
      <c r="AG460" s="344"/>
      <c r="AH460" s="344"/>
      <c r="AI460" s="344"/>
      <c r="AJ460" s="344"/>
      <c r="AK460" s="344"/>
      <c r="AL460" s="344"/>
      <c r="AM460" s="344"/>
      <c r="AN460" s="344"/>
      <c r="AO460" s="344"/>
    </row>
    <row r="461" spans="1:41" ht="15.75" customHeight="1" x14ac:dyDescent="0.25">
      <c r="A461" s="344"/>
      <c r="B461" s="353"/>
      <c r="C461" s="344"/>
      <c r="D461" s="344"/>
      <c r="E461" s="344"/>
      <c r="F461" s="344"/>
      <c r="G461" s="344"/>
      <c r="H461" s="344"/>
      <c r="I461" s="344"/>
      <c r="J461" s="344"/>
      <c r="K461" s="344"/>
      <c r="L461" s="344"/>
      <c r="M461" s="344"/>
      <c r="N461" s="344"/>
      <c r="O461" s="344"/>
      <c r="P461" s="344"/>
      <c r="Q461" s="344"/>
      <c r="R461" s="344"/>
      <c r="S461" s="344"/>
      <c r="T461" s="344"/>
      <c r="U461" s="344"/>
      <c r="V461" s="344"/>
      <c r="W461" s="344"/>
      <c r="X461" s="344"/>
      <c r="Y461" s="344"/>
      <c r="Z461" s="344"/>
      <c r="AA461" s="344"/>
      <c r="AB461" s="344"/>
      <c r="AC461" s="344"/>
      <c r="AD461" s="344"/>
      <c r="AE461" s="344"/>
      <c r="AF461" s="344"/>
      <c r="AG461" s="344"/>
      <c r="AH461" s="344"/>
      <c r="AI461" s="344"/>
      <c r="AJ461" s="344"/>
      <c r="AK461" s="344"/>
      <c r="AL461" s="344"/>
      <c r="AM461" s="344"/>
      <c r="AN461" s="344"/>
      <c r="AO461" s="344"/>
    </row>
    <row r="462" spans="1:41" ht="15.75" customHeight="1" x14ac:dyDescent="0.25">
      <c r="A462" s="344"/>
      <c r="B462" s="353"/>
      <c r="C462" s="344"/>
      <c r="D462" s="344"/>
      <c r="E462" s="344"/>
      <c r="F462" s="344"/>
      <c r="G462" s="344"/>
      <c r="H462" s="344"/>
      <c r="I462" s="344"/>
      <c r="J462" s="344"/>
      <c r="K462" s="344"/>
      <c r="L462" s="344"/>
      <c r="M462" s="344"/>
      <c r="N462" s="344"/>
      <c r="O462" s="344"/>
      <c r="P462" s="344"/>
      <c r="Q462" s="344"/>
      <c r="R462" s="344"/>
      <c r="S462" s="344"/>
      <c r="T462" s="344"/>
      <c r="U462" s="344"/>
      <c r="V462" s="344"/>
      <c r="W462" s="344"/>
      <c r="X462" s="344"/>
      <c r="Y462" s="344"/>
      <c r="Z462" s="344"/>
      <c r="AA462" s="344"/>
      <c r="AB462" s="344"/>
      <c r="AC462" s="344"/>
      <c r="AD462" s="344"/>
      <c r="AE462" s="344"/>
      <c r="AF462" s="344"/>
      <c r="AG462" s="344"/>
      <c r="AH462" s="344"/>
      <c r="AI462" s="344"/>
      <c r="AJ462" s="344"/>
      <c r="AK462" s="344"/>
      <c r="AL462" s="344"/>
      <c r="AM462" s="344"/>
      <c r="AN462" s="344"/>
      <c r="AO462" s="344"/>
    </row>
    <row r="463" spans="1:41" ht="15.75" customHeight="1" x14ac:dyDescent="0.25">
      <c r="A463" s="344"/>
      <c r="B463" s="353"/>
      <c r="C463" s="344"/>
      <c r="D463" s="344"/>
      <c r="E463" s="344"/>
      <c r="F463" s="344"/>
      <c r="G463" s="344"/>
      <c r="H463" s="344"/>
      <c r="I463" s="344"/>
      <c r="J463" s="344"/>
      <c r="K463" s="344"/>
      <c r="L463" s="344"/>
      <c r="M463" s="344"/>
      <c r="N463" s="344"/>
      <c r="O463" s="344"/>
      <c r="P463" s="344"/>
      <c r="Q463" s="344"/>
      <c r="R463" s="344"/>
      <c r="S463" s="344"/>
      <c r="T463" s="344"/>
      <c r="U463" s="344"/>
      <c r="V463" s="344"/>
      <c r="W463" s="344"/>
      <c r="X463" s="344"/>
      <c r="Y463" s="344"/>
      <c r="Z463" s="344"/>
      <c r="AA463" s="344"/>
      <c r="AB463" s="344"/>
      <c r="AC463" s="344"/>
      <c r="AD463" s="344"/>
      <c r="AE463" s="344"/>
      <c r="AF463" s="344"/>
      <c r="AG463" s="344"/>
      <c r="AH463" s="344"/>
      <c r="AI463" s="344"/>
      <c r="AJ463" s="344"/>
      <c r="AK463" s="344"/>
      <c r="AL463" s="344"/>
      <c r="AM463" s="344"/>
      <c r="AN463" s="344"/>
      <c r="AO463" s="344"/>
    </row>
    <row r="464" spans="1:41" ht="15.75" customHeight="1" x14ac:dyDescent="0.25">
      <c r="A464" s="344"/>
      <c r="B464" s="353"/>
      <c r="C464" s="344"/>
      <c r="D464" s="344"/>
      <c r="E464" s="344"/>
      <c r="F464" s="344"/>
      <c r="G464" s="344"/>
      <c r="H464" s="344"/>
      <c r="I464" s="344"/>
      <c r="J464" s="344"/>
      <c r="K464" s="344"/>
      <c r="L464" s="344"/>
      <c r="M464" s="344"/>
      <c r="N464" s="344"/>
      <c r="O464" s="344"/>
      <c r="P464" s="344"/>
      <c r="Q464" s="344"/>
      <c r="R464" s="344"/>
      <c r="S464" s="344"/>
      <c r="T464" s="344"/>
      <c r="U464" s="344"/>
      <c r="V464" s="344"/>
      <c r="W464" s="344"/>
      <c r="X464" s="344"/>
      <c r="Y464" s="344"/>
      <c r="Z464" s="344"/>
      <c r="AA464" s="344"/>
      <c r="AB464" s="344"/>
      <c r="AC464" s="344"/>
      <c r="AD464" s="344"/>
      <c r="AE464" s="344"/>
      <c r="AF464" s="344"/>
      <c r="AG464" s="344"/>
      <c r="AH464" s="344"/>
      <c r="AI464" s="344"/>
      <c r="AJ464" s="344"/>
      <c r="AK464" s="344"/>
      <c r="AL464" s="344"/>
      <c r="AM464" s="344"/>
      <c r="AN464" s="344"/>
      <c r="AO464" s="344"/>
    </row>
    <row r="465" spans="1:41" ht="15.75" customHeight="1" x14ac:dyDescent="0.25">
      <c r="A465" s="344"/>
      <c r="B465" s="353"/>
      <c r="C465" s="344"/>
      <c r="D465" s="344"/>
      <c r="E465" s="344"/>
      <c r="F465" s="344"/>
      <c r="G465" s="344"/>
      <c r="H465" s="344"/>
      <c r="I465" s="344"/>
      <c r="J465" s="344"/>
      <c r="K465" s="344"/>
      <c r="L465" s="344"/>
      <c r="M465" s="344"/>
      <c r="N465" s="344"/>
      <c r="O465" s="344"/>
      <c r="P465" s="344"/>
      <c r="Q465" s="344"/>
      <c r="R465" s="344"/>
      <c r="S465" s="344"/>
      <c r="T465" s="344"/>
      <c r="U465" s="344"/>
      <c r="V465" s="344"/>
      <c r="W465" s="344"/>
      <c r="X465" s="344"/>
      <c r="Y465" s="344"/>
      <c r="Z465" s="344"/>
      <c r="AA465" s="344"/>
      <c r="AB465" s="344"/>
      <c r="AC465" s="344"/>
      <c r="AD465" s="344"/>
      <c r="AE465" s="344"/>
      <c r="AF465" s="344"/>
      <c r="AG465" s="344"/>
      <c r="AH465" s="344"/>
      <c r="AI465" s="344"/>
      <c r="AJ465" s="344"/>
      <c r="AK465" s="344"/>
      <c r="AL465" s="344"/>
      <c r="AM465" s="344"/>
      <c r="AN465" s="344"/>
      <c r="AO465" s="344"/>
    </row>
    <row r="466" spans="1:41" ht="15.75" customHeight="1" x14ac:dyDescent="0.25">
      <c r="A466" s="344"/>
      <c r="B466" s="353"/>
      <c r="C466" s="344"/>
      <c r="D466" s="344"/>
      <c r="E466" s="344"/>
      <c r="F466" s="344"/>
      <c r="G466" s="344"/>
      <c r="H466" s="344"/>
      <c r="I466" s="344"/>
      <c r="J466" s="344"/>
      <c r="K466" s="344"/>
      <c r="L466" s="344"/>
      <c r="M466" s="344"/>
      <c r="N466" s="344"/>
      <c r="O466" s="344"/>
      <c r="P466" s="344"/>
      <c r="Q466" s="344"/>
      <c r="R466" s="344"/>
      <c r="S466" s="344"/>
      <c r="T466" s="344"/>
      <c r="U466" s="344"/>
      <c r="V466" s="344"/>
      <c r="W466" s="344"/>
      <c r="X466" s="344"/>
      <c r="Y466" s="344"/>
      <c r="Z466" s="344"/>
      <c r="AA466" s="344"/>
      <c r="AB466" s="344"/>
      <c r="AC466" s="344"/>
      <c r="AD466" s="344"/>
      <c r="AE466" s="344"/>
      <c r="AF466" s="344"/>
      <c r="AG466" s="344"/>
      <c r="AH466" s="344"/>
      <c r="AI466" s="344"/>
      <c r="AJ466" s="344"/>
      <c r="AK466" s="344"/>
      <c r="AL466" s="344"/>
      <c r="AM466" s="344"/>
      <c r="AN466" s="344"/>
      <c r="AO466" s="344"/>
    </row>
    <row r="467" spans="1:41" ht="15.75" customHeight="1" x14ac:dyDescent="0.25">
      <c r="A467" s="344"/>
      <c r="B467" s="353"/>
      <c r="C467" s="344"/>
      <c r="D467" s="344"/>
      <c r="E467" s="344"/>
      <c r="F467" s="344"/>
      <c r="G467" s="344"/>
      <c r="H467" s="344"/>
      <c r="I467" s="344"/>
      <c r="J467" s="344"/>
      <c r="K467" s="344"/>
      <c r="L467" s="344"/>
      <c r="M467" s="344"/>
      <c r="N467" s="344"/>
      <c r="O467" s="344"/>
      <c r="P467" s="344"/>
      <c r="Q467" s="344"/>
      <c r="R467" s="344"/>
      <c r="S467" s="344"/>
      <c r="T467" s="344"/>
      <c r="U467" s="344"/>
      <c r="V467" s="344"/>
      <c r="W467" s="344"/>
      <c r="X467" s="344"/>
      <c r="Y467" s="344"/>
      <c r="Z467" s="344"/>
      <c r="AA467" s="344"/>
      <c r="AB467" s="344"/>
      <c r="AC467" s="344"/>
      <c r="AD467" s="344"/>
      <c r="AE467" s="344"/>
      <c r="AF467" s="344"/>
      <c r="AG467" s="344"/>
      <c r="AH467" s="344"/>
      <c r="AI467" s="344"/>
      <c r="AJ467" s="344"/>
      <c r="AK467" s="344"/>
      <c r="AL467" s="344"/>
      <c r="AM467" s="344"/>
      <c r="AN467" s="344"/>
      <c r="AO467" s="344"/>
    </row>
    <row r="468" spans="1:41" ht="15.75" customHeight="1" x14ac:dyDescent="0.25">
      <c r="A468" s="344"/>
      <c r="B468" s="353"/>
      <c r="C468" s="344"/>
      <c r="D468" s="344"/>
      <c r="E468" s="344"/>
      <c r="F468" s="344"/>
      <c r="G468" s="344"/>
      <c r="H468" s="344"/>
      <c r="I468" s="344"/>
      <c r="J468" s="344"/>
      <c r="K468" s="344"/>
      <c r="L468" s="344"/>
      <c r="M468" s="344"/>
      <c r="N468" s="344"/>
      <c r="O468" s="344"/>
      <c r="P468" s="344"/>
      <c r="Q468" s="344"/>
      <c r="R468" s="344"/>
      <c r="S468" s="344"/>
      <c r="T468" s="344"/>
      <c r="U468" s="344"/>
      <c r="V468" s="344"/>
      <c r="W468" s="344"/>
      <c r="X468" s="344"/>
      <c r="Y468" s="344"/>
      <c r="Z468" s="344"/>
      <c r="AA468" s="344"/>
      <c r="AB468" s="344"/>
      <c r="AC468" s="344"/>
      <c r="AD468" s="344"/>
      <c r="AE468" s="344"/>
      <c r="AF468" s="344"/>
      <c r="AG468" s="344"/>
      <c r="AH468" s="344"/>
      <c r="AI468" s="344"/>
      <c r="AJ468" s="344"/>
      <c r="AK468" s="344"/>
      <c r="AL468" s="344"/>
      <c r="AM468" s="344"/>
      <c r="AN468" s="344"/>
      <c r="AO468" s="344"/>
    </row>
    <row r="469" spans="1:41" ht="15.75" customHeight="1" x14ac:dyDescent="0.25">
      <c r="A469" s="344"/>
      <c r="B469" s="353"/>
      <c r="C469" s="344"/>
      <c r="D469" s="344"/>
      <c r="E469" s="344"/>
      <c r="F469" s="344"/>
      <c r="G469" s="344"/>
      <c r="H469" s="344"/>
      <c r="I469" s="344"/>
      <c r="J469" s="344"/>
      <c r="K469" s="344"/>
      <c r="L469" s="344"/>
      <c r="M469" s="344"/>
      <c r="N469" s="344"/>
      <c r="O469" s="344"/>
      <c r="P469" s="344"/>
      <c r="Q469" s="344"/>
      <c r="R469" s="344"/>
      <c r="S469" s="344"/>
      <c r="T469" s="344"/>
      <c r="U469" s="344"/>
      <c r="V469" s="344"/>
      <c r="W469" s="344"/>
      <c r="X469" s="344"/>
      <c r="Y469" s="344"/>
      <c r="Z469" s="344"/>
      <c r="AA469" s="344"/>
      <c r="AB469" s="344"/>
      <c r="AC469" s="344"/>
      <c r="AD469" s="344"/>
      <c r="AE469" s="344"/>
      <c r="AF469" s="344"/>
      <c r="AG469" s="344"/>
      <c r="AH469" s="344"/>
      <c r="AI469" s="344"/>
      <c r="AJ469" s="344"/>
      <c r="AK469" s="344"/>
      <c r="AL469" s="344"/>
      <c r="AM469" s="344"/>
      <c r="AN469" s="344"/>
      <c r="AO469" s="344"/>
    </row>
    <row r="470" spans="1:41" ht="15.75" customHeight="1" x14ac:dyDescent="0.25">
      <c r="A470" s="344"/>
      <c r="B470" s="353"/>
      <c r="C470" s="344"/>
      <c r="D470" s="344"/>
      <c r="E470" s="344"/>
      <c r="F470" s="344"/>
      <c r="G470" s="344"/>
      <c r="H470" s="344"/>
      <c r="I470" s="344"/>
      <c r="J470" s="344"/>
      <c r="K470" s="344"/>
      <c r="L470" s="344"/>
      <c r="M470" s="344"/>
      <c r="N470" s="344"/>
      <c r="O470" s="344"/>
      <c r="P470" s="344"/>
      <c r="Q470" s="344"/>
      <c r="R470" s="344"/>
      <c r="S470" s="344"/>
      <c r="T470" s="344"/>
      <c r="U470" s="344"/>
      <c r="V470" s="344"/>
      <c r="W470" s="344"/>
      <c r="X470" s="344"/>
      <c r="Y470" s="344"/>
      <c r="Z470" s="344"/>
      <c r="AA470" s="344"/>
      <c r="AB470" s="344"/>
      <c r="AC470" s="344"/>
      <c r="AD470" s="344"/>
      <c r="AE470" s="344"/>
      <c r="AF470" s="344"/>
      <c r="AG470" s="344"/>
      <c r="AH470" s="344"/>
      <c r="AI470" s="344"/>
      <c r="AJ470" s="344"/>
      <c r="AK470" s="344"/>
      <c r="AL470" s="344"/>
      <c r="AM470" s="344"/>
      <c r="AN470" s="344"/>
      <c r="AO470" s="344"/>
    </row>
    <row r="471" spans="1:41" ht="15.75" customHeight="1" x14ac:dyDescent="0.25">
      <c r="A471" s="344"/>
      <c r="B471" s="353"/>
      <c r="C471" s="344"/>
      <c r="D471" s="344"/>
      <c r="E471" s="344"/>
      <c r="F471" s="344"/>
      <c r="G471" s="344"/>
      <c r="H471" s="344"/>
      <c r="I471" s="344"/>
      <c r="J471" s="344"/>
      <c r="K471" s="344"/>
      <c r="L471" s="344"/>
      <c r="M471" s="344"/>
      <c r="N471" s="344"/>
      <c r="O471" s="344"/>
      <c r="P471" s="344"/>
      <c r="Q471" s="344"/>
      <c r="R471" s="344"/>
      <c r="S471" s="344"/>
      <c r="T471" s="344"/>
      <c r="U471" s="344"/>
      <c r="V471" s="344"/>
      <c r="W471" s="344"/>
      <c r="X471" s="344"/>
      <c r="Y471" s="344"/>
      <c r="Z471" s="344"/>
      <c r="AA471" s="344"/>
      <c r="AB471" s="344"/>
      <c r="AC471" s="344"/>
      <c r="AD471" s="344"/>
      <c r="AE471" s="344"/>
      <c r="AF471" s="344"/>
      <c r="AG471" s="344"/>
      <c r="AH471" s="344"/>
      <c r="AI471" s="344"/>
      <c r="AJ471" s="344"/>
      <c r="AK471" s="344"/>
      <c r="AL471" s="344"/>
      <c r="AM471" s="344"/>
      <c r="AN471" s="344"/>
      <c r="AO471" s="344"/>
    </row>
    <row r="472" spans="1:41" ht="15.75" customHeight="1" x14ac:dyDescent="0.25">
      <c r="A472" s="344"/>
      <c r="B472" s="353"/>
      <c r="C472" s="344"/>
      <c r="D472" s="344"/>
      <c r="E472" s="344"/>
      <c r="F472" s="344"/>
      <c r="G472" s="344"/>
      <c r="H472" s="344"/>
      <c r="I472" s="344"/>
      <c r="J472" s="344"/>
      <c r="K472" s="344"/>
      <c r="L472" s="344"/>
      <c r="M472" s="344"/>
      <c r="N472" s="344"/>
      <c r="O472" s="344"/>
      <c r="P472" s="344"/>
      <c r="Q472" s="344"/>
      <c r="R472" s="344"/>
      <c r="S472" s="344"/>
      <c r="T472" s="344"/>
      <c r="U472" s="344"/>
      <c r="V472" s="344"/>
      <c r="W472" s="344"/>
      <c r="X472" s="344"/>
      <c r="Y472" s="344"/>
      <c r="Z472" s="344"/>
      <c r="AA472" s="344"/>
      <c r="AB472" s="344"/>
      <c r="AC472" s="344"/>
      <c r="AD472" s="344"/>
      <c r="AE472" s="344"/>
      <c r="AF472" s="344"/>
      <c r="AG472" s="344"/>
      <c r="AH472" s="344"/>
      <c r="AI472" s="344"/>
      <c r="AJ472" s="344"/>
      <c r="AK472" s="344"/>
      <c r="AL472" s="344"/>
      <c r="AM472" s="344"/>
      <c r="AN472" s="344"/>
      <c r="AO472" s="344"/>
    </row>
    <row r="473" spans="1:41" ht="15.75" customHeight="1" x14ac:dyDescent="0.25">
      <c r="A473" s="344"/>
      <c r="B473" s="353"/>
      <c r="C473" s="344"/>
      <c r="D473" s="344"/>
      <c r="E473" s="344"/>
      <c r="F473" s="344"/>
      <c r="G473" s="344"/>
      <c r="H473" s="344"/>
      <c r="I473" s="344"/>
      <c r="J473" s="344"/>
      <c r="K473" s="344"/>
      <c r="L473" s="344"/>
      <c r="M473" s="344"/>
      <c r="N473" s="344"/>
      <c r="O473" s="344"/>
      <c r="P473" s="344"/>
      <c r="Q473" s="344"/>
      <c r="R473" s="344"/>
      <c r="S473" s="344"/>
      <c r="T473" s="344"/>
      <c r="U473" s="344"/>
      <c r="V473" s="344"/>
      <c r="W473" s="344"/>
      <c r="X473" s="344"/>
      <c r="Y473" s="344"/>
      <c r="Z473" s="344"/>
      <c r="AA473" s="344"/>
      <c r="AB473" s="344"/>
      <c r="AC473" s="344"/>
      <c r="AD473" s="344"/>
      <c r="AE473" s="344"/>
      <c r="AF473" s="344"/>
      <c r="AG473" s="344"/>
      <c r="AH473" s="344"/>
      <c r="AI473" s="344"/>
      <c r="AJ473" s="344"/>
      <c r="AK473" s="344"/>
      <c r="AL473" s="344"/>
      <c r="AM473" s="344"/>
      <c r="AN473" s="344"/>
      <c r="AO473" s="344"/>
    </row>
    <row r="474" spans="1:41" ht="15.75" customHeight="1" x14ac:dyDescent="0.25">
      <c r="A474" s="344"/>
      <c r="B474" s="353"/>
      <c r="C474" s="344"/>
      <c r="D474" s="344"/>
      <c r="E474" s="344"/>
      <c r="F474" s="344"/>
      <c r="G474" s="344"/>
      <c r="H474" s="344"/>
      <c r="I474" s="344"/>
      <c r="J474" s="344"/>
      <c r="K474" s="344"/>
      <c r="L474" s="344"/>
      <c r="M474" s="344"/>
      <c r="N474" s="344"/>
      <c r="O474" s="344"/>
      <c r="P474" s="344"/>
      <c r="Q474" s="344"/>
      <c r="R474" s="344"/>
      <c r="S474" s="344"/>
      <c r="T474" s="344"/>
      <c r="U474" s="344"/>
      <c r="V474" s="344"/>
      <c r="W474" s="344"/>
      <c r="X474" s="344"/>
      <c r="Y474" s="344"/>
      <c r="Z474" s="344"/>
      <c r="AA474" s="344"/>
      <c r="AB474" s="344"/>
      <c r="AC474" s="344"/>
      <c r="AD474" s="344"/>
      <c r="AE474" s="344"/>
      <c r="AF474" s="344"/>
      <c r="AG474" s="344"/>
      <c r="AH474" s="344"/>
      <c r="AI474" s="344"/>
      <c r="AJ474" s="344"/>
      <c r="AK474" s="344"/>
      <c r="AL474" s="344"/>
      <c r="AM474" s="344"/>
      <c r="AN474" s="344"/>
      <c r="AO474" s="344"/>
    </row>
    <row r="475" spans="1:41" ht="15.75" customHeight="1" x14ac:dyDescent="0.25">
      <c r="A475" s="344"/>
      <c r="B475" s="353"/>
      <c r="C475" s="344"/>
      <c r="D475" s="344"/>
      <c r="E475" s="344"/>
      <c r="F475" s="344"/>
      <c r="G475" s="344"/>
      <c r="H475" s="344"/>
      <c r="I475" s="344"/>
      <c r="J475" s="344"/>
      <c r="K475" s="344"/>
      <c r="L475" s="344"/>
      <c r="M475" s="344"/>
      <c r="N475" s="344"/>
      <c r="O475" s="344"/>
      <c r="P475" s="344"/>
      <c r="Q475" s="344"/>
      <c r="R475" s="344"/>
      <c r="S475" s="344"/>
      <c r="T475" s="344"/>
      <c r="U475" s="344"/>
      <c r="V475" s="344"/>
      <c r="W475" s="344"/>
      <c r="X475" s="344"/>
      <c r="Y475" s="344"/>
      <c r="Z475" s="344"/>
      <c r="AA475" s="344"/>
      <c r="AB475" s="344"/>
      <c r="AC475" s="344"/>
      <c r="AD475" s="344"/>
      <c r="AE475" s="344"/>
      <c r="AF475" s="344"/>
      <c r="AG475" s="344"/>
      <c r="AH475" s="344"/>
      <c r="AI475" s="344"/>
      <c r="AJ475" s="344"/>
      <c r="AK475" s="344"/>
      <c r="AL475" s="344"/>
      <c r="AM475" s="344"/>
      <c r="AN475" s="344"/>
      <c r="AO475" s="344"/>
    </row>
    <row r="476" spans="1:41" ht="15.75" customHeight="1" x14ac:dyDescent="0.25">
      <c r="A476" s="344"/>
      <c r="B476" s="353"/>
      <c r="C476" s="344"/>
      <c r="D476" s="344"/>
      <c r="E476" s="344"/>
      <c r="F476" s="344"/>
      <c r="G476" s="344"/>
      <c r="H476" s="344"/>
      <c r="I476" s="344"/>
      <c r="J476" s="344"/>
      <c r="K476" s="344"/>
      <c r="L476" s="344"/>
      <c r="M476" s="344"/>
      <c r="N476" s="344"/>
      <c r="O476" s="344"/>
      <c r="P476" s="344"/>
      <c r="Q476" s="344"/>
      <c r="R476" s="344"/>
      <c r="S476" s="344"/>
      <c r="T476" s="344"/>
      <c r="U476" s="344"/>
      <c r="V476" s="344"/>
      <c r="W476" s="344"/>
      <c r="X476" s="344"/>
      <c r="Y476" s="344"/>
      <c r="Z476" s="344"/>
      <c r="AA476" s="344"/>
      <c r="AB476" s="344"/>
      <c r="AC476" s="344"/>
      <c r="AD476" s="344"/>
      <c r="AE476" s="344"/>
      <c r="AF476" s="344"/>
      <c r="AG476" s="344"/>
      <c r="AH476" s="344"/>
      <c r="AI476" s="344"/>
      <c r="AJ476" s="344"/>
      <c r="AK476" s="344"/>
      <c r="AL476" s="344"/>
      <c r="AM476" s="344"/>
      <c r="AN476" s="344"/>
      <c r="AO476" s="344"/>
    </row>
    <row r="477" spans="1:41" ht="15.75" customHeight="1" x14ac:dyDescent="0.25">
      <c r="A477" s="344"/>
      <c r="B477" s="353"/>
      <c r="C477" s="344"/>
      <c r="D477" s="344"/>
      <c r="E477" s="344"/>
      <c r="F477" s="344"/>
      <c r="G477" s="344"/>
      <c r="H477" s="344"/>
      <c r="I477" s="344"/>
      <c r="J477" s="344"/>
      <c r="K477" s="344"/>
      <c r="L477" s="344"/>
      <c r="M477" s="344"/>
      <c r="N477" s="344"/>
      <c r="O477" s="344"/>
      <c r="P477" s="344"/>
      <c r="Q477" s="344"/>
      <c r="R477" s="344"/>
      <c r="S477" s="344"/>
      <c r="T477" s="344"/>
      <c r="U477" s="344"/>
      <c r="V477" s="344"/>
      <c r="W477" s="344"/>
      <c r="X477" s="344"/>
      <c r="Y477" s="344"/>
      <c r="Z477" s="344"/>
      <c r="AA477" s="344"/>
      <c r="AB477" s="344"/>
      <c r="AC477" s="344"/>
      <c r="AD477" s="344"/>
      <c r="AE477" s="344"/>
      <c r="AF477" s="344"/>
      <c r="AG477" s="344"/>
      <c r="AH477" s="344"/>
      <c r="AI477" s="344"/>
      <c r="AJ477" s="344"/>
      <c r="AK477" s="344"/>
      <c r="AL477" s="344"/>
      <c r="AM477" s="344"/>
      <c r="AN477" s="344"/>
      <c r="AO477" s="344"/>
    </row>
    <row r="478" spans="1:41" ht="15.75" customHeight="1" x14ac:dyDescent="0.25">
      <c r="A478" s="344"/>
      <c r="B478" s="353"/>
      <c r="C478" s="344"/>
      <c r="D478" s="344"/>
      <c r="E478" s="344"/>
      <c r="F478" s="344"/>
      <c r="G478" s="344"/>
      <c r="H478" s="344"/>
      <c r="I478" s="344"/>
      <c r="J478" s="344"/>
      <c r="K478" s="344"/>
      <c r="L478" s="344"/>
      <c r="M478" s="344"/>
      <c r="N478" s="344"/>
      <c r="O478" s="344"/>
      <c r="P478" s="344"/>
      <c r="Q478" s="344"/>
      <c r="R478" s="344"/>
      <c r="S478" s="344"/>
      <c r="T478" s="344"/>
      <c r="U478" s="344"/>
      <c r="V478" s="344"/>
      <c r="W478" s="344"/>
      <c r="X478" s="344"/>
      <c r="Y478" s="344"/>
      <c r="Z478" s="344"/>
      <c r="AA478" s="344"/>
      <c r="AB478" s="344"/>
      <c r="AC478" s="344"/>
      <c r="AD478" s="344"/>
      <c r="AE478" s="344"/>
      <c r="AF478" s="344"/>
      <c r="AG478" s="344"/>
      <c r="AH478" s="344"/>
      <c r="AI478" s="344"/>
      <c r="AJ478" s="344"/>
      <c r="AK478" s="344"/>
      <c r="AL478" s="344"/>
      <c r="AM478" s="344"/>
      <c r="AN478" s="344"/>
      <c r="AO478" s="344"/>
    </row>
    <row r="479" spans="1:41" ht="15.75" customHeight="1" x14ac:dyDescent="0.25">
      <c r="A479" s="344"/>
      <c r="B479" s="353"/>
      <c r="C479" s="344"/>
      <c r="D479" s="344"/>
      <c r="E479" s="344"/>
      <c r="F479" s="344"/>
      <c r="G479" s="344"/>
      <c r="H479" s="344"/>
      <c r="I479" s="344"/>
      <c r="J479" s="344"/>
      <c r="K479" s="344"/>
      <c r="L479" s="344"/>
      <c r="M479" s="344"/>
      <c r="N479" s="344"/>
      <c r="O479" s="344"/>
      <c r="P479" s="344"/>
      <c r="Q479" s="344"/>
      <c r="R479" s="344"/>
      <c r="S479" s="344"/>
      <c r="T479" s="344"/>
      <c r="U479" s="344"/>
      <c r="V479" s="344"/>
      <c r="W479" s="344"/>
      <c r="X479" s="344"/>
      <c r="Y479" s="344"/>
      <c r="Z479" s="344"/>
      <c r="AA479" s="344"/>
      <c r="AB479" s="344"/>
      <c r="AC479" s="344"/>
      <c r="AD479" s="344"/>
      <c r="AE479" s="344"/>
      <c r="AF479" s="344"/>
      <c r="AG479" s="344"/>
      <c r="AH479" s="344"/>
      <c r="AI479" s="344"/>
      <c r="AJ479" s="344"/>
      <c r="AK479" s="344"/>
      <c r="AL479" s="344"/>
      <c r="AM479" s="344"/>
      <c r="AN479" s="344"/>
      <c r="AO479" s="344"/>
    </row>
    <row r="480" spans="1:41" ht="15.75" customHeight="1" x14ac:dyDescent="0.25">
      <c r="A480" s="344"/>
      <c r="B480" s="353"/>
      <c r="C480" s="344"/>
      <c r="D480" s="344"/>
      <c r="E480" s="344"/>
      <c r="F480" s="344"/>
      <c r="G480" s="344"/>
      <c r="H480" s="344"/>
      <c r="I480" s="344"/>
      <c r="J480" s="344"/>
      <c r="K480" s="344"/>
      <c r="L480" s="344"/>
      <c r="M480" s="344"/>
      <c r="N480" s="344"/>
      <c r="O480" s="344"/>
      <c r="P480" s="344"/>
      <c r="Q480" s="344"/>
      <c r="R480" s="344"/>
      <c r="S480" s="344"/>
      <c r="T480" s="344"/>
      <c r="U480" s="344"/>
      <c r="V480" s="344"/>
      <c r="W480" s="344"/>
      <c r="X480" s="344"/>
      <c r="Y480" s="344"/>
      <c r="Z480" s="344"/>
      <c r="AA480" s="344"/>
      <c r="AB480" s="344"/>
      <c r="AC480" s="344"/>
      <c r="AD480" s="344"/>
      <c r="AE480" s="344"/>
      <c r="AF480" s="344"/>
      <c r="AG480" s="344"/>
      <c r="AH480" s="344"/>
      <c r="AI480" s="344"/>
      <c r="AJ480" s="344"/>
      <c r="AK480" s="344"/>
      <c r="AL480" s="344"/>
      <c r="AM480" s="344"/>
      <c r="AN480" s="344"/>
      <c r="AO480" s="344"/>
    </row>
    <row r="481" spans="1:41" ht="15.75" customHeight="1" x14ac:dyDescent="0.25">
      <c r="A481" s="344"/>
      <c r="B481" s="353"/>
      <c r="C481" s="344"/>
      <c r="D481" s="344"/>
      <c r="E481" s="344"/>
      <c r="F481" s="344"/>
      <c r="G481" s="344"/>
      <c r="H481" s="344"/>
      <c r="I481" s="344"/>
      <c r="J481" s="344"/>
      <c r="K481" s="344"/>
      <c r="L481" s="344"/>
      <c r="M481" s="344"/>
      <c r="N481" s="344"/>
      <c r="O481" s="344"/>
      <c r="P481" s="344"/>
      <c r="Q481" s="344"/>
      <c r="R481" s="344"/>
      <c r="S481" s="344"/>
      <c r="T481" s="344"/>
      <c r="U481" s="344"/>
      <c r="V481" s="344"/>
      <c r="W481" s="344"/>
      <c r="X481" s="344"/>
      <c r="Y481" s="344"/>
      <c r="Z481" s="344"/>
      <c r="AA481" s="344"/>
      <c r="AB481" s="344"/>
      <c r="AC481" s="344"/>
      <c r="AD481" s="344"/>
      <c r="AE481" s="344"/>
      <c r="AF481" s="344"/>
      <c r="AG481" s="344"/>
      <c r="AH481" s="344"/>
      <c r="AI481" s="344"/>
      <c r="AJ481" s="344"/>
      <c r="AK481" s="344"/>
      <c r="AL481" s="344"/>
      <c r="AM481" s="344"/>
      <c r="AN481" s="344"/>
      <c r="AO481" s="344"/>
    </row>
    <row r="482" spans="1:41" ht="15.75" customHeight="1" x14ac:dyDescent="0.25">
      <c r="A482" s="344"/>
      <c r="B482" s="353"/>
      <c r="C482" s="344"/>
      <c r="D482" s="344"/>
      <c r="E482" s="344"/>
      <c r="F482" s="344"/>
      <c r="G482" s="344"/>
      <c r="H482" s="344"/>
      <c r="I482" s="344"/>
      <c r="J482" s="344"/>
      <c r="K482" s="344"/>
      <c r="L482" s="344"/>
      <c r="M482" s="344"/>
      <c r="N482" s="344"/>
      <c r="O482" s="344"/>
      <c r="P482" s="344"/>
      <c r="Q482" s="344"/>
      <c r="R482" s="344"/>
      <c r="S482" s="344"/>
      <c r="T482" s="344"/>
      <c r="U482" s="344"/>
      <c r="V482" s="344"/>
      <c r="W482" s="344"/>
      <c r="X482" s="344"/>
      <c r="Y482" s="344"/>
      <c r="Z482" s="344"/>
      <c r="AA482" s="344"/>
      <c r="AB482" s="344"/>
      <c r="AC482" s="344"/>
      <c r="AD482" s="344"/>
      <c r="AE482" s="344"/>
      <c r="AF482" s="344"/>
      <c r="AG482" s="344"/>
      <c r="AH482" s="344"/>
      <c r="AI482" s="344"/>
      <c r="AJ482" s="344"/>
      <c r="AK482" s="344"/>
      <c r="AL482" s="344"/>
      <c r="AM482" s="344"/>
      <c r="AN482" s="344"/>
      <c r="AO482" s="344"/>
    </row>
    <row r="483" spans="1:41" ht="15.75" customHeight="1" x14ac:dyDescent="0.25">
      <c r="A483" s="344"/>
      <c r="B483" s="353"/>
      <c r="C483" s="344"/>
      <c r="D483" s="344"/>
      <c r="E483" s="344"/>
      <c r="F483" s="344"/>
      <c r="G483" s="344"/>
      <c r="H483" s="344"/>
      <c r="I483" s="344"/>
      <c r="J483" s="344"/>
      <c r="K483" s="344"/>
      <c r="L483" s="344"/>
      <c r="M483" s="344"/>
      <c r="N483" s="344"/>
      <c r="O483" s="344"/>
      <c r="P483" s="344"/>
      <c r="Q483" s="344"/>
      <c r="R483" s="344"/>
      <c r="S483" s="344"/>
      <c r="T483" s="344"/>
      <c r="U483" s="344"/>
      <c r="V483" s="344"/>
      <c r="W483" s="344"/>
      <c r="X483" s="344"/>
      <c r="Y483" s="344"/>
      <c r="Z483" s="344"/>
      <c r="AA483" s="344"/>
      <c r="AB483" s="344"/>
      <c r="AC483" s="344"/>
      <c r="AD483" s="344"/>
      <c r="AE483" s="344"/>
      <c r="AF483" s="344"/>
      <c r="AG483" s="344"/>
      <c r="AH483" s="344"/>
      <c r="AI483" s="344"/>
      <c r="AJ483" s="344"/>
      <c r="AK483" s="344"/>
      <c r="AL483" s="344"/>
      <c r="AM483" s="344"/>
      <c r="AN483" s="344"/>
      <c r="AO483" s="344"/>
    </row>
    <row r="484" spans="1:41" ht="15.75" customHeight="1" x14ac:dyDescent="0.25">
      <c r="A484" s="344"/>
      <c r="B484" s="353"/>
      <c r="C484" s="344"/>
      <c r="D484" s="344"/>
      <c r="E484" s="344"/>
      <c r="F484" s="344"/>
      <c r="G484" s="344"/>
      <c r="H484" s="344"/>
      <c r="I484" s="344"/>
      <c r="J484" s="344"/>
      <c r="K484" s="344"/>
      <c r="L484" s="344"/>
      <c r="M484" s="344"/>
      <c r="N484" s="344"/>
      <c r="O484" s="344"/>
      <c r="P484" s="344"/>
      <c r="Q484" s="344"/>
      <c r="R484" s="344"/>
      <c r="S484" s="344"/>
      <c r="T484" s="344"/>
      <c r="U484" s="344"/>
      <c r="V484" s="344"/>
      <c r="W484" s="344"/>
      <c r="X484" s="344"/>
      <c r="Y484" s="344"/>
      <c r="Z484" s="344"/>
      <c r="AA484" s="344"/>
      <c r="AB484" s="344"/>
      <c r="AC484" s="344"/>
      <c r="AD484" s="344"/>
      <c r="AE484" s="344"/>
      <c r="AF484" s="344"/>
      <c r="AG484" s="344"/>
      <c r="AH484" s="344"/>
      <c r="AI484" s="344"/>
      <c r="AJ484" s="344"/>
      <c r="AK484" s="344"/>
      <c r="AL484" s="344"/>
      <c r="AM484" s="344"/>
      <c r="AN484" s="344"/>
      <c r="AO484" s="344"/>
    </row>
    <row r="485" spans="1:41" ht="15.75" customHeight="1" x14ac:dyDescent="0.25">
      <c r="A485" s="344"/>
      <c r="B485" s="353"/>
      <c r="C485" s="344"/>
      <c r="D485" s="344"/>
      <c r="E485" s="344"/>
      <c r="F485" s="344"/>
      <c r="G485" s="344"/>
      <c r="H485" s="344"/>
      <c r="I485" s="344"/>
      <c r="J485" s="344"/>
      <c r="K485" s="344"/>
      <c r="L485" s="344"/>
      <c r="M485" s="344"/>
      <c r="N485" s="344"/>
      <c r="O485" s="344"/>
      <c r="P485" s="344"/>
      <c r="Q485" s="344"/>
      <c r="R485" s="344"/>
      <c r="S485" s="344"/>
      <c r="T485" s="344"/>
      <c r="U485" s="344"/>
      <c r="V485" s="344"/>
      <c r="W485" s="344"/>
      <c r="X485" s="344"/>
      <c r="Y485" s="344"/>
      <c r="Z485" s="344"/>
      <c r="AA485" s="344"/>
      <c r="AB485" s="344"/>
      <c r="AC485" s="344"/>
      <c r="AD485" s="344"/>
      <c r="AE485" s="344"/>
      <c r="AF485" s="344"/>
      <c r="AG485" s="344"/>
      <c r="AH485" s="344"/>
      <c r="AI485" s="344"/>
      <c r="AJ485" s="344"/>
      <c r="AK485" s="344"/>
      <c r="AL485" s="344"/>
      <c r="AM485" s="344"/>
      <c r="AN485" s="344"/>
      <c r="AO485" s="344"/>
    </row>
    <row r="486" spans="1:41" ht="15.75" customHeight="1" x14ac:dyDescent="0.25">
      <c r="A486" s="344"/>
      <c r="B486" s="353"/>
      <c r="C486" s="344"/>
      <c r="D486" s="344"/>
      <c r="E486" s="344"/>
      <c r="F486" s="344"/>
      <c r="G486" s="344"/>
      <c r="H486" s="344"/>
      <c r="I486" s="344"/>
      <c r="J486" s="344"/>
      <c r="K486" s="344"/>
      <c r="L486" s="344"/>
      <c r="M486" s="344"/>
      <c r="N486" s="344"/>
      <c r="O486" s="344"/>
      <c r="P486" s="344"/>
      <c r="Q486" s="344"/>
      <c r="R486" s="344"/>
      <c r="S486" s="344"/>
      <c r="T486" s="344"/>
      <c r="U486" s="344"/>
      <c r="V486" s="344"/>
      <c r="W486" s="344"/>
      <c r="X486" s="344"/>
      <c r="Y486" s="344"/>
      <c r="Z486" s="344"/>
      <c r="AA486" s="344"/>
      <c r="AB486" s="344"/>
      <c r="AC486" s="344"/>
      <c r="AD486" s="344"/>
      <c r="AE486" s="344"/>
      <c r="AF486" s="344"/>
      <c r="AG486" s="344"/>
      <c r="AH486" s="344"/>
      <c r="AI486" s="344"/>
      <c r="AJ486" s="344"/>
      <c r="AK486" s="344"/>
      <c r="AL486" s="344"/>
      <c r="AM486" s="344"/>
      <c r="AN486" s="344"/>
      <c r="AO486" s="344"/>
    </row>
    <row r="487" spans="1:41" ht="15.75" customHeight="1" x14ac:dyDescent="0.25">
      <c r="A487" s="344"/>
      <c r="B487" s="353"/>
      <c r="C487" s="344"/>
      <c r="D487" s="344"/>
      <c r="E487" s="344"/>
      <c r="F487" s="344"/>
      <c r="G487" s="344"/>
      <c r="H487" s="344"/>
      <c r="I487" s="344"/>
      <c r="J487" s="344"/>
      <c r="K487" s="344"/>
      <c r="L487" s="344"/>
      <c r="M487" s="344"/>
      <c r="N487" s="344"/>
      <c r="O487" s="344"/>
      <c r="P487" s="344"/>
      <c r="Q487" s="344"/>
      <c r="R487" s="344"/>
      <c r="S487" s="344"/>
      <c r="T487" s="344"/>
      <c r="U487" s="344"/>
      <c r="V487" s="344"/>
      <c r="W487" s="344"/>
      <c r="X487" s="344"/>
      <c r="Y487" s="344"/>
      <c r="Z487" s="344"/>
      <c r="AA487" s="344"/>
      <c r="AB487" s="344"/>
      <c r="AC487" s="344"/>
      <c r="AD487" s="344"/>
      <c r="AE487" s="344"/>
      <c r="AF487" s="344"/>
      <c r="AG487" s="344"/>
      <c r="AH487" s="344"/>
      <c r="AI487" s="344"/>
      <c r="AJ487" s="344"/>
      <c r="AK487" s="344"/>
      <c r="AL487" s="344"/>
      <c r="AM487" s="344"/>
      <c r="AN487" s="344"/>
      <c r="AO487" s="344"/>
    </row>
    <row r="488" spans="1:41" ht="15.75" customHeight="1" x14ac:dyDescent="0.25">
      <c r="A488" s="344"/>
      <c r="B488" s="353"/>
      <c r="C488" s="344"/>
      <c r="D488" s="344"/>
      <c r="E488" s="344"/>
      <c r="F488" s="344"/>
      <c r="G488" s="344"/>
      <c r="H488" s="344"/>
      <c r="I488" s="344"/>
      <c r="J488" s="344"/>
      <c r="K488" s="344"/>
      <c r="L488" s="344"/>
      <c r="M488" s="344"/>
      <c r="N488" s="344"/>
      <c r="O488" s="344"/>
      <c r="P488" s="344"/>
      <c r="Q488" s="344"/>
      <c r="R488" s="344"/>
      <c r="S488" s="344"/>
      <c r="T488" s="344"/>
      <c r="U488" s="344"/>
      <c r="V488" s="344"/>
      <c r="W488" s="344"/>
      <c r="X488" s="344"/>
      <c r="Y488" s="344"/>
      <c r="Z488" s="344"/>
      <c r="AA488" s="344"/>
      <c r="AB488" s="344"/>
      <c r="AC488" s="344"/>
      <c r="AD488" s="344"/>
      <c r="AE488" s="344"/>
      <c r="AF488" s="344"/>
      <c r="AG488" s="344"/>
      <c r="AH488" s="344"/>
      <c r="AI488" s="344"/>
      <c r="AJ488" s="344"/>
      <c r="AK488" s="344"/>
      <c r="AL488" s="344"/>
      <c r="AM488" s="344"/>
      <c r="AN488" s="344"/>
      <c r="AO488" s="344"/>
    </row>
    <row r="489" spans="1:41" ht="15.75" customHeight="1" x14ac:dyDescent="0.25">
      <c r="A489" s="344"/>
      <c r="B489" s="353"/>
      <c r="C489" s="344"/>
      <c r="D489" s="344"/>
      <c r="E489" s="344"/>
      <c r="F489" s="344"/>
      <c r="G489" s="344"/>
      <c r="H489" s="344"/>
      <c r="I489" s="344"/>
      <c r="J489" s="344"/>
      <c r="K489" s="344"/>
      <c r="L489" s="344"/>
      <c r="M489" s="344"/>
      <c r="N489" s="344"/>
      <c r="O489" s="344"/>
      <c r="P489" s="344"/>
      <c r="Q489" s="344"/>
      <c r="R489" s="344"/>
      <c r="S489" s="344"/>
      <c r="T489" s="344"/>
      <c r="U489" s="344"/>
      <c r="V489" s="344"/>
      <c r="W489" s="344"/>
      <c r="X489" s="344"/>
      <c r="Y489" s="344"/>
      <c r="Z489" s="344"/>
      <c r="AA489" s="344"/>
      <c r="AB489" s="344"/>
      <c r="AC489" s="344"/>
      <c r="AD489" s="344"/>
      <c r="AE489" s="344"/>
      <c r="AF489" s="344"/>
      <c r="AG489" s="344"/>
      <c r="AH489" s="344"/>
      <c r="AI489" s="344"/>
      <c r="AJ489" s="344"/>
      <c r="AK489" s="344"/>
      <c r="AL489" s="344"/>
      <c r="AM489" s="344"/>
      <c r="AN489" s="344"/>
      <c r="AO489" s="344"/>
    </row>
    <row r="490" spans="1:41" ht="15.75" customHeight="1" x14ac:dyDescent="0.25">
      <c r="A490" s="344"/>
      <c r="B490" s="353"/>
      <c r="C490" s="344"/>
      <c r="D490" s="344"/>
      <c r="E490" s="344"/>
      <c r="F490" s="344"/>
      <c r="G490" s="344"/>
      <c r="H490" s="344"/>
      <c r="I490" s="344"/>
      <c r="J490" s="344"/>
      <c r="K490" s="344"/>
      <c r="L490" s="344"/>
      <c r="M490" s="344"/>
      <c r="N490" s="344"/>
      <c r="O490" s="344"/>
      <c r="P490" s="344"/>
      <c r="Q490" s="344"/>
      <c r="R490" s="344"/>
      <c r="S490" s="344"/>
      <c r="T490" s="344"/>
      <c r="U490" s="344"/>
      <c r="V490" s="344"/>
      <c r="W490" s="344"/>
      <c r="X490" s="344"/>
      <c r="Y490" s="344"/>
      <c r="Z490" s="344"/>
      <c r="AA490" s="344"/>
      <c r="AB490" s="344"/>
      <c r="AC490" s="344"/>
      <c r="AD490" s="344"/>
      <c r="AE490" s="344"/>
      <c r="AF490" s="344"/>
      <c r="AG490" s="344"/>
      <c r="AH490" s="344"/>
      <c r="AI490" s="344"/>
      <c r="AJ490" s="344"/>
      <c r="AK490" s="344"/>
      <c r="AL490" s="344"/>
      <c r="AM490" s="344"/>
      <c r="AN490" s="344"/>
      <c r="AO490" s="344"/>
    </row>
    <row r="491" spans="1:41" ht="15.75" customHeight="1" x14ac:dyDescent="0.25">
      <c r="A491" s="344"/>
      <c r="B491" s="353"/>
      <c r="C491" s="344"/>
      <c r="D491" s="344"/>
      <c r="E491" s="344"/>
      <c r="F491" s="344"/>
      <c r="G491" s="344"/>
      <c r="H491" s="344"/>
      <c r="I491" s="344"/>
      <c r="J491" s="344"/>
      <c r="K491" s="344"/>
      <c r="L491" s="344"/>
      <c r="M491" s="344"/>
      <c r="N491" s="344"/>
      <c r="O491" s="344"/>
      <c r="P491" s="344"/>
      <c r="Q491" s="344"/>
      <c r="R491" s="344"/>
      <c r="S491" s="344"/>
      <c r="T491" s="344"/>
      <c r="U491" s="344"/>
      <c r="V491" s="344"/>
      <c r="W491" s="344"/>
      <c r="X491" s="344"/>
      <c r="Y491" s="344"/>
      <c r="Z491" s="344"/>
      <c r="AA491" s="344"/>
      <c r="AB491" s="344"/>
      <c r="AC491" s="344"/>
      <c r="AD491" s="344"/>
      <c r="AE491" s="344"/>
      <c r="AF491" s="344"/>
      <c r="AG491" s="344"/>
      <c r="AH491" s="344"/>
      <c r="AI491" s="344"/>
      <c r="AJ491" s="344"/>
      <c r="AK491" s="344"/>
      <c r="AL491" s="344"/>
      <c r="AM491" s="344"/>
      <c r="AN491" s="344"/>
      <c r="AO491" s="344"/>
    </row>
    <row r="492" spans="1:41" ht="15.75" customHeight="1" x14ac:dyDescent="0.25">
      <c r="A492" s="344"/>
      <c r="B492" s="353"/>
      <c r="C492" s="344"/>
      <c r="D492" s="344"/>
      <c r="E492" s="344"/>
      <c r="F492" s="344"/>
      <c r="G492" s="344"/>
      <c r="H492" s="344"/>
      <c r="I492" s="344"/>
      <c r="J492" s="344"/>
      <c r="K492" s="344"/>
      <c r="L492" s="344"/>
      <c r="M492" s="344"/>
      <c r="N492" s="344"/>
      <c r="O492" s="344"/>
      <c r="P492" s="344"/>
      <c r="Q492" s="344"/>
      <c r="R492" s="344"/>
      <c r="S492" s="344"/>
      <c r="T492" s="344"/>
      <c r="U492" s="344"/>
      <c r="V492" s="344"/>
      <c r="W492" s="344"/>
      <c r="X492" s="344"/>
      <c r="Y492" s="344"/>
      <c r="Z492" s="344"/>
      <c r="AA492" s="344"/>
      <c r="AB492" s="344"/>
      <c r="AC492" s="344"/>
      <c r="AD492" s="344"/>
      <c r="AE492" s="344"/>
      <c r="AF492" s="344"/>
      <c r="AG492" s="344"/>
      <c r="AH492" s="344"/>
      <c r="AI492" s="344"/>
      <c r="AJ492" s="344"/>
      <c r="AK492" s="344"/>
      <c r="AL492" s="344"/>
      <c r="AM492" s="344"/>
      <c r="AN492" s="344"/>
      <c r="AO492" s="344"/>
    </row>
    <row r="493" spans="1:41" ht="15.75" customHeight="1" x14ac:dyDescent="0.25">
      <c r="A493" s="344"/>
      <c r="B493" s="353"/>
      <c r="C493" s="344"/>
      <c r="D493" s="344"/>
      <c r="E493" s="344"/>
      <c r="F493" s="344"/>
      <c r="G493" s="344"/>
      <c r="H493" s="344"/>
      <c r="I493" s="344"/>
      <c r="J493" s="344"/>
      <c r="K493" s="344"/>
      <c r="L493" s="344"/>
      <c r="M493" s="344"/>
      <c r="N493" s="344"/>
      <c r="O493" s="344"/>
      <c r="P493" s="344"/>
      <c r="Q493" s="344"/>
      <c r="R493" s="344"/>
      <c r="S493" s="344"/>
      <c r="T493" s="344"/>
      <c r="U493" s="344"/>
      <c r="V493" s="344"/>
      <c r="W493" s="344"/>
      <c r="X493" s="344"/>
      <c r="Y493" s="344"/>
      <c r="Z493" s="344"/>
      <c r="AA493" s="344"/>
      <c r="AB493" s="344"/>
      <c r="AC493" s="344"/>
      <c r="AD493" s="344"/>
      <c r="AE493" s="344"/>
      <c r="AF493" s="344"/>
      <c r="AG493" s="344"/>
      <c r="AH493" s="344"/>
      <c r="AI493" s="344"/>
      <c r="AJ493" s="344"/>
      <c r="AK493" s="344"/>
      <c r="AL493" s="344"/>
      <c r="AM493" s="344"/>
      <c r="AN493" s="344"/>
      <c r="AO493" s="344"/>
    </row>
    <row r="494" spans="1:41" ht="15.75" customHeight="1" x14ac:dyDescent="0.25">
      <c r="A494" s="344"/>
      <c r="B494" s="353"/>
      <c r="C494" s="344"/>
      <c r="D494" s="344"/>
      <c r="E494" s="344"/>
      <c r="F494" s="344"/>
      <c r="G494" s="344"/>
      <c r="H494" s="344"/>
      <c r="I494" s="344"/>
      <c r="J494" s="344"/>
      <c r="K494" s="344"/>
      <c r="L494" s="344"/>
      <c r="M494" s="344"/>
      <c r="N494" s="344"/>
      <c r="O494" s="344"/>
      <c r="P494" s="344"/>
      <c r="Q494" s="344"/>
      <c r="R494" s="344"/>
      <c r="S494" s="344"/>
      <c r="T494" s="344"/>
      <c r="U494" s="344"/>
      <c r="V494" s="344"/>
      <c r="W494" s="344"/>
      <c r="X494" s="344"/>
      <c r="Y494" s="344"/>
      <c r="Z494" s="344"/>
      <c r="AA494" s="344"/>
      <c r="AB494" s="344"/>
      <c r="AC494" s="344"/>
      <c r="AD494" s="344"/>
      <c r="AE494" s="344"/>
      <c r="AF494" s="344"/>
      <c r="AG494" s="344"/>
      <c r="AH494" s="344"/>
      <c r="AI494" s="344"/>
      <c r="AJ494" s="344"/>
      <c r="AK494" s="344"/>
      <c r="AL494" s="344"/>
      <c r="AM494" s="344"/>
      <c r="AN494" s="344"/>
      <c r="AO494" s="344"/>
    </row>
    <row r="495" spans="1:41" ht="15.75" customHeight="1" x14ac:dyDescent="0.25">
      <c r="A495" s="344"/>
      <c r="B495" s="353"/>
      <c r="C495" s="344"/>
      <c r="D495" s="344"/>
      <c r="E495" s="344"/>
      <c r="F495" s="344"/>
      <c r="G495" s="344"/>
      <c r="H495" s="344"/>
      <c r="I495" s="344"/>
      <c r="J495" s="344"/>
      <c r="K495" s="344"/>
      <c r="L495" s="344"/>
      <c r="M495" s="344"/>
      <c r="N495" s="344"/>
      <c r="O495" s="344"/>
      <c r="P495" s="344"/>
      <c r="Q495" s="344"/>
      <c r="R495" s="344"/>
      <c r="S495" s="344"/>
      <c r="T495" s="344"/>
      <c r="U495" s="344"/>
      <c r="V495" s="344"/>
      <c r="W495" s="344"/>
      <c r="X495" s="344"/>
      <c r="Y495" s="344"/>
      <c r="Z495" s="344"/>
      <c r="AA495" s="344"/>
      <c r="AB495" s="344"/>
      <c r="AC495" s="344"/>
      <c r="AD495" s="344"/>
      <c r="AE495" s="344"/>
      <c r="AF495" s="344"/>
      <c r="AG495" s="344"/>
      <c r="AH495" s="344"/>
      <c r="AI495" s="344"/>
      <c r="AJ495" s="344"/>
      <c r="AK495" s="344"/>
      <c r="AL495" s="344"/>
      <c r="AM495" s="344"/>
      <c r="AN495" s="344"/>
      <c r="AO495" s="344"/>
    </row>
    <row r="496" spans="1:41" ht="15.75" customHeight="1" x14ac:dyDescent="0.25">
      <c r="A496" s="344"/>
      <c r="B496" s="353"/>
      <c r="C496" s="344"/>
      <c r="D496" s="344"/>
      <c r="E496" s="344"/>
      <c r="F496" s="344"/>
      <c r="G496" s="344"/>
      <c r="H496" s="344"/>
      <c r="I496" s="344"/>
      <c r="J496" s="344"/>
      <c r="K496" s="344"/>
      <c r="L496" s="344"/>
      <c r="M496" s="344"/>
      <c r="N496" s="344"/>
      <c r="O496" s="344"/>
      <c r="P496" s="344"/>
      <c r="Q496" s="344"/>
      <c r="R496" s="344"/>
      <c r="S496" s="344"/>
      <c r="T496" s="344"/>
      <c r="U496" s="344"/>
      <c r="V496" s="344"/>
      <c r="W496" s="344"/>
      <c r="X496" s="344"/>
      <c r="Y496" s="344"/>
      <c r="Z496" s="344"/>
      <c r="AA496" s="344"/>
      <c r="AB496" s="344"/>
      <c r="AC496" s="344"/>
      <c r="AD496" s="344"/>
      <c r="AE496" s="344"/>
      <c r="AF496" s="344"/>
      <c r="AG496" s="344"/>
      <c r="AH496" s="344"/>
      <c r="AI496" s="344"/>
      <c r="AJ496" s="344"/>
      <c r="AK496" s="344"/>
      <c r="AL496" s="344"/>
      <c r="AM496" s="344"/>
      <c r="AN496" s="344"/>
      <c r="AO496" s="344"/>
    </row>
    <row r="497" spans="1:41" ht="15.75" customHeight="1" x14ac:dyDescent="0.25">
      <c r="A497" s="344"/>
      <c r="B497" s="353"/>
      <c r="C497" s="344"/>
      <c r="D497" s="344"/>
      <c r="E497" s="344"/>
      <c r="F497" s="344"/>
      <c r="G497" s="344"/>
      <c r="H497" s="344"/>
      <c r="I497" s="344"/>
      <c r="J497" s="344"/>
      <c r="K497" s="344"/>
      <c r="L497" s="344"/>
      <c r="M497" s="344"/>
      <c r="N497" s="344"/>
      <c r="O497" s="344"/>
      <c r="P497" s="344"/>
      <c r="Q497" s="344"/>
      <c r="R497" s="344"/>
      <c r="S497" s="344"/>
      <c r="T497" s="344"/>
      <c r="U497" s="344"/>
      <c r="V497" s="344"/>
      <c r="W497" s="344"/>
      <c r="X497" s="344"/>
      <c r="Y497" s="344"/>
      <c r="Z497" s="344"/>
      <c r="AA497" s="344"/>
      <c r="AB497" s="344"/>
      <c r="AC497" s="344"/>
      <c r="AD497" s="344"/>
      <c r="AE497" s="344"/>
      <c r="AF497" s="344"/>
      <c r="AG497" s="344"/>
      <c r="AH497" s="344"/>
      <c r="AI497" s="344"/>
      <c r="AJ497" s="344"/>
      <c r="AK497" s="344"/>
      <c r="AL497" s="344"/>
      <c r="AM497" s="344"/>
      <c r="AN497" s="344"/>
      <c r="AO497" s="344"/>
    </row>
    <row r="498" spans="1:41" ht="15.75" customHeight="1" x14ac:dyDescent="0.25">
      <c r="A498" s="344"/>
      <c r="B498" s="353"/>
      <c r="C498" s="344"/>
      <c r="D498" s="344"/>
      <c r="E498" s="344"/>
      <c r="F498" s="344"/>
      <c r="G498" s="344"/>
      <c r="H498" s="344"/>
      <c r="I498" s="344"/>
      <c r="J498" s="344"/>
      <c r="K498" s="344"/>
      <c r="L498" s="344"/>
      <c r="M498" s="344"/>
      <c r="N498" s="344"/>
      <c r="O498" s="344"/>
      <c r="P498" s="344"/>
      <c r="Q498" s="344"/>
      <c r="R498" s="344"/>
      <c r="S498" s="344"/>
      <c r="T498" s="344"/>
      <c r="U498" s="344"/>
      <c r="V498" s="344"/>
      <c r="W498" s="344"/>
      <c r="X498" s="344"/>
      <c r="Y498" s="344"/>
      <c r="Z498" s="344"/>
      <c r="AA498" s="344"/>
      <c r="AB498" s="344"/>
      <c r="AC498" s="344"/>
      <c r="AD498" s="344"/>
      <c r="AE498" s="344"/>
      <c r="AF498" s="344"/>
      <c r="AG498" s="344"/>
      <c r="AH498" s="344"/>
      <c r="AI498" s="344"/>
      <c r="AJ498" s="344"/>
      <c r="AK498" s="344"/>
      <c r="AL498" s="344"/>
      <c r="AM498" s="344"/>
      <c r="AN498" s="344"/>
      <c r="AO498" s="344"/>
    </row>
    <row r="499" spans="1:41" ht="15.75" customHeight="1" x14ac:dyDescent="0.25">
      <c r="A499" s="344"/>
      <c r="B499" s="353"/>
      <c r="C499" s="344"/>
      <c r="D499" s="344"/>
      <c r="E499" s="344"/>
      <c r="F499" s="344"/>
      <c r="G499" s="344"/>
      <c r="H499" s="344"/>
      <c r="I499" s="344"/>
      <c r="J499" s="344"/>
      <c r="K499" s="344"/>
      <c r="L499" s="344"/>
      <c r="M499" s="344"/>
      <c r="N499" s="344"/>
      <c r="O499" s="344"/>
      <c r="P499" s="344"/>
      <c r="Q499" s="344"/>
      <c r="R499" s="344"/>
      <c r="S499" s="344"/>
      <c r="T499" s="344"/>
      <c r="U499" s="344"/>
      <c r="V499" s="344"/>
      <c r="W499" s="344"/>
      <c r="X499" s="344"/>
      <c r="Y499" s="344"/>
      <c r="Z499" s="344"/>
      <c r="AA499" s="344"/>
      <c r="AB499" s="344"/>
      <c r="AC499" s="344"/>
      <c r="AD499" s="344"/>
      <c r="AE499" s="344"/>
      <c r="AF499" s="344"/>
      <c r="AG499" s="344"/>
      <c r="AH499" s="344"/>
      <c r="AI499" s="344"/>
      <c r="AJ499" s="344"/>
      <c r="AK499" s="344"/>
      <c r="AL499" s="344"/>
      <c r="AM499" s="344"/>
      <c r="AN499" s="344"/>
      <c r="AO499" s="344"/>
    </row>
    <row r="500" spans="1:41" ht="15.75" customHeight="1" x14ac:dyDescent="0.25">
      <c r="A500" s="344"/>
      <c r="B500" s="353"/>
      <c r="C500" s="344"/>
      <c r="D500" s="344"/>
      <c r="E500" s="344"/>
      <c r="F500" s="344"/>
      <c r="G500" s="344"/>
      <c r="H500" s="344"/>
      <c r="I500" s="344"/>
      <c r="J500" s="344"/>
      <c r="K500" s="344"/>
      <c r="L500" s="344"/>
      <c r="M500" s="344"/>
      <c r="N500" s="344"/>
      <c r="O500" s="344"/>
      <c r="P500" s="344"/>
      <c r="Q500" s="344"/>
      <c r="R500" s="344"/>
      <c r="S500" s="344"/>
      <c r="T500" s="344"/>
      <c r="U500" s="344"/>
      <c r="V500" s="344"/>
      <c r="W500" s="344"/>
      <c r="X500" s="344"/>
      <c r="Y500" s="344"/>
      <c r="Z500" s="344"/>
      <c r="AA500" s="344"/>
      <c r="AB500" s="344"/>
      <c r="AC500" s="344"/>
      <c r="AD500" s="344"/>
      <c r="AE500" s="344"/>
      <c r="AF500" s="344"/>
      <c r="AG500" s="344"/>
      <c r="AH500" s="344"/>
      <c r="AI500" s="344"/>
      <c r="AJ500" s="344"/>
      <c r="AK500" s="344"/>
      <c r="AL500" s="344"/>
      <c r="AM500" s="344"/>
      <c r="AN500" s="344"/>
      <c r="AO500" s="344"/>
    </row>
    <row r="501" spans="1:41" ht="15.75" customHeight="1" x14ac:dyDescent="0.25">
      <c r="A501" s="344"/>
      <c r="B501" s="353"/>
      <c r="C501" s="344"/>
      <c r="D501" s="344"/>
      <c r="E501" s="344"/>
      <c r="F501" s="344"/>
      <c r="G501" s="344"/>
      <c r="H501" s="344"/>
      <c r="I501" s="344"/>
      <c r="J501" s="344"/>
      <c r="K501" s="344"/>
      <c r="L501" s="344"/>
      <c r="M501" s="344"/>
      <c r="N501" s="344"/>
      <c r="O501" s="344"/>
      <c r="P501" s="344"/>
      <c r="Q501" s="344"/>
      <c r="R501" s="344"/>
      <c r="S501" s="344"/>
      <c r="T501" s="344"/>
      <c r="U501" s="344"/>
      <c r="V501" s="344"/>
      <c r="W501" s="344"/>
      <c r="X501" s="344"/>
      <c r="Y501" s="344"/>
      <c r="Z501" s="344"/>
      <c r="AA501" s="344"/>
      <c r="AB501" s="344"/>
      <c r="AC501" s="344"/>
      <c r="AD501" s="344"/>
      <c r="AE501" s="344"/>
      <c r="AF501" s="344"/>
      <c r="AG501" s="344"/>
      <c r="AH501" s="344"/>
      <c r="AI501" s="344"/>
      <c r="AJ501" s="344"/>
      <c r="AK501" s="344"/>
      <c r="AL501" s="344"/>
      <c r="AM501" s="344"/>
      <c r="AN501" s="344"/>
      <c r="AO501" s="344"/>
    </row>
    <row r="502" spans="1:41" ht="15.75" customHeight="1" x14ac:dyDescent="0.25">
      <c r="A502" s="344"/>
      <c r="B502" s="353"/>
      <c r="C502" s="344"/>
      <c r="D502" s="344"/>
      <c r="E502" s="344"/>
      <c r="F502" s="344"/>
      <c r="G502" s="344"/>
      <c r="H502" s="344"/>
      <c r="I502" s="344"/>
      <c r="J502" s="344"/>
      <c r="K502" s="344"/>
      <c r="L502" s="344"/>
      <c r="M502" s="344"/>
      <c r="N502" s="344"/>
      <c r="O502" s="344"/>
      <c r="P502" s="344"/>
      <c r="Q502" s="344"/>
      <c r="R502" s="344"/>
      <c r="S502" s="344"/>
      <c r="T502" s="344"/>
      <c r="U502" s="344"/>
      <c r="V502" s="344"/>
      <c r="W502" s="344"/>
      <c r="X502" s="344"/>
      <c r="Y502" s="344"/>
      <c r="Z502" s="344"/>
      <c r="AA502" s="344"/>
      <c r="AB502" s="344"/>
      <c r="AC502" s="344"/>
      <c r="AD502" s="344"/>
      <c r="AE502" s="344"/>
      <c r="AF502" s="344"/>
      <c r="AG502" s="344"/>
      <c r="AH502" s="344"/>
      <c r="AI502" s="344"/>
      <c r="AJ502" s="344"/>
      <c r="AK502" s="344"/>
      <c r="AL502" s="344"/>
      <c r="AM502" s="344"/>
      <c r="AN502" s="344"/>
      <c r="AO502" s="344"/>
    </row>
    <row r="503" spans="1:41" ht="15.75" customHeight="1" x14ac:dyDescent="0.25">
      <c r="A503" s="344"/>
      <c r="B503" s="353"/>
      <c r="C503" s="344"/>
      <c r="D503" s="344"/>
      <c r="E503" s="344"/>
      <c r="F503" s="344"/>
      <c r="G503" s="344"/>
      <c r="H503" s="344"/>
      <c r="I503" s="344"/>
      <c r="J503" s="344"/>
      <c r="K503" s="344"/>
      <c r="L503" s="344"/>
      <c r="M503" s="344"/>
      <c r="N503" s="344"/>
      <c r="O503" s="344"/>
      <c r="P503" s="344"/>
      <c r="Q503" s="344"/>
      <c r="R503" s="344"/>
      <c r="S503" s="344"/>
      <c r="T503" s="344"/>
      <c r="U503" s="344"/>
      <c r="V503" s="344"/>
      <c r="W503" s="344"/>
      <c r="X503" s="344"/>
      <c r="Y503" s="344"/>
      <c r="Z503" s="344"/>
      <c r="AA503" s="344"/>
      <c r="AB503" s="344"/>
      <c r="AC503" s="344"/>
      <c r="AD503" s="344"/>
      <c r="AE503" s="344"/>
      <c r="AF503" s="344"/>
      <c r="AG503" s="344"/>
      <c r="AH503" s="344"/>
      <c r="AI503" s="344"/>
      <c r="AJ503" s="344"/>
      <c r="AK503" s="344"/>
      <c r="AL503" s="344"/>
      <c r="AM503" s="344"/>
      <c r="AN503" s="344"/>
      <c r="AO503" s="344"/>
    </row>
    <row r="504" spans="1:41" ht="15.75" customHeight="1" x14ac:dyDescent="0.25">
      <c r="A504" s="344"/>
      <c r="B504" s="353"/>
      <c r="C504" s="344"/>
      <c r="D504" s="344"/>
      <c r="E504" s="344"/>
      <c r="F504" s="344"/>
      <c r="G504" s="344"/>
      <c r="H504" s="344"/>
      <c r="I504" s="344"/>
      <c r="J504" s="344"/>
      <c r="K504" s="344"/>
      <c r="L504" s="344"/>
      <c r="M504" s="344"/>
      <c r="N504" s="344"/>
      <c r="O504" s="344"/>
      <c r="P504" s="344"/>
      <c r="Q504" s="344"/>
      <c r="R504" s="344"/>
      <c r="S504" s="344"/>
      <c r="T504" s="344"/>
      <c r="U504" s="344"/>
      <c r="V504" s="344"/>
      <c r="W504" s="344"/>
      <c r="X504" s="344"/>
      <c r="Y504" s="344"/>
      <c r="Z504" s="344"/>
      <c r="AA504" s="344"/>
      <c r="AB504" s="344"/>
      <c r="AC504" s="344"/>
      <c r="AD504" s="344"/>
      <c r="AE504" s="344"/>
      <c r="AF504" s="344"/>
      <c r="AG504" s="344"/>
      <c r="AH504" s="344"/>
      <c r="AI504" s="344"/>
      <c r="AJ504" s="344"/>
      <c r="AK504" s="344"/>
      <c r="AL504" s="344"/>
      <c r="AM504" s="344"/>
      <c r="AN504" s="344"/>
      <c r="AO504" s="344"/>
    </row>
    <row r="505" spans="1:41" ht="15.75" customHeight="1" x14ac:dyDescent="0.25">
      <c r="A505" s="344"/>
      <c r="B505" s="353"/>
      <c r="C505" s="344"/>
      <c r="D505" s="344"/>
      <c r="E505" s="344"/>
      <c r="F505" s="344"/>
      <c r="G505" s="344"/>
      <c r="H505" s="344"/>
      <c r="I505" s="344"/>
      <c r="J505" s="344"/>
      <c r="K505" s="344"/>
      <c r="L505" s="344"/>
      <c r="M505" s="344"/>
      <c r="N505" s="344"/>
      <c r="O505" s="344"/>
      <c r="P505" s="344"/>
      <c r="Q505" s="344"/>
      <c r="R505" s="344"/>
      <c r="S505" s="344"/>
      <c r="T505" s="344"/>
      <c r="U505" s="344"/>
      <c r="V505" s="344"/>
      <c r="W505" s="344"/>
      <c r="X505" s="344"/>
      <c r="Y505" s="344"/>
      <c r="Z505" s="344"/>
      <c r="AA505" s="344"/>
      <c r="AB505" s="344"/>
      <c r="AC505" s="344"/>
      <c r="AD505" s="344"/>
      <c r="AE505" s="344"/>
      <c r="AF505" s="344"/>
      <c r="AG505" s="344"/>
      <c r="AH505" s="344"/>
      <c r="AI505" s="344"/>
      <c r="AJ505" s="344"/>
      <c r="AK505" s="344"/>
      <c r="AL505" s="344"/>
      <c r="AM505" s="344"/>
      <c r="AN505" s="344"/>
      <c r="AO505" s="344"/>
    </row>
    <row r="506" spans="1:41" ht="15.75" customHeight="1" x14ac:dyDescent="0.25">
      <c r="A506" s="344"/>
      <c r="B506" s="353"/>
      <c r="C506" s="344"/>
      <c r="D506" s="344"/>
      <c r="E506" s="344"/>
      <c r="F506" s="344"/>
      <c r="G506" s="344"/>
      <c r="H506" s="344"/>
      <c r="I506" s="344"/>
      <c r="J506" s="344"/>
      <c r="K506" s="344"/>
      <c r="L506" s="344"/>
      <c r="M506" s="344"/>
      <c r="N506" s="344"/>
      <c r="O506" s="344"/>
      <c r="P506" s="344"/>
      <c r="Q506" s="344"/>
      <c r="R506" s="344"/>
      <c r="S506" s="344"/>
      <c r="T506" s="344"/>
      <c r="U506" s="344"/>
      <c r="V506" s="344"/>
      <c r="W506" s="344"/>
      <c r="X506" s="344"/>
      <c r="Y506" s="344"/>
      <c r="Z506" s="344"/>
      <c r="AA506" s="344"/>
      <c r="AB506" s="344"/>
      <c r="AC506" s="344"/>
      <c r="AD506" s="344"/>
      <c r="AE506" s="344"/>
      <c r="AF506" s="344"/>
      <c r="AG506" s="344"/>
      <c r="AH506" s="344"/>
      <c r="AI506" s="344"/>
      <c r="AJ506" s="344"/>
      <c r="AK506" s="344"/>
      <c r="AL506" s="344"/>
      <c r="AM506" s="344"/>
      <c r="AN506" s="344"/>
      <c r="AO506" s="344"/>
    </row>
    <row r="507" spans="1:41" ht="15.75" customHeight="1" x14ac:dyDescent="0.25">
      <c r="A507" s="344"/>
      <c r="B507" s="353"/>
      <c r="C507" s="344"/>
      <c r="D507" s="344"/>
      <c r="E507" s="344"/>
      <c r="F507" s="344"/>
      <c r="G507" s="344"/>
      <c r="H507" s="344"/>
      <c r="I507" s="344"/>
      <c r="J507" s="344"/>
      <c r="K507" s="344"/>
      <c r="L507" s="344"/>
      <c r="M507" s="344"/>
      <c r="N507" s="344"/>
      <c r="O507" s="344"/>
      <c r="P507" s="344"/>
      <c r="Q507" s="344"/>
      <c r="R507" s="344"/>
      <c r="S507" s="344"/>
      <c r="T507" s="344"/>
      <c r="U507" s="344"/>
      <c r="V507" s="344"/>
      <c r="W507" s="344"/>
      <c r="X507" s="344"/>
      <c r="Y507" s="344"/>
      <c r="Z507" s="344"/>
      <c r="AA507" s="344"/>
      <c r="AB507" s="344"/>
      <c r="AC507" s="344"/>
      <c r="AD507" s="344"/>
      <c r="AE507" s="344"/>
      <c r="AF507" s="344"/>
      <c r="AG507" s="344"/>
      <c r="AH507" s="344"/>
      <c r="AI507" s="344"/>
      <c r="AJ507" s="344"/>
      <c r="AK507" s="344"/>
      <c r="AL507" s="344"/>
      <c r="AM507" s="344"/>
      <c r="AN507" s="344"/>
      <c r="AO507" s="344"/>
    </row>
    <row r="508" spans="1:41" ht="15.75" customHeight="1" x14ac:dyDescent="0.25">
      <c r="A508" s="344"/>
      <c r="B508" s="353"/>
      <c r="C508" s="344"/>
      <c r="D508" s="344"/>
      <c r="E508" s="344"/>
      <c r="F508" s="344"/>
      <c r="G508" s="344"/>
      <c r="H508" s="344"/>
      <c r="I508" s="344"/>
      <c r="J508" s="344"/>
      <c r="K508" s="344"/>
      <c r="L508" s="344"/>
      <c r="M508" s="344"/>
      <c r="N508" s="344"/>
      <c r="O508" s="344"/>
      <c r="P508" s="344"/>
      <c r="Q508" s="344"/>
      <c r="R508" s="344"/>
      <c r="S508" s="344"/>
      <c r="T508" s="344"/>
      <c r="U508" s="344"/>
      <c r="V508" s="344"/>
      <c r="W508" s="344"/>
      <c r="X508" s="344"/>
      <c r="Y508" s="344"/>
      <c r="Z508" s="344"/>
      <c r="AA508" s="344"/>
      <c r="AB508" s="344"/>
      <c r="AC508" s="344"/>
      <c r="AD508" s="344"/>
      <c r="AE508" s="344"/>
      <c r="AF508" s="344"/>
      <c r="AG508" s="344"/>
      <c r="AH508" s="344"/>
      <c r="AI508" s="344"/>
      <c r="AJ508" s="344"/>
      <c r="AK508" s="344"/>
      <c r="AL508" s="344"/>
      <c r="AM508" s="344"/>
      <c r="AN508" s="344"/>
      <c r="AO508" s="344"/>
    </row>
    <row r="509" spans="1:41" ht="15.75" customHeight="1" x14ac:dyDescent="0.25">
      <c r="A509" s="344"/>
      <c r="B509" s="353"/>
      <c r="C509" s="344"/>
      <c r="D509" s="344"/>
      <c r="E509" s="344"/>
      <c r="F509" s="344"/>
      <c r="G509" s="344"/>
      <c r="H509" s="344"/>
      <c r="I509" s="344"/>
      <c r="J509" s="344"/>
      <c r="K509" s="344"/>
      <c r="L509" s="344"/>
      <c r="M509" s="344"/>
      <c r="N509" s="344"/>
      <c r="O509" s="344"/>
      <c r="P509" s="344"/>
      <c r="Q509" s="344"/>
      <c r="R509" s="344"/>
      <c r="S509" s="344"/>
      <c r="T509" s="344"/>
      <c r="U509" s="344"/>
      <c r="V509" s="344"/>
      <c r="W509" s="344"/>
      <c r="X509" s="344"/>
      <c r="Y509" s="344"/>
      <c r="Z509" s="344"/>
      <c r="AA509" s="344"/>
      <c r="AB509" s="344"/>
      <c r="AC509" s="344"/>
      <c r="AD509" s="344"/>
      <c r="AE509" s="344"/>
      <c r="AF509" s="344"/>
      <c r="AG509" s="344"/>
      <c r="AH509" s="344"/>
      <c r="AI509" s="344"/>
      <c r="AJ509" s="344"/>
      <c r="AK509" s="344"/>
      <c r="AL509" s="344"/>
      <c r="AM509" s="344"/>
      <c r="AN509" s="344"/>
      <c r="AO509" s="344"/>
    </row>
    <row r="510" spans="1:41" ht="15.75" customHeight="1" x14ac:dyDescent="0.25">
      <c r="A510" s="344"/>
      <c r="B510" s="353"/>
      <c r="C510" s="344"/>
      <c r="D510" s="344"/>
      <c r="E510" s="344"/>
      <c r="F510" s="344"/>
      <c r="G510" s="344"/>
      <c r="H510" s="344"/>
      <c r="I510" s="344"/>
      <c r="J510" s="344"/>
      <c r="K510" s="344"/>
      <c r="L510" s="344"/>
      <c r="M510" s="344"/>
      <c r="N510" s="344"/>
      <c r="O510" s="344"/>
      <c r="P510" s="344"/>
      <c r="Q510" s="344"/>
      <c r="R510" s="344"/>
      <c r="S510" s="344"/>
      <c r="T510" s="344"/>
      <c r="U510" s="344"/>
      <c r="V510" s="344"/>
      <c r="W510" s="344"/>
      <c r="X510" s="344"/>
      <c r="Y510" s="344"/>
      <c r="Z510" s="344"/>
      <c r="AA510" s="344"/>
      <c r="AB510" s="344"/>
      <c r="AC510" s="344"/>
      <c r="AD510" s="344"/>
      <c r="AE510" s="344"/>
      <c r="AF510" s="344"/>
      <c r="AG510" s="344"/>
      <c r="AH510" s="344"/>
      <c r="AI510" s="344"/>
      <c r="AJ510" s="344"/>
      <c r="AK510" s="344"/>
      <c r="AL510" s="344"/>
      <c r="AM510" s="344"/>
      <c r="AN510" s="344"/>
      <c r="AO510" s="344"/>
    </row>
    <row r="511" spans="1:41" ht="15.75" customHeight="1" x14ac:dyDescent="0.25">
      <c r="A511" s="344"/>
      <c r="B511" s="353"/>
      <c r="C511" s="344"/>
      <c r="D511" s="344"/>
      <c r="E511" s="344"/>
      <c r="F511" s="344"/>
      <c r="G511" s="344"/>
      <c r="H511" s="344"/>
      <c r="I511" s="344"/>
      <c r="J511" s="344"/>
      <c r="K511" s="344"/>
      <c r="L511" s="344"/>
      <c r="M511" s="344"/>
      <c r="N511" s="344"/>
      <c r="O511" s="344"/>
      <c r="P511" s="344"/>
      <c r="Q511" s="344"/>
      <c r="R511" s="344"/>
      <c r="S511" s="344"/>
      <c r="T511" s="344"/>
      <c r="U511" s="344"/>
      <c r="V511" s="344"/>
      <c r="W511" s="344"/>
      <c r="X511" s="344"/>
      <c r="Y511" s="344"/>
      <c r="Z511" s="344"/>
      <c r="AA511" s="344"/>
      <c r="AB511" s="344"/>
      <c r="AC511" s="344"/>
      <c r="AD511" s="344"/>
      <c r="AE511" s="344"/>
      <c r="AF511" s="344"/>
      <c r="AG511" s="344"/>
      <c r="AH511" s="344"/>
      <c r="AI511" s="344"/>
      <c r="AJ511" s="344"/>
      <c r="AK511" s="344"/>
      <c r="AL511" s="344"/>
      <c r="AM511" s="344"/>
      <c r="AN511" s="344"/>
      <c r="AO511" s="344"/>
    </row>
    <row r="512" spans="1:41" ht="15.75" customHeight="1" x14ac:dyDescent="0.25">
      <c r="A512" s="344"/>
      <c r="B512" s="353"/>
      <c r="C512" s="344"/>
      <c r="D512" s="344"/>
      <c r="E512" s="344"/>
      <c r="F512" s="344"/>
      <c r="G512" s="344"/>
      <c r="H512" s="344"/>
      <c r="I512" s="344"/>
      <c r="J512" s="344"/>
      <c r="K512" s="344"/>
      <c r="L512" s="344"/>
      <c r="M512" s="344"/>
      <c r="N512" s="344"/>
      <c r="O512" s="344"/>
      <c r="P512" s="344"/>
      <c r="Q512" s="344"/>
      <c r="R512" s="344"/>
      <c r="S512" s="344"/>
      <c r="T512" s="344"/>
      <c r="U512" s="344"/>
      <c r="V512" s="344"/>
      <c r="W512" s="344"/>
      <c r="X512" s="344"/>
      <c r="Y512" s="344"/>
      <c r="Z512" s="344"/>
      <c r="AA512" s="344"/>
      <c r="AB512" s="344"/>
      <c r="AC512" s="344"/>
      <c r="AD512" s="344"/>
      <c r="AE512" s="344"/>
      <c r="AF512" s="344"/>
      <c r="AG512" s="344"/>
      <c r="AH512" s="344"/>
      <c r="AI512" s="344"/>
      <c r="AJ512" s="344"/>
      <c r="AK512" s="344"/>
      <c r="AL512" s="344"/>
      <c r="AM512" s="344"/>
      <c r="AN512" s="344"/>
      <c r="AO512" s="344"/>
    </row>
    <row r="513" spans="1:41" ht="15.75" customHeight="1" x14ac:dyDescent="0.25">
      <c r="A513" s="344"/>
      <c r="B513" s="353"/>
      <c r="C513" s="344"/>
      <c r="D513" s="344"/>
      <c r="E513" s="344"/>
      <c r="F513" s="344"/>
      <c r="G513" s="344"/>
      <c r="H513" s="344"/>
      <c r="I513" s="344"/>
      <c r="J513" s="344"/>
      <c r="K513" s="344"/>
      <c r="L513" s="344"/>
      <c r="M513" s="344"/>
      <c r="N513" s="344"/>
      <c r="O513" s="344"/>
      <c r="P513" s="344"/>
      <c r="Q513" s="344"/>
      <c r="R513" s="344"/>
      <c r="S513" s="344"/>
      <c r="T513" s="344"/>
      <c r="U513" s="344"/>
      <c r="V513" s="344"/>
      <c r="W513" s="344"/>
      <c r="X513" s="344"/>
      <c r="Y513" s="344"/>
      <c r="Z513" s="344"/>
      <c r="AA513" s="344"/>
      <c r="AB513" s="344"/>
      <c r="AC513" s="344"/>
      <c r="AD513" s="344"/>
      <c r="AE513" s="344"/>
      <c r="AF513" s="344"/>
      <c r="AG513" s="344"/>
      <c r="AH513" s="344"/>
      <c r="AI513" s="344"/>
      <c r="AJ513" s="344"/>
      <c r="AK513" s="344"/>
      <c r="AL513" s="344"/>
      <c r="AM513" s="344"/>
      <c r="AN513" s="344"/>
      <c r="AO513" s="344"/>
    </row>
    <row r="514" spans="1:41" ht="15.75" customHeight="1" x14ac:dyDescent="0.25">
      <c r="A514" s="344"/>
      <c r="B514" s="353"/>
      <c r="C514" s="344"/>
      <c r="D514" s="344"/>
      <c r="E514" s="344"/>
      <c r="F514" s="344"/>
      <c r="G514" s="344"/>
      <c r="H514" s="344"/>
      <c r="I514" s="344"/>
      <c r="J514" s="344"/>
      <c r="K514" s="344"/>
      <c r="L514" s="344"/>
      <c r="M514" s="344"/>
      <c r="N514" s="344"/>
      <c r="O514" s="344"/>
      <c r="P514" s="344"/>
      <c r="Q514" s="344"/>
      <c r="R514" s="344"/>
      <c r="S514" s="344"/>
      <c r="T514" s="344"/>
      <c r="U514" s="344"/>
      <c r="V514" s="344"/>
      <c r="W514" s="344"/>
      <c r="X514" s="344"/>
      <c r="Y514" s="344"/>
      <c r="Z514" s="344"/>
      <c r="AA514" s="344"/>
      <c r="AB514" s="344"/>
      <c r="AC514" s="344"/>
      <c r="AD514" s="344"/>
      <c r="AE514" s="344"/>
      <c r="AF514" s="344"/>
      <c r="AG514" s="344"/>
      <c r="AH514" s="344"/>
      <c r="AI514" s="344"/>
      <c r="AJ514" s="344"/>
      <c r="AK514" s="344"/>
      <c r="AL514" s="344"/>
      <c r="AM514" s="344"/>
      <c r="AN514" s="344"/>
      <c r="AO514" s="344"/>
    </row>
    <row r="515" spans="1:41" ht="15.75" customHeight="1" x14ac:dyDescent="0.25">
      <c r="A515" s="344"/>
      <c r="B515" s="353"/>
      <c r="C515" s="344"/>
      <c r="D515" s="344"/>
      <c r="E515" s="344"/>
      <c r="F515" s="344"/>
      <c r="G515" s="344"/>
      <c r="H515" s="344"/>
      <c r="I515" s="344"/>
      <c r="J515" s="344"/>
      <c r="K515" s="344"/>
      <c r="L515" s="344"/>
      <c r="M515" s="344"/>
      <c r="N515" s="344"/>
      <c r="O515" s="344"/>
      <c r="P515" s="344"/>
      <c r="Q515" s="344"/>
      <c r="R515" s="344"/>
      <c r="S515" s="344"/>
      <c r="T515" s="344"/>
      <c r="U515" s="344"/>
      <c r="V515" s="344"/>
      <c r="W515" s="344"/>
      <c r="X515" s="344"/>
      <c r="Y515" s="344"/>
      <c r="Z515" s="344"/>
      <c r="AA515" s="344"/>
      <c r="AB515" s="344"/>
      <c r="AC515" s="344"/>
      <c r="AD515" s="344"/>
      <c r="AE515" s="344"/>
      <c r="AF515" s="344"/>
      <c r="AG515" s="344"/>
      <c r="AH515" s="344"/>
      <c r="AI515" s="344"/>
      <c r="AJ515" s="344"/>
      <c r="AK515" s="344"/>
      <c r="AL515" s="344"/>
      <c r="AM515" s="344"/>
      <c r="AN515" s="344"/>
      <c r="AO515" s="344"/>
    </row>
    <row r="516" spans="1:41" ht="15.75" customHeight="1" x14ac:dyDescent="0.25">
      <c r="A516" s="344"/>
      <c r="B516" s="353"/>
      <c r="C516" s="344"/>
      <c r="D516" s="344"/>
      <c r="E516" s="344"/>
      <c r="F516" s="344"/>
      <c r="G516" s="344"/>
      <c r="H516" s="344"/>
      <c r="I516" s="344"/>
      <c r="J516" s="344"/>
      <c r="K516" s="344"/>
      <c r="L516" s="344"/>
      <c r="M516" s="344"/>
      <c r="N516" s="344"/>
      <c r="O516" s="344"/>
      <c r="P516" s="344"/>
      <c r="Q516" s="344"/>
      <c r="R516" s="344"/>
      <c r="S516" s="344"/>
      <c r="T516" s="344"/>
      <c r="U516" s="344"/>
      <c r="V516" s="344"/>
      <c r="W516" s="344"/>
      <c r="X516" s="344"/>
      <c r="Y516" s="344"/>
      <c r="Z516" s="344"/>
      <c r="AA516" s="344"/>
      <c r="AB516" s="344"/>
      <c r="AC516" s="344"/>
      <c r="AD516" s="344"/>
      <c r="AE516" s="344"/>
      <c r="AF516" s="344"/>
      <c r="AG516" s="344"/>
      <c r="AH516" s="344"/>
      <c r="AI516" s="344"/>
      <c r="AJ516" s="344"/>
      <c r="AK516" s="344"/>
      <c r="AL516" s="344"/>
      <c r="AM516" s="344"/>
      <c r="AN516" s="344"/>
      <c r="AO516" s="344"/>
    </row>
    <row r="517" spans="1:41" ht="15.75" customHeight="1" x14ac:dyDescent="0.25">
      <c r="A517" s="344"/>
      <c r="B517" s="353"/>
      <c r="C517" s="344"/>
      <c r="D517" s="344"/>
      <c r="E517" s="344"/>
      <c r="F517" s="344"/>
      <c r="G517" s="344"/>
      <c r="H517" s="344"/>
      <c r="I517" s="344"/>
      <c r="J517" s="344"/>
      <c r="K517" s="344"/>
      <c r="L517" s="344"/>
      <c r="M517" s="344"/>
      <c r="N517" s="344"/>
      <c r="O517" s="344"/>
      <c r="P517" s="344"/>
      <c r="Q517" s="344"/>
      <c r="R517" s="344"/>
      <c r="S517" s="344"/>
      <c r="T517" s="344"/>
      <c r="U517" s="344"/>
      <c r="V517" s="344"/>
      <c r="W517" s="344"/>
      <c r="X517" s="344"/>
      <c r="Y517" s="344"/>
      <c r="Z517" s="344"/>
      <c r="AA517" s="344"/>
      <c r="AB517" s="344"/>
      <c r="AC517" s="344"/>
      <c r="AD517" s="344"/>
      <c r="AE517" s="344"/>
      <c r="AF517" s="344"/>
      <c r="AG517" s="344"/>
      <c r="AH517" s="344"/>
      <c r="AI517" s="344"/>
      <c r="AJ517" s="344"/>
      <c r="AK517" s="344"/>
      <c r="AL517" s="344"/>
      <c r="AM517" s="344"/>
      <c r="AN517" s="344"/>
      <c r="AO517" s="344"/>
    </row>
    <row r="518" spans="1:41" ht="15.75" customHeight="1" x14ac:dyDescent="0.25">
      <c r="A518" s="344"/>
      <c r="B518" s="353"/>
      <c r="C518" s="344"/>
      <c r="D518" s="344"/>
      <c r="E518" s="344"/>
      <c r="F518" s="344"/>
      <c r="G518" s="344"/>
      <c r="H518" s="344"/>
      <c r="I518" s="344"/>
      <c r="J518" s="344"/>
      <c r="K518" s="344"/>
      <c r="L518" s="344"/>
      <c r="M518" s="344"/>
      <c r="N518" s="344"/>
      <c r="O518" s="344"/>
      <c r="P518" s="344"/>
      <c r="Q518" s="344"/>
      <c r="R518" s="344"/>
      <c r="S518" s="344"/>
      <c r="T518" s="344"/>
      <c r="U518" s="344"/>
      <c r="V518" s="344"/>
      <c r="W518" s="344"/>
      <c r="X518" s="344"/>
      <c r="Y518" s="344"/>
      <c r="Z518" s="344"/>
      <c r="AA518" s="344"/>
      <c r="AB518" s="344"/>
      <c r="AC518" s="344"/>
      <c r="AD518" s="344"/>
      <c r="AE518" s="344"/>
      <c r="AF518" s="344"/>
      <c r="AG518" s="344"/>
      <c r="AH518" s="344"/>
      <c r="AI518" s="344"/>
      <c r="AJ518" s="344"/>
      <c r="AK518" s="344"/>
      <c r="AL518" s="344"/>
      <c r="AM518" s="344"/>
      <c r="AN518" s="344"/>
      <c r="AO518" s="344"/>
    </row>
    <row r="519" spans="1:41" ht="15.75" customHeight="1" x14ac:dyDescent="0.25">
      <c r="A519" s="344"/>
      <c r="B519" s="353"/>
      <c r="C519" s="344"/>
      <c r="D519" s="344"/>
      <c r="E519" s="344"/>
      <c r="F519" s="344"/>
      <c r="G519" s="344"/>
      <c r="H519" s="344"/>
      <c r="I519" s="344"/>
      <c r="J519" s="344"/>
      <c r="K519" s="344"/>
      <c r="L519" s="344"/>
      <c r="M519" s="344"/>
      <c r="N519" s="344"/>
      <c r="O519" s="344"/>
      <c r="P519" s="344"/>
      <c r="Q519" s="344"/>
      <c r="R519" s="344"/>
      <c r="S519" s="344"/>
      <c r="T519" s="344"/>
      <c r="U519" s="344"/>
      <c r="V519" s="344"/>
      <c r="W519" s="344"/>
      <c r="X519" s="344"/>
      <c r="Y519" s="344"/>
      <c r="Z519" s="344"/>
      <c r="AA519" s="344"/>
      <c r="AB519" s="344"/>
      <c r="AC519" s="344"/>
      <c r="AD519" s="344"/>
      <c r="AE519" s="344"/>
      <c r="AF519" s="344"/>
      <c r="AG519" s="344"/>
      <c r="AH519" s="344"/>
      <c r="AI519" s="344"/>
      <c r="AJ519" s="344"/>
      <c r="AK519" s="344"/>
      <c r="AL519" s="344"/>
      <c r="AM519" s="344"/>
      <c r="AN519" s="344"/>
      <c r="AO519" s="344"/>
    </row>
    <row r="520" spans="1:41" ht="15.75" customHeight="1" x14ac:dyDescent="0.25">
      <c r="A520" s="344"/>
      <c r="B520" s="353"/>
      <c r="C520" s="344"/>
      <c r="D520" s="344"/>
      <c r="E520" s="344"/>
      <c r="F520" s="344"/>
      <c r="G520" s="344"/>
      <c r="H520" s="344"/>
      <c r="I520" s="344"/>
      <c r="J520" s="344"/>
      <c r="K520" s="344"/>
      <c r="L520" s="344"/>
      <c r="M520" s="344"/>
      <c r="N520" s="344"/>
      <c r="O520" s="344"/>
      <c r="P520" s="344"/>
      <c r="Q520" s="344"/>
      <c r="R520" s="344"/>
      <c r="S520" s="344"/>
      <c r="T520" s="344"/>
      <c r="U520" s="344"/>
      <c r="V520" s="344"/>
      <c r="W520" s="344"/>
      <c r="X520" s="344"/>
      <c r="Y520" s="344"/>
      <c r="Z520" s="344"/>
      <c r="AA520" s="344"/>
      <c r="AB520" s="344"/>
      <c r="AC520" s="344"/>
      <c r="AD520" s="344"/>
      <c r="AE520" s="344"/>
      <c r="AF520" s="344"/>
      <c r="AG520" s="344"/>
      <c r="AH520" s="344"/>
      <c r="AI520" s="344"/>
      <c r="AJ520" s="344"/>
      <c r="AK520" s="344"/>
      <c r="AL520" s="344"/>
      <c r="AM520" s="344"/>
      <c r="AN520" s="344"/>
      <c r="AO520" s="344"/>
    </row>
    <row r="521" spans="1:41" ht="15.75" customHeight="1" x14ac:dyDescent="0.25">
      <c r="A521" s="344"/>
      <c r="B521" s="353"/>
      <c r="C521" s="344"/>
      <c r="D521" s="344"/>
      <c r="E521" s="344"/>
      <c r="F521" s="344"/>
      <c r="G521" s="344"/>
      <c r="H521" s="344"/>
      <c r="I521" s="344"/>
      <c r="J521" s="344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 s="344"/>
      <c r="Z521" s="344"/>
      <c r="AA521" s="344"/>
      <c r="AB521" s="344"/>
      <c r="AC521" s="344"/>
      <c r="AD521" s="344"/>
      <c r="AE521" s="344"/>
      <c r="AF521" s="344"/>
      <c r="AG521" s="344"/>
      <c r="AH521" s="344"/>
      <c r="AI521" s="344"/>
      <c r="AJ521" s="344"/>
      <c r="AK521" s="344"/>
      <c r="AL521" s="344"/>
      <c r="AM521" s="344"/>
      <c r="AN521" s="344"/>
      <c r="AO521" s="344"/>
    </row>
    <row r="522" spans="1:41" ht="15.75" customHeight="1" x14ac:dyDescent="0.25">
      <c r="A522" s="344"/>
      <c r="B522" s="353"/>
      <c r="C522" s="344"/>
      <c r="D522" s="344"/>
      <c r="E522" s="344"/>
      <c r="F522" s="344"/>
      <c r="G522" s="344"/>
      <c r="H522" s="344"/>
      <c r="I522" s="344"/>
      <c r="J522" s="344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 s="344"/>
      <c r="Z522" s="344"/>
      <c r="AA522" s="344"/>
      <c r="AB522" s="344"/>
      <c r="AC522" s="344"/>
      <c r="AD522" s="344"/>
      <c r="AE522" s="344"/>
      <c r="AF522" s="344"/>
      <c r="AG522" s="344"/>
      <c r="AH522" s="344"/>
      <c r="AI522" s="344"/>
      <c r="AJ522" s="344"/>
      <c r="AK522" s="344"/>
      <c r="AL522" s="344"/>
      <c r="AM522" s="344"/>
      <c r="AN522" s="344"/>
      <c r="AO522" s="344"/>
    </row>
    <row r="523" spans="1:41" ht="15.75" customHeight="1" x14ac:dyDescent="0.25">
      <c r="A523" s="344"/>
      <c r="B523" s="353"/>
      <c r="C523" s="344"/>
      <c r="D523" s="344"/>
      <c r="E523" s="344"/>
      <c r="F523" s="344"/>
      <c r="G523" s="344"/>
      <c r="H523" s="344"/>
      <c r="I523" s="344"/>
      <c r="J523" s="344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 s="344"/>
      <c r="Z523" s="344"/>
      <c r="AA523" s="344"/>
      <c r="AB523" s="344"/>
      <c r="AC523" s="344"/>
      <c r="AD523" s="344"/>
      <c r="AE523" s="344"/>
      <c r="AF523" s="344"/>
      <c r="AG523" s="344"/>
      <c r="AH523" s="344"/>
      <c r="AI523" s="344"/>
      <c r="AJ523" s="344"/>
      <c r="AK523" s="344"/>
      <c r="AL523" s="344"/>
      <c r="AM523" s="344"/>
      <c r="AN523" s="344"/>
      <c r="AO523" s="344"/>
    </row>
    <row r="524" spans="1:41" ht="15.75" customHeight="1" x14ac:dyDescent="0.25">
      <c r="A524" s="344"/>
      <c r="B524" s="353"/>
      <c r="C524" s="344"/>
      <c r="D524" s="344"/>
      <c r="E524" s="344"/>
      <c r="F524" s="344"/>
      <c r="G524" s="344"/>
      <c r="H524" s="344"/>
      <c r="I524" s="344"/>
      <c r="J524" s="344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 s="344"/>
      <c r="Z524" s="344"/>
      <c r="AA524" s="344"/>
      <c r="AB524" s="344"/>
      <c r="AC524" s="344"/>
      <c r="AD524" s="344"/>
      <c r="AE524" s="344"/>
      <c r="AF524" s="344"/>
      <c r="AG524" s="344"/>
      <c r="AH524" s="344"/>
      <c r="AI524" s="344"/>
      <c r="AJ524" s="344"/>
      <c r="AK524" s="344"/>
      <c r="AL524" s="344"/>
      <c r="AM524" s="344"/>
      <c r="AN524" s="344"/>
      <c r="AO524" s="344"/>
    </row>
    <row r="525" spans="1:41" ht="15.75" customHeight="1" x14ac:dyDescent="0.25">
      <c r="A525" s="344"/>
      <c r="B525" s="353"/>
      <c r="C525" s="344"/>
      <c r="D525" s="344"/>
      <c r="E525" s="344"/>
      <c r="F525" s="344"/>
      <c r="G525" s="344"/>
      <c r="H525" s="344"/>
      <c r="I525" s="344"/>
      <c r="J525" s="344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 s="344"/>
      <c r="Z525" s="344"/>
      <c r="AA525" s="344"/>
      <c r="AB525" s="344"/>
      <c r="AC525" s="344"/>
      <c r="AD525" s="344"/>
      <c r="AE525" s="344"/>
      <c r="AF525" s="344"/>
      <c r="AG525" s="344"/>
      <c r="AH525" s="344"/>
      <c r="AI525" s="344"/>
      <c r="AJ525" s="344"/>
      <c r="AK525" s="344"/>
      <c r="AL525" s="344"/>
      <c r="AM525" s="344"/>
      <c r="AN525" s="344"/>
      <c r="AO525" s="344"/>
    </row>
    <row r="526" spans="1:41" ht="15.75" customHeight="1" x14ac:dyDescent="0.25">
      <c r="A526" s="344"/>
      <c r="B526" s="353"/>
      <c r="C526" s="344"/>
      <c r="D526" s="344"/>
      <c r="E526" s="344"/>
      <c r="F526" s="344"/>
      <c r="G526" s="344"/>
      <c r="H526" s="344"/>
      <c r="I526" s="344"/>
      <c r="J526" s="344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 s="344"/>
      <c r="Z526" s="344"/>
      <c r="AA526" s="344"/>
      <c r="AB526" s="344"/>
      <c r="AC526" s="344"/>
      <c r="AD526" s="344"/>
      <c r="AE526" s="344"/>
      <c r="AF526" s="344"/>
      <c r="AG526" s="344"/>
      <c r="AH526" s="344"/>
      <c r="AI526" s="344"/>
      <c r="AJ526" s="344"/>
      <c r="AK526" s="344"/>
      <c r="AL526" s="344"/>
      <c r="AM526" s="344"/>
      <c r="AN526" s="344"/>
      <c r="AO526" s="344"/>
    </row>
    <row r="527" spans="1:41" ht="15.75" customHeight="1" x14ac:dyDescent="0.25">
      <c r="A527" s="344"/>
      <c r="B527" s="353"/>
      <c r="C527" s="344"/>
      <c r="D527" s="344"/>
      <c r="E527" s="344"/>
      <c r="F527" s="344"/>
      <c r="G527" s="344"/>
      <c r="H527" s="344"/>
      <c r="I527" s="344"/>
      <c r="J527" s="344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 s="344"/>
      <c r="Z527" s="344"/>
      <c r="AA527" s="344"/>
      <c r="AB527" s="344"/>
      <c r="AC527" s="344"/>
      <c r="AD527" s="344"/>
      <c r="AE527" s="344"/>
      <c r="AF527" s="344"/>
      <c r="AG527" s="344"/>
      <c r="AH527" s="344"/>
      <c r="AI527" s="344"/>
      <c r="AJ527" s="344"/>
      <c r="AK527" s="344"/>
      <c r="AL527" s="344"/>
      <c r="AM527" s="344"/>
      <c r="AN527" s="344"/>
      <c r="AO527" s="344"/>
    </row>
    <row r="528" spans="1:41" ht="15.75" customHeight="1" x14ac:dyDescent="0.25">
      <c r="A528" s="344"/>
      <c r="B528" s="353"/>
      <c r="C528" s="344"/>
      <c r="D528" s="344"/>
      <c r="E528" s="344"/>
      <c r="F528" s="344"/>
      <c r="G528" s="344"/>
      <c r="H528" s="344"/>
      <c r="I528" s="344"/>
      <c r="J528" s="344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 s="344"/>
      <c r="Z528" s="344"/>
      <c r="AA528" s="344"/>
      <c r="AB528" s="344"/>
      <c r="AC528" s="344"/>
      <c r="AD528" s="344"/>
      <c r="AE528" s="344"/>
      <c r="AF528" s="344"/>
      <c r="AG528" s="344"/>
      <c r="AH528" s="344"/>
      <c r="AI528" s="344"/>
      <c r="AJ528" s="344"/>
      <c r="AK528" s="344"/>
      <c r="AL528" s="344"/>
      <c r="AM528" s="344"/>
      <c r="AN528" s="344"/>
      <c r="AO528" s="344"/>
    </row>
    <row r="529" spans="1:41" ht="15.75" customHeight="1" x14ac:dyDescent="0.25">
      <c r="A529" s="344"/>
      <c r="B529" s="353"/>
      <c r="C529" s="344"/>
      <c r="D529" s="344"/>
      <c r="E529" s="344"/>
      <c r="F529" s="344"/>
      <c r="G529" s="344"/>
      <c r="H529" s="344"/>
      <c r="I529" s="344"/>
      <c r="J529" s="344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 s="344"/>
      <c r="Z529" s="344"/>
      <c r="AA529" s="344"/>
      <c r="AB529" s="344"/>
      <c r="AC529" s="344"/>
      <c r="AD529" s="344"/>
      <c r="AE529" s="344"/>
      <c r="AF529" s="344"/>
      <c r="AG529" s="344"/>
      <c r="AH529" s="344"/>
      <c r="AI529" s="344"/>
      <c r="AJ529" s="344"/>
      <c r="AK529" s="344"/>
      <c r="AL529" s="344"/>
      <c r="AM529" s="344"/>
      <c r="AN529" s="344"/>
      <c r="AO529" s="344"/>
    </row>
    <row r="530" spans="1:41" ht="15.75" customHeight="1" x14ac:dyDescent="0.25">
      <c r="A530" s="344"/>
      <c r="B530" s="353"/>
      <c r="C530" s="344"/>
      <c r="D530" s="344"/>
      <c r="E530" s="344"/>
      <c r="F530" s="344"/>
      <c r="G530" s="344"/>
      <c r="H530" s="344"/>
      <c r="I530" s="344"/>
      <c r="J530" s="344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 s="344"/>
      <c r="Z530" s="344"/>
      <c r="AA530" s="344"/>
      <c r="AB530" s="344"/>
      <c r="AC530" s="344"/>
      <c r="AD530" s="344"/>
      <c r="AE530" s="344"/>
      <c r="AF530" s="344"/>
      <c r="AG530" s="344"/>
      <c r="AH530" s="344"/>
      <c r="AI530" s="344"/>
      <c r="AJ530" s="344"/>
      <c r="AK530" s="344"/>
      <c r="AL530" s="344"/>
      <c r="AM530" s="344"/>
      <c r="AN530" s="344"/>
      <c r="AO530" s="344"/>
    </row>
    <row r="531" spans="1:41" ht="15.75" customHeight="1" x14ac:dyDescent="0.25">
      <c r="A531" s="344"/>
      <c r="B531" s="353"/>
      <c r="C531" s="344"/>
      <c r="D531" s="344"/>
      <c r="E531" s="344"/>
      <c r="F531" s="344"/>
      <c r="G531" s="344"/>
      <c r="H531" s="344"/>
      <c r="I531" s="344"/>
      <c r="J531" s="344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 s="344"/>
      <c r="Z531" s="344"/>
      <c r="AA531" s="344"/>
      <c r="AB531" s="344"/>
      <c r="AC531" s="344"/>
      <c r="AD531" s="344"/>
      <c r="AE531" s="344"/>
      <c r="AF531" s="344"/>
      <c r="AG531" s="344"/>
      <c r="AH531" s="344"/>
      <c r="AI531" s="344"/>
      <c r="AJ531" s="344"/>
      <c r="AK531" s="344"/>
      <c r="AL531" s="344"/>
      <c r="AM531" s="344"/>
      <c r="AN531" s="344"/>
      <c r="AO531" s="344"/>
    </row>
    <row r="532" spans="1:41" ht="15.75" customHeight="1" x14ac:dyDescent="0.25">
      <c r="A532" s="344"/>
      <c r="B532" s="353"/>
      <c r="C532" s="344"/>
      <c r="D532" s="344"/>
      <c r="E532" s="344"/>
      <c r="F532" s="344"/>
      <c r="G532" s="344"/>
      <c r="H532" s="344"/>
      <c r="I532" s="344"/>
      <c r="J532" s="344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 s="344"/>
      <c r="Z532" s="344"/>
      <c r="AA532" s="344"/>
      <c r="AB532" s="344"/>
      <c r="AC532" s="344"/>
      <c r="AD532" s="344"/>
      <c r="AE532" s="344"/>
      <c r="AF532" s="344"/>
      <c r="AG532" s="344"/>
      <c r="AH532" s="344"/>
      <c r="AI532" s="344"/>
      <c r="AJ532" s="344"/>
      <c r="AK532" s="344"/>
      <c r="AL532" s="344"/>
      <c r="AM532" s="344"/>
      <c r="AN532" s="344"/>
      <c r="AO532" s="344"/>
    </row>
    <row r="533" spans="1:41" ht="15.75" customHeight="1" x14ac:dyDescent="0.25">
      <c r="A533" s="344"/>
      <c r="B533" s="353"/>
      <c r="C533" s="344"/>
      <c r="D533" s="344"/>
      <c r="E533" s="344"/>
      <c r="F533" s="344"/>
      <c r="G533" s="344"/>
      <c r="H533" s="344"/>
      <c r="I533" s="344"/>
      <c r="J533" s="344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 s="344"/>
      <c r="Z533" s="344"/>
      <c r="AA533" s="344"/>
      <c r="AB533" s="344"/>
      <c r="AC533" s="344"/>
      <c r="AD533" s="344"/>
      <c r="AE533" s="344"/>
      <c r="AF533" s="344"/>
      <c r="AG533" s="344"/>
      <c r="AH533" s="344"/>
      <c r="AI533" s="344"/>
      <c r="AJ533" s="344"/>
      <c r="AK533" s="344"/>
      <c r="AL533" s="344"/>
      <c r="AM533" s="344"/>
      <c r="AN533" s="344"/>
      <c r="AO533" s="344"/>
    </row>
    <row r="534" spans="1:41" ht="15.75" customHeight="1" x14ac:dyDescent="0.25">
      <c r="A534" s="344"/>
      <c r="B534" s="353"/>
      <c r="C534" s="344"/>
      <c r="D534" s="344"/>
      <c r="E534" s="344"/>
      <c r="F534" s="344"/>
      <c r="G534" s="344"/>
      <c r="H534" s="344"/>
      <c r="I534" s="344"/>
      <c r="J534" s="344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 s="344"/>
      <c r="Z534" s="344"/>
      <c r="AA534" s="344"/>
      <c r="AB534" s="344"/>
      <c r="AC534" s="344"/>
      <c r="AD534" s="344"/>
      <c r="AE534" s="344"/>
      <c r="AF534" s="344"/>
      <c r="AG534" s="344"/>
      <c r="AH534" s="344"/>
      <c r="AI534" s="344"/>
      <c r="AJ534" s="344"/>
      <c r="AK534" s="344"/>
      <c r="AL534" s="344"/>
      <c r="AM534" s="344"/>
      <c r="AN534" s="344"/>
      <c r="AO534" s="344"/>
    </row>
    <row r="535" spans="1:41" ht="15.75" customHeight="1" x14ac:dyDescent="0.25">
      <c r="A535" s="344"/>
      <c r="B535" s="353"/>
      <c r="C535" s="344"/>
      <c r="D535" s="344"/>
      <c r="E535" s="344"/>
      <c r="F535" s="344"/>
      <c r="G535" s="344"/>
      <c r="H535" s="344"/>
      <c r="I535" s="344"/>
      <c r="J535" s="344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 s="344"/>
      <c r="Z535" s="344"/>
      <c r="AA535" s="344"/>
      <c r="AB535" s="344"/>
      <c r="AC535" s="344"/>
      <c r="AD535" s="344"/>
      <c r="AE535" s="344"/>
      <c r="AF535" s="344"/>
      <c r="AG535" s="344"/>
      <c r="AH535" s="344"/>
      <c r="AI535" s="344"/>
      <c r="AJ535" s="344"/>
      <c r="AK535" s="344"/>
      <c r="AL535" s="344"/>
      <c r="AM535" s="344"/>
      <c r="AN535" s="344"/>
      <c r="AO535" s="344"/>
    </row>
    <row r="536" spans="1:41" ht="15.75" customHeight="1" x14ac:dyDescent="0.25">
      <c r="A536" s="344"/>
      <c r="B536" s="353"/>
      <c r="C536" s="344"/>
      <c r="D536" s="344"/>
      <c r="E536" s="344"/>
      <c r="F536" s="344"/>
      <c r="G536" s="344"/>
      <c r="H536" s="344"/>
      <c r="I536" s="344"/>
      <c r="J536" s="344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 s="344"/>
      <c r="Z536" s="344"/>
      <c r="AA536" s="344"/>
      <c r="AB536" s="344"/>
      <c r="AC536" s="344"/>
      <c r="AD536" s="344"/>
      <c r="AE536" s="344"/>
      <c r="AF536" s="344"/>
      <c r="AG536" s="344"/>
      <c r="AH536" s="344"/>
      <c r="AI536" s="344"/>
      <c r="AJ536" s="344"/>
      <c r="AK536" s="344"/>
      <c r="AL536" s="344"/>
      <c r="AM536" s="344"/>
      <c r="AN536" s="344"/>
      <c r="AO536" s="344"/>
    </row>
    <row r="537" spans="1:41" ht="15.75" customHeight="1" x14ac:dyDescent="0.25">
      <c r="A537" s="344"/>
      <c r="B537" s="353"/>
      <c r="C537" s="344"/>
      <c r="D537" s="344"/>
      <c r="E537" s="344"/>
      <c r="F537" s="344"/>
      <c r="G537" s="344"/>
      <c r="H537" s="344"/>
      <c r="I537" s="344"/>
      <c r="J537" s="344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 s="344"/>
      <c r="Z537" s="344"/>
      <c r="AA537" s="344"/>
      <c r="AB537" s="344"/>
      <c r="AC537" s="344"/>
      <c r="AD537" s="344"/>
      <c r="AE537" s="344"/>
      <c r="AF537" s="344"/>
      <c r="AG537" s="344"/>
      <c r="AH537" s="344"/>
      <c r="AI537" s="344"/>
      <c r="AJ537" s="344"/>
      <c r="AK537" s="344"/>
      <c r="AL537" s="344"/>
      <c r="AM537" s="344"/>
      <c r="AN537" s="344"/>
      <c r="AO537" s="344"/>
    </row>
    <row r="538" spans="1:41" ht="15.75" customHeight="1" x14ac:dyDescent="0.25">
      <c r="A538" s="344"/>
      <c r="B538" s="353"/>
      <c r="C538" s="344"/>
      <c r="D538" s="344"/>
      <c r="E538" s="344"/>
      <c r="F538" s="344"/>
      <c r="G538" s="344"/>
      <c r="H538" s="344"/>
      <c r="I538" s="344"/>
      <c r="J538" s="344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 s="344"/>
      <c r="Z538" s="344"/>
      <c r="AA538" s="344"/>
      <c r="AB538" s="344"/>
      <c r="AC538" s="344"/>
      <c r="AD538" s="344"/>
      <c r="AE538" s="344"/>
      <c r="AF538" s="344"/>
      <c r="AG538" s="344"/>
      <c r="AH538" s="344"/>
      <c r="AI538" s="344"/>
      <c r="AJ538" s="344"/>
      <c r="AK538" s="344"/>
      <c r="AL538" s="344"/>
      <c r="AM538" s="344"/>
      <c r="AN538" s="344"/>
      <c r="AO538" s="344"/>
    </row>
    <row r="539" spans="1:41" ht="15.75" customHeight="1" x14ac:dyDescent="0.25">
      <c r="A539" s="344"/>
      <c r="B539" s="353"/>
      <c r="C539" s="344"/>
      <c r="D539" s="344"/>
      <c r="E539" s="344"/>
      <c r="F539" s="344"/>
      <c r="G539" s="344"/>
      <c r="H539" s="344"/>
      <c r="I539" s="344"/>
      <c r="J539" s="344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 s="344"/>
      <c r="Z539" s="344"/>
      <c r="AA539" s="344"/>
      <c r="AB539" s="344"/>
      <c r="AC539" s="344"/>
      <c r="AD539" s="344"/>
      <c r="AE539" s="344"/>
      <c r="AF539" s="344"/>
      <c r="AG539" s="344"/>
      <c r="AH539" s="344"/>
      <c r="AI539" s="344"/>
      <c r="AJ539" s="344"/>
      <c r="AK539" s="344"/>
      <c r="AL539" s="344"/>
      <c r="AM539" s="344"/>
      <c r="AN539" s="344"/>
      <c r="AO539" s="344"/>
    </row>
    <row r="540" spans="1:41" ht="15.75" customHeight="1" x14ac:dyDescent="0.25">
      <c r="A540" s="344"/>
      <c r="B540" s="353"/>
      <c r="C540" s="344"/>
      <c r="D540" s="344"/>
      <c r="E540" s="344"/>
      <c r="F540" s="344"/>
      <c r="G540" s="344"/>
      <c r="H540" s="344"/>
      <c r="I540" s="344"/>
      <c r="J540" s="344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 s="344"/>
      <c r="Z540" s="344"/>
      <c r="AA540" s="344"/>
      <c r="AB540" s="344"/>
      <c r="AC540" s="344"/>
      <c r="AD540" s="344"/>
      <c r="AE540" s="344"/>
      <c r="AF540" s="344"/>
      <c r="AG540" s="344"/>
      <c r="AH540" s="344"/>
      <c r="AI540" s="344"/>
      <c r="AJ540" s="344"/>
      <c r="AK540" s="344"/>
      <c r="AL540" s="344"/>
      <c r="AM540" s="344"/>
      <c r="AN540" s="344"/>
      <c r="AO540" s="344"/>
    </row>
    <row r="541" spans="1:41" ht="15.75" customHeight="1" x14ac:dyDescent="0.25">
      <c r="A541" s="344"/>
      <c r="B541" s="353"/>
      <c r="C541" s="344"/>
      <c r="D541" s="344"/>
      <c r="E541" s="344"/>
      <c r="F541" s="344"/>
      <c r="G541" s="344"/>
      <c r="H541" s="344"/>
      <c r="I541" s="344"/>
      <c r="J541" s="344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 s="344"/>
      <c r="Z541" s="344"/>
      <c r="AA541" s="344"/>
      <c r="AB541" s="344"/>
      <c r="AC541" s="344"/>
      <c r="AD541" s="344"/>
      <c r="AE541" s="344"/>
      <c r="AF541" s="344"/>
      <c r="AG541" s="344"/>
      <c r="AH541" s="344"/>
      <c r="AI541" s="344"/>
      <c r="AJ541" s="344"/>
      <c r="AK541" s="344"/>
      <c r="AL541" s="344"/>
      <c r="AM541" s="344"/>
      <c r="AN541" s="344"/>
      <c r="AO541" s="344"/>
    </row>
    <row r="542" spans="1:41" ht="15.75" customHeight="1" x14ac:dyDescent="0.25">
      <c r="A542" s="344"/>
      <c r="B542" s="353"/>
      <c r="C542" s="344"/>
      <c r="D542" s="344"/>
      <c r="E542" s="344"/>
      <c r="F542" s="344"/>
      <c r="G542" s="344"/>
      <c r="H542" s="344"/>
      <c r="I542" s="344"/>
      <c r="J542" s="344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 s="344"/>
      <c r="Z542" s="344"/>
      <c r="AA542" s="344"/>
      <c r="AB542" s="344"/>
      <c r="AC542" s="344"/>
      <c r="AD542" s="344"/>
      <c r="AE542" s="344"/>
      <c r="AF542" s="344"/>
      <c r="AG542" s="344"/>
      <c r="AH542" s="344"/>
      <c r="AI542" s="344"/>
      <c r="AJ542" s="344"/>
      <c r="AK542" s="344"/>
      <c r="AL542" s="344"/>
      <c r="AM542" s="344"/>
      <c r="AN542" s="344"/>
      <c r="AO542" s="344"/>
    </row>
    <row r="543" spans="1:41" ht="15.75" customHeight="1" x14ac:dyDescent="0.25">
      <c r="A543" s="344"/>
      <c r="B543" s="353"/>
      <c r="C543" s="344"/>
      <c r="D543" s="344"/>
      <c r="E543" s="344"/>
      <c r="F543" s="344"/>
      <c r="G543" s="344"/>
      <c r="H543" s="344"/>
      <c r="I543" s="344"/>
      <c r="J543" s="344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 s="344"/>
      <c r="Z543" s="344"/>
      <c r="AA543" s="344"/>
      <c r="AB543" s="344"/>
      <c r="AC543" s="344"/>
      <c r="AD543" s="344"/>
      <c r="AE543" s="344"/>
      <c r="AF543" s="344"/>
      <c r="AG543" s="344"/>
      <c r="AH543" s="344"/>
      <c r="AI543" s="344"/>
      <c r="AJ543" s="344"/>
      <c r="AK543" s="344"/>
      <c r="AL543" s="344"/>
      <c r="AM543" s="344"/>
      <c r="AN543" s="344"/>
      <c r="AO543" s="344"/>
    </row>
    <row r="544" spans="1:41" ht="15.75" customHeight="1" x14ac:dyDescent="0.25">
      <c r="A544" s="344"/>
      <c r="B544" s="353"/>
      <c r="C544" s="344"/>
      <c r="D544" s="344"/>
      <c r="E544" s="344"/>
      <c r="F544" s="344"/>
      <c r="G544" s="344"/>
      <c r="H544" s="344"/>
      <c r="I544" s="344"/>
      <c r="J544" s="344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 s="344"/>
      <c r="Z544" s="344"/>
      <c r="AA544" s="344"/>
      <c r="AB544" s="344"/>
      <c r="AC544" s="344"/>
      <c r="AD544" s="344"/>
      <c r="AE544" s="344"/>
      <c r="AF544" s="344"/>
      <c r="AG544" s="344"/>
      <c r="AH544" s="344"/>
      <c r="AI544" s="344"/>
      <c r="AJ544" s="344"/>
      <c r="AK544" s="344"/>
      <c r="AL544" s="344"/>
      <c r="AM544" s="344"/>
      <c r="AN544" s="344"/>
      <c r="AO544" s="344"/>
    </row>
    <row r="545" spans="1:41" ht="15.75" customHeight="1" x14ac:dyDescent="0.25">
      <c r="A545" s="344"/>
      <c r="B545" s="353"/>
      <c r="C545" s="344"/>
      <c r="D545" s="344"/>
      <c r="E545" s="344"/>
      <c r="F545" s="344"/>
      <c r="G545" s="344"/>
      <c r="H545" s="344"/>
      <c r="I545" s="344"/>
      <c r="J545" s="344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 s="344"/>
      <c r="Z545" s="344"/>
      <c r="AA545" s="344"/>
      <c r="AB545" s="344"/>
      <c r="AC545" s="344"/>
      <c r="AD545" s="344"/>
      <c r="AE545" s="344"/>
      <c r="AF545" s="344"/>
      <c r="AG545" s="344"/>
      <c r="AH545" s="344"/>
      <c r="AI545" s="344"/>
      <c r="AJ545" s="344"/>
      <c r="AK545" s="344"/>
      <c r="AL545" s="344"/>
      <c r="AM545" s="344"/>
      <c r="AN545" s="344"/>
      <c r="AO545" s="344"/>
    </row>
    <row r="546" spans="1:41" ht="15.75" customHeight="1" x14ac:dyDescent="0.25">
      <c r="A546" s="344"/>
      <c r="B546" s="353"/>
      <c r="C546" s="344"/>
      <c r="D546" s="344"/>
      <c r="E546" s="344"/>
      <c r="F546" s="344"/>
      <c r="G546" s="344"/>
      <c r="H546" s="344"/>
      <c r="I546" s="344"/>
      <c r="J546" s="344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 s="344"/>
      <c r="Z546" s="344"/>
      <c r="AA546" s="344"/>
      <c r="AB546" s="344"/>
      <c r="AC546" s="344"/>
      <c r="AD546" s="344"/>
      <c r="AE546" s="344"/>
      <c r="AF546" s="344"/>
      <c r="AG546" s="344"/>
      <c r="AH546" s="344"/>
      <c r="AI546" s="344"/>
      <c r="AJ546" s="344"/>
      <c r="AK546" s="344"/>
      <c r="AL546" s="344"/>
      <c r="AM546" s="344"/>
      <c r="AN546" s="344"/>
      <c r="AO546" s="344"/>
    </row>
    <row r="547" spans="1:41" ht="15.75" customHeight="1" x14ac:dyDescent="0.25">
      <c r="A547" s="344"/>
      <c r="B547" s="353"/>
      <c r="C547" s="344"/>
      <c r="D547" s="344"/>
      <c r="E547" s="344"/>
      <c r="F547" s="344"/>
      <c r="G547" s="344"/>
      <c r="H547" s="344"/>
      <c r="I547" s="344"/>
      <c r="J547" s="344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 s="344"/>
      <c r="Z547" s="344"/>
      <c r="AA547" s="344"/>
      <c r="AB547" s="344"/>
      <c r="AC547" s="344"/>
      <c r="AD547" s="344"/>
      <c r="AE547" s="344"/>
      <c r="AF547" s="344"/>
      <c r="AG547" s="344"/>
      <c r="AH547" s="344"/>
      <c r="AI547" s="344"/>
      <c r="AJ547" s="344"/>
      <c r="AK547" s="344"/>
      <c r="AL547" s="344"/>
      <c r="AM547" s="344"/>
      <c r="AN547" s="344"/>
      <c r="AO547" s="344"/>
    </row>
    <row r="548" spans="1:41" ht="15.75" customHeight="1" x14ac:dyDescent="0.25">
      <c r="A548" s="344"/>
      <c r="B548" s="353"/>
      <c r="C548" s="344"/>
      <c r="D548" s="344"/>
      <c r="E548" s="344"/>
      <c r="F548" s="344"/>
      <c r="G548" s="344"/>
      <c r="H548" s="344"/>
      <c r="I548" s="344"/>
      <c r="J548" s="344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 s="344"/>
      <c r="Z548" s="344"/>
      <c r="AA548" s="344"/>
      <c r="AB548" s="344"/>
      <c r="AC548" s="344"/>
      <c r="AD548" s="344"/>
      <c r="AE548" s="344"/>
      <c r="AF548" s="344"/>
      <c r="AG548" s="344"/>
      <c r="AH548" s="344"/>
      <c r="AI548" s="344"/>
      <c r="AJ548" s="344"/>
      <c r="AK548" s="344"/>
      <c r="AL548" s="344"/>
      <c r="AM548" s="344"/>
      <c r="AN548" s="344"/>
      <c r="AO548" s="344"/>
    </row>
    <row r="549" spans="1:41" ht="15.75" customHeight="1" x14ac:dyDescent="0.25">
      <c r="A549" s="344"/>
      <c r="B549" s="353"/>
      <c r="C549" s="344"/>
      <c r="D549" s="344"/>
      <c r="E549" s="344"/>
      <c r="F549" s="344"/>
      <c r="G549" s="344"/>
      <c r="H549" s="344"/>
      <c r="I549" s="344"/>
      <c r="J549" s="344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 s="344"/>
      <c r="Z549" s="344"/>
      <c r="AA549" s="344"/>
      <c r="AB549" s="344"/>
      <c r="AC549" s="344"/>
      <c r="AD549" s="344"/>
      <c r="AE549" s="344"/>
      <c r="AF549" s="344"/>
      <c r="AG549" s="344"/>
      <c r="AH549" s="344"/>
      <c r="AI549" s="344"/>
      <c r="AJ549" s="344"/>
      <c r="AK549" s="344"/>
      <c r="AL549" s="344"/>
      <c r="AM549" s="344"/>
      <c r="AN549" s="344"/>
      <c r="AO549" s="344"/>
    </row>
    <row r="550" spans="1:41" ht="15.75" customHeight="1" x14ac:dyDescent="0.25">
      <c r="A550" s="344"/>
      <c r="B550" s="353"/>
      <c r="C550" s="344"/>
      <c r="D550" s="344"/>
      <c r="E550" s="344"/>
      <c r="F550" s="344"/>
      <c r="G550" s="344"/>
      <c r="H550" s="344"/>
      <c r="I550" s="344"/>
      <c r="J550" s="344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 s="344"/>
      <c r="Z550" s="344"/>
      <c r="AA550" s="344"/>
      <c r="AB550" s="344"/>
      <c r="AC550" s="344"/>
      <c r="AD550" s="344"/>
      <c r="AE550" s="344"/>
      <c r="AF550" s="344"/>
      <c r="AG550" s="344"/>
      <c r="AH550" s="344"/>
      <c r="AI550" s="344"/>
      <c r="AJ550" s="344"/>
      <c r="AK550" s="344"/>
      <c r="AL550" s="344"/>
      <c r="AM550" s="344"/>
      <c r="AN550" s="344"/>
      <c r="AO550" s="344"/>
    </row>
    <row r="551" spans="1:41" ht="15.75" customHeight="1" x14ac:dyDescent="0.25">
      <c r="A551" s="344"/>
      <c r="B551" s="353"/>
      <c r="C551" s="344"/>
      <c r="D551" s="344"/>
      <c r="E551" s="344"/>
      <c r="F551" s="344"/>
      <c r="G551" s="344"/>
      <c r="H551" s="344"/>
      <c r="I551" s="344"/>
      <c r="J551" s="344"/>
      <c r="K551" s="344"/>
      <c r="L551" s="344"/>
      <c r="M551" s="344"/>
      <c r="N551" s="344"/>
      <c r="O551" s="344"/>
      <c r="P551" s="344"/>
      <c r="Q551" s="344"/>
      <c r="R551" s="344"/>
      <c r="S551" s="344"/>
      <c r="T551" s="344"/>
      <c r="U551" s="344"/>
      <c r="V551" s="344"/>
      <c r="W551" s="344"/>
      <c r="X551" s="344"/>
      <c r="Y551" s="344"/>
      <c r="Z551" s="344"/>
      <c r="AA551" s="344"/>
      <c r="AB551" s="344"/>
      <c r="AC551" s="344"/>
      <c r="AD551" s="344"/>
      <c r="AE551" s="344"/>
      <c r="AF551" s="344"/>
      <c r="AG551" s="344"/>
      <c r="AH551" s="344"/>
      <c r="AI551" s="344"/>
      <c r="AJ551" s="344"/>
      <c r="AK551" s="344"/>
      <c r="AL551" s="344"/>
      <c r="AM551" s="344"/>
      <c r="AN551" s="344"/>
      <c r="AO551" s="344"/>
    </row>
    <row r="552" spans="1:41" ht="15.75" customHeight="1" x14ac:dyDescent="0.25">
      <c r="A552" s="344"/>
      <c r="B552" s="353"/>
      <c r="C552" s="344"/>
      <c r="D552" s="344"/>
      <c r="E552" s="344"/>
      <c r="F552" s="344"/>
      <c r="G552" s="344"/>
      <c r="H552" s="344"/>
      <c r="I552" s="344"/>
      <c r="J552" s="344"/>
      <c r="K552" s="344"/>
      <c r="L552" s="344"/>
      <c r="M552" s="344"/>
      <c r="N552" s="344"/>
      <c r="O552" s="344"/>
      <c r="P552" s="344"/>
      <c r="Q552" s="344"/>
      <c r="R552" s="344"/>
      <c r="S552" s="344"/>
      <c r="T552" s="344"/>
      <c r="U552" s="344"/>
      <c r="V552" s="344"/>
      <c r="W552" s="344"/>
      <c r="X552" s="344"/>
      <c r="Y552" s="344"/>
      <c r="Z552" s="344"/>
      <c r="AA552" s="344"/>
      <c r="AB552" s="344"/>
      <c r="AC552" s="344"/>
      <c r="AD552" s="344"/>
      <c r="AE552" s="344"/>
      <c r="AF552" s="344"/>
      <c r="AG552" s="344"/>
      <c r="AH552" s="344"/>
      <c r="AI552" s="344"/>
      <c r="AJ552" s="344"/>
      <c r="AK552" s="344"/>
      <c r="AL552" s="344"/>
      <c r="AM552" s="344"/>
      <c r="AN552" s="344"/>
      <c r="AO552" s="344"/>
    </row>
    <row r="553" spans="1:41" ht="15.75" customHeight="1" x14ac:dyDescent="0.25">
      <c r="A553" s="344"/>
      <c r="B553" s="353"/>
      <c r="C553" s="344"/>
      <c r="D553" s="344"/>
      <c r="E553" s="344"/>
      <c r="F553" s="344"/>
      <c r="G553" s="344"/>
      <c r="H553" s="344"/>
      <c r="I553" s="344"/>
      <c r="J553" s="344"/>
      <c r="K553" s="344"/>
      <c r="L553" s="344"/>
      <c r="M553" s="344"/>
      <c r="N553" s="344"/>
      <c r="O553" s="344"/>
      <c r="P553" s="344"/>
      <c r="Q553" s="344"/>
      <c r="R553" s="344"/>
      <c r="S553" s="344"/>
      <c r="T553" s="344"/>
      <c r="U553" s="344"/>
      <c r="V553" s="344"/>
      <c r="W553" s="344"/>
      <c r="X553" s="344"/>
      <c r="Y553" s="344"/>
      <c r="Z553" s="344"/>
      <c r="AA553" s="344"/>
      <c r="AB553" s="344"/>
      <c r="AC553" s="344"/>
      <c r="AD553" s="344"/>
      <c r="AE553" s="344"/>
      <c r="AF553" s="344"/>
      <c r="AG553" s="344"/>
      <c r="AH553" s="344"/>
      <c r="AI553" s="344"/>
      <c r="AJ553" s="344"/>
      <c r="AK553" s="344"/>
      <c r="AL553" s="344"/>
      <c r="AM553" s="344"/>
      <c r="AN553" s="344"/>
      <c r="AO553" s="344"/>
    </row>
    <row r="554" spans="1:41" ht="15.75" customHeight="1" x14ac:dyDescent="0.25">
      <c r="A554" s="344"/>
      <c r="B554" s="353"/>
      <c r="C554" s="344"/>
      <c r="D554" s="344"/>
      <c r="E554" s="344"/>
      <c r="F554" s="344"/>
      <c r="G554" s="344"/>
      <c r="H554" s="344"/>
      <c r="I554" s="344"/>
      <c r="J554" s="344"/>
      <c r="K554" s="344"/>
      <c r="L554" s="344"/>
      <c r="M554" s="344"/>
      <c r="N554" s="344"/>
      <c r="O554" s="344"/>
      <c r="P554" s="344"/>
      <c r="Q554" s="344"/>
      <c r="R554" s="344"/>
      <c r="S554" s="344"/>
      <c r="T554" s="344"/>
      <c r="U554" s="344"/>
      <c r="V554" s="344"/>
      <c r="W554" s="344"/>
      <c r="X554" s="344"/>
      <c r="Y554" s="344"/>
      <c r="Z554" s="344"/>
      <c r="AA554" s="344"/>
      <c r="AB554" s="344"/>
      <c r="AC554" s="344"/>
      <c r="AD554" s="344"/>
      <c r="AE554" s="344"/>
      <c r="AF554" s="344"/>
      <c r="AG554" s="344"/>
      <c r="AH554" s="344"/>
      <c r="AI554" s="344"/>
      <c r="AJ554" s="344"/>
      <c r="AK554" s="344"/>
      <c r="AL554" s="344"/>
      <c r="AM554" s="344"/>
      <c r="AN554" s="344"/>
      <c r="AO554" s="344"/>
    </row>
    <row r="555" spans="1:41" ht="15.75" customHeight="1" x14ac:dyDescent="0.25">
      <c r="A555" s="344"/>
      <c r="B555" s="353"/>
      <c r="C555" s="344"/>
      <c r="D555" s="344"/>
      <c r="E555" s="344"/>
      <c r="F555" s="344"/>
      <c r="G555" s="344"/>
      <c r="H555" s="344"/>
      <c r="I555" s="344"/>
      <c r="J555" s="344"/>
      <c r="K555" s="344"/>
      <c r="L555" s="344"/>
      <c r="M555" s="344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  <c r="AA555" s="344"/>
      <c r="AB555" s="344"/>
      <c r="AC555" s="344"/>
      <c r="AD555" s="344"/>
      <c r="AE555" s="344"/>
      <c r="AF555" s="344"/>
      <c r="AG555" s="344"/>
      <c r="AH555" s="344"/>
      <c r="AI555" s="344"/>
      <c r="AJ555" s="344"/>
      <c r="AK555" s="344"/>
      <c r="AL555" s="344"/>
      <c r="AM555" s="344"/>
      <c r="AN555" s="344"/>
      <c r="AO555" s="344"/>
    </row>
    <row r="556" spans="1:41" ht="15.75" customHeight="1" x14ac:dyDescent="0.25">
      <c r="A556" s="344"/>
      <c r="B556" s="353"/>
      <c r="C556" s="344"/>
      <c r="D556" s="344"/>
      <c r="E556" s="344"/>
      <c r="F556" s="344"/>
      <c r="G556" s="344"/>
      <c r="H556" s="344"/>
      <c r="I556" s="344"/>
      <c r="J556" s="344"/>
      <c r="K556" s="344"/>
      <c r="L556" s="344"/>
      <c r="M556" s="344"/>
      <c r="N556" s="344"/>
      <c r="O556" s="344"/>
      <c r="P556" s="344"/>
      <c r="Q556" s="344"/>
      <c r="R556" s="344"/>
      <c r="S556" s="344"/>
      <c r="T556" s="344"/>
      <c r="U556" s="344"/>
      <c r="V556" s="344"/>
      <c r="W556" s="344"/>
      <c r="X556" s="344"/>
      <c r="Y556" s="344"/>
      <c r="Z556" s="344"/>
      <c r="AA556" s="344"/>
      <c r="AB556" s="344"/>
      <c r="AC556" s="344"/>
      <c r="AD556" s="344"/>
      <c r="AE556" s="344"/>
      <c r="AF556" s="344"/>
      <c r="AG556" s="344"/>
      <c r="AH556" s="344"/>
      <c r="AI556" s="344"/>
      <c r="AJ556" s="344"/>
      <c r="AK556" s="344"/>
      <c r="AL556" s="344"/>
      <c r="AM556" s="344"/>
      <c r="AN556" s="344"/>
      <c r="AO556" s="344"/>
    </row>
    <row r="557" spans="1:41" ht="15.75" customHeight="1" x14ac:dyDescent="0.25">
      <c r="A557" s="344"/>
      <c r="B557" s="353"/>
      <c r="C557" s="344"/>
      <c r="D557" s="344"/>
      <c r="E557" s="344"/>
      <c r="F557" s="344"/>
      <c r="G557" s="344"/>
      <c r="H557" s="344"/>
      <c r="I557" s="344"/>
      <c r="J557" s="344"/>
      <c r="K557" s="344"/>
      <c r="L557" s="344"/>
      <c r="M557" s="344"/>
      <c r="N557" s="344"/>
      <c r="O557" s="344"/>
      <c r="P557" s="344"/>
      <c r="Q557" s="344"/>
      <c r="R557" s="344"/>
      <c r="S557" s="344"/>
      <c r="T557" s="344"/>
      <c r="U557" s="344"/>
      <c r="V557" s="344"/>
      <c r="W557" s="344"/>
      <c r="X557" s="344"/>
      <c r="Y557" s="344"/>
      <c r="Z557" s="344"/>
      <c r="AA557" s="344"/>
      <c r="AB557" s="344"/>
      <c r="AC557" s="344"/>
      <c r="AD557" s="344"/>
      <c r="AE557" s="344"/>
      <c r="AF557" s="344"/>
      <c r="AG557" s="344"/>
      <c r="AH557" s="344"/>
      <c r="AI557" s="344"/>
      <c r="AJ557" s="344"/>
      <c r="AK557" s="344"/>
      <c r="AL557" s="344"/>
      <c r="AM557" s="344"/>
      <c r="AN557" s="344"/>
      <c r="AO557" s="344"/>
    </row>
    <row r="558" spans="1:41" ht="15.75" customHeight="1" x14ac:dyDescent="0.25">
      <c r="A558" s="344"/>
      <c r="B558" s="353"/>
      <c r="C558" s="344"/>
      <c r="D558" s="344"/>
      <c r="E558" s="344"/>
      <c r="F558" s="344"/>
      <c r="G558" s="344"/>
      <c r="H558" s="344"/>
      <c r="I558" s="344"/>
      <c r="J558" s="344"/>
      <c r="K558" s="344"/>
      <c r="L558" s="344"/>
      <c r="M558" s="344"/>
      <c r="N558" s="344"/>
      <c r="O558" s="344"/>
      <c r="P558" s="344"/>
      <c r="Q558" s="344"/>
      <c r="R558" s="344"/>
      <c r="S558" s="344"/>
      <c r="T558" s="344"/>
      <c r="U558" s="344"/>
      <c r="V558" s="344"/>
      <c r="W558" s="344"/>
      <c r="X558" s="344"/>
      <c r="Y558" s="344"/>
      <c r="Z558" s="344"/>
      <c r="AA558" s="344"/>
      <c r="AB558" s="344"/>
      <c r="AC558" s="344"/>
      <c r="AD558" s="344"/>
      <c r="AE558" s="344"/>
      <c r="AF558" s="344"/>
      <c r="AG558" s="344"/>
      <c r="AH558" s="344"/>
      <c r="AI558" s="344"/>
      <c r="AJ558" s="344"/>
      <c r="AK558" s="344"/>
      <c r="AL558" s="344"/>
      <c r="AM558" s="344"/>
      <c r="AN558" s="344"/>
      <c r="AO558" s="344"/>
    </row>
    <row r="559" spans="1:41" ht="15.75" customHeight="1" x14ac:dyDescent="0.25">
      <c r="A559" s="344"/>
      <c r="B559" s="353"/>
      <c r="C559" s="344"/>
      <c r="D559" s="344"/>
      <c r="E559" s="344"/>
      <c r="F559" s="344"/>
      <c r="G559" s="344"/>
      <c r="H559" s="344"/>
      <c r="I559" s="344"/>
      <c r="J559" s="344"/>
      <c r="K559" s="344"/>
      <c r="L559" s="344"/>
      <c r="M559" s="344"/>
      <c r="N559" s="344"/>
      <c r="O559" s="344"/>
      <c r="P559" s="344"/>
      <c r="Q559" s="344"/>
      <c r="R559" s="344"/>
      <c r="S559" s="344"/>
      <c r="T559" s="344"/>
      <c r="U559" s="344"/>
      <c r="V559" s="344"/>
      <c r="W559" s="344"/>
      <c r="X559" s="344"/>
      <c r="Y559" s="344"/>
      <c r="Z559" s="344"/>
      <c r="AA559" s="344"/>
      <c r="AB559" s="344"/>
      <c r="AC559" s="344"/>
      <c r="AD559" s="344"/>
      <c r="AE559" s="344"/>
      <c r="AF559" s="344"/>
      <c r="AG559" s="344"/>
      <c r="AH559" s="344"/>
      <c r="AI559" s="344"/>
      <c r="AJ559" s="344"/>
      <c r="AK559" s="344"/>
      <c r="AL559" s="344"/>
      <c r="AM559" s="344"/>
      <c r="AN559" s="344"/>
      <c r="AO559" s="344"/>
    </row>
    <row r="560" spans="1:41" ht="15.75" customHeight="1" x14ac:dyDescent="0.25">
      <c r="A560" s="344"/>
      <c r="B560" s="353"/>
      <c r="C560" s="344"/>
      <c r="D560" s="344"/>
      <c r="E560" s="344"/>
      <c r="F560" s="344"/>
      <c r="G560" s="344"/>
      <c r="H560" s="344"/>
      <c r="I560" s="344"/>
      <c r="J560" s="344"/>
      <c r="K560" s="344"/>
      <c r="L560" s="344"/>
      <c r="M560" s="344"/>
      <c r="N560" s="344"/>
      <c r="O560" s="344"/>
      <c r="P560" s="344"/>
      <c r="Q560" s="344"/>
      <c r="R560" s="344"/>
      <c r="S560" s="344"/>
      <c r="T560" s="344"/>
      <c r="U560" s="344"/>
      <c r="V560" s="344"/>
      <c r="W560" s="344"/>
      <c r="X560" s="344"/>
      <c r="Y560" s="344"/>
      <c r="Z560" s="344"/>
      <c r="AA560" s="344"/>
      <c r="AB560" s="344"/>
      <c r="AC560" s="344"/>
      <c r="AD560" s="344"/>
      <c r="AE560" s="344"/>
      <c r="AF560" s="344"/>
      <c r="AG560" s="344"/>
      <c r="AH560" s="344"/>
      <c r="AI560" s="344"/>
      <c r="AJ560" s="344"/>
      <c r="AK560" s="344"/>
      <c r="AL560" s="344"/>
      <c r="AM560" s="344"/>
      <c r="AN560" s="344"/>
      <c r="AO560" s="344"/>
    </row>
    <row r="561" spans="1:41" ht="15.75" customHeight="1" x14ac:dyDescent="0.25">
      <c r="A561" s="344"/>
      <c r="B561" s="353"/>
      <c r="C561" s="344"/>
      <c r="D561" s="344"/>
      <c r="E561" s="344"/>
      <c r="F561" s="344"/>
      <c r="G561" s="344"/>
      <c r="H561" s="344"/>
      <c r="I561" s="344"/>
      <c r="J561" s="344"/>
      <c r="K561" s="344"/>
      <c r="L561" s="344"/>
      <c r="M561" s="344"/>
      <c r="N561" s="344"/>
      <c r="O561" s="344"/>
      <c r="P561" s="344"/>
      <c r="Q561" s="344"/>
      <c r="R561" s="344"/>
      <c r="S561" s="344"/>
      <c r="T561" s="344"/>
      <c r="U561" s="344"/>
      <c r="V561" s="344"/>
      <c r="W561" s="344"/>
      <c r="X561" s="344"/>
      <c r="Y561" s="344"/>
      <c r="Z561" s="344"/>
      <c r="AA561" s="344"/>
      <c r="AB561" s="344"/>
      <c r="AC561" s="344"/>
      <c r="AD561" s="344"/>
      <c r="AE561" s="344"/>
      <c r="AF561" s="344"/>
      <c r="AG561" s="344"/>
      <c r="AH561" s="344"/>
      <c r="AI561" s="344"/>
      <c r="AJ561" s="344"/>
      <c r="AK561" s="344"/>
      <c r="AL561" s="344"/>
      <c r="AM561" s="344"/>
      <c r="AN561" s="344"/>
      <c r="AO561" s="344"/>
    </row>
    <row r="562" spans="1:41" ht="15.75" customHeight="1" x14ac:dyDescent="0.25">
      <c r="A562" s="344"/>
      <c r="B562" s="353"/>
      <c r="C562" s="344"/>
      <c r="D562" s="344"/>
      <c r="E562" s="344"/>
      <c r="F562" s="344"/>
      <c r="G562" s="344"/>
      <c r="H562" s="344"/>
      <c r="I562" s="344"/>
      <c r="J562" s="344"/>
      <c r="K562" s="344"/>
      <c r="L562" s="344"/>
      <c r="M562" s="344"/>
      <c r="N562" s="344"/>
      <c r="O562" s="344"/>
      <c r="P562" s="344"/>
      <c r="Q562" s="344"/>
      <c r="R562" s="344"/>
      <c r="S562" s="344"/>
      <c r="T562" s="344"/>
      <c r="U562" s="344"/>
      <c r="V562" s="344"/>
      <c r="W562" s="344"/>
      <c r="X562" s="344"/>
      <c r="Y562" s="344"/>
      <c r="Z562" s="344"/>
      <c r="AA562" s="344"/>
      <c r="AB562" s="344"/>
      <c r="AC562" s="344"/>
      <c r="AD562" s="344"/>
      <c r="AE562" s="344"/>
      <c r="AF562" s="344"/>
      <c r="AG562" s="344"/>
      <c r="AH562" s="344"/>
      <c r="AI562" s="344"/>
      <c r="AJ562" s="344"/>
      <c r="AK562" s="344"/>
      <c r="AL562" s="344"/>
      <c r="AM562" s="344"/>
      <c r="AN562" s="344"/>
      <c r="AO562" s="344"/>
    </row>
    <row r="563" spans="1:41" ht="15.75" customHeight="1" x14ac:dyDescent="0.25">
      <c r="A563" s="344"/>
      <c r="B563" s="353"/>
      <c r="C563" s="344"/>
      <c r="D563" s="344"/>
      <c r="E563" s="344"/>
      <c r="F563" s="344"/>
      <c r="G563" s="344"/>
      <c r="H563" s="344"/>
      <c r="I563" s="344"/>
      <c r="J563" s="344"/>
      <c r="K563" s="344"/>
      <c r="L563" s="344"/>
      <c r="M563" s="344"/>
      <c r="N563" s="344"/>
      <c r="O563" s="344"/>
      <c r="P563" s="344"/>
      <c r="Q563" s="344"/>
      <c r="R563" s="344"/>
      <c r="S563" s="344"/>
      <c r="T563" s="344"/>
      <c r="U563" s="344"/>
      <c r="V563" s="344"/>
      <c r="W563" s="344"/>
      <c r="X563" s="344"/>
      <c r="Y563" s="344"/>
      <c r="Z563" s="344"/>
      <c r="AA563" s="344"/>
      <c r="AB563" s="344"/>
      <c r="AC563" s="344"/>
      <c r="AD563" s="344"/>
      <c r="AE563" s="344"/>
      <c r="AF563" s="344"/>
      <c r="AG563" s="344"/>
      <c r="AH563" s="344"/>
      <c r="AI563" s="344"/>
      <c r="AJ563" s="344"/>
      <c r="AK563" s="344"/>
      <c r="AL563" s="344"/>
      <c r="AM563" s="344"/>
      <c r="AN563" s="344"/>
      <c r="AO563" s="344"/>
    </row>
    <row r="564" spans="1:41" ht="15.75" customHeight="1" x14ac:dyDescent="0.25">
      <c r="A564" s="344"/>
      <c r="B564" s="353"/>
      <c r="C564" s="344"/>
      <c r="D564" s="344"/>
      <c r="E564" s="344"/>
      <c r="F564" s="344"/>
      <c r="G564" s="344"/>
      <c r="H564" s="344"/>
      <c r="I564" s="344"/>
      <c r="J564" s="344"/>
      <c r="K564" s="344"/>
      <c r="L564" s="344"/>
      <c r="M564" s="344"/>
      <c r="N564" s="344"/>
      <c r="O564" s="344"/>
      <c r="P564" s="344"/>
      <c r="Q564" s="344"/>
      <c r="R564" s="344"/>
      <c r="S564" s="344"/>
      <c r="T564" s="344"/>
      <c r="U564" s="344"/>
      <c r="V564" s="344"/>
      <c r="W564" s="344"/>
      <c r="X564" s="344"/>
      <c r="Y564" s="344"/>
      <c r="Z564" s="344"/>
      <c r="AA564" s="344"/>
      <c r="AB564" s="344"/>
      <c r="AC564" s="344"/>
      <c r="AD564" s="344"/>
      <c r="AE564" s="344"/>
      <c r="AF564" s="344"/>
      <c r="AG564" s="344"/>
      <c r="AH564" s="344"/>
      <c r="AI564" s="344"/>
      <c r="AJ564" s="344"/>
      <c r="AK564" s="344"/>
      <c r="AL564" s="344"/>
      <c r="AM564" s="344"/>
      <c r="AN564" s="344"/>
      <c r="AO564" s="344"/>
    </row>
    <row r="565" spans="1:41" ht="15.75" customHeight="1" x14ac:dyDescent="0.25">
      <c r="A565" s="344"/>
      <c r="B565" s="353"/>
      <c r="C565" s="344"/>
      <c r="D565" s="344"/>
      <c r="E565" s="344"/>
      <c r="F565" s="344"/>
      <c r="G565" s="344"/>
      <c r="H565" s="344"/>
      <c r="I565" s="344"/>
      <c r="J565" s="344"/>
      <c r="K565" s="344"/>
      <c r="L565" s="344"/>
      <c r="M565" s="344"/>
      <c r="N565" s="344"/>
      <c r="O565" s="344"/>
      <c r="P565" s="344"/>
      <c r="Q565" s="344"/>
      <c r="R565" s="344"/>
      <c r="S565" s="344"/>
      <c r="T565" s="344"/>
      <c r="U565" s="344"/>
      <c r="V565" s="344"/>
      <c r="W565" s="344"/>
      <c r="X565" s="344"/>
      <c r="Y565" s="344"/>
      <c r="Z565" s="344"/>
      <c r="AA565" s="344"/>
      <c r="AB565" s="344"/>
      <c r="AC565" s="344"/>
      <c r="AD565" s="344"/>
      <c r="AE565" s="344"/>
      <c r="AF565" s="344"/>
      <c r="AG565" s="344"/>
      <c r="AH565" s="344"/>
      <c r="AI565" s="344"/>
      <c r="AJ565" s="344"/>
      <c r="AK565" s="344"/>
      <c r="AL565" s="344"/>
      <c r="AM565" s="344"/>
      <c r="AN565" s="344"/>
      <c r="AO565" s="344"/>
    </row>
    <row r="566" spans="1:41" ht="15.75" customHeight="1" x14ac:dyDescent="0.25">
      <c r="A566" s="344"/>
      <c r="B566" s="353"/>
      <c r="C566" s="344"/>
      <c r="D566" s="344"/>
      <c r="E566" s="344"/>
      <c r="F566" s="344"/>
      <c r="G566" s="344"/>
      <c r="H566" s="344"/>
      <c r="I566" s="344"/>
      <c r="J566" s="344"/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  <c r="Y566" s="344"/>
      <c r="Z566" s="344"/>
      <c r="AA566" s="344"/>
      <c r="AB566" s="344"/>
      <c r="AC566" s="344"/>
      <c r="AD566" s="344"/>
      <c r="AE566" s="344"/>
      <c r="AF566" s="344"/>
      <c r="AG566" s="344"/>
      <c r="AH566" s="344"/>
      <c r="AI566" s="344"/>
      <c r="AJ566" s="344"/>
      <c r="AK566" s="344"/>
      <c r="AL566" s="344"/>
      <c r="AM566" s="344"/>
      <c r="AN566" s="344"/>
      <c r="AO566" s="344"/>
    </row>
    <row r="567" spans="1:41" ht="15.75" customHeight="1" x14ac:dyDescent="0.25">
      <c r="A567" s="344"/>
      <c r="B567" s="353"/>
      <c r="C567" s="344"/>
      <c r="D567" s="344"/>
      <c r="E567" s="344"/>
      <c r="F567" s="344"/>
      <c r="G567" s="344"/>
      <c r="H567" s="344"/>
      <c r="I567" s="344"/>
      <c r="J567" s="344"/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  <c r="Y567" s="344"/>
      <c r="Z567" s="344"/>
      <c r="AA567" s="344"/>
      <c r="AB567" s="344"/>
      <c r="AC567" s="344"/>
      <c r="AD567" s="344"/>
      <c r="AE567" s="344"/>
      <c r="AF567" s="344"/>
      <c r="AG567" s="344"/>
      <c r="AH567" s="344"/>
      <c r="AI567" s="344"/>
      <c r="AJ567" s="344"/>
      <c r="AK567" s="344"/>
      <c r="AL567" s="344"/>
      <c r="AM567" s="344"/>
      <c r="AN567" s="344"/>
      <c r="AO567" s="344"/>
    </row>
    <row r="568" spans="1:41" ht="15.75" customHeight="1" x14ac:dyDescent="0.25">
      <c r="A568" s="344"/>
      <c r="B568" s="353"/>
      <c r="C568" s="344"/>
      <c r="D568" s="344"/>
      <c r="E568" s="344"/>
      <c r="F568" s="344"/>
      <c r="G568" s="344"/>
      <c r="H568" s="344"/>
      <c r="I568" s="344"/>
      <c r="J568" s="344"/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  <c r="Y568" s="344"/>
      <c r="Z568" s="344"/>
      <c r="AA568" s="344"/>
      <c r="AB568" s="344"/>
      <c r="AC568" s="344"/>
      <c r="AD568" s="344"/>
      <c r="AE568" s="344"/>
      <c r="AF568" s="344"/>
      <c r="AG568" s="344"/>
      <c r="AH568" s="344"/>
      <c r="AI568" s="344"/>
      <c r="AJ568" s="344"/>
      <c r="AK568" s="344"/>
      <c r="AL568" s="344"/>
      <c r="AM568" s="344"/>
      <c r="AN568" s="344"/>
      <c r="AO568" s="344"/>
    </row>
    <row r="569" spans="1:41" ht="15.75" customHeight="1" x14ac:dyDescent="0.25">
      <c r="A569" s="344"/>
      <c r="B569" s="353"/>
      <c r="C569" s="344"/>
      <c r="D569" s="344"/>
      <c r="E569" s="344"/>
      <c r="F569" s="344"/>
      <c r="G569" s="344"/>
      <c r="H569" s="344"/>
      <c r="I569" s="344"/>
      <c r="J569" s="344"/>
      <c r="K569" s="344"/>
      <c r="L569" s="344"/>
      <c r="M569" s="344"/>
      <c r="N569" s="344"/>
      <c r="O569" s="344"/>
      <c r="P569" s="344"/>
      <c r="Q569" s="344"/>
      <c r="R569" s="344"/>
      <c r="S569" s="344"/>
      <c r="T569" s="344"/>
      <c r="U569" s="344"/>
      <c r="V569" s="344"/>
      <c r="W569" s="344"/>
      <c r="X569" s="344"/>
      <c r="Y569" s="344"/>
      <c r="Z569" s="344"/>
      <c r="AA569" s="344"/>
      <c r="AB569" s="344"/>
      <c r="AC569" s="344"/>
      <c r="AD569" s="344"/>
      <c r="AE569" s="344"/>
      <c r="AF569" s="344"/>
      <c r="AG569" s="344"/>
      <c r="AH569" s="344"/>
      <c r="AI569" s="344"/>
      <c r="AJ569" s="344"/>
      <c r="AK569" s="344"/>
      <c r="AL569" s="344"/>
      <c r="AM569" s="344"/>
      <c r="AN569" s="344"/>
      <c r="AO569" s="344"/>
    </row>
    <row r="570" spans="1:41" ht="15.75" customHeight="1" x14ac:dyDescent="0.25">
      <c r="A570" s="344"/>
      <c r="B570" s="353"/>
      <c r="C570" s="344"/>
      <c r="D570" s="344"/>
      <c r="E570" s="344"/>
      <c r="F570" s="344"/>
      <c r="G570" s="344"/>
      <c r="H570" s="344"/>
      <c r="I570" s="344"/>
      <c r="J570" s="344"/>
      <c r="K570" s="344"/>
      <c r="L570" s="344"/>
      <c r="M570" s="344"/>
      <c r="N570" s="344"/>
      <c r="O570" s="344"/>
      <c r="P570" s="344"/>
      <c r="Q570" s="344"/>
      <c r="R570" s="344"/>
      <c r="S570" s="344"/>
      <c r="T570" s="344"/>
      <c r="U570" s="344"/>
      <c r="V570" s="344"/>
      <c r="W570" s="344"/>
      <c r="X570" s="344"/>
      <c r="Y570" s="344"/>
      <c r="Z570" s="344"/>
      <c r="AA570" s="344"/>
      <c r="AB570" s="344"/>
      <c r="AC570" s="344"/>
      <c r="AD570" s="344"/>
      <c r="AE570" s="344"/>
      <c r="AF570" s="344"/>
      <c r="AG570" s="344"/>
      <c r="AH570" s="344"/>
      <c r="AI570" s="344"/>
      <c r="AJ570" s="344"/>
      <c r="AK570" s="344"/>
      <c r="AL570" s="344"/>
      <c r="AM570" s="344"/>
      <c r="AN570" s="344"/>
      <c r="AO570" s="344"/>
    </row>
    <row r="571" spans="1:41" ht="15.75" customHeight="1" x14ac:dyDescent="0.25">
      <c r="A571" s="344"/>
      <c r="B571" s="353"/>
      <c r="C571" s="344"/>
      <c r="D571" s="344"/>
      <c r="E571" s="344"/>
      <c r="F571" s="344"/>
      <c r="G571" s="344"/>
      <c r="H571" s="344"/>
      <c r="I571" s="344"/>
      <c r="J571" s="344"/>
      <c r="K571" s="344"/>
      <c r="L571" s="344"/>
      <c r="M571" s="344"/>
      <c r="N571" s="344"/>
      <c r="O571" s="344"/>
      <c r="P571" s="344"/>
      <c r="Q571" s="344"/>
      <c r="R571" s="344"/>
      <c r="S571" s="344"/>
      <c r="T571" s="344"/>
      <c r="U571" s="344"/>
      <c r="V571" s="344"/>
      <c r="W571" s="344"/>
      <c r="X571" s="344"/>
      <c r="Y571" s="344"/>
      <c r="Z571" s="344"/>
      <c r="AA571" s="344"/>
      <c r="AB571" s="344"/>
      <c r="AC571" s="344"/>
      <c r="AD571" s="344"/>
      <c r="AE571" s="344"/>
      <c r="AF571" s="344"/>
      <c r="AG571" s="344"/>
      <c r="AH571" s="344"/>
      <c r="AI571" s="344"/>
      <c r="AJ571" s="344"/>
      <c r="AK571" s="344"/>
      <c r="AL571" s="344"/>
      <c r="AM571" s="344"/>
      <c r="AN571" s="344"/>
      <c r="AO571" s="344"/>
    </row>
    <row r="572" spans="1:41" ht="15.75" customHeight="1" x14ac:dyDescent="0.25">
      <c r="A572" s="344"/>
      <c r="B572" s="353"/>
      <c r="C572" s="344"/>
      <c r="D572" s="344"/>
      <c r="E572" s="344"/>
      <c r="F572" s="344"/>
      <c r="G572" s="344"/>
      <c r="H572" s="344"/>
      <c r="I572" s="344"/>
      <c r="J572" s="344"/>
      <c r="K572" s="344"/>
      <c r="L572" s="344"/>
      <c r="M572" s="344"/>
      <c r="N572" s="344"/>
      <c r="O572" s="344"/>
      <c r="P572" s="344"/>
      <c r="Q572" s="344"/>
      <c r="R572" s="344"/>
      <c r="S572" s="344"/>
      <c r="T572" s="344"/>
      <c r="U572" s="344"/>
      <c r="V572" s="344"/>
      <c r="W572" s="344"/>
      <c r="X572" s="344"/>
      <c r="Y572" s="344"/>
      <c r="Z572" s="344"/>
      <c r="AA572" s="344"/>
      <c r="AB572" s="344"/>
      <c r="AC572" s="344"/>
      <c r="AD572" s="344"/>
      <c r="AE572" s="344"/>
      <c r="AF572" s="344"/>
      <c r="AG572" s="344"/>
      <c r="AH572" s="344"/>
      <c r="AI572" s="344"/>
      <c r="AJ572" s="344"/>
      <c r="AK572" s="344"/>
      <c r="AL572" s="344"/>
      <c r="AM572" s="344"/>
      <c r="AN572" s="344"/>
      <c r="AO572" s="344"/>
    </row>
    <row r="573" spans="1:41" ht="15.75" customHeight="1" x14ac:dyDescent="0.25">
      <c r="A573" s="344"/>
      <c r="B573" s="353"/>
      <c r="C573" s="344"/>
      <c r="D573" s="344"/>
      <c r="E573" s="344"/>
      <c r="F573" s="344"/>
      <c r="G573" s="344"/>
      <c r="H573" s="344"/>
      <c r="I573" s="344"/>
      <c r="J573" s="344"/>
      <c r="K573" s="344"/>
      <c r="L573" s="344"/>
      <c r="M573" s="344"/>
      <c r="N573" s="344"/>
      <c r="O573" s="344"/>
      <c r="P573" s="344"/>
      <c r="Q573" s="344"/>
      <c r="R573" s="344"/>
      <c r="S573" s="344"/>
      <c r="T573" s="344"/>
      <c r="U573" s="344"/>
      <c r="V573" s="344"/>
      <c r="W573" s="344"/>
      <c r="X573" s="344"/>
      <c r="Y573" s="344"/>
      <c r="Z573" s="344"/>
      <c r="AA573" s="344"/>
      <c r="AB573" s="344"/>
      <c r="AC573" s="344"/>
      <c r="AD573" s="344"/>
      <c r="AE573" s="344"/>
      <c r="AF573" s="344"/>
      <c r="AG573" s="344"/>
      <c r="AH573" s="344"/>
      <c r="AI573" s="344"/>
      <c r="AJ573" s="344"/>
      <c r="AK573" s="344"/>
      <c r="AL573" s="344"/>
      <c r="AM573" s="344"/>
      <c r="AN573" s="344"/>
      <c r="AO573" s="344"/>
    </row>
    <row r="574" spans="1:41" ht="15.75" customHeight="1" x14ac:dyDescent="0.25">
      <c r="A574" s="344"/>
      <c r="B574" s="353"/>
      <c r="C574" s="344"/>
      <c r="D574" s="344"/>
      <c r="E574" s="344"/>
      <c r="F574" s="344"/>
      <c r="G574" s="344"/>
      <c r="H574" s="344"/>
      <c r="I574" s="344"/>
      <c r="J574" s="344"/>
      <c r="K574" s="344"/>
      <c r="L574" s="344"/>
      <c r="M574" s="344"/>
      <c r="N574" s="344"/>
      <c r="O574" s="344"/>
      <c r="P574" s="344"/>
      <c r="Q574" s="344"/>
      <c r="R574" s="344"/>
      <c r="S574" s="344"/>
      <c r="T574" s="344"/>
      <c r="U574" s="344"/>
      <c r="V574" s="344"/>
      <c r="W574" s="344"/>
      <c r="X574" s="344"/>
      <c r="Y574" s="344"/>
      <c r="Z574" s="344"/>
      <c r="AA574" s="344"/>
      <c r="AB574" s="344"/>
      <c r="AC574" s="344"/>
      <c r="AD574" s="344"/>
      <c r="AE574" s="344"/>
      <c r="AF574" s="344"/>
      <c r="AG574" s="344"/>
      <c r="AH574" s="344"/>
      <c r="AI574" s="344"/>
      <c r="AJ574" s="344"/>
      <c r="AK574" s="344"/>
      <c r="AL574" s="344"/>
      <c r="AM574" s="344"/>
      <c r="AN574" s="344"/>
      <c r="AO574" s="344"/>
    </row>
    <row r="575" spans="1:41" ht="15.75" customHeight="1" x14ac:dyDescent="0.25">
      <c r="A575" s="344"/>
      <c r="B575" s="353"/>
      <c r="C575" s="344"/>
      <c r="D575" s="344"/>
      <c r="E575" s="344"/>
      <c r="F575" s="344"/>
      <c r="G575" s="344"/>
      <c r="H575" s="344"/>
      <c r="I575" s="344"/>
      <c r="J575" s="344"/>
      <c r="K575" s="344"/>
      <c r="L575" s="344"/>
      <c r="M575" s="344"/>
      <c r="N575" s="344"/>
      <c r="O575" s="344"/>
      <c r="P575" s="344"/>
      <c r="Q575" s="344"/>
      <c r="R575" s="344"/>
      <c r="S575" s="344"/>
      <c r="T575" s="344"/>
      <c r="U575" s="344"/>
      <c r="V575" s="344"/>
      <c r="W575" s="344"/>
      <c r="X575" s="344"/>
      <c r="Y575" s="344"/>
      <c r="Z575" s="344"/>
      <c r="AA575" s="344"/>
      <c r="AB575" s="344"/>
      <c r="AC575" s="344"/>
      <c r="AD575" s="344"/>
      <c r="AE575" s="344"/>
      <c r="AF575" s="344"/>
      <c r="AG575" s="344"/>
      <c r="AH575" s="344"/>
      <c r="AI575" s="344"/>
      <c r="AJ575" s="344"/>
      <c r="AK575" s="344"/>
      <c r="AL575" s="344"/>
      <c r="AM575" s="344"/>
      <c r="AN575" s="344"/>
      <c r="AO575" s="344"/>
    </row>
    <row r="576" spans="1:41" ht="15.75" customHeight="1" x14ac:dyDescent="0.25">
      <c r="A576" s="344"/>
      <c r="B576" s="353"/>
      <c r="C576" s="344"/>
      <c r="D576" s="344"/>
      <c r="E576" s="344"/>
      <c r="F576" s="344"/>
      <c r="G576" s="344"/>
      <c r="H576" s="344"/>
      <c r="I576" s="344"/>
      <c r="J576" s="344"/>
      <c r="K576" s="344"/>
      <c r="L576" s="344"/>
      <c r="M576" s="344"/>
      <c r="N576" s="344"/>
      <c r="O576" s="344"/>
      <c r="P576" s="344"/>
      <c r="Q576" s="344"/>
      <c r="R576" s="344"/>
      <c r="S576" s="344"/>
      <c r="T576" s="344"/>
      <c r="U576" s="344"/>
      <c r="V576" s="344"/>
      <c r="W576" s="344"/>
      <c r="X576" s="344"/>
      <c r="Y576" s="344"/>
      <c r="Z576" s="344"/>
      <c r="AA576" s="344"/>
      <c r="AB576" s="344"/>
      <c r="AC576" s="344"/>
      <c r="AD576" s="344"/>
      <c r="AE576" s="344"/>
      <c r="AF576" s="344"/>
      <c r="AG576" s="344"/>
      <c r="AH576" s="344"/>
      <c r="AI576" s="344"/>
      <c r="AJ576" s="344"/>
      <c r="AK576" s="344"/>
      <c r="AL576" s="344"/>
      <c r="AM576" s="344"/>
      <c r="AN576" s="344"/>
      <c r="AO576" s="344"/>
    </row>
    <row r="577" spans="1:41" ht="15.75" customHeight="1" x14ac:dyDescent="0.25">
      <c r="A577" s="344"/>
      <c r="B577" s="353"/>
      <c r="C577" s="344"/>
      <c r="D577" s="344"/>
      <c r="E577" s="344"/>
      <c r="F577" s="344"/>
      <c r="G577" s="344"/>
      <c r="H577" s="344"/>
      <c r="I577" s="344"/>
      <c r="J577" s="344"/>
      <c r="K577" s="344"/>
      <c r="L577" s="344"/>
      <c r="M577" s="344"/>
      <c r="N577" s="344"/>
      <c r="O577" s="344"/>
      <c r="P577" s="344"/>
      <c r="Q577" s="344"/>
      <c r="R577" s="344"/>
      <c r="S577" s="344"/>
      <c r="T577" s="344"/>
      <c r="U577" s="344"/>
      <c r="V577" s="344"/>
      <c r="W577" s="344"/>
      <c r="X577" s="344"/>
      <c r="Y577" s="344"/>
      <c r="Z577" s="344"/>
      <c r="AA577" s="344"/>
      <c r="AB577" s="344"/>
      <c r="AC577" s="344"/>
      <c r="AD577" s="344"/>
      <c r="AE577" s="344"/>
      <c r="AF577" s="344"/>
      <c r="AG577" s="344"/>
      <c r="AH577" s="344"/>
      <c r="AI577" s="344"/>
      <c r="AJ577" s="344"/>
      <c r="AK577" s="344"/>
      <c r="AL577" s="344"/>
      <c r="AM577" s="344"/>
      <c r="AN577" s="344"/>
      <c r="AO577" s="344"/>
    </row>
    <row r="578" spans="1:41" ht="15.75" customHeight="1" x14ac:dyDescent="0.25">
      <c r="A578" s="344"/>
      <c r="B578" s="353"/>
      <c r="C578" s="344"/>
      <c r="D578" s="344"/>
      <c r="E578" s="344"/>
      <c r="F578" s="344"/>
      <c r="G578" s="344"/>
      <c r="H578" s="344"/>
      <c r="I578" s="344"/>
      <c r="J578" s="344"/>
      <c r="K578" s="344"/>
      <c r="L578" s="344"/>
      <c r="M578" s="344"/>
      <c r="N578" s="344"/>
      <c r="O578" s="344"/>
      <c r="P578" s="344"/>
      <c r="Q578" s="344"/>
      <c r="R578" s="344"/>
      <c r="S578" s="344"/>
      <c r="T578" s="344"/>
      <c r="U578" s="344"/>
      <c r="V578" s="344"/>
      <c r="W578" s="344"/>
      <c r="X578" s="344"/>
      <c r="Y578" s="344"/>
      <c r="Z578" s="344"/>
      <c r="AA578" s="344"/>
      <c r="AB578" s="344"/>
      <c r="AC578" s="344"/>
      <c r="AD578" s="344"/>
      <c r="AE578" s="344"/>
      <c r="AF578" s="344"/>
      <c r="AG578" s="344"/>
      <c r="AH578" s="344"/>
      <c r="AI578" s="344"/>
      <c r="AJ578" s="344"/>
      <c r="AK578" s="344"/>
      <c r="AL578" s="344"/>
      <c r="AM578" s="344"/>
      <c r="AN578" s="344"/>
      <c r="AO578" s="344"/>
    </row>
    <row r="579" spans="1:41" ht="15.75" customHeight="1" x14ac:dyDescent="0.25">
      <c r="A579" s="344"/>
      <c r="B579" s="353"/>
      <c r="C579" s="344"/>
      <c r="D579" s="344"/>
      <c r="E579" s="344"/>
      <c r="F579" s="344"/>
      <c r="G579" s="344"/>
      <c r="H579" s="344"/>
      <c r="I579" s="344"/>
      <c r="J579" s="344"/>
      <c r="K579" s="344"/>
      <c r="L579" s="344"/>
      <c r="M579" s="344"/>
      <c r="N579" s="344"/>
      <c r="O579" s="344"/>
      <c r="P579" s="344"/>
      <c r="Q579" s="344"/>
      <c r="R579" s="344"/>
      <c r="S579" s="344"/>
      <c r="T579" s="344"/>
      <c r="U579" s="344"/>
      <c r="V579" s="344"/>
      <c r="W579" s="344"/>
      <c r="X579" s="344"/>
      <c r="Y579" s="344"/>
      <c r="Z579" s="344"/>
      <c r="AA579" s="344"/>
      <c r="AB579" s="344"/>
      <c r="AC579" s="344"/>
      <c r="AD579" s="344"/>
      <c r="AE579" s="344"/>
      <c r="AF579" s="344"/>
      <c r="AG579" s="344"/>
      <c r="AH579" s="344"/>
      <c r="AI579" s="344"/>
      <c r="AJ579" s="344"/>
      <c r="AK579" s="344"/>
      <c r="AL579" s="344"/>
      <c r="AM579" s="344"/>
      <c r="AN579" s="344"/>
      <c r="AO579" s="344"/>
    </row>
    <row r="580" spans="1:41" ht="15.75" customHeight="1" x14ac:dyDescent="0.25">
      <c r="A580" s="344"/>
      <c r="B580" s="353"/>
      <c r="C580" s="344"/>
      <c r="D580" s="344"/>
      <c r="E580" s="344"/>
      <c r="F580" s="344"/>
      <c r="G580" s="344"/>
      <c r="H580" s="344"/>
      <c r="I580" s="344"/>
      <c r="J580" s="344"/>
      <c r="K580" s="344"/>
      <c r="L580" s="344"/>
      <c r="M580" s="344"/>
      <c r="N580" s="344"/>
      <c r="O580" s="344"/>
      <c r="P580" s="344"/>
      <c r="Q580" s="344"/>
      <c r="R580" s="344"/>
      <c r="S580" s="344"/>
      <c r="T580" s="344"/>
      <c r="U580" s="344"/>
      <c r="V580" s="344"/>
      <c r="W580" s="344"/>
      <c r="X580" s="344"/>
      <c r="Y580" s="344"/>
      <c r="Z580" s="344"/>
      <c r="AA580" s="344"/>
      <c r="AB580" s="344"/>
      <c r="AC580" s="344"/>
      <c r="AD580" s="344"/>
      <c r="AE580" s="344"/>
      <c r="AF580" s="344"/>
      <c r="AG580" s="344"/>
      <c r="AH580" s="344"/>
      <c r="AI580" s="344"/>
      <c r="AJ580" s="344"/>
      <c r="AK580" s="344"/>
      <c r="AL580" s="344"/>
      <c r="AM580" s="344"/>
      <c r="AN580" s="344"/>
      <c r="AO580" s="344"/>
    </row>
    <row r="581" spans="1:41" ht="15.75" customHeight="1" x14ac:dyDescent="0.25">
      <c r="A581" s="344"/>
      <c r="B581" s="353"/>
      <c r="C581" s="344"/>
      <c r="D581" s="344"/>
      <c r="E581" s="344"/>
      <c r="F581" s="344"/>
      <c r="G581" s="344"/>
      <c r="H581" s="344"/>
      <c r="I581" s="344"/>
      <c r="J581" s="344"/>
      <c r="K581" s="344"/>
      <c r="L581" s="344"/>
      <c r="M581" s="344"/>
      <c r="N581" s="344"/>
      <c r="O581" s="344"/>
      <c r="P581" s="344"/>
      <c r="Q581" s="344"/>
      <c r="R581" s="344"/>
      <c r="S581" s="344"/>
      <c r="T581" s="344"/>
      <c r="U581" s="344"/>
      <c r="V581" s="344"/>
      <c r="W581" s="344"/>
      <c r="X581" s="344"/>
      <c r="Y581" s="344"/>
      <c r="Z581" s="344"/>
      <c r="AA581" s="344"/>
      <c r="AB581" s="344"/>
      <c r="AC581" s="344"/>
      <c r="AD581" s="344"/>
      <c r="AE581" s="344"/>
      <c r="AF581" s="344"/>
      <c r="AG581" s="344"/>
      <c r="AH581" s="344"/>
      <c r="AI581" s="344"/>
      <c r="AJ581" s="344"/>
      <c r="AK581" s="344"/>
      <c r="AL581" s="344"/>
      <c r="AM581" s="344"/>
      <c r="AN581" s="344"/>
      <c r="AO581" s="344"/>
    </row>
    <row r="582" spans="1:41" ht="15.75" customHeight="1" x14ac:dyDescent="0.25">
      <c r="A582" s="344"/>
      <c r="B582" s="353"/>
      <c r="C582" s="344"/>
      <c r="D582" s="344"/>
      <c r="E582" s="344"/>
      <c r="F582" s="344"/>
      <c r="G582" s="344"/>
      <c r="H582" s="344"/>
      <c r="I582" s="344"/>
      <c r="J582" s="344"/>
      <c r="K582" s="344"/>
      <c r="L582" s="344"/>
      <c r="M582" s="344"/>
      <c r="N582" s="344"/>
      <c r="O582" s="344"/>
      <c r="P582" s="344"/>
      <c r="Q582" s="344"/>
      <c r="R582" s="344"/>
      <c r="S582" s="344"/>
      <c r="T582" s="344"/>
      <c r="U582" s="344"/>
      <c r="V582" s="344"/>
      <c r="W582" s="344"/>
      <c r="X582" s="344"/>
      <c r="Y582" s="344"/>
      <c r="Z582" s="344"/>
      <c r="AA582" s="344"/>
      <c r="AB582" s="344"/>
      <c r="AC582" s="344"/>
      <c r="AD582" s="344"/>
      <c r="AE582" s="344"/>
      <c r="AF582" s="344"/>
      <c r="AG582" s="344"/>
      <c r="AH582" s="344"/>
      <c r="AI582" s="344"/>
      <c r="AJ582" s="344"/>
      <c r="AK582" s="344"/>
      <c r="AL582" s="344"/>
      <c r="AM582" s="344"/>
      <c r="AN582" s="344"/>
      <c r="AO582" s="344"/>
    </row>
    <row r="583" spans="1:41" ht="15.75" customHeight="1" x14ac:dyDescent="0.25">
      <c r="A583" s="344"/>
      <c r="B583" s="353"/>
      <c r="C583" s="344"/>
      <c r="D583" s="344"/>
      <c r="E583" s="344"/>
      <c r="F583" s="344"/>
      <c r="G583" s="344"/>
      <c r="H583" s="344"/>
      <c r="I583" s="344"/>
      <c r="J583" s="344"/>
      <c r="K583" s="344"/>
      <c r="L583" s="344"/>
      <c r="M583" s="344"/>
      <c r="N583" s="344"/>
      <c r="O583" s="344"/>
      <c r="P583" s="344"/>
      <c r="Q583" s="344"/>
      <c r="R583" s="344"/>
      <c r="S583" s="344"/>
      <c r="T583" s="344"/>
      <c r="U583" s="344"/>
      <c r="V583" s="344"/>
      <c r="W583" s="344"/>
      <c r="X583" s="344"/>
      <c r="Y583" s="344"/>
      <c r="Z583" s="344"/>
      <c r="AA583" s="344"/>
      <c r="AB583" s="344"/>
      <c r="AC583" s="344"/>
      <c r="AD583" s="344"/>
      <c r="AE583" s="344"/>
      <c r="AF583" s="344"/>
      <c r="AG583" s="344"/>
      <c r="AH583" s="344"/>
      <c r="AI583" s="344"/>
      <c r="AJ583" s="344"/>
      <c r="AK583" s="344"/>
      <c r="AL583" s="344"/>
      <c r="AM583" s="344"/>
      <c r="AN583" s="344"/>
      <c r="AO583" s="344"/>
    </row>
    <row r="584" spans="1:41" ht="15.75" customHeight="1" x14ac:dyDescent="0.25">
      <c r="A584" s="344"/>
      <c r="B584" s="353"/>
      <c r="C584" s="344"/>
      <c r="D584" s="344"/>
      <c r="E584" s="344"/>
      <c r="F584" s="344"/>
      <c r="G584" s="344"/>
      <c r="H584" s="344"/>
      <c r="I584" s="344"/>
      <c r="J584" s="344"/>
      <c r="K584" s="344"/>
      <c r="L584" s="344"/>
      <c r="M584" s="344"/>
      <c r="N584" s="344"/>
      <c r="O584" s="344"/>
      <c r="P584" s="344"/>
      <c r="Q584" s="344"/>
      <c r="R584" s="344"/>
      <c r="S584" s="344"/>
      <c r="T584" s="344"/>
      <c r="U584" s="344"/>
      <c r="V584" s="344"/>
      <c r="W584" s="344"/>
      <c r="X584" s="344"/>
      <c r="Y584" s="344"/>
      <c r="Z584" s="344"/>
      <c r="AA584" s="344"/>
      <c r="AB584" s="344"/>
      <c r="AC584" s="344"/>
      <c r="AD584" s="344"/>
      <c r="AE584" s="344"/>
      <c r="AF584" s="344"/>
      <c r="AG584" s="344"/>
      <c r="AH584" s="344"/>
      <c r="AI584" s="344"/>
      <c r="AJ584" s="344"/>
      <c r="AK584" s="344"/>
      <c r="AL584" s="344"/>
      <c r="AM584" s="344"/>
      <c r="AN584" s="344"/>
      <c r="AO584" s="344"/>
    </row>
    <row r="585" spans="1:41" ht="15.75" customHeight="1" x14ac:dyDescent="0.25">
      <c r="A585" s="344"/>
      <c r="B585" s="353"/>
      <c r="C585" s="344"/>
      <c r="D585" s="344"/>
      <c r="E585" s="344"/>
      <c r="F585" s="344"/>
      <c r="G585" s="344"/>
      <c r="H585" s="344"/>
      <c r="I585" s="344"/>
      <c r="J585" s="344"/>
      <c r="K585" s="344"/>
      <c r="L585" s="344"/>
      <c r="M585" s="344"/>
      <c r="N585" s="344"/>
      <c r="O585" s="344"/>
      <c r="P585" s="344"/>
      <c r="Q585" s="344"/>
      <c r="R585" s="344"/>
      <c r="S585" s="344"/>
      <c r="T585" s="344"/>
      <c r="U585" s="344"/>
      <c r="V585" s="344"/>
      <c r="W585" s="344"/>
      <c r="X585" s="344"/>
      <c r="Y585" s="344"/>
      <c r="Z585" s="344"/>
      <c r="AA585" s="344"/>
      <c r="AB585" s="344"/>
      <c r="AC585" s="344"/>
      <c r="AD585" s="344"/>
      <c r="AE585" s="344"/>
      <c r="AF585" s="344"/>
      <c r="AG585" s="344"/>
      <c r="AH585" s="344"/>
      <c r="AI585" s="344"/>
      <c r="AJ585" s="344"/>
      <c r="AK585" s="344"/>
      <c r="AL585" s="344"/>
      <c r="AM585" s="344"/>
      <c r="AN585" s="344"/>
      <c r="AO585" s="344"/>
    </row>
    <row r="586" spans="1:41" ht="15.75" customHeight="1" x14ac:dyDescent="0.25">
      <c r="A586" s="344"/>
      <c r="B586" s="353"/>
      <c r="C586" s="344"/>
      <c r="D586" s="344"/>
      <c r="E586" s="344"/>
      <c r="F586" s="344"/>
      <c r="G586" s="344"/>
      <c r="H586" s="344"/>
      <c r="I586" s="344"/>
      <c r="J586" s="344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  <c r="Y586" s="344"/>
      <c r="Z586" s="344"/>
      <c r="AA586" s="344"/>
      <c r="AB586" s="344"/>
      <c r="AC586" s="344"/>
      <c r="AD586" s="344"/>
      <c r="AE586" s="344"/>
      <c r="AF586" s="344"/>
      <c r="AG586" s="344"/>
      <c r="AH586" s="344"/>
      <c r="AI586" s="344"/>
      <c r="AJ586" s="344"/>
      <c r="AK586" s="344"/>
      <c r="AL586" s="344"/>
      <c r="AM586" s="344"/>
      <c r="AN586" s="344"/>
      <c r="AO586" s="344"/>
    </row>
    <row r="587" spans="1:41" ht="15.75" customHeight="1" x14ac:dyDescent="0.25">
      <c r="A587" s="344"/>
      <c r="B587" s="353"/>
      <c r="C587" s="344"/>
      <c r="D587" s="344"/>
      <c r="E587" s="344"/>
      <c r="F587" s="344"/>
      <c r="G587" s="344"/>
      <c r="H587" s="344"/>
      <c r="I587" s="344"/>
      <c r="J587" s="344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  <c r="Y587" s="344"/>
      <c r="Z587" s="344"/>
      <c r="AA587" s="344"/>
      <c r="AB587" s="344"/>
      <c r="AC587" s="344"/>
      <c r="AD587" s="344"/>
      <c r="AE587" s="344"/>
      <c r="AF587" s="344"/>
      <c r="AG587" s="344"/>
      <c r="AH587" s="344"/>
      <c r="AI587" s="344"/>
      <c r="AJ587" s="344"/>
      <c r="AK587" s="344"/>
      <c r="AL587" s="344"/>
      <c r="AM587" s="344"/>
      <c r="AN587" s="344"/>
      <c r="AO587" s="344"/>
    </row>
    <row r="588" spans="1:41" ht="15.75" customHeight="1" x14ac:dyDescent="0.25">
      <c r="A588" s="344"/>
      <c r="B588" s="353"/>
      <c r="C588" s="344"/>
      <c r="D588" s="344"/>
      <c r="E588" s="344"/>
      <c r="F588" s="344"/>
      <c r="G588" s="344"/>
      <c r="H588" s="344"/>
      <c r="I588" s="344"/>
      <c r="J588" s="344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  <c r="Y588" s="344"/>
      <c r="Z588" s="344"/>
      <c r="AA588" s="344"/>
      <c r="AB588" s="344"/>
      <c r="AC588" s="344"/>
      <c r="AD588" s="344"/>
      <c r="AE588" s="344"/>
      <c r="AF588" s="344"/>
      <c r="AG588" s="344"/>
      <c r="AH588" s="344"/>
      <c r="AI588" s="344"/>
      <c r="AJ588" s="344"/>
      <c r="AK588" s="344"/>
      <c r="AL588" s="344"/>
      <c r="AM588" s="344"/>
      <c r="AN588" s="344"/>
      <c r="AO588" s="344"/>
    </row>
    <row r="589" spans="1:41" ht="15.75" customHeight="1" x14ac:dyDescent="0.25">
      <c r="A589" s="344"/>
      <c r="B589" s="353"/>
      <c r="C589" s="344"/>
      <c r="D589" s="344"/>
      <c r="E589" s="344"/>
      <c r="F589" s="344"/>
      <c r="G589" s="344"/>
      <c r="H589" s="344"/>
      <c r="I589" s="344"/>
      <c r="J589" s="344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  <c r="Y589" s="344"/>
      <c r="Z589" s="344"/>
      <c r="AA589" s="344"/>
      <c r="AB589" s="344"/>
      <c r="AC589" s="344"/>
      <c r="AD589" s="344"/>
      <c r="AE589" s="344"/>
      <c r="AF589" s="344"/>
      <c r="AG589" s="344"/>
      <c r="AH589" s="344"/>
      <c r="AI589" s="344"/>
      <c r="AJ589" s="344"/>
      <c r="AK589" s="344"/>
      <c r="AL589" s="344"/>
      <c r="AM589" s="344"/>
      <c r="AN589" s="344"/>
      <c r="AO589" s="344"/>
    </row>
    <row r="590" spans="1:41" ht="15.75" customHeight="1" x14ac:dyDescent="0.25">
      <c r="A590" s="344"/>
      <c r="B590" s="353"/>
      <c r="C590" s="344"/>
      <c r="D590" s="344"/>
      <c r="E590" s="344"/>
      <c r="F590" s="344"/>
      <c r="G590" s="344"/>
      <c r="H590" s="344"/>
      <c r="I590" s="344"/>
      <c r="J590" s="344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  <c r="Y590" s="344"/>
      <c r="Z590" s="344"/>
      <c r="AA590" s="344"/>
      <c r="AB590" s="344"/>
      <c r="AC590" s="344"/>
      <c r="AD590" s="344"/>
      <c r="AE590" s="344"/>
      <c r="AF590" s="344"/>
      <c r="AG590" s="344"/>
      <c r="AH590" s="344"/>
      <c r="AI590" s="344"/>
      <c r="AJ590" s="344"/>
      <c r="AK590" s="344"/>
      <c r="AL590" s="344"/>
      <c r="AM590" s="344"/>
      <c r="AN590" s="344"/>
      <c r="AO590" s="344"/>
    </row>
    <row r="591" spans="1:41" ht="15.75" customHeight="1" x14ac:dyDescent="0.25">
      <c r="A591" s="344"/>
      <c r="B591" s="353"/>
      <c r="C591" s="344"/>
      <c r="D591" s="344"/>
      <c r="E591" s="344"/>
      <c r="F591" s="344"/>
      <c r="G591" s="344"/>
      <c r="H591" s="344"/>
      <c r="I591" s="344"/>
      <c r="J591" s="344"/>
      <c r="K591" s="344"/>
      <c r="L591" s="344"/>
      <c r="M591" s="344"/>
      <c r="N591" s="344"/>
      <c r="O591" s="344"/>
      <c r="P591" s="344"/>
      <c r="Q591" s="344"/>
      <c r="R591" s="344"/>
      <c r="S591" s="344"/>
      <c r="T591" s="344"/>
      <c r="U591" s="344"/>
      <c r="V591" s="344"/>
      <c r="W591" s="344"/>
      <c r="X591" s="344"/>
      <c r="Y591" s="344"/>
      <c r="Z591" s="344"/>
      <c r="AA591" s="344"/>
      <c r="AB591" s="344"/>
      <c r="AC591" s="344"/>
      <c r="AD591" s="344"/>
      <c r="AE591" s="344"/>
      <c r="AF591" s="344"/>
      <c r="AG591" s="344"/>
      <c r="AH591" s="344"/>
      <c r="AI591" s="344"/>
      <c r="AJ591" s="344"/>
      <c r="AK591" s="344"/>
      <c r="AL591" s="344"/>
      <c r="AM591" s="344"/>
      <c r="AN591" s="344"/>
      <c r="AO591" s="344"/>
    </row>
    <row r="592" spans="1:41" ht="15.75" customHeight="1" x14ac:dyDescent="0.25">
      <c r="A592" s="344"/>
      <c r="B592" s="353"/>
      <c r="C592" s="344"/>
      <c r="D592" s="344"/>
      <c r="E592" s="344"/>
      <c r="F592" s="344"/>
      <c r="G592" s="344"/>
      <c r="H592" s="344"/>
      <c r="I592" s="344"/>
      <c r="J592" s="344"/>
      <c r="K592" s="344"/>
      <c r="L592" s="344"/>
      <c r="M592" s="344"/>
      <c r="N592" s="344"/>
      <c r="O592" s="344"/>
      <c r="P592" s="344"/>
      <c r="Q592" s="344"/>
      <c r="R592" s="344"/>
      <c r="S592" s="344"/>
      <c r="T592" s="344"/>
      <c r="U592" s="344"/>
      <c r="V592" s="344"/>
      <c r="W592" s="344"/>
      <c r="X592" s="344"/>
      <c r="Y592" s="344"/>
      <c r="Z592" s="344"/>
      <c r="AA592" s="344"/>
      <c r="AB592" s="344"/>
      <c r="AC592" s="344"/>
      <c r="AD592" s="344"/>
      <c r="AE592" s="344"/>
      <c r="AF592" s="344"/>
      <c r="AG592" s="344"/>
      <c r="AH592" s="344"/>
      <c r="AI592" s="344"/>
      <c r="AJ592" s="344"/>
      <c r="AK592" s="344"/>
      <c r="AL592" s="344"/>
      <c r="AM592" s="344"/>
      <c r="AN592" s="344"/>
      <c r="AO592" s="344"/>
    </row>
    <row r="593" spans="1:41" ht="15.75" customHeight="1" x14ac:dyDescent="0.25">
      <c r="A593" s="344"/>
      <c r="B593" s="353"/>
      <c r="C593" s="344"/>
      <c r="D593" s="344"/>
      <c r="E593" s="344"/>
      <c r="F593" s="344"/>
      <c r="G593" s="344"/>
      <c r="H593" s="344"/>
      <c r="I593" s="344"/>
      <c r="J593" s="344"/>
      <c r="K593" s="344"/>
      <c r="L593" s="344"/>
      <c r="M593" s="344"/>
      <c r="N593" s="344"/>
      <c r="O593" s="344"/>
      <c r="P593" s="344"/>
      <c r="Q593" s="344"/>
      <c r="R593" s="344"/>
      <c r="S593" s="344"/>
      <c r="T593" s="344"/>
      <c r="U593" s="344"/>
      <c r="V593" s="344"/>
      <c r="W593" s="344"/>
      <c r="X593" s="344"/>
      <c r="Y593" s="344"/>
      <c r="Z593" s="344"/>
      <c r="AA593" s="344"/>
      <c r="AB593" s="344"/>
      <c r="AC593" s="344"/>
      <c r="AD593" s="344"/>
      <c r="AE593" s="344"/>
      <c r="AF593" s="344"/>
      <c r="AG593" s="344"/>
      <c r="AH593" s="344"/>
      <c r="AI593" s="344"/>
      <c r="AJ593" s="344"/>
      <c r="AK593" s="344"/>
      <c r="AL593" s="344"/>
      <c r="AM593" s="344"/>
      <c r="AN593" s="344"/>
      <c r="AO593" s="344"/>
    </row>
    <row r="594" spans="1:41" ht="15.75" customHeight="1" x14ac:dyDescent="0.25">
      <c r="A594" s="344"/>
      <c r="B594" s="353"/>
      <c r="C594" s="344"/>
      <c r="D594" s="344"/>
      <c r="E594" s="344"/>
      <c r="F594" s="344"/>
      <c r="G594" s="344"/>
      <c r="H594" s="344"/>
      <c r="I594" s="344"/>
      <c r="J594" s="344"/>
      <c r="K594" s="344"/>
      <c r="L594" s="344"/>
      <c r="M594" s="344"/>
      <c r="N594" s="344"/>
      <c r="O594" s="344"/>
      <c r="P594" s="344"/>
      <c r="Q594" s="344"/>
      <c r="R594" s="344"/>
      <c r="S594" s="344"/>
      <c r="T594" s="344"/>
      <c r="U594" s="344"/>
      <c r="V594" s="344"/>
      <c r="W594" s="344"/>
      <c r="X594" s="344"/>
      <c r="Y594" s="344"/>
      <c r="Z594" s="344"/>
      <c r="AA594" s="344"/>
      <c r="AB594" s="344"/>
      <c r="AC594" s="344"/>
      <c r="AD594" s="344"/>
      <c r="AE594" s="344"/>
      <c r="AF594" s="344"/>
      <c r="AG594" s="344"/>
      <c r="AH594" s="344"/>
      <c r="AI594" s="344"/>
      <c r="AJ594" s="344"/>
      <c r="AK594" s="344"/>
      <c r="AL594" s="344"/>
      <c r="AM594" s="344"/>
      <c r="AN594" s="344"/>
      <c r="AO594" s="344"/>
    </row>
    <row r="595" spans="1:41" ht="15.75" customHeight="1" x14ac:dyDescent="0.25">
      <c r="A595" s="344"/>
      <c r="B595" s="353"/>
      <c r="C595" s="344"/>
      <c r="D595" s="344"/>
      <c r="E595" s="344"/>
      <c r="F595" s="344"/>
      <c r="G595" s="344"/>
      <c r="H595" s="344"/>
      <c r="I595" s="344"/>
      <c r="J595" s="344"/>
      <c r="K595" s="344"/>
      <c r="L595" s="344"/>
      <c r="M595" s="344"/>
      <c r="N595" s="344"/>
      <c r="O595" s="344"/>
      <c r="P595" s="344"/>
      <c r="Q595" s="344"/>
      <c r="R595" s="344"/>
      <c r="S595" s="344"/>
      <c r="T595" s="344"/>
      <c r="U595" s="344"/>
      <c r="V595" s="344"/>
      <c r="W595" s="344"/>
      <c r="X595" s="344"/>
      <c r="Y595" s="344"/>
      <c r="Z595" s="344"/>
      <c r="AA595" s="344"/>
      <c r="AB595" s="344"/>
      <c r="AC595" s="344"/>
      <c r="AD595" s="344"/>
      <c r="AE595" s="344"/>
      <c r="AF595" s="344"/>
      <c r="AG595" s="344"/>
      <c r="AH595" s="344"/>
      <c r="AI595" s="344"/>
      <c r="AJ595" s="344"/>
      <c r="AK595" s="344"/>
      <c r="AL595" s="344"/>
      <c r="AM595" s="344"/>
      <c r="AN595" s="344"/>
      <c r="AO595" s="344"/>
    </row>
    <row r="596" spans="1:41" ht="15.75" customHeight="1" x14ac:dyDescent="0.25">
      <c r="A596" s="344"/>
      <c r="B596" s="353"/>
      <c r="C596" s="344"/>
      <c r="D596" s="344"/>
      <c r="E596" s="344"/>
      <c r="F596" s="344"/>
      <c r="G596" s="344"/>
      <c r="H596" s="344"/>
      <c r="I596" s="344"/>
      <c r="J596" s="344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  <c r="Y596" s="344"/>
      <c r="Z596" s="344"/>
      <c r="AA596" s="344"/>
      <c r="AB596" s="344"/>
      <c r="AC596" s="344"/>
      <c r="AD596" s="344"/>
      <c r="AE596" s="344"/>
      <c r="AF596" s="344"/>
      <c r="AG596" s="344"/>
      <c r="AH596" s="344"/>
      <c r="AI596" s="344"/>
      <c r="AJ596" s="344"/>
      <c r="AK596" s="344"/>
      <c r="AL596" s="344"/>
      <c r="AM596" s="344"/>
      <c r="AN596" s="344"/>
      <c r="AO596" s="344"/>
    </row>
    <row r="597" spans="1:41" ht="15.75" customHeight="1" x14ac:dyDescent="0.25">
      <c r="A597" s="344"/>
      <c r="B597" s="353"/>
      <c r="C597" s="344"/>
      <c r="D597" s="344"/>
      <c r="E597" s="344"/>
      <c r="F597" s="344"/>
      <c r="G597" s="344"/>
      <c r="H597" s="344"/>
      <c r="I597" s="344"/>
      <c r="J597" s="344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  <c r="Y597" s="344"/>
      <c r="Z597" s="344"/>
      <c r="AA597" s="344"/>
      <c r="AB597" s="344"/>
      <c r="AC597" s="344"/>
      <c r="AD597" s="344"/>
      <c r="AE597" s="344"/>
      <c r="AF597" s="344"/>
      <c r="AG597" s="344"/>
      <c r="AH597" s="344"/>
      <c r="AI597" s="344"/>
      <c r="AJ597" s="344"/>
      <c r="AK597" s="344"/>
      <c r="AL597" s="344"/>
      <c r="AM597" s="344"/>
      <c r="AN597" s="344"/>
      <c r="AO597" s="344"/>
    </row>
    <row r="598" spans="1:41" ht="15.75" customHeight="1" x14ac:dyDescent="0.25">
      <c r="A598" s="344"/>
      <c r="B598" s="353"/>
      <c r="C598" s="344"/>
      <c r="D598" s="344"/>
      <c r="E598" s="344"/>
      <c r="F598" s="344"/>
      <c r="G598" s="344"/>
      <c r="H598" s="344"/>
      <c r="I598" s="344"/>
      <c r="J598" s="344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  <c r="Y598" s="344"/>
      <c r="Z598" s="344"/>
      <c r="AA598" s="344"/>
      <c r="AB598" s="344"/>
      <c r="AC598" s="344"/>
      <c r="AD598" s="344"/>
      <c r="AE598" s="344"/>
      <c r="AF598" s="344"/>
      <c r="AG598" s="344"/>
      <c r="AH598" s="344"/>
      <c r="AI598" s="344"/>
      <c r="AJ598" s="344"/>
      <c r="AK598" s="344"/>
      <c r="AL598" s="344"/>
      <c r="AM598" s="344"/>
      <c r="AN598" s="344"/>
      <c r="AO598" s="344"/>
    </row>
    <row r="599" spans="1:41" ht="15.75" customHeight="1" x14ac:dyDescent="0.25">
      <c r="A599" s="344"/>
      <c r="B599" s="353"/>
      <c r="C599" s="344"/>
      <c r="D599" s="344"/>
      <c r="E599" s="344"/>
      <c r="F599" s="344"/>
      <c r="G599" s="344"/>
      <c r="H599" s="344"/>
      <c r="I599" s="344"/>
      <c r="J599" s="344"/>
      <c r="K599" s="344"/>
      <c r="L599" s="344"/>
      <c r="M599" s="344"/>
      <c r="N599" s="344"/>
      <c r="O599" s="344"/>
      <c r="P599" s="344"/>
      <c r="Q599" s="344"/>
      <c r="R599" s="344"/>
      <c r="S599" s="344"/>
      <c r="T599" s="344"/>
      <c r="U599" s="344"/>
      <c r="V599" s="344"/>
      <c r="W599" s="344"/>
      <c r="X599" s="344"/>
      <c r="Y599" s="344"/>
      <c r="Z599" s="344"/>
      <c r="AA599" s="344"/>
      <c r="AB599" s="344"/>
      <c r="AC599" s="344"/>
      <c r="AD599" s="344"/>
      <c r="AE599" s="344"/>
      <c r="AF599" s="344"/>
      <c r="AG599" s="344"/>
      <c r="AH599" s="344"/>
      <c r="AI599" s="344"/>
      <c r="AJ599" s="344"/>
      <c r="AK599" s="344"/>
      <c r="AL599" s="344"/>
      <c r="AM599" s="344"/>
      <c r="AN599" s="344"/>
      <c r="AO599" s="344"/>
    </row>
    <row r="600" spans="1:41" ht="15.75" customHeight="1" x14ac:dyDescent="0.25">
      <c r="A600" s="344"/>
      <c r="B600" s="353"/>
      <c r="C600" s="344"/>
      <c r="D600" s="344"/>
      <c r="E600" s="344"/>
      <c r="F600" s="344"/>
      <c r="G600" s="344"/>
      <c r="H600" s="344"/>
      <c r="I600" s="344"/>
      <c r="J600" s="344"/>
      <c r="K600" s="344"/>
      <c r="L600" s="344"/>
      <c r="M600" s="344"/>
      <c r="N600" s="344"/>
      <c r="O600" s="344"/>
      <c r="P600" s="344"/>
      <c r="Q600" s="344"/>
      <c r="R600" s="344"/>
      <c r="S600" s="344"/>
      <c r="T600" s="344"/>
      <c r="U600" s="344"/>
      <c r="V600" s="344"/>
      <c r="W600" s="344"/>
      <c r="X600" s="344"/>
      <c r="Y600" s="344"/>
      <c r="Z600" s="344"/>
      <c r="AA600" s="344"/>
      <c r="AB600" s="344"/>
      <c r="AC600" s="344"/>
      <c r="AD600" s="344"/>
      <c r="AE600" s="344"/>
      <c r="AF600" s="344"/>
      <c r="AG600" s="344"/>
      <c r="AH600" s="344"/>
      <c r="AI600" s="344"/>
      <c r="AJ600" s="344"/>
      <c r="AK600" s="344"/>
      <c r="AL600" s="344"/>
      <c r="AM600" s="344"/>
      <c r="AN600" s="344"/>
      <c r="AO600" s="344"/>
    </row>
    <row r="601" spans="1:41" ht="15.75" customHeight="1" x14ac:dyDescent="0.25">
      <c r="A601" s="344"/>
      <c r="B601" s="353"/>
      <c r="C601" s="344"/>
      <c r="D601" s="344"/>
      <c r="E601" s="344"/>
      <c r="F601" s="344"/>
      <c r="G601" s="344"/>
      <c r="H601" s="344"/>
      <c r="I601" s="344"/>
      <c r="J601" s="344"/>
      <c r="K601" s="344"/>
      <c r="L601" s="344"/>
      <c r="M601" s="344"/>
      <c r="N601" s="344"/>
      <c r="O601" s="344"/>
      <c r="P601" s="344"/>
      <c r="Q601" s="344"/>
      <c r="R601" s="344"/>
      <c r="S601" s="344"/>
      <c r="T601" s="344"/>
      <c r="U601" s="344"/>
      <c r="V601" s="344"/>
      <c r="W601" s="344"/>
      <c r="X601" s="344"/>
      <c r="Y601" s="344"/>
      <c r="Z601" s="344"/>
      <c r="AA601" s="344"/>
      <c r="AB601" s="344"/>
      <c r="AC601" s="344"/>
      <c r="AD601" s="344"/>
      <c r="AE601" s="344"/>
      <c r="AF601" s="344"/>
      <c r="AG601" s="344"/>
      <c r="AH601" s="344"/>
      <c r="AI601" s="344"/>
      <c r="AJ601" s="344"/>
      <c r="AK601" s="344"/>
      <c r="AL601" s="344"/>
      <c r="AM601" s="344"/>
      <c r="AN601" s="344"/>
      <c r="AO601" s="344"/>
    </row>
    <row r="602" spans="1:41" ht="15.75" customHeight="1" x14ac:dyDescent="0.25">
      <c r="A602" s="344"/>
      <c r="B602" s="353"/>
      <c r="C602" s="344"/>
      <c r="D602" s="344"/>
      <c r="E602" s="344"/>
      <c r="F602" s="344"/>
      <c r="G602" s="344"/>
      <c r="H602" s="344"/>
      <c r="I602" s="344"/>
      <c r="J602" s="344"/>
      <c r="K602" s="344"/>
      <c r="L602" s="344"/>
      <c r="M602" s="344"/>
      <c r="N602" s="344"/>
      <c r="O602" s="344"/>
      <c r="P602" s="344"/>
      <c r="Q602" s="344"/>
      <c r="R602" s="344"/>
      <c r="S602" s="344"/>
      <c r="T602" s="344"/>
      <c r="U602" s="344"/>
      <c r="V602" s="344"/>
      <c r="W602" s="344"/>
      <c r="X602" s="344"/>
      <c r="Y602" s="344"/>
      <c r="Z602" s="344"/>
      <c r="AA602" s="344"/>
      <c r="AB602" s="344"/>
      <c r="AC602" s="344"/>
      <c r="AD602" s="344"/>
      <c r="AE602" s="344"/>
      <c r="AF602" s="344"/>
      <c r="AG602" s="344"/>
      <c r="AH602" s="344"/>
      <c r="AI602" s="344"/>
      <c r="AJ602" s="344"/>
      <c r="AK602" s="344"/>
      <c r="AL602" s="344"/>
      <c r="AM602" s="344"/>
      <c r="AN602" s="344"/>
      <c r="AO602" s="344"/>
    </row>
    <row r="603" spans="1:41" ht="15.75" customHeight="1" x14ac:dyDescent="0.25">
      <c r="A603" s="344"/>
      <c r="B603" s="353"/>
      <c r="C603" s="344"/>
      <c r="D603" s="344"/>
      <c r="E603" s="344"/>
      <c r="F603" s="344"/>
      <c r="G603" s="344"/>
      <c r="H603" s="344"/>
      <c r="I603" s="344"/>
      <c r="J603" s="344"/>
      <c r="K603" s="344"/>
      <c r="L603" s="344"/>
      <c r="M603" s="344"/>
      <c r="N603" s="344"/>
      <c r="O603" s="344"/>
      <c r="P603" s="344"/>
      <c r="Q603" s="344"/>
      <c r="R603" s="344"/>
      <c r="S603" s="344"/>
      <c r="T603" s="344"/>
      <c r="U603" s="344"/>
      <c r="V603" s="344"/>
      <c r="W603" s="344"/>
      <c r="X603" s="344"/>
      <c r="Y603" s="344"/>
      <c r="Z603" s="344"/>
      <c r="AA603" s="344"/>
      <c r="AB603" s="344"/>
      <c r="AC603" s="344"/>
      <c r="AD603" s="344"/>
      <c r="AE603" s="344"/>
      <c r="AF603" s="344"/>
      <c r="AG603" s="344"/>
      <c r="AH603" s="344"/>
      <c r="AI603" s="344"/>
      <c r="AJ603" s="344"/>
      <c r="AK603" s="344"/>
      <c r="AL603" s="344"/>
      <c r="AM603" s="344"/>
      <c r="AN603" s="344"/>
      <c r="AO603" s="344"/>
    </row>
    <row r="604" spans="1:41" ht="15.75" customHeight="1" x14ac:dyDescent="0.25">
      <c r="A604" s="344"/>
      <c r="B604" s="353"/>
      <c r="C604" s="344"/>
      <c r="D604" s="344"/>
      <c r="E604" s="344"/>
      <c r="F604" s="344"/>
      <c r="G604" s="344"/>
      <c r="H604" s="344"/>
      <c r="I604" s="344"/>
      <c r="J604" s="344"/>
      <c r="K604" s="344"/>
      <c r="L604" s="344"/>
      <c r="M604" s="344"/>
      <c r="N604" s="344"/>
      <c r="O604" s="344"/>
      <c r="P604" s="344"/>
      <c r="Q604" s="344"/>
      <c r="R604" s="344"/>
      <c r="S604" s="344"/>
      <c r="T604" s="344"/>
      <c r="U604" s="344"/>
      <c r="V604" s="344"/>
      <c r="W604" s="344"/>
      <c r="X604" s="344"/>
      <c r="Y604" s="344"/>
      <c r="Z604" s="344"/>
      <c r="AA604" s="344"/>
      <c r="AB604" s="344"/>
      <c r="AC604" s="344"/>
      <c r="AD604" s="344"/>
      <c r="AE604" s="344"/>
      <c r="AF604" s="344"/>
      <c r="AG604" s="344"/>
      <c r="AH604" s="344"/>
      <c r="AI604" s="344"/>
      <c r="AJ604" s="344"/>
      <c r="AK604" s="344"/>
      <c r="AL604" s="344"/>
      <c r="AM604" s="344"/>
      <c r="AN604" s="344"/>
      <c r="AO604" s="344"/>
    </row>
    <row r="605" spans="1:41" ht="15.75" customHeight="1" x14ac:dyDescent="0.25">
      <c r="A605" s="344"/>
      <c r="B605" s="353"/>
      <c r="C605" s="344"/>
      <c r="D605" s="344"/>
      <c r="E605" s="344"/>
      <c r="F605" s="344"/>
      <c r="G605" s="344"/>
      <c r="H605" s="344"/>
      <c r="I605" s="344"/>
      <c r="J605" s="344"/>
      <c r="K605" s="344"/>
      <c r="L605" s="344"/>
      <c r="M605" s="344"/>
      <c r="N605" s="344"/>
      <c r="O605" s="344"/>
      <c r="P605" s="344"/>
      <c r="Q605" s="344"/>
      <c r="R605" s="344"/>
      <c r="S605" s="344"/>
      <c r="T605" s="344"/>
      <c r="U605" s="344"/>
      <c r="V605" s="344"/>
      <c r="W605" s="344"/>
      <c r="X605" s="344"/>
      <c r="Y605" s="344"/>
      <c r="Z605" s="344"/>
      <c r="AA605" s="344"/>
      <c r="AB605" s="344"/>
      <c r="AC605" s="344"/>
      <c r="AD605" s="344"/>
      <c r="AE605" s="344"/>
      <c r="AF605" s="344"/>
      <c r="AG605" s="344"/>
      <c r="AH605" s="344"/>
      <c r="AI605" s="344"/>
      <c r="AJ605" s="344"/>
      <c r="AK605" s="344"/>
      <c r="AL605" s="344"/>
      <c r="AM605" s="344"/>
      <c r="AN605" s="344"/>
      <c r="AO605" s="344"/>
    </row>
    <row r="606" spans="1:41" ht="15.75" customHeight="1" x14ac:dyDescent="0.25">
      <c r="A606" s="344"/>
      <c r="B606" s="353"/>
      <c r="C606" s="344"/>
      <c r="D606" s="344"/>
      <c r="E606" s="344"/>
      <c r="F606" s="344"/>
      <c r="G606" s="344"/>
      <c r="H606" s="344"/>
      <c r="I606" s="344"/>
      <c r="J606" s="344"/>
      <c r="K606" s="344"/>
      <c r="L606" s="344"/>
      <c r="M606" s="344"/>
      <c r="N606" s="344"/>
      <c r="O606" s="344"/>
      <c r="P606" s="344"/>
      <c r="Q606" s="344"/>
      <c r="R606" s="344"/>
      <c r="S606" s="344"/>
      <c r="T606" s="344"/>
      <c r="U606" s="344"/>
      <c r="V606" s="344"/>
      <c r="W606" s="344"/>
      <c r="X606" s="344"/>
      <c r="Y606" s="344"/>
      <c r="Z606" s="344"/>
      <c r="AA606" s="344"/>
      <c r="AB606" s="344"/>
      <c r="AC606" s="344"/>
      <c r="AD606" s="344"/>
      <c r="AE606" s="344"/>
      <c r="AF606" s="344"/>
      <c r="AG606" s="344"/>
      <c r="AH606" s="344"/>
      <c r="AI606" s="344"/>
      <c r="AJ606" s="344"/>
      <c r="AK606" s="344"/>
      <c r="AL606" s="344"/>
      <c r="AM606" s="344"/>
      <c r="AN606" s="344"/>
      <c r="AO606" s="344"/>
    </row>
    <row r="607" spans="1:41" ht="15.75" customHeight="1" x14ac:dyDescent="0.25">
      <c r="A607" s="344"/>
      <c r="B607" s="353"/>
      <c r="C607" s="344"/>
      <c r="D607" s="344"/>
      <c r="E607" s="344"/>
      <c r="F607" s="344"/>
      <c r="G607" s="344"/>
      <c r="H607" s="344"/>
      <c r="I607" s="344"/>
      <c r="J607" s="344"/>
      <c r="K607" s="344"/>
      <c r="L607" s="344"/>
      <c r="M607" s="344"/>
      <c r="N607" s="344"/>
      <c r="O607" s="344"/>
      <c r="P607" s="344"/>
      <c r="Q607" s="344"/>
      <c r="R607" s="344"/>
      <c r="S607" s="344"/>
      <c r="T607" s="344"/>
      <c r="U607" s="344"/>
      <c r="V607" s="344"/>
      <c r="W607" s="344"/>
      <c r="X607" s="344"/>
      <c r="Y607" s="344"/>
      <c r="Z607" s="344"/>
      <c r="AA607" s="344"/>
      <c r="AB607" s="344"/>
      <c r="AC607" s="344"/>
      <c r="AD607" s="344"/>
      <c r="AE607" s="344"/>
      <c r="AF607" s="344"/>
      <c r="AG607" s="344"/>
      <c r="AH607" s="344"/>
      <c r="AI607" s="344"/>
      <c r="AJ607" s="344"/>
      <c r="AK607" s="344"/>
      <c r="AL607" s="344"/>
      <c r="AM607" s="344"/>
      <c r="AN607" s="344"/>
      <c r="AO607" s="344"/>
    </row>
    <row r="608" spans="1:41" ht="15.75" customHeight="1" x14ac:dyDescent="0.25">
      <c r="A608" s="344"/>
      <c r="B608" s="353"/>
      <c r="C608" s="344"/>
      <c r="D608" s="344"/>
      <c r="E608" s="344"/>
      <c r="F608" s="344"/>
      <c r="G608" s="344"/>
      <c r="H608" s="344"/>
      <c r="I608" s="344"/>
      <c r="J608" s="344"/>
      <c r="K608" s="344"/>
      <c r="L608" s="344"/>
      <c r="M608" s="344"/>
      <c r="N608" s="344"/>
      <c r="O608" s="344"/>
      <c r="P608" s="344"/>
      <c r="Q608" s="344"/>
      <c r="R608" s="344"/>
      <c r="S608" s="344"/>
      <c r="T608" s="344"/>
      <c r="U608" s="344"/>
      <c r="V608" s="344"/>
      <c r="W608" s="344"/>
      <c r="X608" s="344"/>
      <c r="Y608" s="344"/>
      <c r="Z608" s="344"/>
      <c r="AA608" s="344"/>
      <c r="AB608" s="344"/>
      <c r="AC608" s="344"/>
      <c r="AD608" s="344"/>
      <c r="AE608" s="344"/>
      <c r="AF608" s="344"/>
      <c r="AG608" s="344"/>
      <c r="AH608" s="344"/>
      <c r="AI608" s="344"/>
      <c r="AJ608" s="344"/>
      <c r="AK608" s="344"/>
      <c r="AL608" s="344"/>
      <c r="AM608" s="344"/>
      <c r="AN608" s="344"/>
      <c r="AO608" s="344"/>
    </row>
    <row r="609" spans="1:41" ht="15.75" customHeight="1" x14ac:dyDescent="0.25">
      <c r="A609" s="344"/>
      <c r="B609" s="353"/>
      <c r="C609" s="344"/>
      <c r="D609" s="344"/>
      <c r="E609" s="344"/>
      <c r="F609" s="344"/>
      <c r="G609" s="344"/>
      <c r="H609" s="344"/>
      <c r="I609" s="344"/>
      <c r="J609" s="344"/>
      <c r="K609" s="344"/>
      <c r="L609" s="344"/>
      <c r="M609" s="344"/>
      <c r="N609" s="344"/>
      <c r="O609" s="344"/>
      <c r="P609" s="344"/>
      <c r="Q609" s="344"/>
      <c r="R609" s="344"/>
      <c r="S609" s="344"/>
      <c r="T609" s="344"/>
      <c r="U609" s="344"/>
      <c r="V609" s="344"/>
      <c r="W609" s="344"/>
      <c r="X609" s="344"/>
      <c r="Y609" s="344"/>
      <c r="Z609" s="344"/>
      <c r="AA609" s="344"/>
      <c r="AB609" s="344"/>
      <c r="AC609" s="344"/>
      <c r="AD609" s="344"/>
      <c r="AE609" s="344"/>
      <c r="AF609" s="344"/>
      <c r="AG609" s="344"/>
      <c r="AH609" s="344"/>
      <c r="AI609" s="344"/>
      <c r="AJ609" s="344"/>
      <c r="AK609" s="344"/>
      <c r="AL609" s="344"/>
      <c r="AM609" s="344"/>
      <c r="AN609" s="344"/>
      <c r="AO609" s="344"/>
    </row>
    <row r="610" spans="1:41" ht="15.75" customHeight="1" x14ac:dyDescent="0.25">
      <c r="A610" s="344"/>
      <c r="B610" s="353"/>
      <c r="C610" s="344"/>
      <c r="D610" s="344"/>
      <c r="E610" s="344"/>
      <c r="F610" s="344"/>
      <c r="G610" s="344"/>
      <c r="H610" s="344"/>
      <c r="I610" s="344"/>
      <c r="J610" s="344"/>
      <c r="K610" s="344"/>
      <c r="L610" s="344"/>
      <c r="M610" s="344"/>
      <c r="N610" s="344"/>
      <c r="O610" s="344"/>
      <c r="P610" s="344"/>
      <c r="Q610" s="344"/>
      <c r="R610" s="344"/>
      <c r="S610" s="344"/>
      <c r="T610" s="344"/>
      <c r="U610" s="344"/>
      <c r="V610" s="344"/>
      <c r="W610" s="344"/>
      <c r="X610" s="344"/>
      <c r="Y610" s="344"/>
      <c r="Z610" s="344"/>
      <c r="AA610" s="344"/>
      <c r="AB610" s="344"/>
      <c r="AC610" s="344"/>
      <c r="AD610" s="344"/>
      <c r="AE610" s="344"/>
      <c r="AF610" s="344"/>
      <c r="AG610" s="344"/>
      <c r="AH610" s="344"/>
      <c r="AI610" s="344"/>
      <c r="AJ610" s="344"/>
      <c r="AK610" s="344"/>
      <c r="AL610" s="344"/>
      <c r="AM610" s="344"/>
      <c r="AN610" s="344"/>
      <c r="AO610" s="344"/>
    </row>
    <row r="611" spans="1:41" ht="15.75" customHeight="1" x14ac:dyDescent="0.25">
      <c r="A611" s="344"/>
      <c r="B611" s="353"/>
      <c r="C611" s="344"/>
      <c r="D611" s="344"/>
      <c r="E611" s="344"/>
      <c r="F611" s="344"/>
      <c r="G611" s="344"/>
      <c r="H611" s="344"/>
      <c r="I611" s="344"/>
      <c r="J611" s="344"/>
      <c r="K611" s="344"/>
      <c r="L611" s="344"/>
      <c r="M611" s="344"/>
      <c r="N611" s="344"/>
      <c r="O611" s="344"/>
      <c r="P611" s="344"/>
      <c r="Q611" s="344"/>
      <c r="R611" s="344"/>
      <c r="S611" s="344"/>
      <c r="T611" s="344"/>
      <c r="U611" s="344"/>
      <c r="V611" s="344"/>
      <c r="W611" s="344"/>
      <c r="X611" s="344"/>
      <c r="Y611" s="344"/>
      <c r="Z611" s="344"/>
      <c r="AA611" s="344"/>
      <c r="AB611" s="344"/>
      <c r="AC611" s="344"/>
      <c r="AD611" s="344"/>
      <c r="AE611" s="344"/>
      <c r="AF611" s="344"/>
      <c r="AG611" s="344"/>
      <c r="AH611" s="344"/>
      <c r="AI611" s="344"/>
      <c r="AJ611" s="344"/>
      <c r="AK611" s="344"/>
      <c r="AL611" s="344"/>
      <c r="AM611" s="344"/>
      <c r="AN611" s="344"/>
      <c r="AO611" s="344"/>
    </row>
    <row r="612" spans="1:41" ht="15.75" customHeight="1" x14ac:dyDescent="0.25">
      <c r="A612" s="344"/>
      <c r="B612" s="353"/>
      <c r="C612" s="344"/>
      <c r="D612" s="344"/>
      <c r="E612" s="344"/>
      <c r="F612" s="344"/>
      <c r="G612" s="344"/>
      <c r="H612" s="344"/>
      <c r="I612" s="344"/>
      <c r="J612" s="344"/>
      <c r="K612" s="344"/>
      <c r="L612" s="344"/>
      <c r="M612" s="344"/>
      <c r="N612" s="344"/>
      <c r="O612" s="344"/>
      <c r="P612" s="344"/>
      <c r="Q612" s="344"/>
      <c r="R612" s="344"/>
      <c r="S612" s="344"/>
      <c r="T612" s="344"/>
      <c r="U612" s="344"/>
      <c r="V612" s="344"/>
      <c r="W612" s="344"/>
      <c r="X612" s="344"/>
      <c r="Y612" s="344"/>
      <c r="Z612" s="344"/>
      <c r="AA612" s="344"/>
      <c r="AB612" s="344"/>
      <c r="AC612" s="344"/>
      <c r="AD612" s="344"/>
      <c r="AE612" s="344"/>
      <c r="AF612" s="344"/>
      <c r="AG612" s="344"/>
      <c r="AH612" s="344"/>
      <c r="AI612" s="344"/>
      <c r="AJ612" s="344"/>
      <c r="AK612" s="344"/>
      <c r="AL612" s="344"/>
      <c r="AM612" s="344"/>
      <c r="AN612" s="344"/>
      <c r="AO612" s="344"/>
    </row>
    <row r="613" spans="1:41" ht="15.75" customHeight="1" x14ac:dyDescent="0.25">
      <c r="A613" s="344"/>
      <c r="B613" s="353"/>
      <c r="C613" s="344"/>
      <c r="D613" s="344"/>
      <c r="E613" s="344"/>
      <c r="F613" s="344"/>
      <c r="G613" s="344"/>
      <c r="H613" s="344"/>
      <c r="I613" s="344"/>
      <c r="J613" s="344"/>
      <c r="K613" s="344"/>
      <c r="L613" s="344"/>
      <c r="M613" s="344"/>
      <c r="N613" s="344"/>
      <c r="O613" s="344"/>
      <c r="P613" s="344"/>
      <c r="Q613" s="344"/>
      <c r="R613" s="344"/>
      <c r="S613" s="344"/>
      <c r="T613" s="344"/>
      <c r="U613" s="344"/>
      <c r="V613" s="344"/>
      <c r="W613" s="344"/>
      <c r="X613" s="344"/>
      <c r="Y613" s="344"/>
      <c r="Z613" s="344"/>
      <c r="AA613" s="344"/>
      <c r="AB613" s="344"/>
      <c r="AC613" s="344"/>
      <c r="AD613" s="344"/>
      <c r="AE613" s="344"/>
      <c r="AF613" s="344"/>
      <c r="AG613" s="344"/>
      <c r="AH613" s="344"/>
      <c r="AI613" s="344"/>
      <c r="AJ613" s="344"/>
      <c r="AK613" s="344"/>
      <c r="AL613" s="344"/>
      <c r="AM613" s="344"/>
      <c r="AN613" s="344"/>
      <c r="AO613" s="344"/>
    </row>
    <row r="614" spans="1:41" ht="15.75" customHeight="1" x14ac:dyDescent="0.25">
      <c r="A614" s="344"/>
      <c r="B614" s="353"/>
      <c r="C614" s="344"/>
      <c r="D614" s="344"/>
      <c r="E614" s="344"/>
      <c r="F614" s="344"/>
      <c r="G614" s="344"/>
      <c r="H614" s="344"/>
      <c r="I614" s="344"/>
      <c r="J614" s="344"/>
      <c r="K614" s="344"/>
      <c r="L614" s="344"/>
      <c r="M614" s="344"/>
      <c r="N614" s="344"/>
      <c r="O614" s="344"/>
      <c r="P614" s="344"/>
      <c r="Q614" s="344"/>
      <c r="R614" s="344"/>
      <c r="S614" s="344"/>
      <c r="T614" s="344"/>
      <c r="U614" s="344"/>
      <c r="V614" s="344"/>
      <c r="W614" s="344"/>
      <c r="X614" s="344"/>
      <c r="Y614" s="344"/>
      <c r="Z614" s="344"/>
      <c r="AA614" s="344"/>
      <c r="AB614" s="344"/>
      <c r="AC614" s="344"/>
      <c r="AD614" s="344"/>
      <c r="AE614" s="344"/>
      <c r="AF614" s="344"/>
      <c r="AG614" s="344"/>
      <c r="AH614" s="344"/>
      <c r="AI614" s="344"/>
      <c r="AJ614" s="344"/>
      <c r="AK614" s="344"/>
      <c r="AL614" s="344"/>
      <c r="AM614" s="344"/>
      <c r="AN614" s="344"/>
      <c r="AO614" s="344"/>
    </row>
    <row r="615" spans="1:41" ht="15.75" customHeight="1" x14ac:dyDescent="0.25">
      <c r="A615" s="344"/>
      <c r="B615" s="353"/>
      <c r="C615" s="344"/>
      <c r="D615" s="344"/>
      <c r="E615" s="344"/>
      <c r="F615" s="344"/>
      <c r="G615" s="344"/>
      <c r="H615" s="344"/>
      <c r="I615" s="344"/>
      <c r="J615" s="344"/>
      <c r="K615" s="344"/>
      <c r="L615" s="344"/>
      <c r="M615" s="344"/>
      <c r="N615" s="344"/>
      <c r="O615" s="344"/>
      <c r="P615" s="344"/>
      <c r="Q615" s="344"/>
      <c r="R615" s="344"/>
      <c r="S615" s="344"/>
      <c r="T615" s="344"/>
      <c r="U615" s="344"/>
      <c r="V615" s="344"/>
      <c r="W615" s="344"/>
      <c r="X615" s="344"/>
      <c r="Y615" s="344"/>
      <c r="Z615" s="344"/>
      <c r="AA615" s="344"/>
      <c r="AB615" s="344"/>
      <c r="AC615" s="344"/>
      <c r="AD615" s="344"/>
      <c r="AE615" s="344"/>
      <c r="AF615" s="344"/>
      <c r="AG615" s="344"/>
      <c r="AH615" s="344"/>
      <c r="AI615" s="344"/>
      <c r="AJ615" s="344"/>
      <c r="AK615" s="344"/>
      <c r="AL615" s="344"/>
      <c r="AM615" s="344"/>
      <c r="AN615" s="344"/>
      <c r="AO615" s="344"/>
    </row>
    <row r="616" spans="1:41" ht="15.75" customHeight="1" x14ac:dyDescent="0.25">
      <c r="A616" s="344"/>
      <c r="B616" s="353"/>
      <c r="C616" s="344"/>
      <c r="D616" s="344"/>
      <c r="E616" s="344"/>
      <c r="F616" s="344"/>
      <c r="G616" s="344"/>
      <c r="H616" s="344"/>
      <c r="I616" s="344"/>
      <c r="J616" s="344"/>
      <c r="K616" s="344"/>
      <c r="L616" s="344"/>
      <c r="M616" s="344"/>
      <c r="N616" s="344"/>
      <c r="O616" s="344"/>
      <c r="P616" s="344"/>
      <c r="Q616" s="344"/>
      <c r="R616" s="344"/>
      <c r="S616" s="344"/>
      <c r="T616" s="344"/>
      <c r="U616" s="344"/>
      <c r="V616" s="344"/>
      <c r="W616" s="344"/>
      <c r="X616" s="344"/>
      <c r="Y616" s="344"/>
      <c r="Z616" s="344"/>
      <c r="AA616" s="344"/>
      <c r="AB616" s="344"/>
      <c r="AC616" s="344"/>
      <c r="AD616" s="344"/>
      <c r="AE616" s="344"/>
      <c r="AF616" s="344"/>
      <c r="AG616" s="344"/>
      <c r="AH616" s="344"/>
      <c r="AI616" s="344"/>
      <c r="AJ616" s="344"/>
      <c r="AK616" s="344"/>
      <c r="AL616" s="344"/>
      <c r="AM616" s="344"/>
      <c r="AN616" s="344"/>
      <c r="AO616" s="344"/>
    </row>
    <row r="617" spans="1:41" ht="15.75" customHeight="1" x14ac:dyDescent="0.25">
      <c r="A617" s="344"/>
      <c r="B617" s="353"/>
      <c r="C617" s="344"/>
      <c r="D617" s="344"/>
      <c r="E617" s="344"/>
      <c r="F617" s="344"/>
      <c r="G617" s="344"/>
      <c r="H617" s="344"/>
      <c r="I617" s="344"/>
      <c r="J617" s="344"/>
      <c r="K617" s="344"/>
      <c r="L617" s="344"/>
      <c r="M617" s="344"/>
      <c r="N617" s="344"/>
      <c r="O617" s="344"/>
      <c r="P617" s="344"/>
      <c r="Q617" s="344"/>
      <c r="R617" s="344"/>
      <c r="S617" s="344"/>
      <c r="T617" s="344"/>
      <c r="U617" s="344"/>
      <c r="V617" s="344"/>
      <c r="W617" s="344"/>
      <c r="X617" s="344"/>
      <c r="Y617" s="344"/>
      <c r="Z617" s="344"/>
      <c r="AA617" s="344"/>
      <c r="AB617" s="344"/>
      <c r="AC617" s="344"/>
      <c r="AD617" s="344"/>
      <c r="AE617" s="344"/>
      <c r="AF617" s="344"/>
      <c r="AG617" s="344"/>
      <c r="AH617" s="344"/>
      <c r="AI617" s="344"/>
      <c r="AJ617" s="344"/>
      <c r="AK617" s="344"/>
      <c r="AL617" s="344"/>
      <c r="AM617" s="344"/>
      <c r="AN617" s="344"/>
      <c r="AO617" s="344"/>
    </row>
    <row r="618" spans="1:41" ht="15.75" customHeight="1" x14ac:dyDescent="0.25">
      <c r="A618" s="344"/>
      <c r="B618" s="353"/>
      <c r="C618" s="344"/>
      <c r="D618" s="344"/>
      <c r="E618" s="344"/>
      <c r="F618" s="344"/>
      <c r="G618" s="344"/>
      <c r="H618" s="344"/>
      <c r="I618" s="344"/>
      <c r="J618" s="344"/>
      <c r="K618" s="344"/>
      <c r="L618" s="344"/>
      <c r="M618" s="344"/>
      <c r="N618" s="344"/>
      <c r="O618" s="344"/>
      <c r="P618" s="344"/>
      <c r="Q618" s="344"/>
      <c r="R618" s="344"/>
      <c r="S618" s="344"/>
      <c r="T618" s="344"/>
      <c r="U618" s="344"/>
      <c r="V618" s="344"/>
      <c r="W618" s="344"/>
      <c r="X618" s="344"/>
      <c r="Y618" s="344"/>
      <c r="Z618" s="344"/>
      <c r="AA618" s="344"/>
      <c r="AB618" s="344"/>
      <c r="AC618" s="344"/>
      <c r="AD618" s="344"/>
      <c r="AE618" s="344"/>
      <c r="AF618" s="344"/>
      <c r="AG618" s="344"/>
      <c r="AH618" s="344"/>
      <c r="AI618" s="344"/>
      <c r="AJ618" s="344"/>
      <c r="AK618" s="344"/>
      <c r="AL618" s="344"/>
      <c r="AM618" s="344"/>
      <c r="AN618" s="344"/>
      <c r="AO618" s="344"/>
    </row>
    <row r="619" spans="1:41" ht="15.75" customHeight="1" x14ac:dyDescent="0.25">
      <c r="A619" s="344"/>
      <c r="B619" s="353"/>
      <c r="C619" s="344"/>
      <c r="D619" s="344"/>
      <c r="E619" s="344"/>
      <c r="F619" s="344"/>
      <c r="G619" s="344"/>
      <c r="H619" s="344"/>
      <c r="I619" s="344"/>
      <c r="J619" s="344"/>
      <c r="K619" s="344"/>
      <c r="L619" s="344"/>
      <c r="M619" s="344"/>
      <c r="N619" s="344"/>
      <c r="O619" s="344"/>
      <c r="P619" s="344"/>
      <c r="Q619" s="344"/>
      <c r="R619" s="344"/>
      <c r="S619" s="344"/>
      <c r="T619" s="344"/>
      <c r="U619" s="344"/>
      <c r="V619" s="344"/>
      <c r="W619" s="344"/>
      <c r="X619" s="344"/>
      <c r="Y619" s="344"/>
      <c r="Z619" s="344"/>
      <c r="AA619" s="344"/>
      <c r="AB619" s="344"/>
      <c r="AC619" s="344"/>
      <c r="AD619" s="344"/>
      <c r="AE619" s="344"/>
      <c r="AF619" s="344"/>
      <c r="AG619" s="344"/>
      <c r="AH619" s="344"/>
      <c r="AI619" s="344"/>
      <c r="AJ619" s="344"/>
      <c r="AK619" s="344"/>
      <c r="AL619" s="344"/>
      <c r="AM619" s="344"/>
      <c r="AN619" s="344"/>
      <c r="AO619" s="344"/>
    </row>
    <row r="620" spans="1:41" ht="15.75" customHeight="1" x14ac:dyDescent="0.25">
      <c r="A620" s="344"/>
      <c r="B620" s="353"/>
      <c r="C620" s="344"/>
      <c r="D620" s="344"/>
      <c r="E620" s="344"/>
      <c r="F620" s="344"/>
      <c r="G620" s="344"/>
      <c r="H620" s="344"/>
      <c r="I620" s="344"/>
      <c r="J620" s="344"/>
      <c r="K620" s="344"/>
      <c r="L620" s="344"/>
      <c r="M620" s="344"/>
      <c r="N620" s="344"/>
      <c r="O620" s="344"/>
      <c r="P620" s="344"/>
      <c r="Q620" s="344"/>
      <c r="R620" s="344"/>
      <c r="S620" s="344"/>
      <c r="T620" s="344"/>
      <c r="U620" s="344"/>
      <c r="V620" s="344"/>
      <c r="W620" s="344"/>
      <c r="X620" s="344"/>
      <c r="Y620" s="344"/>
      <c r="Z620" s="344"/>
      <c r="AA620" s="344"/>
      <c r="AB620" s="344"/>
      <c r="AC620" s="344"/>
      <c r="AD620" s="344"/>
      <c r="AE620" s="344"/>
      <c r="AF620" s="344"/>
      <c r="AG620" s="344"/>
      <c r="AH620" s="344"/>
      <c r="AI620" s="344"/>
      <c r="AJ620" s="344"/>
      <c r="AK620" s="344"/>
      <c r="AL620" s="344"/>
      <c r="AM620" s="344"/>
      <c r="AN620" s="344"/>
      <c r="AO620" s="344"/>
    </row>
    <row r="621" spans="1:41" ht="15.75" customHeight="1" x14ac:dyDescent="0.25">
      <c r="A621" s="344"/>
      <c r="B621" s="353"/>
      <c r="C621" s="344"/>
      <c r="D621" s="344"/>
      <c r="E621" s="344"/>
      <c r="F621" s="344"/>
      <c r="G621" s="344"/>
      <c r="H621" s="344"/>
      <c r="I621" s="344"/>
      <c r="J621" s="344"/>
      <c r="K621" s="344"/>
      <c r="L621" s="344"/>
      <c r="M621" s="344"/>
      <c r="N621" s="344"/>
      <c r="O621" s="344"/>
      <c r="P621" s="344"/>
      <c r="Q621" s="344"/>
      <c r="R621" s="344"/>
      <c r="S621" s="344"/>
      <c r="T621" s="344"/>
      <c r="U621" s="344"/>
      <c r="V621" s="344"/>
      <c r="W621" s="344"/>
      <c r="X621" s="344"/>
      <c r="Y621" s="344"/>
      <c r="Z621" s="344"/>
      <c r="AA621" s="344"/>
      <c r="AB621" s="344"/>
      <c r="AC621" s="344"/>
      <c r="AD621" s="344"/>
      <c r="AE621" s="344"/>
      <c r="AF621" s="344"/>
      <c r="AG621" s="344"/>
      <c r="AH621" s="344"/>
      <c r="AI621" s="344"/>
      <c r="AJ621" s="344"/>
      <c r="AK621" s="344"/>
      <c r="AL621" s="344"/>
      <c r="AM621" s="344"/>
      <c r="AN621" s="344"/>
      <c r="AO621" s="344"/>
    </row>
    <row r="622" spans="1:41" ht="15.75" customHeight="1" x14ac:dyDescent="0.25">
      <c r="A622" s="344"/>
      <c r="B622" s="353"/>
      <c r="C622" s="344"/>
      <c r="D622" s="344"/>
      <c r="E622" s="344"/>
      <c r="F622" s="344"/>
      <c r="G622" s="344"/>
      <c r="H622" s="344"/>
      <c r="I622" s="344"/>
      <c r="J622" s="344"/>
      <c r="K622" s="344"/>
      <c r="L622" s="344"/>
      <c r="M622" s="344"/>
      <c r="N622" s="344"/>
      <c r="O622" s="344"/>
      <c r="P622" s="344"/>
      <c r="Q622" s="344"/>
      <c r="R622" s="344"/>
      <c r="S622" s="344"/>
      <c r="T622" s="344"/>
      <c r="U622" s="344"/>
      <c r="V622" s="344"/>
      <c r="W622" s="344"/>
      <c r="X622" s="344"/>
      <c r="Y622" s="344"/>
      <c r="Z622" s="344"/>
      <c r="AA622" s="344"/>
      <c r="AB622" s="344"/>
      <c r="AC622" s="344"/>
      <c r="AD622" s="344"/>
      <c r="AE622" s="344"/>
      <c r="AF622" s="344"/>
      <c r="AG622" s="344"/>
      <c r="AH622" s="344"/>
      <c r="AI622" s="344"/>
      <c r="AJ622" s="344"/>
      <c r="AK622" s="344"/>
      <c r="AL622" s="344"/>
      <c r="AM622" s="344"/>
      <c r="AN622" s="344"/>
      <c r="AO622" s="344"/>
    </row>
    <row r="623" spans="1:41" ht="15.75" customHeight="1" x14ac:dyDescent="0.25">
      <c r="A623" s="344"/>
      <c r="B623" s="353"/>
      <c r="C623" s="344"/>
      <c r="D623" s="344"/>
      <c r="E623" s="344"/>
      <c r="F623" s="344"/>
      <c r="G623" s="344"/>
      <c r="H623" s="344"/>
      <c r="I623" s="344"/>
      <c r="J623" s="344"/>
      <c r="K623" s="344"/>
      <c r="L623" s="344"/>
      <c r="M623" s="344"/>
      <c r="N623" s="344"/>
      <c r="O623" s="344"/>
      <c r="P623" s="344"/>
      <c r="Q623" s="344"/>
      <c r="R623" s="344"/>
      <c r="S623" s="344"/>
      <c r="T623" s="344"/>
      <c r="U623" s="344"/>
      <c r="V623" s="344"/>
      <c r="W623" s="344"/>
      <c r="X623" s="344"/>
      <c r="Y623" s="344"/>
      <c r="Z623" s="344"/>
      <c r="AA623" s="344"/>
      <c r="AB623" s="344"/>
      <c r="AC623" s="344"/>
      <c r="AD623" s="344"/>
      <c r="AE623" s="344"/>
      <c r="AF623" s="344"/>
      <c r="AG623" s="344"/>
      <c r="AH623" s="344"/>
      <c r="AI623" s="344"/>
      <c r="AJ623" s="344"/>
      <c r="AK623" s="344"/>
      <c r="AL623" s="344"/>
      <c r="AM623" s="344"/>
      <c r="AN623" s="344"/>
      <c r="AO623" s="344"/>
    </row>
    <row r="624" spans="1:41" ht="15.75" customHeight="1" x14ac:dyDescent="0.25">
      <c r="A624" s="344"/>
      <c r="B624" s="353"/>
      <c r="C624" s="344"/>
      <c r="D624" s="344"/>
      <c r="E624" s="344"/>
      <c r="F624" s="344"/>
      <c r="G624" s="344"/>
      <c r="H624" s="344"/>
      <c r="I624" s="344"/>
      <c r="J624" s="344"/>
      <c r="K624" s="344"/>
      <c r="L624" s="344"/>
      <c r="M624" s="344"/>
      <c r="N624" s="344"/>
      <c r="O624" s="344"/>
      <c r="P624" s="344"/>
      <c r="Q624" s="344"/>
      <c r="R624" s="344"/>
      <c r="S624" s="344"/>
      <c r="T624" s="344"/>
      <c r="U624" s="344"/>
      <c r="V624" s="344"/>
      <c r="W624" s="344"/>
      <c r="X624" s="344"/>
      <c r="Y624" s="344"/>
      <c r="Z624" s="344"/>
      <c r="AA624" s="344"/>
      <c r="AB624" s="344"/>
      <c r="AC624" s="344"/>
      <c r="AD624" s="344"/>
      <c r="AE624" s="344"/>
      <c r="AF624" s="344"/>
      <c r="AG624" s="344"/>
      <c r="AH624" s="344"/>
      <c r="AI624" s="344"/>
      <c r="AJ624" s="344"/>
      <c r="AK624" s="344"/>
      <c r="AL624" s="344"/>
      <c r="AM624" s="344"/>
      <c r="AN624" s="344"/>
      <c r="AO624" s="344"/>
    </row>
    <row r="625" spans="1:41" ht="15.75" customHeight="1" x14ac:dyDescent="0.25">
      <c r="A625" s="344"/>
      <c r="B625" s="353"/>
      <c r="C625" s="344"/>
      <c r="D625" s="344"/>
      <c r="E625" s="344"/>
      <c r="F625" s="344"/>
      <c r="G625" s="344"/>
      <c r="H625" s="344"/>
      <c r="I625" s="344"/>
      <c r="J625" s="344"/>
      <c r="K625" s="344"/>
      <c r="L625" s="344"/>
      <c r="M625" s="344"/>
      <c r="N625" s="344"/>
      <c r="O625" s="344"/>
      <c r="P625" s="344"/>
      <c r="Q625" s="344"/>
      <c r="R625" s="344"/>
      <c r="S625" s="344"/>
      <c r="T625" s="344"/>
      <c r="U625" s="344"/>
      <c r="V625" s="344"/>
      <c r="W625" s="344"/>
      <c r="X625" s="344"/>
      <c r="Y625" s="344"/>
      <c r="Z625" s="344"/>
      <c r="AA625" s="344"/>
      <c r="AB625" s="344"/>
      <c r="AC625" s="344"/>
      <c r="AD625" s="344"/>
      <c r="AE625" s="344"/>
      <c r="AF625" s="344"/>
      <c r="AG625" s="344"/>
      <c r="AH625" s="344"/>
      <c r="AI625" s="344"/>
      <c r="AJ625" s="344"/>
      <c r="AK625" s="344"/>
      <c r="AL625" s="344"/>
      <c r="AM625" s="344"/>
      <c r="AN625" s="344"/>
      <c r="AO625" s="344"/>
    </row>
    <row r="626" spans="1:41" ht="15.75" customHeight="1" x14ac:dyDescent="0.25">
      <c r="A626" s="344"/>
      <c r="B626" s="353"/>
      <c r="C626" s="344"/>
      <c r="D626" s="344"/>
      <c r="E626" s="344"/>
      <c r="F626" s="344"/>
      <c r="G626" s="344"/>
      <c r="H626" s="344"/>
      <c r="I626" s="344"/>
      <c r="J626" s="344"/>
      <c r="K626" s="344"/>
      <c r="L626" s="344"/>
      <c r="M626" s="344"/>
      <c r="N626" s="344"/>
      <c r="O626" s="344"/>
      <c r="P626" s="344"/>
      <c r="Q626" s="344"/>
      <c r="R626" s="344"/>
      <c r="S626" s="344"/>
      <c r="T626" s="344"/>
      <c r="U626" s="344"/>
      <c r="V626" s="344"/>
      <c r="W626" s="344"/>
      <c r="X626" s="344"/>
      <c r="Y626" s="344"/>
      <c r="Z626" s="344"/>
      <c r="AA626" s="344"/>
      <c r="AB626" s="344"/>
      <c r="AC626" s="344"/>
      <c r="AD626" s="344"/>
      <c r="AE626" s="344"/>
      <c r="AF626" s="344"/>
      <c r="AG626" s="344"/>
      <c r="AH626" s="344"/>
      <c r="AI626" s="344"/>
      <c r="AJ626" s="344"/>
      <c r="AK626" s="344"/>
      <c r="AL626" s="344"/>
      <c r="AM626" s="344"/>
      <c r="AN626" s="344"/>
      <c r="AO626" s="344"/>
    </row>
    <row r="627" spans="1:41" ht="15.75" customHeight="1" x14ac:dyDescent="0.25">
      <c r="A627" s="344"/>
      <c r="B627" s="353"/>
      <c r="C627" s="344"/>
      <c r="D627" s="344"/>
      <c r="E627" s="344"/>
      <c r="F627" s="344"/>
      <c r="G627" s="344"/>
      <c r="H627" s="344"/>
      <c r="I627" s="344"/>
      <c r="J627" s="344"/>
      <c r="K627" s="344"/>
      <c r="L627" s="344"/>
      <c r="M627" s="344"/>
      <c r="N627" s="344"/>
      <c r="O627" s="344"/>
      <c r="P627" s="344"/>
      <c r="Q627" s="344"/>
      <c r="R627" s="344"/>
      <c r="S627" s="344"/>
      <c r="T627" s="344"/>
      <c r="U627" s="344"/>
      <c r="V627" s="344"/>
      <c r="W627" s="344"/>
      <c r="X627" s="344"/>
      <c r="Y627" s="344"/>
      <c r="Z627" s="344"/>
      <c r="AA627" s="344"/>
      <c r="AB627" s="344"/>
      <c r="AC627" s="344"/>
      <c r="AD627" s="344"/>
      <c r="AE627" s="344"/>
      <c r="AF627" s="344"/>
      <c r="AG627" s="344"/>
      <c r="AH627" s="344"/>
      <c r="AI627" s="344"/>
      <c r="AJ627" s="344"/>
      <c r="AK627" s="344"/>
      <c r="AL627" s="344"/>
      <c r="AM627" s="344"/>
      <c r="AN627" s="344"/>
      <c r="AO627" s="344"/>
    </row>
    <row r="628" spans="1:41" ht="15.75" customHeight="1" x14ac:dyDescent="0.25">
      <c r="A628" s="344"/>
      <c r="B628" s="353"/>
      <c r="C628" s="344"/>
      <c r="D628" s="344"/>
      <c r="E628" s="344"/>
      <c r="F628" s="344"/>
      <c r="G628" s="344"/>
      <c r="H628" s="344"/>
      <c r="I628" s="344"/>
      <c r="J628" s="344"/>
      <c r="K628" s="344"/>
      <c r="L628" s="344"/>
      <c r="M628" s="344"/>
      <c r="N628" s="344"/>
      <c r="O628" s="344"/>
      <c r="P628" s="344"/>
      <c r="Q628" s="344"/>
      <c r="R628" s="344"/>
      <c r="S628" s="344"/>
      <c r="T628" s="344"/>
      <c r="U628" s="344"/>
      <c r="V628" s="344"/>
      <c r="W628" s="344"/>
      <c r="X628" s="344"/>
      <c r="Y628" s="344"/>
      <c r="Z628" s="344"/>
      <c r="AA628" s="344"/>
      <c r="AB628" s="344"/>
      <c r="AC628" s="344"/>
      <c r="AD628" s="344"/>
      <c r="AE628" s="344"/>
      <c r="AF628" s="344"/>
      <c r="AG628" s="344"/>
      <c r="AH628" s="344"/>
      <c r="AI628" s="344"/>
      <c r="AJ628" s="344"/>
      <c r="AK628" s="344"/>
      <c r="AL628" s="344"/>
      <c r="AM628" s="344"/>
      <c r="AN628" s="344"/>
      <c r="AO628" s="344"/>
    </row>
    <row r="629" spans="1:41" ht="15.75" customHeight="1" x14ac:dyDescent="0.25">
      <c r="A629" s="344"/>
      <c r="B629" s="353"/>
      <c r="C629" s="344"/>
      <c r="D629" s="344"/>
      <c r="E629" s="344"/>
      <c r="F629" s="344"/>
      <c r="G629" s="344"/>
      <c r="H629" s="344"/>
      <c r="I629" s="344"/>
      <c r="J629" s="344"/>
      <c r="K629" s="344"/>
      <c r="L629" s="344"/>
      <c r="M629" s="344"/>
      <c r="N629" s="344"/>
      <c r="O629" s="344"/>
      <c r="P629" s="344"/>
      <c r="Q629" s="344"/>
      <c r="R629" s="344"/>
      <c r="S629" s="344"/>
      <c r="T629" s="344"/>
      <c r="U629" s="344"/>
      <c r="V629" s="344"/>
      <c r="W629" s="344"/>
      <c r="X629" s="344"/>
      <c r="Y629" s="344"/>
      <c r="Z629" s="344"/>
      <c r="AA629" s="344"/>
      <c r="AB629" s="344"/>
      <c r="AC629" s="344"/>
      <c r="AD629" s="344"/>
      <c r="AE629" s="344"/>
      <c r="AF629" s="344"/>
      <c r="AG629" s="344"/>
      <c r="AH629" s="344"/>
      <c r="AI629" s="344"/>
      <c r="AJ629" s="344"/>
      <c r="AK629" s="344"/>
      <c r="AL629" s="344"/>
      <c r="AM629" s="344"/>
      <c r="AN629" s="344"/>
      <c r="AO629" s="344"/>
    </row>
    <row r="630" spans="1:41" ht="15.75" customHeight="1" x14ac:dyDescent="0.25">
      <c r="A630" s="344"/>
      <c r="B630" s="353"/>
      <c r="C630" s="344"/>
      <c r="D630" s="344"/>
      <c r="E630" s="344"/>
      <c r="F630" s="344"/>
      <c r="G630" s="344"/>
      <c r="H630" s="344"/>
      <c r="I630" s="344"/>
      <c r="J630" s="344"/>
      <c r="K630" s="344"/>
      <c r="L630" s="344"/>
      <c r="M630" s="344"/>
      <c r="N630" s="344"/>
      <c r="O630" s="344"/>
      <c r="P630" s="344"/>
      <c r="Q630" s="344"/>
      <c r="R630" s="344"/>
      <c r="S630" s="344"/>
      <c r="T630" s="344"/>
      <c r="U630" s="344"/>
      <c r="V630" s="344"/>
      <c r="W630" s="344"/>
      <c r="X630" s="344"/>
      <c r="Y630" s="344"/>
      <c r="Z630" s="344"/>
      <c r="AA630" s="344"/>
      <c r="AB630" s="344"/>
      <c r="AC630" s="344"/>
      <c r="AD630" s="344"/>
      <c r="AE630" s="344"/>
      <c r="AF630" s="344"/>
      <c r="AG630" s="344"/>
      <c r="AH630" s="344"/>
      <c r="AI630" s="344"/>
      <c r="AJ630" s="344"/>
      <c r="AK630" s="344"/>
      <c r="AL630" s="344"/>
      <c r="AM630" s="344"/>
      <c r="AN630" s="344"/>
      <c r="AO630" s="344"/>
    </row>
    <row r="631" spans="1:41" ht="15.75" customHeight="1" x14ac:dyDescent="0.25">
      <c r="A631" s="344"/>
      <c r="B631" s="353"/>
      <c r="C631" s="344"/>
      <c r="D631" s="344"/>
      <c r="E631" s="344"/>
      <c r="F631" s="344"/>
      <c r="G631" s="344"/>
      <c r="H631" s="344"/>
      <c r="I631" s="344"/>
      <c r="J631" s="344"/>
      <c r="K631" s="344"/>
      <c r="L631" s="344"/>
      <c r="M631" s="344"/>
      <c r="N631" s="344"/>
      <c r="O631" s="344"/>
      <c r="P631" s="344"/>
      <c r="Q631" s="344"/>
      <c r="R631" s="344"/>
      <c r="S631" s="344"/>
      <c r="T631" s="344"/>
      <c r="U631" s="344"/>
      <c r="V631" s="344"/>
      <c r="W631" s="344"/>
      <c r="X631" s="344"/>
      <c r="Y631" s="344"/>
      <c r="Z631" s="344"/>
      <c r="AA631" s="344"/>
      <c r="AB631" s="344"/>
      <c r="AC631" s="344"/>
      <c r="AD631" s="344"/>
      <c r="AE631" s="344"/>
      <c r="AF631" s="344"/>
      <c r="AG631" s="344"/>
      <c r="AH631" s="344"/>
      <c r="AI631" s="344"/>
      <c r="AJ631" s="344"/>
      <c r="AK631" s="344"/>
      <c r="AL631" s="344"/>
      <c r="AM631" s="344"/>
      <c r="AN631" s="344"/>
      <c r="AO631" s="344"/>
    </row>
    <row r="632" spans="1:41" ht="15.75" customHeight="1" x14ac:dyDescent="0.25">
      <c r="A632" s="344"/>
      <c r="B632" s="353"/>
      <c r="C632" s="344"/>
      <c r="D632" s="344"/>
      <c r="E632" s="344"/>
      <c r="F632" s="344"/>
      <c r="G632" s="344"/>
      <c r="H632" s="344"/>
      <c r="I632" s="344"/>
      <c r="J632" s="344"/>
      <c r="K632" s="344"/>
      <c r="L632" s="344"/>
      <c r="M632" s="344"/>
      <c r="N632" s="344"/>
      <c r="O632" s="344"/>
      <c r="P632" s="344"/>
      <c r="Q632" s="344"/>
      <c r="R632" s="344"/>
      <c r="S632" s="344"/>
      <c r="T632" s="344"/>
      <c r="U632" s="344"/>
      <c r="V632" s="344"/>
      <c r="W632" s="344"/>
      <c r="X632" s="344"/>
      <c r="Y632" s="344"/>
      <c r="Z632" s="344"/>
      <c r="AA632" s="344"/>
      <c r="AB632" s="344"/>
      <c r="AC632" s="344"/>
      <c r="AD632" s="344"/>
      <c r="AE632" s="344"/>
      <c r="AF632" s="344"/>
      <c r="AG632" s="344"/>
      <c r="AH632" s="344"/>
      <c r="AI632" s="344"/>
      <c r="AJ632" s="344"/>
      <c r="AK632" s="344"/>
      <c r="AL632" s="344"/>
      <c r="AM632" s="344"/>
      <c r="AN632" s="344"/>
      <c r="AO632" s="344"/>
    </row>
    <row r="633" spans="1:41" ht="15.75" customHeight="1" x14ac:dyDescent="0.25">
      <c r="A633" s="344"/>
      <c r="B633" s="353"/>
      <c r="C633" s="344"/>
      <c r="D633" s="344"/>
      <c r="E633" s="344"/>
      <c r="F633" s="344"/>
      <c r="G633" s="344"/>
      <c r="H633" s="344"/>
      <c r="I633" s="344"/>
      <c r="J633" s="344"/>
      <c r="K633" s="344"/>
      <c r="L633" s="344"/>
      <c r="M633" s="344"/>
      <c r="N633" s="344"/>
      <c r="O633" s="344"/>
      <c r="P633" s="344"/>
      <c r="Q633" s="344"/>
      <c r="R633" s="344"/>
      <c r="S633" s="344"/>
      <c r="T633" s="344"/>
      <c r="U633" s="344"/>
      <c r="V633" s="344"/>
      <c r="W633" s="344"/>
      <c r="X633" s="344"/>
      <c r="Y633" s="344"/>
      <c r="Z633" s="344"/>
      <c r="AA633" s="344"/>
      <c r="AB633" s="344"/>
      <c r="AC633" s="344"/>
      <c r="AD633" s="344"/>
      <c r="AE633" s="344"/>
      <c r="AF633" s="344"/>
      <c r="AG633" s="344"/>
      <c r="AH633" s="344"/>
      <c r="AI633" s="344"/>
      <c r="AJ633" s="344"/>
      <c r="AK633" s="344"/>
      <c r="AL633" s="344"/>
      <c r="AM633" s="344"/>
      <c r="AN633" s="344"/>
      <c r="AO633" s="344"/>
    </row>
    <row r="634" spans="1:41" ht="15.75" customHeight="1" x14ac:dyDescent="0.25">
      <c r="A634" s="344"/>
      <c r="B634" s="353"/>
      <c r="C634" s="344"/>
      <c r="D634" s="344"/>
      <c r="E634" s="344"/>
      <c r="F634" s="344"/>
      <c r="G634" s="344"/>
      <c r="H634" s="344"/>
      <c r="I634" s="344"/>
      <c r="J634" s="344"/>
      <c r="K634" s="344"/>
      <c r="L634" s="344"/>
      <c r="M634" s="344"/>
      <c r="N634" s="344"/>
      <c r="O634" s="344"/>
      <c r="P634" s="344"/>
      <c r="Q634" s="344"/>
      <c r="R634" s="344"/>
      <c r="S634" s="344"/>
      <c r="T634" s="344"/>
      <c r="U634" s="344"/>
      <c r="V634" s="344"/>
      <c r="W634" s="344"/>
      <c r="X634" s="344"/>
      <c r="Y634" s="344"/>
      <c r="Z634" s="344"/>
      <c r="AA634" s="344"/>
      <c r="AB634" s="344"/>
      <c r="AC634" s="344"/>
      <c r="AD634" s="344"/>
      <c r="AE634" s="344"/>
      <c r="AF634" s="344"/>
      <c r="AG634" s="344"/>
      <c r="AH634" s="344"/>
      <c r="AI634" s="344"/>
      <c r="AJ634" s="344"/>
      <c r="AK634" s="344"/>
      <c r="AL634" s="344"/>
      <c r="AM634" s="344"/>
      <c r="AN634" s="344"/>
      <c r="AO634" s="344"/>
    </row>
    <row r="635" spans="1:41" ht="15.75" customHeight="1" x14ac:dyDescent="0.25">
      <c r="A635" s="344"/>
      <c r="B635" s="353"/>
      <c r="C635" s="344"/>
      <c r="D635" s="344"/>
      <c r="E635" s="344"/>
      <c r="F635" s="344"/>
      <c r="G635" s="344"/>
      <c r="H635" s="344"/>
      <c r="I635" s="344"/>
      <c r="J635" s="344"/>
      <c r="K635" s="344"/>
      <c r="L635" s="344"/>
      <c r="M635" s="344"/>
      <c r="N635" s="344"/>
      <c r="O635" s="344"/>
      <c r="P635" s="344"/>
      <c r="Q635" s="344"/>
      <c r="R635" s="344"/>
      <c r="S635" s="344"/>
      <c r="T635" s="344"/>
      <c r="U635" s="344"/>
      <c r="V635" s="344"/>
      <c r="W635" s="344"/>
      <c r="X635" s="344"/>
      <c r="Y635" s="344"/>
      <c r="Z635" s="344"/>
      <c r="AA635" s="344"/>
      <c r="AB635" s="344"/>
      <c r="AC635" s="344"/>
      <c r="AD635" s="344"/>
      <c r="AE635" s="344"/>
      <c r="AF635" s="344"/>
      <c r="AG635" s="344"/>
      <c r="AH635" s="344"/>
      <c r="AI635" s="344"/>
      <c r="AJ635" s="344"/>
      <c r="AK635" s="344"/>
      <c r="AL635" s="344"/>
      <c r="AM635" s="344"/>
      <c r="AN635" s="344"/>
      <c r="AO635" s="344"/>
    </row>
    <row r="636" spans="1:41" ht="15.75" customHeight="1" x14ac:dyDescent="0.25">
      <c r="A636" s="344"/>
      <c r="B636" s="353"/>
      <c r="C636" s="344"/>
      <c r="D636" s="344"/>
      <c r="E636" s="344"/>
      <c r="F636" s="344"/>
      <c r="G636" s="344"/>
      <c r="H636" s="344"/>
      <c r="I636" s="344"/>
      <c r="J636" s="344"/>
      <c r="K636" s="344"/>
      <c r="L636" s="344"/>
      <c r="M636" s="344"/>
      <c r="N636" s="344"/>
      <c r="O636" s="344"/>
      <c r="P636" s="344"/>
      <c r="Q636" s="344"/>
      <c r="R636" s="344"/>
      <c r="S636" s="344"/>
      <c r="T636" s="344"/>
      <c r="U636" s="344"/>
      <c r="V636" s="344"/>
      <c r="W636" s="344"/>
      <c r="X636" s="344"/>
      <c r="Y636" s="344"/>
      <c r="Z636" s="344"/>
      <c r="AA636" s="344"/>
      <c r="AB636" s="344"/>
      <c r="AC636" s="344"/>
      <c r="AD636" s="344"/>
      <c r="AE636" s="344"/>
      <c r="AF636" s="344"/>
      <c r="AG636" s="344"/>
      <c r="AH636" s="344"/>
      <c r="AI636" s="344"/>
      <c r="AJ636" s="344"/>
      <c r="AK636" s="344"/>
      <c r="AL636" s="344"/>
      <c r="AM636" s="344"/>
      <c r="AN636" s="344"/>
      <c r="AO636" s="344"/>
    </row>
    <row r="637" spans="1:41" ht="15.75" customHeight="1" x14ac:dyDescent="0.25">
      <c r="A637" s="344"/>
      <c r="B637" s="353"/>
      <c r="C637" s="344"/>
      <c r="D637" s="344"/>
      <c r="E637" s="344"/>
      <c r="F637" s="344"/>
      <c r="G637" s="344"/>
      <c r="H637" s="344"/>
      <c r="I637" s="344"/>
      <c r="J637" s="344"/>
      <c r="K637" s="344"/>
      <c r="L637" s="344"/>
      <c r="M637" s="344"/>
      <c r="N637" s="344"/>
      <c r="O637" s="344"/>
      <c r="P637" s="344"/>
      <c r="Q637" s="344"/>
      <c r="R637" s="344"/>
      <c r="S637" s="344"/>
      <c r="T637" s="344"/>
      <c r="U637" s="344"/>
      <c r="V637" s="344"/>
      <c r="W637" s="344"/>
      <c r="X637" s="344"/>
      <c r="Y637" s="344"/>
      <c r="Z637" s="344"/>
      <c r="AA637" s="344"/>
      <c r="AB637" s="344"/>
      <c r="AC637" s="344"/>
      <c r="AD637" s="344"/>
      <c r="AE637" s="344"/>
      <c r="AF637" s="344"/>
      <c r="AG637" s="344"/>
      <c r="AH637" s="344"/>
      <c r="AI637" s="344"/>
      <c r="AJ637" s="344"/>
      <c r="AK637" s="344"/>
      <c r="AL637" s="344"/>
      <c r="AM637" s="344"/>
      <c r="AN637" s="344"/>
      <c r="AO637" s="344"/>
    </row>
    <row r="638" spans="1:41" ht="15.75" customHeight="1" x14ac:dyDescent="0.25">
      <c r="A638" s="344"/>
      <c r="B638" s="353"/>
      <c r="C638" s="344"/>
      <c r="D638" s="344"/>
      <c r="E638" s="344"/>
      <c r="F638" s="344"/>
      <c r="G638" s="344"/>
      <c r="H638" s="344"/>
      <c r="I638" s="344"/>
      <c r="J638" s="344"/>
      <c r="K638" s="344"/>
      <c r="L638" s="344"/>
      <c r="M638" s="344"/>
      <c r="N638" s="344"/>
      <c r="O638" s="344"/>
      <c r="P638" s="344"/>
      <c r="Q638" s="344"/>
      <c r="R638" s="344"/>
      <c r="S638" s="344"/>
      <c r="T638" s="344"/>
      <c r="U638" s="344"/>
      <c r="V638" s="344"/>
      <c r="W638" s="344"/>
      <c r="X638" s="344"/>
      <c r="Y638" s="344"/>
      <c r="Z638" s="344"/>
      <c r="AA638" s="344"/>
      <c r="AB638" s="344"/>
      <c r="AC638" s="344"/>
      <c r="AD638" s="344"/>
      <c r="AE638" s="344"/>
      <c r="AF638" s="344"/>
      <c r="AG638" s="344"/>
      <c r="AH638" s="344"/>
      <c r="AI638" s="344"/>
      <c r="AJ638" s="344"/>
      <c r="AK638" s="344"/>
      <c r="AL638" s="344"/>
      <c r="AM638" s="344"/>
      <c r="AN638" s="344"/>
      <c r="AO638" s="344"/>
    </row>
    <row r="639" spans="1:41" ht="15.75" customHeight="1" x14ac:dyDescent="0.25">
      <c r="A639" s="344"/>
      <c r="B639" s="353"/>
      <c r="C639" s="344"/>
      <c r="D639" s="344"/>
      <c r="E639" s="344"/>
      <c r="F639" s="344"/>
      <c r="G639" s="344"/>
      <c r="H639" s="344"/>
      <c r="I639" s="344"/>
      <c r="J639" s="344"/>
      <c r="K639" s="344"/>
      <c r="L639" s="344"/>
      <c r="M639" s="344"/>
      <c r="N639" s="344"/>
      <c r="O639" s="344"/>
      <c r="P639" s="344"/>
      <c r="Q639" s="344"/>
      <c r="R639" s="344"/>
      <c r="S639" s="344"/>
      <c r="T639" s="344"/>
      <c r="U639" s="344"/>
      <c r="V639" s="344"/>
      <c r="W639" s="344"/>
      <c r="X639" s="344"/>
      <c r="Y639" s="344"/>
      <c r="Z639" s="344"/>
      <c r="AA639" s="344"/>
      <c r="AB639" s="344"/>
      <c r="AC639" s="344"/>
      <c r="AD639" s="344"/>
      <c r="AE639" s="344"/>
      <c r="AF639" s="344"/>
      <c r="AG639" s="344"/>
      <c r="AH639" s="344"/>
      <c r="AI639" s="344"/>
      <c r="AJ639" s="344"/>
      <c r="AK639" s="344"/>
      <c r="AL639" s="344"/>
      <c r="AM639" s="344"/>
      <c r="AN639" s="344"/>
      <c r="AO639" s="344"/>
    </row>
    <row r="640" spans="1:41" ht="15.75" customHeight="1" x14ac:dyDescent="0.25">
      <c r="A640" s="344"/>
      <c r="B640" s="353"/>
      <c r="C640" s="344"/>
      <c r="D640" s="344"/>
      <c r="E640" s="344"/>
      <c r="F640" s="344"/>
      <c r="G640" s="344"/>
      <c r="H640" s="344"/>
      <c r="I640" s="344"/>
      <c r="J640" s="344"/>
      <c r="K640" s="344"/>
      <c r="L640" s="344"/>
      <c r="M640" s="344"/>
      <c r="N640" s="344"/>
      <c r="O640" s="344"/>
      <c r="P640" s="344"/>
      <c r="Q640" s="344"/>
      <c r="R640" s="344"/>
      <c r="S640" s="344"/>
      <c r="T640" s="344"/>
      <c r="U640" s="344"/>
      <c r="V640" s="344"/>
      <c r="W640" s="344"/>
      <c r="X640" s="344"/>
      <c r="Y640" s="344"/>
      <c r="Z640" s="344"/>
      <c r="AA640" s="344"/>
      <c r="AB640" s="344"/>
      <c r="AC640" s="344"/>
      <c r="AD640" s="344"/>
      <c r="AE640" s="344"/>
      <c r="AF640" s="344"/>
      <c r="AG640" s="344"/>
      <c r="AH640" s="344"/>
      <c r="AI640" s="344"/>
      <c r="AJ640" s="344"/>
      <c r="AK640" s="344"/>
      <c r="AL640" s="344"/>
      <c r="AM640" s="344"/>
      <c r="AN640" s="344"/>
      <c r="AO640" s="344"/>
    </row>
    <row r="641" spans="1:41" ht="15.75" customHeight="1" x14ac:dyDescent="0.25">
      <c r="A641" s="344"/>
      <c r="B641" s="353"/>
      <c r="C641" s="344"/>
      <c r="D641" s="344"/>
      <c r="E641" s="344"/>
      <c r="F641" s="344"/>
      <c r="G641" s="344"/>
      <c r="H641" s="344"/>
      <c r="I641" s="344"/>
      <c r="J641" s="344"/>
      <c r="K641" s="344"/>
      <c r="L641" s="344"/>
      <c r="M641" s="344"/>
      <c r="N641" s="344"/>
      <c r="O641" s="344"/>
      <c r="P641" s="344"/>
      <c r="Q641" s="344"/>
      <c r="R641" s="344"/>
      <c r="S641" s="344"/>
      <c r="T641" s="344"/>
      <c r="U641" s="344"/>
      <c r="V641" s="344"/>
      <c r="W641" s="344"/>
      <c r="X641" s="344"/>
      <c r="Y641" s="344"/>
      <c r="Z641" s="344"/>
      <c r="AA641" s="344"/>
      <c r="AB641" s="344"/>
      <c r="AC641" s="344"/>
      <c r="AD641" s="344"/>
      <c r="AE641" s="344"/>
      <c r="AF641" s="344"/>
      <c r="AG641" s="344"/>
      <c r="AH641" s="344"/>
      <c r="AI641" s="344"/>
      <c r="AJ641" s="344"/>
      <c r="AK641" s="344"/>
      <c r="AL641" s="344"/>
      <c r="AM641" s="344"/>
      <c r="AN641" s="344"/>
      <c r="AO641" s="344"/>
    </row>
    <row r="642" spans="1:41" ht="15.75" customHeight="1" x14ac:dyDescent="0.25">
      <c r="A642" s="344"/>
      <c r="B642" s="353"/>
      <c r="C642" s="344"/>
      <c r="D642" s="344"/>
      <c r="E642" s="344"/>
      <c r="F642" s="344"/>
      <c r="G642" s="344"/>
      <c r="H642" s="344"/>
      <c r="I642" s="344"/>
      <c r="J642" s="344"/>
      <c r="K642" s="344"/>
      <c r="L642" s="344"/>
      <c r="M642" s="344"/>
      <c r="N642" s="344"/>
      <c r="O642" s="344"/>
      <c r="P642" s="344"/>
      <c r="Q642" s="344"/>
      <c r="R642" s="344"/>
      <c r="S642" s="344"/>
      <c r="T642" s="344"/>
      <c r="U642" s="344"/>
      <c r="V642" s="344"/>
      <c r="W642" s="344"/>
      <c r="X642" s="344"/>
      <c r="Y642" s="344"/>
      <c r="Z642" s="344"/>
      <c r="AA642" s="344"/>
      <c r="AB642" s="344"/>
      <c r="AC642" s="344"/>
      <c r="AD642" s="344"/>
      <c r="AE642" s="344"/>
      <c r="AF642" s="344"/>
      <c r="AG642" s="344"/>
      <c r="AH642" s="344"/>
      <c r="AI642" s="344"/>
      <c r="AJ642" s="344"/>
      <c r="AK642" s="344"/>
      <c r="AL642" s="344"/>
      <c r="AM642" s="344"/>
      <c r="AN642" s="344"/>
      <c r="AO642" s="344"/>
    </row>
    <row r="643" spans="1:41" ht="15.75" customHeight="1" x14ac:dyDescent="0.25">
      <c r="A643" s="344"/>
      <c r="B643" s="353"/>
      <c r="C643" s="344"/>
      <c r="D643" s="344"/>
      <c r="E643" s="344"/>
      <c r="F643" s="344"/>
      <c r="G643" s="344"/>
      <c r="H643" s="344"/>
      <c r="I643" s="344"/>
      <c r="J643" s="344"/>
      <c r="K643" s="344"/>
      <c r="L643" s="344"/>
      <c r="M643" s="344"/>
      <c r="N643" s="344"/>
      <c r="O643" s="344"/>
      <c r="P643" s="344"/>
      <c r="Q643" s="344"/>
      <c r="R643" s="344"/>
      <c r="S643" s="344"/>
      <c r="T643" s="344"/>
      <c r="U643" s="344"/>
      <c r="V643" s="344"/>
      <c r="W643" s="344"/>
      <c r="X643" s="344"/>
      <c r="Y643" s="344"/>
      <c r="Z643" s="344"/>
      <c r="AA643" s="344"/>
      <c r="AB643" s="344"/>
      <c r="AC643" s="344"/>
      <c r="AD643" s="344"/>
      <c r="AE643" s="344"/>
      <c r="AF643" s="344"/>
      <c r="AG643" s="344"/>
      <c r="AH643" s="344"/>
      <c r="AI643" s="344"/>
      <c r="AJ643" s="344"/>
      <c r="AK643" s="344"/>
      <c r="AL643" s="344"/>
      <c r="AM643" s="344"/>
      <c r="AN643" s="344"/>
      <c r="AO643" s="344"/>
    </row>
    <row r="644" spans="1:41" ht="15.75" customHeight="1" x14ac:dyDescent="0.25">
      <c r="A644" s="344"/>
      <c r="B644" s="353"/>
      <c r="C644" s="344"/>
      <c r="D644" s="344"/>
      <c r="E644" s="344"/>
      <c r="F644" s="344"/>
      <c r="G644" s="344"/>
      <c r="H644" s="344"/>
      <c r="I644" s="344"/>
      <c r="J644" s="344"/>
      <c r="K644" s="344"/>
      <c r="L644" s="344"/>
      <c r="M644" s="344"/>
      <c r="N644" s="344"/>
      <c r="O644" s="344"/>
      <c r="P644" s="344"/>
      <c r="Q644" s="344"/>
      <c r="R644" s="344"/>
      <c r="S644" s="344"/>
      <c r="T644" s="344"/>
      <c r="U644" s="344"/>
      <c r="V644" s="344"/>
      <c r="W644" s="344"/>
      <c r="X644" s="344"/>
      <c r="Y644" s="344"/>
      <c r="Z644" s="344"/>
      <c r="AA644" s="344"/>
      <c r="AB644" s="344"/>
      <c r="AC644" s="344"/>
      <c r="AD644" s="344"/>
      <c r="AE644" s="344"/>
      <c r="AF644" s="344"/>
      <c r="AG644" s="344"/>
      <c r="AH644" s="344"/>
      <c r="AI644" s="344"/>
      <c r="AJ644" s="344"/>
      <c r="AK644" s="344"/>
      <c r="AL644" s="344"/>
      <c r="AM644" s="344"/>
      <c r="AN644" s="344"/>
      <c r="AO644" s="344"/>
    </row>
    <row r="645" spans="1:41" ht="15.75" customHeight="1" x14ac:dyDescent="0.25">
      <c r="A645" s="344"/>
      <c r="B645" s="353"/>
      <c r="C645" s="344"/>
      <c r="D645" s="344"/>
      <c r="E645" s="344"/>
      <c r="F645" s="344"/>
      <c r="G645" s="344"/>
      <c r="H645" s="344"/>
      <c r="I645" s="344"/>
      <c r="J645" s="344"/>
      <c r="K645" s="344"/>
      <c r="L645" s="344"/>
      <c r="M645" s="344"/>
      <c r="N645" s="344"/>
      <c r="O645" s="344"/>
      <c r="P645" s="344"/>
      <c r="Q645" s="344"/>
      <c r="R645" s="344"/>
      <c r="S645" s="344"/>
      <c r="T645" s="344"/>
      <c r="U645" s="344"/>
      <c r="V645" s="344"/>
      <c r="W645" s="344"/>
      <c r="X645" s="344"/>
      <c r="Y645" s="344"/>
      <c r="Z645" s="344"/>
      <c r="AA645" s="344"/>
      <c r="AB645" s="344"/>
      <c r="AC645" s="344"/>
      <c r="AD645" s="344"/>
      <c r="AE645" s="344"/>
      <c r="AF645" s="344"/>
      <c r="AG645" s="344"/>
      <c r="AH645" s="344"/>
      <c r="AI645" s="344"/>
      <c r="AJ645" s="344"/>
      <c r="AK645" s="344"/>
      <c r="AL645" s="344"/>
      <c r="AM645" s="344"/>
      <c r="AN645" s="344"/>
      <c r="AO645" s="344"/>
    </row>
    <row r="646" spans="1:41" ht="15.75" customHeight="1" x14ac:dyDescent="0.25">
      <c r="A646" s="344"/>
      <c r="B646" s="353"/>
      <c r="C646" s="344"/>
      <c r="D646" s="344"/>
      <c r="E646" s="344"/>
      <c r="F646" s="344"/>
      <c r="G646" s="344"/>
      <c r="H646" s="344"/>
      <c r="I646" s="344"/>
      <c r="J646" s="344"/>
      <c r="K646" s="344"/>
      <c r="L646" s="344"/>
      <c r="M646" s="344"/>
      <c r="N646" s="344"/>
      <c r="O646" s="344"/>
      <c r="P646" s="344"/>
      <c r="Q646" s="344"/>
      <c r="R646" s="344"/>
      <c r="S646" s="344"/>
      <c r="T646" s="344"/>
      <c r="U646" s="344"/>
      <c r="V646" s="344"/>
      <c r="W646" s="344"/>
      <c r="X646" s="344"/>
      <c r="Y646" s="344"/>
      <c r="Z646" s="344"/>
      <c r="AA646" s="344"/>
      <c r="AB646" s="344"/>
      <c r="AC646" s="344"/>
      <c r="AD646" s="344"/>
      <c r="AE646" s="344"/>
      <c r="AF646" s="344"/>
      <c r="AG646" s="344"/>
      <c r="AH646" s="344"/>
      <c r="AI646" s="344"/>
      <c r="AJ646" s="344"/>
      <c r="AK646" s="344"/>
      <c r="AL646" s="344"/>
      <c r="AM646" s="344"/>
      <c r="AN646" s="344"/>
      <c r="AO646" s="344"/>
    </row>
    <row r="647" spans="1:41" ht="15.75" customHeight="1" x14ac:dyDescent="0.25">
      <c r="A647" s="344"/>
      <c r="B647" s="353"/>
      <c r="C647" s="344"/>
      <c r="D647" s="344"/>
      <c r="E647" s="344"/>
      <c r="F647" s="344"/>
      <c r="G647" s="344"/>
      <c r="H647" s="344"/>
      <c r="I647" s="344"/>
      <c r="J647" s="344"/>
      <c r="K647" s="344"/>
      <c r="L647" s="344"/>
      <c r="M647" s="344"/>
      <c r="N647" s="344"/>
      <c r="O647" s="344"/>
      <c r="P647" s="344"/>
      <c r="Q647" s="344"/>
      <c r="R647" s="344"/>
      <c r="S647" s="344"/>
      <c r="T647" s="344"/>
      <c r="U647" s="344"/>
      <c r="V647" s="344"/>
      <c r="W647" s="344"/>
      <c r="X647" s="344"/>
      <c r="Y647" s="344"/>
      <c r="Z647" s="344"/>
      <c r="AA647" s="344"/>
      <c r="AB647" s="344"/>
      <c r="AC647" s="344"/>
      <c r="AD647" s="344"/>
      <c r="AE647" s="344"/>
      <c r="AF647" s="344"/>
      <c r="AG647" s="344"/>
      <c r="AH647" s="344"/>
      <c r="AI647" s="344"/>
      <c r="AJ647" s="344"/>
      <c r="AK647" s="344"/>
      <c r="AL647" s="344"/>
      <c r="AM647" s="344"/>
      <c r="AN647" s="344"/>
      <c r="AO647" s="344"/>
    </row>
    <row r="648" spans="1:41" ht="15.75" customHeight="1" x14ac:dyDescent="0.25">
      <c r="A648" s="344"/>
      <c r="B648" s="353"/>
      <c r="C648" s="344"/>
      <c r="D648" s="344"/>
      <c r="E648" s="344"/>
      <c r="F648" s="344"/>
      <c r="G648" s="344"/>
      <c r="H648" s="344"/>
      <c r="I648" s="344"/>
      <c r="J648" s="344"/>
      <c r="K648" s="344"/>
      <c r="L648" s="344"/>
      <c r="M648" s="344"/>
      <c r="N648" s="344"/>
      <c r="O648" s="344"/>
      <c r="P648" s="344"/>
      <c r="Q648" s="344"/>
      <c r="R648" s="344"/>
      <c r="S648" s="344"/>
      <c r="T648" s="344"/>
      <c r="U648" s="344"/>
      <c r="V648" s="344"/>
      <c r="W648" s="344"/>
      <c r="X648" s="344"/>
      <c r="Y648" s="344"/>
      <c r="Z648" s="344"/>
      <c r="AA648" s="344"/>
      <c r="AB648" s="344"/>
      <c r="AC648" s="344"/>
      <c r="AD648" s="344"/>
      <c r="AE648" s="344"/>
      <c r="AF648" s="344"/>
      <c r="AG648" s="344"/>
      <c r="AH648" s="344"/>
      <c r="AI648" s="344"/>
      <c r="AJ648" s="344"/>
      <c r="AK648" s="344"/>
      <c r="AL648" s="344"/>
      <c r="AM648" s="344"/>
      <c r="AN648" s="344"/>
      <c r="AO648" s="344"/>
    </row>
    <row r="649" spans="1:41" ht="15.75" customHeight="1" x14ac:dyDescent="0.25">
      <c r="A649" s="344"/>
      <c r="B649" s="353"/>
      <c r="C649" s="344"/>
      <c r="D649" s="344"/>
      <c r="E649" s="344"/>
      <c r="F649" s="344"/>
      <c r="G649" s="344"/>
      <c r="H649" s="344"/>
      <c r="I649" s="344"/>
      <c r="J649" s="344"/>
      <c r="K649" s="344"/>
      <c r="L649" s="344"/>
      <c r="M649" s="344"/>
      <c r="N649" s="344"/>
      <c r="O649" s="344"/>
      <c r="P649" s="344"/>
      <c r="Q649" s="344"/>
      <c r="R649" s="344"/>
      <c r="S649" s="344"/>
      <c r="T649" s="344"/>
      <c r="U649" s="344"/>
      <c r="V649" s="344"/>
      <c r="W649" s="344"/>
      <c r="X649" s="344"/>
      <c r="Y649" s="344"/>
      <c r="Z649" s="344"/>
      <c r="AA649" s="344"/>
      <c r="AB649" s="344"/>
      <c r="AC649" s="344"/>
      <c r="AD649" s="344"/>
      <c r="AE649" s="344"/>
      <c r="AF649" s="344"/>
      <c r="AG649" s="344"/>
      <c r="AH649" s="344"/>
      <c r="AI649" s="344"/>
      <c r="AJ649" s="344"/>
      <c r="AK649" s="344"/>
      <c r="AL649" s="344"/>
      <c r="AM649" s="344"/>
      <c r="AN649" s="344"/>
      <c r="AO649" s="344"/>
    </row>
    <row r="650" spans="1:41" ht="15.75" customHeight="1" x14ac:dyDescent="0.25">
      <c r="A650" s="344"/>
      <c r="B650" s="353"/>
      <c r="C650" s="344"/>
      <c r="D650" s="344"/>
      <c r="E650" s="344"/>
      <c r="F650" s="344"/>
      <c r="G650" s="344"/>
      <c r="H650" s="344"/>
      <c r="I650" s="344"/>
      <c r="J650" s="344"/>
      <c r="K650" s="344"/>
      <c r="L650" s="344"/>
      <c r="M650" s="344"/>
      <c r="N650" s="344"/>
      <c r="O650" s="344"/>
      <c r="P650" s="344"/>
      <c r="Q650" s="344"/>
      <c r="R650" s="344"/>
      <c r="S650" s="344"/>
      <c r="T650" s="344"/>
      <c r="U650" s="344"/>
      <c r="V650" s="344"/>
      <c r="W650" s="344"/>
      <c r="X650" s="344"/>
      <c r="Y650" s="344"/>
      <c r="Z650" s="344"/>
      <c r="AA650" s="344"/>
      <c r="AB650" s="344"/>
      <c r="AC650" s="344"/>
      <c r="AD650" s="344"/>
      <c r="AE650" s="344"/>
      <c r="AF650" s="344"/>
      <c r="AG650" s="344"/>
      <c r="AH650" s="344"/>
      <c r="AI650" s="344"/>
      <c r="AJ650" s="344"/>
      <c r="AK650" s="344"/>
      <c r="AL650" s="344"/>
      <c r="AM650" s="344"/>
      <c r="AN650" s="344"/>
      <c r="AO650" s="344"/>
    </row>
    <row r="651" spans="1:41" ht="15.75" customHeight="1" x14ac:dyDescent="0.25">
      <c r="A651" s="344"/>
      <c r="B651" s="353"/>
      <c r="C651" s="344"/>
      <c r="D651" s="344"/>
      <c r="E651" s="344"/>
      <c r="F651" s="344"/>
      <c r="G651" s="344"/>
      <c r="H651" s="344"/>
      <c r="I651" s="344"/>
      <c r="J651" s="344"/>
      <c r="K651" s="344"/>
      <c r="L651" s="344"/>
      <c r="M651" s="344"/>
      <c r="N651" s="344"/>
      <c r="O651" s="344"/>
      <c r="P651" s="344"/>
      <c r="Q651" s="344"/>
      <c r="R651" s="344"/>
      <c r="S651" s="344"/>
      <c r="T651" s="344"/>
      <c r="U651" s="344"/>
      <c r="V651" s="344"/>
      <c r="W651" s="344"/>
      <c r="X651" s="344"/>
      <c r="Y651" s="344"/>
      <c r="Z651" s="344"/>
      <c r="AA651" s="344"/>
      <c r="AB651" s="344"/>
      <c r="AC651" s="344"/>
      <c r="AD651" s="344"/>
      <c r="AE651" s="344"/>
      <c r="AF651" s="344"/>
      <c r="AG651" s="344"/>
      <c r="AH651" s="344"/>
      <c r="AI651" s="344"/>
      <c r="AJ651" s="344"/>
      <c r="AK651" s="344"/>
      <c r="AL651" s="344"/>
      <c r="AM651" s="344"/>
      <c r="AN651" s="344"/>
      <c r="AO651" s="344"/>
    </row>
    <row r="652" spans="1:41" ht="15.75" customHeight="1" x14ac:dyDescent="0.25">
      <c r="A652" s="344"/>
      <c r="B652" s="353"/>
      <c r="C652" s="344"/>
      <c r="D652" s="344"/>
      <c r="E652" s="344"/>
      <c r="F652" s="344"/>
      <c r="G652" s="344"/>
      <c r="H652" s="344"/>
      <c r="I652" s="344"/>
      <c r="J652" s="344"/>
      <c r="K652" s="344"/>
      <c r="L652" s="344"/>
      <c r="M652" s="344"/>
      <c r="N652" s="344"/>
      <c r="O652" s="344"/>
      <c r="P652" s="344"/>
      <c r="Q652" s="344"/>
      <c r="R652" s="344"/>
      <c r="S652" s="344"/>
      <c r="T652" s="344"/>
      <c r="U652" s="344"/>
      <c r="V652" s="344"/>
      <c r="W652" s="344"/>
      <c r="X652" s="344"/>
      <c r="Y652" s="344"/>
      <c r="Z652" s="344"/>
      <c r="AA652" s="344"/>
      <c r="AB652" s="344"/>
      <c r="AC652" s="344"/>
      <c r="AD652" s="344"/>
      <c r="AE652" s="344"/>
      <c r="AF652" s="344"/>
      <c r="AG652" s="344"/>
      <c r="AH652" s="344"/>
      <c r="AI652" s="344"/>
      <c r="AJ652" s="344"/>
      <c r="AK652" s="344"/>
      <c r="AL652" s="344"/>
      <c r="AM652" s="344"/>
      <c r="AN652" s="344"/>
      <c r="AO652" s="344"/>
    </row>
    <row r="653" spans="1:41" ht="15.75" customHeight="1" x14ac:dyDescent="0.25">
      <c r="A653" s="344"/>
      <c r="B653" s="353"/>
      <c r="C653" s="344"/>
      <c r="D653" s="344"/>
      <c r="E653" s="344"/>
      <c r="F653" s="344"/>
      <c r="G653" s="344"/>
      <c r="H653" s="344"/>
      <c r="I653" s="344"/>
      <c r="J653" s="344"/>
      <c r="K653" s="344"/>
      <c r="L653" s="344"/>
      <c r="M653" s="344"/>
      <c r="N653" s="344"/>
      <c r="O653" s="344"/>
      <c r="P653" s="344"/>
      <c r="Q653" s="344"/>
      <c r="R653" s="344"/>
      <c r="S653" s="344"/>
      <c r="T653" s="344"/>
      <c r="U653" s="344"/>
      <c r="V653" s="344"/>
      <c r="W653" s="344"/>
      <c r="X653" s="344"/>
      <c r="Y653" s="344"/>
      <c r="Z653" s="344"/>
      <c r="AA653" s="344"/>
      <c r="AB653" s="344"/>
      <c r="AC653" s="344"/>
      <c r="AD653" s="344"/>
      <c r="AE653" s="344"/>
      <c r="AF653" s="344"/>
      <c r="AG653" s="344"/>
      <c r="AH653" s="344"/>
      <c r="AI653" s="344"/>
      <c r="AJ653" s="344"/>
      <c r="AK653" s="344"/>
      <c r="AL653" s="344"/>
      <c r="AM653" s="344"/>
      <c r="AN653" s="344"/>
      <c r="AO653" s="344"/>
    </row>
    <row r="654" spans="1:41" ht="15.75" customHeight="1" x14ac:dyDescent="0.25">
      <c r="A654" s="344"/>
      <c r="B654" s="353"/>
      <c r="C654" s="344"/>
      <c r="D654" s="344"/>
      <c r="E654" s="344"/>
      <c r="F654" s="344"/>
      <c r="G654" s="344"/>
      <c r="H654" s="344"/>
      <c r="I654" s="344"/>
      <c r="J654" s="344"/>
      <c r="K654" s="344"/>
      <c r="L654" s="344"/>
      <c r="M654" s="344"/>
      <c r="N654" s="344"/>
      <c r="O654" s="344"/>
      <c r="P654" s="344"/>
      <c r="Q654" s="344"/>
      <c r="R654" s="344"/>
      <c r="S654" s="344"/>
      <c r="T654" s="344"/>
      <c r="U654" s="344"/>
      <c r="V654" s="344"/>
      <c r="W654" s="344"/>
      <c r="X654" s="344"/>
      <c r="Y654" s="344"/>
      <c r="Z654" s="344"/>
      <c r="AA654" s="344"/>
      <c r="AB654" s="344"/>
      <c r="AC654" s="344"/>
      <c r="AD654" s="344"/>
      <c r="AE654" s="344"/>
      <c r="AF654" s="344"/>
      <c r="AG654" s="344"/>
      <c r="AH654" s="344"/>
      <c r="AI654" s="344"/>
      <c r="AJ654" s="344"/>
      <c r="AK654" s="344"/>
      <c r="AL654" s="344"/>
      <c r="AM654" s="344"/>
      <c r="AN654" s="344"/>
      <c r="AO654" s="344"/>
    </row>
    <row r="655" spans="1:41" ht="15.75" customHeight="1" x14ac:dyDescent="0.25">
      <c r="A655" s="344"/>
      <c r="B655" s="353"/>
      <c r="C655" s="344"/>
      <c r="D655" s="344"/>
      <c r="E655" s="344"/>
      <c r="F655" s="344"/>
      <c r="G655" s="344"/>
      <c r="H655" s="344"/>
      <c r="I655" s="344"/>
      <c r="J655" s="344"/>
      <c r="K655" s="344"/>
      <c r="L655" s="344"/>
      <c r="M655" s="344"/>
      <c r="N655" s="344"/>
      <c r="O655" s="344"/>
      <c r="P655" s="344"/>
      <c r="Q655" s="344"/>
      <c r="R655" s="344"/>
      <c r="S655" s="344"/>
      <c r="T655" s="344"/>
      <c r="U655" s="344"/>
      <c r="V655" s="344"/>
      <c r="W655" s="344"/>
      <c r="X655" s="344"/>
      <c r="Y655" s="344"/>
      <c r="Z655" s="344"/>
      <c r="AA655" s="344"/>
      <c r="AB655" s="344"/>
      <c r="AC655" s="344"/>
      <c r="AD655" s="344"/>
      <c r="AE655" s="344"/>
      <c r="AF655" s="344"/>
      <c r="AG655" s="344"/>
      <c r="AH655" s="344"/>
      <c r="AI655" s="344"/>
      <c r="AJ655" s="344"/>
      <c r="AK655" s="344"/>
      <c r="AL655" s="344"/>
      <c r="AM655" s="344"/>
      <c r="AN655" s="344"/>
      <c r="AO655" s="344"/>
    </row>
    <row r="656" spans="1:41" ht="15.75" customHeight="1" x14ac:dyDescent="0.25">
      <c r="A656" s="344"/>
      <c r="B656" s="353"/>
      <c r="C656" s="344"/>
      <c r="D656" s="344"/>
      <c r="E656" s="344"/>
      <c r="F656" s="344"/>
      <c r="G656" s="344"/>
      <c r="H656" s="344"/>
      <c r="I656" s="344"/>
      <c r="J656" s="344"/>
      <c r="K656" s="344"/>
      <c r="L656" s="344"/>
      <c r="M656" s="344"/>
      <c r="N656" s="344"/>
      <c r="O656" s="344"/>
      <c r="P656" s="344"/>
      <c r="Q656" s="344"/>
      <c r="R656" s="344"/>
      <c r="S656" s="344"/>
      <c r="T656" s="344"/>
      <c r="U656" s="344"/>
      <c r="V656" s="344"/>
      <c r="W656" s="344"/>
      <c r="X656" s="344"/>
      <c r="Y656" s="344"/>
      <c r="Z656" s="344"/>
      <c r="AA656" s="344"/>
      <c r="AB656" s="344"/>
      <c r="AC656" s="344"/>
      <c r="AD656" s="344"/>
      <c r="AE656" s="344"/>
      <c r="AF656" s="344"/>
      <c r="AG656" s="344"/>
      <c r="AH656" s="344"/>
      <c r="AI656" s="344"/>
      <c r="AJ656" s="344"/>
      <c r="AK656" s="344"/>
      <c r="AL656" s="344"/>
      <c r="AM656" s="344"/>
      <c r="AN656" s="344"/>
      <c r="AO656" s="344"/>
    </row>
    <row r="657" spans="1:41" ht="15.75" customHeight="1" x14ac:dyDescent="0.25">
      <c r="A657" s="344"/>
      <c r="B657" s="353"/>
      <c r="C657" s="344"/>
      <c r="D657" s="344"/>
      <c r="E657" s="344"/>
      <c r="F657" s="344"/>
      <c r="G657" s="344"/>
      <c r="H657" s="344"/>
      <c r="I657" s="344"/>
      <c r="J657" s="344"/>
      <c r="K657" s="344"/>
      <c r="L657" s="344"/>
      <c r="M657" s="344"/>
      <c r="N657" s="344"/>
      <c r="O657" s="344"/>
      <c r="P657" s="344"/>
      <c r="Q657" s="344"/>
      <c r="R657" s="344"/>
      <c r="S657" s="344"/>
      <c r="T657" s="344"/>
      <c r="U657" s="344"/>
      <c r="V657" s="344"/>
      <c r="W657" s="344"/>
      <c r="X657" s="344"/>
      <c r="Y657" s="344"/>
      <c r="Z657" s="344"/>
      <c r="AA657" s="344"/>
      <c r="AB657" s="344"/>
      <c r="AC657" s="344"/>
      <c r="AD657" s="344"/>
      <c r="AE657" s="344"/>
      <c r="AF657" s="344"/>
      <c r="AG657" s="344"/>
      <c r="AH657" s="344"/>
      <c r="AI657" s="344"/>
      <c r="AJ657" s="344"/>
      <c r="AK657" s="344"/>
      <c r="AL657" s="344"/>
      <c r="AM657" s="344"/>
      <c r="AN657" s="344"/>
      <c r="AO657" s="344"/>
    </row>
    <row r="658" spans="1:41" ht="15.75" customHeight="1" x14ac:dyDescent="0.25">
      <c r="A658" s="344"/>
      <c r="B658" s="353"/>
      <c r="C658" s="344"/>
      <c r="D658" s="344"/>
      <c r="E658" s="344"/>
      <c r="F658" s="344"/>
      <c r="G658" s="344"/>
      <c r="H658" s="344"/>
      <c r="I658" s="344"/>
      <c r="J658" s="344"/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  <c r="Y658" s="344"/>
      <c r="Z658" s="344"/>
      <c r="AA658" s="344"/>
      <c r="AB658" s="344"/>
      <c r="AC658" s="344"/>
      <c r="AD658" s="344"/>
      <c r="AE658" s="344"/>
      <c r="AF658" s="344"/>
      <c r="AG658" s="344"/>
      <c r="AH658" s="344"/>
      <c r="AI658" s="344"/>
      <c r="AJ658" s="344"/>
      <c r="AK658" s="344"/>
      <c r="AL658" s="344"/>
      <c r="AM658" s="344"/>
      <c r="AN658" s="344"/>
      <c r="AO658" s="344"/>
    </row>
    <row r="659" spans="1:41" ht="15.75" customHeight="1" x14ac:dyDescent="0.25">
      <c r="A659" s="344"/>
      <c r="B659" s="353"/>
      <c r="C659" s="344"/>
      <c r="D659" s="344"/>
      <c r="E659" s="344"/>
      <c r="F659" s="344"/>
      <c r="G659" s="344"/>
      <c r="H659" s="344"/>
      <c r="I659" s="344"/>
      <c r="J659" s="344"/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  <c r="Y659" s="344"/>
      <c r="Z659" s="344"/>
      <c r="AA659" s="344"/>
      <c r="AB659" s="344"/>
      <c r="AC659" s="344"/>
      <c r="AD659" s="344"/>
      <c r="AE659" s="344"/>
      <c r="AF659" s="344"/>
      <c r="AG659" s="344"/>
      <c r="AH659" s="344"/>
      <c r="AI659" s="344"/>
      <c r="AJ659" s="344"/>
      <c r="AK659" s="344"/>
      <c r="AL659" s="344"/>
      <c r="AM659" s="344"/>
      <c r="AN659" s="344"/>
      <c r="AO659" s="344"/>
    </row>
    <row r="660" spans="1:41" ht="15.75" customHeight="1" x14ac:dyDescent="0.25">
      <c r="A660" s="344"/>
      <c r="B660" s="353"/>
      <c r="C660" s="344"/>
      <c r="D660" s="344"/>
      <c r="E660" s="344"/>
      <c r="F660" s="344"/>
      <c r="G660" s="344"/>
      <c r="H660" s="344"/>
      <c r="I660" s="344"/>
      <c r="J660" s="344"/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  <c r="Y660" s="344"/>
      <c r="Z660" s="344"/>
      <c r="AA660" s="344"/>
      <c r="AB660" s="344"/>
      <c r="AC660" s="344"/>
      <c r="AD660" s="344"/>
      <c r="AE660" s="344"/>
      <c r="AF660" s="344"/>
      <c r="AG660" s="344"/>
      <c r="AH660" s="344"/>
      <c r="AI660" s="344"/>
      <c r="AJ660" s="344"/>
      <c r="AK660" s="344"/>
      <c r="AL660" s="344"/>
      <c r="AM660" s="344"/>
      <c r="AN660" s="344"/>
      <c r="AO660" s="344"/>
    </row>
    <row r="661" spans="1:41" ht="15.75" customHeight="1" x14ac:dyDescent="0.25">
      <c r="A661" s="344"/>
      <c r="B661" s="353"/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4"/>
      <c r="AL661" s="344"/>
      <c r="AM661" s="344"/>
      <c r="AN661" s="344"/>
      <c r="AO661" s="344"/>
    </row>
    <row r="662" spans="1:41" ht="15.75" customHeight="1" x14ac:dyDescent="0.25">
      <c r="A662" s="344"/>
      <c r="B662" s="353"/>
      <c r="C662" s="344"/>
      <c r="D662" s="344"/>
      <c r="E662" s="344"/>
      <c r="F662" s="344"/>
      <c r="G662" s="344"/>
      <c r="H662" s="344"/>
      <c r="I662" s="344"/>
      <c r="J662" s="344"/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  <c r="Y662" s="344"/>
      <c r="Z662" s="344"/>
      <c r="AA662" s="344"/>
      <c r="AB662" s="344"/>
      <c r="AC662" s="344"/>
      <c r="AD662" s="344"/>
      <c r="AE662" s="344"/>
      <c r="AF662" s="344"/>
      <c r="AG662" s="344"/>
      <c r="AH662" s="344"/>
      <c r="AI662" s="344"/>
      <c r="AJ662" s="344"/>
      <c r="AK662" s="344"/>
      <c r="AL662" s="344"/>
      <c r="AM662" s="344"/>
      <c r="AN662" s="344"/>
      <c r="AO662" s="344"/>
    </row>
    <row r="663" spans="1:41" ht="15.75" customHeight="1" x14ac:dyDescent="0.25">
      <c r="A663" s="344"/>
      <c r="B663" s="353"/>
      <c r="C663" s="344"/>
      <c r="D663" s="344"/>
      <c r="E663" s="344"/>
      <c r="F663" s="344"/>
      <c r="G663" s="344"/>
      <c r="H663" s="344"/>
      <c r="I663" s="344"/>
      <c r="J663" s="344"/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  <c r="Y663" s="344"/>
      <c r="Z663" s="344"/>
      <c r="AA663" s="344"/>
      <c r="AB663" s="344"/>
      <c r="AC663" s="344"/>
      <c r="AD663" s="344"/>
      <c r="AE663" s="344"/>
      <c r="AF663" s="344"/>
      <c r="AG663" s="344"/>
      <c r="AH663" s="344"/>
      <c r="AI663" s="344"/>
      <c r="AJ663" s="344"/>
      <c r="AK663" s="344"/>
      <c r="AL663" s="344"/>
      <c r="AM663" s="344"/>
      <c r="AN663" s="344"/>
      <c r="AO663" s="344"/>
    </row>
    <row r="664" spans="1:41" ht="15.75" customHeight="1" x14ac:dyDescent="0.25">
      <c r="A664" s="344"/>
      <c r="B664" s="353"/>
      <c r="C664" s="344"/>
      <c r="D664" s="344"/>
      <c r="E664" s="344"/>
      <c r="F664" s="344"/>
      <c r="G664" s="344"/>
      <c r="H664" s="344"/>
      <c r="I664" s="344"/>
      <c r="J664" s="344"/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  <c r="Y664" s="344"/>
      <c r="Z664" s="344"/>
      <c r="AA664" s="344"/>
      <c r="AB664" s="344"/>
      <c r="AC664" s="344"/>
      <c r="AD664" s="344"/>
      <c r="AE664" s="344"/>
      <c r="AF664" s="344"/>
      <c r="AG664" s="344"/>
      <c r="AH664" s="344"/>
      <c r="AI664" s="344"/>
      <c r="AJ664" s="344"/>
      <c r="AK664" s="344"/>
      <c r="AL664" s="344"/>
      <c r="AM664" s="344"/>
      <c r="AN664" s="344"/>
      <c r="AO664" s="344"/>
    </row>
    <row r="665" spans="1:41" ht="15.75" customHeight="1" x14ac:dyDescent="0.25">
      <c r="A665" s="344"/>
      <c r="B665" s="353"/>
      <c r="C665" s="344"/>
      <c r="D665" s="344"/>
      <c r="E665" s="344"/>
      <c r="F665" s="344"/>
      <c r="G665" s="344"/>
      <c r="H665" s="344"/>
      <c r="I665" s="344"/>
      <c r="J665" s="344"/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  <c r="Y665" s="344"/>
      <c r="Z665" s="344"/>
      <c r="AA665" s="344"/>
      <c r="AB665" s="344"/>
      <c r="AC665" s="344"/>
      <c r="AD665" s="344"/>
      <c r="AE665" s="344"/>
      <c r="AF665" s="344"/>
      <c r="AG665" s="344"/>
      <c r="AH665" s="344"/>
      <c r="AI665" s="344"/>
      <c r="AJ665" s="344"/>
      <c r="AK665" s="344"/>
      <c r="AL665" s="344"/>
      <c r="AM665" s="344"/>
      <c r="AN665" s="344"/>
      <c r="AO665" s="344"/>
    </row>
    <row r="666" spans="1:41" ht="15.75" customHeight="1" x14ac:dyDescent="0.25">
      <c r="A666" s="344"/>
      <c r="B666" s="353"/>
      <c r="C666" s="344"/>
      <c r="D666" s="344"/>
      <c r="E666" s="344"/>
      <c r="F666" s="344"/>
      <c r="G666" s="344"/>
      <c r="H666" s="344"/>
      <c r="I666" s="344"/>
      <c r="J666" s="344"/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  <c r="Y666" s="344"/>
      <c r="Z666" s="344"/>
      <c r="AA666" s="344"/>
      <c r="AB666" s="344"/>
      <c r="AC666" s="344"/>
      <c r="AD666" s="344"/>
      <c r="AE666" s="344"/>
      <c r="AF666" s="344"/>
      <c r="AG666" s="344"/>
      <c r="AH666" s="344"/>
      <c r="AI666" s="344"/>
      <c r="AJ666" s="344"/>
      <c r="AK666" s="344"/>
      <c r="AL666" s="344"/>
      <c r="AM666" s="344"/>
      <c r="AN666" s="344"/>
      <c r="AO666" s="344"/>
    </row>
    <row r="667" spans="1:41" ht="15.75" customHeight="1" x14ac:dyDescent="0.25">
      <c r="A667" s="344"/>
      <c r="B667" s="353"/>
      <c r="C667" s="344"/>
      <c r="D667" s="344"/>
      <c r="E667" s="344"/>
      <c r="F667" s="344"/>
      <c r="G667" s="344"/>
      <c r="H667" s="344"/>
      <c r="I667" s="344"/>
      <c r="J667" s="344"/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  <c r="Y667" s="344"/>
      <c r="Z667" s="344"/>
      <c r="AA667" s="344"/>
      <c r="AB667" s="344"/>
      <c r="AC667" s="344"/>
      <c r="AD667" s="344"/>
      <c r="AE667" s="344"/>
      <c r="AF667" s="344"/>
      <c r="AG667" s="344"/>
      <c r="AH667" s="344"/>
      <c r="AI667" s="344"/>
      <c r="AJ667" s="344"/>
      <c r="AK667" s="344"/>
      <c r="AL667" s="344"/>
      <c r="AM667" s="344"/>
      <c r="AN667" s="344"/>
      <c r="AO667" s="344"/>
    </row>
    <row r="668" spans="1:41" ht="15.75" customHeight="1" x14ac:dyDescent="0.25">
      <c r="A668" s="344"/>
      <c r="B668" s="353"/>
      <c r="C668" s="344"/>
      <c r="D668" s="344"/>
      <c r="E668" s="344"/>
      <c r="F668" s="344"/>
      <c r="G668" s="344"/>
      <c r="H668" s="344"/>
      <c r="I668" s="344"/>
      <c r="J668" s="344"/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  <c r="Y668" s="344"/>
      <c r="Z668" s="344"/>
      <c r="AA668" s="344"/>
      <c r="AB668" s="344"/>
      <c r="AC668" s="344"/>
      <c r="AD668" s="344"/>
      <c r="AE668" s="344"/>
      <c r="AF668" s="344"/>
      <c r="AG668" s="344"/>
      <c r="AH668" s="344"/>
      <c r="AI668" s="344"/>
      <c r="AJ668" s="344"/>
      <c r="AK668" s="344"/>
      <c r="AL668" s="344"/>
      <c r="AM668" s="344"/>
      <c r="AN668" s="344"/>
      <c r="AO668" s="344"/>
    </row>
    <row r="669" spans="1:41" ht="15.75" customHeight="1" x14ac:dyDescent="0.25">
      <c r="A669" s="344"/>
      <c r="B669" s="353"/>
      <c r="C669" s="344"/>
      <c r="D669" s="344"/>
      <c r="E669" s="344"/>
      <c r="F669" s="344"/>
      <c r="G669" s="344"/>
      <c r="H669" s="344"/>
      <c r="I669" s="344"/>
      <c r="J669" s="344"/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  <c r="Y669" s="344"/>
      <c r="Z669" s="344"/>
      <c r="AA669" s="344"/>
      <c r="AB669" s="344"/>
      <c r="AC669" s="344"/>
      <c r="AD669" s="344"/>
      <c r="AE669" s="344"/>
      <c r="AF669" s="344"/>
      <c r="AG669" s="344"/>
      <c r="AH669" s="344"/>
      <c r="AI669" s="344"/>
      <c r="AJ669" s="344"/>
      <c r="AK669" s="344"/>
      <c r="AL669" s="344"/>
      <c r="AM669" s="344"/>
      <c r="AN669" s="344"/>
      <c r="AO669" s="344"/>
    </row>
    <row r="670" spans="1:41" ht="15.75" customHeight="1" x14ac:dyDescent="0.25">
      <c r="A670" s="344"/>
      <c r="B670" s="353"/>
      <c r="C670" s="344"/>
      <c r="D670" s="344"/>
      <c r="E670" s="344"/>
      <c r="F670" s="344"/>
      <c r="G670" s="344"/>
      <c r="H670" s="344"/>
      <c r="I670" s="344"/>
      <c r="J670" s="344"/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  <c r="Y670" s="344"/>
      <c r="Z670" s="344"/>
      <c r="AA670" s="344"/>
      <c r="AB670" s="344"/>
      <c r="AC670" s="344"/>
      <c r="AD670" s="344"/>
      <c r="AE670" s="344"/>
      <c r="AF670" s="344"/>
      <c r="AG670" s="344"/>
      <c r="AH670" s="344"/>
      <c r="AI670" s="344"/>
      <c r="AJ670" s="344"/>
      <c r="AK670" s="344"/>
      <c r="AL670" s="344"/>
      <c r="AM670" s="344"/>
      <c r="AN670" s="344"/>
      <c r="AO670" s="344"/>
    </row>
    <row r="671" spans="1:41" ht="15.75" customHeight="1" x14ac:dyDescent="0.25">
      <c r="A671" s="344"/>
      <c r="B671" s="353"/>
      <c r="C671" s="344"/>
      <c r="D671" s="344"/>
      <c r="E671" s="344"/>
      <c r="F671" s="344"/>
      <c r="G671" s="344"/>
      <c r="H671" s="344"/>
      <c r="I671" s="344"/>
      <c r="J671" s="344"/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  <c r="Y671" s="344"/>
      <c r="Z671" s="344"/>
      <c r="AA671" s="344"/>
      <c r="AB671" s="344"/>
      <c r="AC671" s="344"/>
      <c r="AD671" s="344"/>
      <c r="AE671" s="344"/>
      <c r="AF671" s="344"/>
      <c r="AG671" s="344"/>
      <c r="AH671" s="344"/>
      <c r="AI671" s="344"/>
      <c r="AJ671" s="344"/>
      <c r="AK671" s="344"/>
      <c r="AL671" s="344"/>
      <c r="AM671" s="344"/>
      <c r="AN671" s="344"/>
      <c r="AO671" s="344"/>
    </row>
    <row r="672" spans="1:41" ht="15.75" customHeight="1" x14ac:dyDescent="0.25">
      <c r="A672" s="344"/>
      <c r="B672" s="353"/>
      <c r="C672" s="344"/>
      <c r="D672" s="344"/>
      <c r="E672" s="344"/>
      <c r="F672" s="344"/>
      <c r="G672" s="344"/>
      <c r="H672" s="344"/>
      <c r="I672" s="344"/>
      <c r="J672" s="344"/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  <c r="Y672" s="344"/>
      <c r="Z672" s="344"/>
      <c r="AA672" s="344"/>
      <c r="AB672" s="344"/>
      <c r="AC672" s="344"/>
      <c r="AD672" s="344"/>
      <c r="AE672" s="344"/>
      <c r="AF672" s="344"/>
      <c r="AG672" s="344"/>
      <c r="AH672" s="344"/>
      <c r="AI672" s="344"/>
      <c r="AJ672" s="344"/>
      <c r="AK672" s="344"/>
      <c r="AL672" s="344"/>
      <c r="AM672" s="344"/>
      <c r="AN672" s="344"/>
      <c r="AO672" s="344"/>
    </row>
    <row r="673" spans="1:41" ht="15.75" customHeight="1" x14ac:dyDescent="0.25">
      <c r="A673" s="344"/>
      <c r="B673" s="353"/>
      <c r="C673" s="344"/>
      <c r="D673" s="344"/>
      <c r="E673" s="344"/>
      <c r="F673" s="344"/>
      <c r="G673" s="344"/>
      <c r="H673" s="344"/>
      <c r="I673" s="344"/>
      <c r="J673" s="344"/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  <c r="Y673" s="344"/>
      <c r="Z673" s="344"/>
      <c r="AA673" s="344"/>
      <c r="AB673" s="344"/>
      <c r="AC673" s="344"/>
      <c r="AD673" s="344"/>
      <c r="AE673" s="344"/>
      <c r="AF673" s="344"/>
      <c r="AG673" s="344"/>
      <c r="AH673" s="344"/>
      <c r="AI673" s="344"/>
      <c r="AJ673" s="344"/>
      <c r="AK673" s="344"/>
      <c r="AL673" s="344"/>
      <c r="AM673" s="344"/>
      <c r="AN673" s="344"/>
      <c r="AO673" s="344"/>
    </row>
    <row r="674" spans="1:41" ht="15.75" customHeight="1" x14ac:dyDescent="0.25">
      <c r="A674" s="344"/>
      <c r="B674" s="353"/>
      <c r="C674" s="344"/>
      <c r="D674" s="344"/>
      <c r="E674" s="344"/>
      <c r="F674" s="344"/>
      <c r="G674" s="344"/>
      <c r="H674" s="344"/>
      <c r="I674" s="344"/>
      <c r="J674" s="344"/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  <c r="Y674" s="344"/>
      <c r="Z674" s="344"/>
      <c r="AA674" s="344"/>
      <c r="AB674" s="344"/>
      <c r="AC674" s="344"/>
      <c r="AD674" s="344"/>
      <c r="AE674" s="344"/>
      <c r="AF674" s="344"/>
      <c r="AG674" s="344"/>
      <c r="AH674" s="344"/>
      <c r="AI674" s="344"/>
      <c r="AJ674" s="344"/>
      <c r="AK674" s="344"/>
      <c r="AL674" s="344"/>
      <c r="AM674" s="344"/>
      <c r="AN674" s="344"/>
      <c r="AO674" s="344"/>
    </row>
    <row r="675" spans="1:41" ht="15.75" customHeight="1" x14ac:dyDescent="0.25">
      <c r="A675" s="344"/>
      <c r="B675" s="353"/>
      <c r="C675" s="344"/>
      <c r="D675" s="344"/>
      <c r="E675" s="344"/>
      <c r="F675" s="344"/>
      <c r="G675" s="344"/>
      <c r="H675" s="344"/>
      <c r="I675" s="344"/>
      <c r="J675" s="344"/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  <c r="Y675" s="344"/>
      <c r="Z675" s="344"/>
      <c r="AA675" s="344"/>
      <c r="AB675" s="344"/>
      <c r="AC675" s="344"/>
      <c r="AD675" s="344"/>
      <c r="AE675" s="344"/>
      <c r="AF675" s="344"/>
      <c r="AG675" s="344"/>
      <c r="AH675" s="344"/>
      <c r="AI675" s="344"/>
      <c r="AJ675" s="344"/>
      <c r="AK675" s="344"/>
      <c r="AL675" s="344"/>
      <c r="AM675" s="344"/>
      <c r="AN675" s="344"/>
      <c r="AO675" s="344"/>
    </row>
    <row r="676" spans="1:41" ht="15.75" customHeight="1" x14ac:dyDescent="0.25">
      <c r="A676" s="344"/>
      <c r="B676" s="353"/>
      <c r="C676" s="344"/>
      <c r="D676" s="344"/>
      <c r="E676" s="344"/>
      <c r="F676" s="344"/>
      <c r="G676" s="344"/>
      <c r="H676" s="344"/>
      <c r="I676" s="344"/>
      <c r="J676" s="344"/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  <c r="Y676" s="344"/>
      <c r="Z676" s="344"/>
      <c r="AA676" s="344"/>
      <c r="AB676" s="344"/>
      <c r="AC676" s="344"/>
      <c r="AD676" s="344"/>
      <c r="AE676" s="344"/>
      <c r="AF676" s="344"/>
      <c r="AG676" s="344"/>
      <c r="AH676" s="344"/>
      <c r="AI676" s="344"/>
      <c r="AJ676" s="344"/>
      <c r="AK676" s="344"/>
      <c r="AL676" s="344"/>
      <c r="AM676" s="344"/>
      <c r="AN676" s="344"/>
      <c r="AO676" s="344"/>
    </row>
    <row r="677" spans="1:41" ht="15.75" customHeight="1" x14ac:dyDescent="0.25">
      <c r="A677" s="344"/>
      <c r="B677" s="353"/>
      <c r="C677" s="344"/>
      <c r="D677" s="344"/>
      <c r="E677" s="344"/>
      <c r="F677" s="344"/>
      <c r="G677" s="344"/>
      <c r="H677" s="344"/>
      <c r="I677" s="344"/>
      <c r="J677" s="344"/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  <c r="Y677" s="344"/>
      <c r="Z677" s="344"/>
      <c r="AA677" s="344"/>
      <c r="AB677" s="344"/>
      <c r="AC677" s="344"/>
      <c r="AD677" s="344"/>
      <c r="AE677" s="344"/>
      <c r="AF677" s="344"/>
      <c r="AG677" s="344"/>
      <c r="AH677" s="344"/>
      <c r="AI677" s="344"/>
      <c r="AJ677" s="344"/>
      <c r="AK677" s="344"/>
      <c r="AL677" s="344"/>
      <c r="AM677" s="344"/>
      <c r="AN677" s="344"/>
      <c r="AO677" s="344"/>
    </row>
    <row r="678" spans="1:41" ht="15.75" customHeight="1" x14ac:dyDescent="0.25">
      <c r="A678" s="344"/>
      <c r="B678" s="353"/>
      <c r="C678" s="344"/>
      <c r="D678" s="344"/>
      <c r="E678" s="344"/>
      <c r="F678" s="344"/>
      <c r="G678" s="344"/>
      <c r="H678" s="344"/>
      <c r="I678" s="344"/>
      <c r="J678" s="344"/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  <c r="Y678" s="344"/>
      <c r="Z678" s="344"/>
      <c r="AA678" s="344"/>
      <c r="AB678" s="344"/>
      <c r="AC678" s="344"/>
      <c r="AD678" s="344"/>
      <c r="AE678" s="344"/>
      <c r="AF678" s="344"/>
      <c r="AG678" s="344"/>
      <c r="AH678" s="344"/>
      <c r="AI678" s="344"/>
      <c r="AJ678" s="344"/>
      <c r="AK678" s="344"/>
      <c r="AL678" s="344"/>
      <c r="AM678" s="344"/>
      <c r="AN678" s="344"/>
      <c r="AO678" s="344"/>
    </row>
    <row r="679" spans="1:41" ht="15.75" customHeight="1" x14ac:dyDescent="0.25">
      <c r="A679" s="344"/>
      <c r="B679" s="353"/>
      <c r="C679" s="344"/>
      <c r="D679" s="344"/>
      <c r="E679" s="344"/>
      <c r="F679" s="344"/>
      <c r="G679" s="344"/>
      <c r="H679" s="344"/>
      <c r="I679" s="344"/>
      <c r="J679" s="344"/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  <c r="Y679" s="344"/>
      <c r="Z679" s="344"/>
      <c r="AA679" s="344"/>
      <c r="AB679" s="344"/>
      <c r="AC679" s="344"/>
      <c r="AD679" s="344"/>
      <c r="AE679" s="344"/>
      <c r="AF679" s="344"/>
      <c r="AG679" s="344"/>
      <c r="AH679" s="344"/>
      <c r="AI679" s="344"/>
      <c r="AJ679" s="344"/>
      <c r="AK679" s="344"/>
      <c r="AL679" s="344"/>
      <c r="AM679" s="344"/>
      <c r="AN679" s="344"/>
      <c r="AO679" s="344"/>
    </row>
    <row r="680" spans="1:41" ht="15.75" customHeight="1" x14ac:dyDescent="0.25">
      <c r="A680" s="344"/>
      <c r="B680" s="353"/>
      <c r="C680" s="344"/>
      <c r="D680" s="344"/>
      <c r="E680" s="344"/>
      <c r="F680" s="344"/>
      <c r="G680" s="344"/>
      <c r="H680" s="344"/>
      <c r="I680" s="344"/>
      <c r="J680" s="344"/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  <c r="Y680" s="344"/>
      <c r="Z680" s="344"/>
      <c r="AA680" s="344"/>
      <c r="AB680" s="344"/>
      <c r="AC680" s="344"/>
      <c r="AD680" s="344"/>
      <c r="AE680" s="344"/>
      <c r="AF680" s="344"/>
      <c r="AG680" s="344"/>
      <c r="AH680" s="344"/>
      <c r="AI680" s="344"/>
      <c r="AJ680" s="344"/>
      <c r="AK680" s="344"/>
      <c r="AL680" s="344"/>
      <c r="AM680" s="344"/>
      <c r="AN680" s="344"/>
      <c r="AO680" s="344"/>
    </row>
    <row r="681" spans="1:41" ht="15.75" customHeight="1" x14ac:dyDescent="0.25">
      <c r="A681" s="344"/>
      <c r="B681" s="353"/>
      <c r="C681" s="344"/>
      <c r="D681" s="344"/>
      <c r="E681" s="344"/>
      <c r="F681" s="344"/>
      <c r="G681" s="344"/>
      <c r="H681" s="344"/>
      <c r="I681" s="344"/>
      <c r="J681" s="344"/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  <c r="Y681" s="344"/>
      <c r="Z681" s="344"/>
      <c r="AA681" s="344"/>
      <c r="AB681" s="344"/>
      <c r="AC681" s="344"/>
      <c r="AD681" s="344"/>
      <c r="AE681" s="344"/>
      <c r="AF681" s="344"/>
      <c r="AG681" s="344"/>
      <c r="AH681" s="344"/>
      <c r="AI681" s="344"/>
      <c r="AJ681" s="344"/>
      <c r="AK681" s="344"/>
      <c r="AL681" s="344"/>
      <c r="AM681" s="344"/>
      <c r="AN681" s="344"/>
      <c r="AO681" s="344"/>
    </row>
    <row r="682" spans="1:41" ht="15.75" customHeight="1" x14ac:dyDescent="0.25">
      <c r="A682" s="344"/>
      <c r="B682" s="353"/>
      <c r="C682" s="344"/>
      <c r="D682" s="344"/>
      <c r="E682" s="344"/>
      <c r="F682" s="344"/>
      <c r="G682" s="344"/>
      <c r="H682" s="344"/>
      <c r="I682" s="344"/>
      <c r="J682" s="344"/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  <c r="Y682" s="344"/>
      <c r="Z682" s="344"/>
      <c r="AA682" s="344"/>
      <c r="AB682" s="344"/>
      <c r="AC682" s="344"/>
      <c r="AD682" s="344"/>
      <c r="AE682" s="344"/>
      <c r="AF682" s="344"/>
      <c r="AG682" s="344"/>
      <c r="AH682" s="344"/>
      <c r="AI682" s="344"/>
      <c r="AJ682" s="344"/>
      <c r="AK682" s="344"/>
      <c r="AL682" s="344"/>
      <c r="AM682" s="344"/>
      <c r="AN682" s="344"/>
      <c r="AO682" s="344"/>
    </row>
    <row r="683" spans="1:41" ht="15.75" customHeight="1" x14ac:dyDescent="0.25">
      <c r="A683" s="344"/>
      <c r="B683" s="353"/>
      <c r="C683" s="344"/>
      <c r="D683" s="344"/>
      <c r="E683" s="344"/>
      <c r="F683" s="344"/>
      <c r="G683" s="344"/>
      <c r="H683" s="344"/>
      <c r="I683" s="344"/>
      <c r="J683" s="344"/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  <c r="Y683" s="344"/>
      <c r="Z683" s="344"/>
      <c r="AA683" s="344"/>
      <c r="AB683" s="344"/>
      <c r="AC683" s="344"/>
      <c r="AD683" s="344"/>
      <c r="AE683" s="344"/>
      <c r="AF683" s="344"/>
      <c r="AG683" s="344"/>
      <c r="AH683" s="344"/>
      <c r="AI683" s="344"/>
      <c r="AJ683" s="344"/>
      <c r="AK683" s="344"/>
      <c r="AL683" s="344"/>
      <c r="AM683" s="344"/>
      <c r="AN683" s="344"/>
      <c r="AO683" s="344"/>
    </row>
    <row r="684" spans="1:41" ht="15.75" customHeight="1" x14ac:dyDescent="0.25">
      <c r="A684" s="344"/>
      <c r="B684" s="353"/>
      <c r="C684" s="344"/>
      <c r="D684" s="344"/>
      <c r="E684" s="344"/>
      <c r="F684" s="344"/>
      <c r="G684" s="344"/>
      <c r="H684" s="344"/>
      <c r="I684" s="344"/>
      <c r="J684" s="344"/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  <c r="Y684" s="344"/>
      <c r="Z684" s="344"/>
      <c r="AA684" s="344"/>
      <c r="AB684" s="344"/>
      <c r="AC684" s="344"/>
      <c r="AD684" s="344"/>
      <c r="AE684" s="344"/>
      <c r="AF684" s="344"/>
      <c r="AG684" s="344"/>
      <c r="AH684" s="344"/>
      <c r="AI684" s="344"/>
      <c r="AJ684" s="344"/>
      <c r="AK684" s="344"/>
      <c r="AL684" s="344"/>
      <c r="AM684" s="344"/>
      <c r="AN684" s="344"/>
      <c r="AO684" s="344"/>
    </row>
    <row r="685" spans="1:41" ht="15.75" customHeight="1" x14ac:dyDescent="0.25">
      <c r="A685" s="344"/>
      <c r="B685" s="353"/>
      <c r="C685" s="344"/>
      <c r="D685" s="344"/>
      <c r="E685" s="344"/>
      <c r="F685" s="344"/>
      <c r="G685" s="344"/>
      <c r="H685" s="344"/>
      <c r="I685" s="344"/>
      <c r="J685" s="344"/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  <c r="Y685" s="344"/>
      <c r="Z685" s="344"/>
      <c r="AA685" s="344"/>
      <c r="AB685" s="344"/>
      <c r="AC685" s="344"/>
      <c r="AD685" s="344"/>
      <c r="AE685" s="344"/>
      <c r="AF685" s="344"/>
      <c r="AG685" s="344"/>
      <c r="AH685" s="344"/>
      <c r="AI685" s="344"/>
      <c r="AJ685" s="344"/>
      <c r="AK685" s="344"/>
      <c r="AL685" s="344"/>
      <c r="AM685" s="344"/>
      <c r="AN685" s="344"/>
      <c r="AO685" s="344"/>
    </row>
    <row r="686" spans="1:41" ht="15.75" customHeight="1" x14ac:dyDescent="0.25">
      <c r="A686" s="344"/>
      <c r="B686" s="353"/>
      <c r="C686" s="344"/>
      <c r="D686" s="344"/>
      <c r="E686" s="344"/>
      <c r="F686" s="344"/>
      <c r="G686" s="344"/>
      <c r="H686" s="344"/>
      <c r="I686" s="344"/>
      <c r="J686" s="344"/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  <c r="Y686" s="344"/>
      <c r="Z686" s="344"/>
      <c r="AA686" s="344"/>
      <c r="AB686" s="344"/>
      <c r="AC686" s="344"/>
      <c r="AD686" s="344"/>
      <c r="AE686" s="344"/>
      <c r="AF686" s="344"/>
      <c r="AG686" s="344"/>
      <c r="AH686" s="344"/>
      <c r="AI686" s="344"/>
      <c r="AJ686" s="344"/>
      <c r="AK686" s="344"/>
      <c r="AL686" s="344"/>
      <c r="AM686" s="344"/>
      <c r="AN686" s="344"/>
      <c r="AO686" s="344"/>
    </row>
    <row r="687" spans="1:41" ht="15.75" customHeight="1" x14ac:dyDescent="0.25">
      <c r="A687" s="344"/>
      <c r="B687" s="353"/>
      <c r="C687" s="344"/>
      <c r="D687" s="344"/>
      <c r="E687" s="344"/>
      <c r="F687" s="344"/>
      <c r="G687" s="344"/>
      <c r="H687" s="344"/>
      <c r="I687" s="344"/>
      <c r="J687" s="344"/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  <c r="Y687" s="344"/>
      <c r="Z687" s="344"/>
      <c r="AA687" s="344"/>
      <c r="AB687" s="344"/>
      <c r="AC687" s="344"/>
      <c r="AD687" s="344"/>
      <c r="AE687" s="344"/>
      <c r="AF687" s="344"/>
      <c r="AG687" s="344"/>
      <c r="AH687" s="344"/>
      <c r="AI687" s="344"/>
      <c r="AJ687" s="344"/>
      <c r="AK687" s="344"/>
      <c r="AL687" s="344"/>
      <c r="AM687" s="344"/>
      <c r="AN687" s="344"/>
      <c r="AO687" s="344"/>
    </row>
    <row r="688" spans="1:41" ht="15.75" customHeight="1" x14ac:dyDescent="0.25">
      <c r="A688" s="344"/>
      <c r="B688" s="353"/>
      <c r="C688" s="344"/>
      <c r="D688" s="344"/>
      <c r="E688" s="344"/>
      <c r="F688" s="344"/>
      <c r="G688" s="344"/>
      <c r="H688" s="344"/>
      <c r="I688" s="344"/>
      <c r="J688" s="344"/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  <c r="Y688" s="344"/>
      <c r="Z688" s="344"/>
      <c r="AA688" s="344"/>
      <c r="AB688" s="344"/>
      <c r="AC688" s="344"/>
      <c r="AD688" s="344"/>
      <c r="AE688" s="344"/>
      <c r="AF688" s="344"/>
      <c r="AG688" s="344"/>
      <c r="AH688" s="344"/>
      <c r="AI688" s="344"/>
      <c r="AJ688" s="344"/>
      <c r="AK688" s="344"/>
      <c r="AL688" s="344"/>
      <c r="AM688" s="344"/>
      <c r="AN688" s="344"/>
      <c r="AO688" s="344"/>
    </row>
    <row r="689" spans="1:41" ht="15.75" customHeight="1" x14ac:dyDescent="0.25">
      <c r="A689" s="344"/>
      <c r="B689" s="353"/>
      <c r="C689" s="344"/>
      <c r="D689" s="344"/>
      <c r="E689" s="344"/>
      <c r="F689" s="344"/>
      <c r="G689" s="344"/>
      <c r="H689" s="344"/>
      <c r="I689" s="344"/>
      <c r="J689" s="344"/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  <c r="Y689" s="344"/>
      <c r="Z689" s="344"/>
      <c r="AA689" s="344"/>
      <c r="AB689" s="344"/>
      <c r="AC689" s="344"/>
      <c r="AD689" s="344"/>
      <c r="AE689" s="344"/>
      <c r="AF689" s="344"/>
      <c r="AG689" s="344"/>
      <c r="AH689" s="344"/>
      <c r="AI689" s="344"/>
      <c r="AJ689" s="344"/>
      <c r="AK689" s="344"/>
      <c r="AL689" s="344"/>
      <c r="AM689" s="344"/>
      <c r="AN689" s="344"/>
      <c r="AO689" s="344"/>
    </row>
    <row r="690" spans="1:41" ht="15.75" customHeight="1" x14ac:dyDescent="0.25">
      <c r="A690" s="344"/>
      <c r="B690" s="353"/>
      <c r="C690" s="344"/>
      <c r="D690" s="344"/>
      <c r="E690" s="344"/>
      <c r="F690" s="344"/>
      <c r="G690" s="344"/>
      <c r="H690" s="344"/>
      <c r="I690" s="344"/>
      <c r="J690" s="344"/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  <c r="Y690" s="344"/>
      <c r="Z690" s="344"/>
      <c r="AA690" s="344"/>
      <c r="AB690" s="344"/>
      <c r="AC690" s="344"/>
      <c r="AD690" s="344"/>
      <c r="AE690" s="344"/>
      <c r="AF690" s="344"/>
      <c r="AG690" s="344"/>
      <c r="AH690" s="344"/>
      <c r="AI690" s="344"/>
      <c r="AJ690" s="344"/>
      <c r="AK690" s="344"/>
      <c r="AL690" s="344"/>
      <c r="AM690" s="344"/>
      <c r="AN690" s="344"/>
      <c r="AO690" s="344"/>
    </row>
    <row r="691" spans="1:41" ht="15.75" customHeight="1" x14ac:dyDescent="0.25">
      <c r="A691" s="344"/>
      <c r="B691" s="353"/>
      <c r="C691" s="344"/>
      <c r="D691" s="344"/>
      <c r="E691" s="344"/>
      <c r="F691" s="344"/>
      <c r="G691" s="344"/>
      <c r="H691" s="344"/>
      <c r="I691" s="344"/>
      <c r="J691" s="344"/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  <c r="Y691" s="344"/>
      <c r="Z691" s="344"/>
      <c r="AA691" s="344"/>
      <c r="AB691" s="344"/>
      <c r="AC691" s="344"/>
      <c r="AD691" s="344"/>
      <c r="AE691" s="344"/>
      <c r="AF691" s="344"/>
      <c r="AG691" s="344"/>
      <c r="AH691" s="344"/>
      <c r="AI691" s="344"/>
      <c r="AJ691" s="344"/>
      <c r="AK691" s="344"/>
      <c r="AL691" s="344"/>
      <c r="AM691" s="344"/>
      <c r="AN691" s="344"/>
      <c r="AO691" s="344"/>
    </row>
    <row r="692" spans="1:41" ht="15.75" customHeight="1" x14ac:dyDescent="0.25">
      <c r="A692" s="344"/>
      <c r="B692" s="353"/>
      <c r="C692" s="344"/>
      <c r="D692" s="344"/>
      <c r="E692" s="344"/>
      <c r="F692" s="344"/>
      <c r="G692" s="344"/>
      <c r="H692" s="344"/>
      <c r="I692" s="344"/>
      <c r="J692" s="344"/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  <c r="Y692" s="344"/>
      <c r="Z692" s="344"/>
      <c r="AA692" s="344"/>
      <c r="AB692" s="344"/>
      <c r="AC692" s="344"/>
      <c r="AD692" s="344"/>
      <c r="AE692" s="344"/>
      <c r="AF692" s="344"/>
      <c r="AG692" s="344"/>
      <c r="AH692" s="344"/>
      <c r="AI692" s="344"/>
      <c r="AJ692" s="344"/>
      <c r="AK692" s="344"/>
      <c r="AL692" s="344"/>
      <c r="AM692" s="344"/>
      <c r="AN692" s="344"/>
      <c r="AO692" s="344"/>
    </row>
    <row r="693" spans="1:41" ht="15.75" customHeight="1" x14ac:dyDescent="0.25">
      <c r="A693" s="344"/>
      <c r="B693" s="353"/>
      <c r="C693" s="344"/>
      <c r="D693" s="344"/>
      <c r="E693" s="344"/>
      <c r="F693" s="344"/>
      <c r="G693" s="344"/>
      <c r="H693" s="344"/>
      <c r="I693" s="344"/>
      <c r="J693" s="344"/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  <c r="Y693" s="344"/>
      <c r="Z693" s="344"/>
      <c r="AA693" s="344"/>
      <c r="AB693" s="344"/>
      <c r="AC693" s="344"/>
      <c r="AD693" s="344"/>
      <c r="AE693" s="344"/>
      <c r="AF693" s="344"/>
      <c r="AG693" s="344"/>
      <c r="AH693" s="344"/>
      <c r="AI693" s="344"/>
      <c r="AJ693" s="344"/>
      <c r="AK693" s="344"/>
      <c r="AL693" s="344"/>
      <c r="AM693" s="344"/>
      <c r="AN693" s="344"/>
      <c r="AO693" s="344"/>
    </row>
    <row r="694" spans="1:41" ht="15.75" customHeight="1" x14ac:dyDescent="0.25">
      <c r="A694" s="344"/>
      <c r="B694" s="353"/>
      <c r="C694" s="344"/>
      <c r="D694" s="344"/>
      <c r="E694" s="344"/>
      <c r="F694" s="344"/>
      <c r="G694" s="344"/>
      <c r="H694" s="344"/>
      <c r="I694" s="344"/>
      <c r="J694" s="344"/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  <c r="Y694" s="344"/>
      <c r="Z694" s="344"/>
      <c r="AA694" s="344"/>
      <c r="AB694" s="344"/>
      <c r="AC694" s="344"/>
      <c r="AD694" s="344"/>
      <c r="AE694" s="344"/>
      <c r="AF694" s="344"/>
      <c r="AG694" s="344"/>
      <c r="AH694" s="344"/>
      <c r="AI694" s="344"/>
      <c r="AJ694" s="344"/>
      <c r="AK694" s="344"/>
      <c r="AL694" s="344"/>
      <c r="AM694" s="344"/>
      <c r="AN694" s="344"/>
      <c r="AO694" s="344"/>
    </row>
    <row r="695" spans="1:41" ht="15.75" customHeight="1" x14ac:dyDescent="0.25">
      <c r="A695" s="344"/>
      <c r="B695" s="353"/>
      <c r="C695" s="344"/>
      <c r="D695" s="344"/>
      <c r="E695" s="344"/>
      <c r="F695" s="344"/>
      <c r="G695" s="344"/>
      <c r="H695" s="344"/>
      <c r="I695" s="344"/>
      <c r="J695" s="344"/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  <c r="Y695" s="344"/>
      <c r="Z695" s="344"/>
      <c r="AA695" s="344"/>
      <c r="AB695" s="344"/>
      <c r="AC695" s="344"/>
      <c r="AD695" s="344"/>
      <c r="AE695" s="344"/>
      <c r="AF695" s="344"/>
      <c r="AG695" s="344"/>
      <c r="AH695" s="344"/>
      <c r="AI695" s="344"/>
      <c r="AJ695" s="344"/>
      <c r="AK695" s="344"/>
      <c r="AL695" s="344"/>
      <c r="AM695" s="344"/>
      <c r="AN695" s="344"/>
      <c r="AO695" s="344"/>
    </row>
    <row r="696" spans="1:41" ht="15.75" customHeight="1" x14ac:dyDescent="0.25">
      <c r="A696" s="344"/>
      <c r="B696" s="353"/>
      <c r="C696" s="344"/>
      <c r="D696" s="344"/>
      <c r="E696" s="344"/>
      <c r="F696" s="344"/>
      <c r="G696" s="344"/>
      <c r="H696" s="344"/>
      <c r="I696" s="344"/>
      <c r="J696" s="344"/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  <c r="Y696" s="344"/>
      <c r="Z696" s="344"/>
      <c r="AA696" s="344"/>
      <c r="AB696" s="344"/>
      <c r="AC696" s="344"/>
      <c r="AD696" s="344"/>
      <c r="AE696" s="344"/>
      <c r="AF696" s="344"/>
      <c r="AG696" s="344"/>
      <c r="AH696" s="344"/>
      <c r="AI696" s="344"/>
      <c r="AJ696" s="344"/>
      <c r="AK696" s="344"/>
      <c r="AL696" s="344"/>
      <c r="AM696" s="344"/>
      <c r="AN696" s="344"/>
      <c r="AO696" s="344"/>
    </row>
    <row r="697" spans="1:41" ht="15.75" customHeight="1" x14ac:dyDescent="0.25">
      <c r="A697" s="344"/>
      <c r="B697" s="353"/>
      <c r="C697" s="344"/>
      <c r="D697" s="344"/>
      <c r="E697" s="344"/>
      <c r="F697" s="344"/>
      <c r="G697" s="344"/>
      <c r="H697" s="344"/>
      <c r="I697" s="344"/>
      <c r="J697" s="344"/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  <c r="Y697" s="344"/>
      <c r="Z697" s="344"/>
      <c r="AA697" s="344"/>
      <c r="AB697" s="344"/>
      <c r="AC697" s="344"/>
      <c r="AD697" s="344"/>
      <c r="AE697" s="344"/>
      <c r="AF697" s="344"/>
      <c r="AG697" s="344"/>
      <c r="AH697" s="344"/>
      <c r="AI697" s="344"/>
      <c r="AJ697" s="344"/>
      <c r="AK697" s="344"/>
      <c r="AL697" s="344"/>
      <c r="AM697" s="344"/>
      <c r="AN697" s="344"/>
      <c r="AO697" s="344"/>
    </row>
    <row r="698" spans="1:41" ht="15.75" customHeight="1" x14ac:dyDescent="0.25">
      <c r="A698" s="344"/>
      <c r="B698" s="353"/>
      <c r="C698" s="344"/>
      <c r="D698" s="344"/>
      <c r="E698" s="344"/>
      <c r="F698" s="344"/>
      <c r="G698" s="344"/>
      <c r="H698" s="344"/>
      <c r="I698" s="344"/>
      <c r="J698" s="344"/>
      <c r="K698" s="344"/>
      <c r="L698" s="344"/>
      <c r="M698" s="344"/>
      <c r="N698" s="344"/>
      <c r="O698" s="344"/>
      <c r="P698" s="344"/>
      <c r="Q698" s="344"/>
      <c r="R698" s="344"/>
      <c r="S698" s="344"/>
      <c r="T698" s="344"/>
      <c r="U698" s="344"/>
      <c r="V698" s="344"/>
      <c r="W698" s="344"/>
      <c r="X698" s="344"/>
      <c r="Y698" s="344"/>
      <c r="Z698" s="344"/>
      <c r="AA698" s="344"/>
      <c r="AB698" s="344"/>
      <c r="AC698" s="344"/>
      <c r="AD698" s="344"/>
      <c r="AE698" s="344"/>
      <c r="AF698" s="344"/>
      <c r="AG698" s="344"/>
      <c r="AH698" s="344"/>
      <c r="AI698" s="344"/>
      <c r="AJ698" s="344"/>
      <c r="AK698" s="344"/>
      <c r="AL698" s="344"/>
      <c r="AM698" s="344"/>
      <c r="AN698" s="344"/>
      <c r="AO698" s="344"/>
    </row>
    <row r="699" spans="1:41" ht="15.75" customHeight="1" x14ac:dyDescent="0.25">
      <c r="A699" s="344"/>
      <c r="B699" s="353"/>
      <c r="C699" s="344"/>
      <c r="D699" s="344"/>
      <c r="E699" s="344"/>
      <c r="F699" s="344"/>
      <c r="G699" s="344"/>
      <c r="H699" s="344"/>
      <c r="I699" s="344"/>
      <c r="J699" s="344"/>
      <c r="K699" s="344"/>
      <c r="L699" s="344"/>
      <c r="M699" s="344"/>
      <c r="N699" s="344"/>
      <c r="O699" s="344"/>
      <c r="P699" s="344"/>
      <c r="Q699" s="344"/>
      <c r="R699" s="344"/>
      <c r="S699" s="344"/>
      <c r="T699" s="344"/>
      <c r="U699" s="344"/>
      <c r="V699" s="344"/>
      <c r="W699" s="344"/>
      <c r="X699" s="344"/>
      <c r="Y699" s="344"/>
      <c r="Z699" s="344"/>
      <c r="AA699" s="344"/>
      <c r="AB699" s="344"/>
      <c r="AC699" s="344"/>
      <c r="AD699" s="344"/>
      <c r="AE699" s="344"/>
      <c r="AF699" s="344"/>
      <c r="AG699" s="344"/>
      <c r="AH699" s="344"/>
      <c r="AI699" s="344"/>
      <c r="AJ699" s="344"/>
      <c r="AK699" s="344"/>
      <c r="AL699" s="344"/>
      <c r="AM699" s="344"/>
      <c r="AN699" s="344"/>
      <c r="AO699" s="344"/>
    </row>
    <row r="700" spans="1:41" ht="15.75" customHeight="1" x14ac:dyDescent="0.25">
      <c r="A700" s="344"/>
      <c r="B700" s="353"/>
      <c r="C700" s="344"/>
      <c r="D700" s="344"/>
      <c r="E700" s="344"/>
      <c r="F700" s="344"/>
      <c r="G700" s="344"/>
      <c r="H700" s="344"/>
      <c r="I700" s="344"/>
      <c r="J700" s="344"/>
      <c r="K700" s="344"/>
      <c r="L700" s="344"/>
      <c r="M700" s="344"/>
      <c r="N700" s="344"/>
      <c r="O700" s="344"/>
      <c r="P700" s="344"/>
      <c r="Q700" s="344"/>
      <c r="R700" s="344"/>
      <c r="S700" s="344"/>
      <c r="T700" s="344"/>
      <c r="U700" s="344"/>
      <c r="V700" s="344"/>
      <c r="W700" s="344"/>
      <c r="X700" s="344"/>
      <c r="Y700" s="344"/>
      <c r="Z700" s="344"/>
      <c r="AA700" s="344"/>
      <c r="AB700" s="344"/>
      <c r="AC700" s="344"/>
      <c r="AD700" s="344"/>
      <c r="AE700" s="344"/>
      <c r="AF700" s="344"/>
      <c r="AG700" s="344"/>
      <c r="AH700" s="344"/>
      <c r="AI700" s="344"/>
      <c r="AJ700" s="344"/>
      <c r="AK700" s="344"/>
      <c r="AL700" s="344"/>
      <c r="AM700" s="344"/>
      <c r="AN700" s="344"/>
      <c r="AO700" s="344"/>
    </row>
    <row r="701" spans="1:41" ht="15.75" customHeight="1" x14ac:dyDescent="0.25">
      <c r="A701" s="344"/>
      <c r="B701" s="353"/>
      <c r="C701" s="344"/>
      <c r="D701" s="344"/>
      <c r="E701" s="344"/>
      <c r="F701" s="344"/>
      <c r="G701" s="344"/>
      <c r="H701" s="344"/>
      <c r="I701" s="344"/>
      <c r="J701" s="344"/>
      <c r="K701" s="344"/>
      <c r="L701" s="344"/>
      <c r="M701" s="344"/>
      <c r="N701" s="344"/>
      <c r="O701" s="344"/>
      <c r="P701" s="344"/>
      <c r="Q701" s="344"/>
      <c r="R701" s="344"/>
      <c r="S701" s="344"/>
      <c r="T701" s="344"/>
      <c r="U701" s="344"/>
      <c r="V701" s="344"/>
      <c r="W701" s="344"/>
      <c r="X701" s="344"/>
      <c r="Y701" s="344"/>
      <c r="Z701" s="344"/>
      <c r="AA701" s="344"/>
      <c r="AB701" s="344"/>
      <c r="AC701" s="344"/>
      <c r="AD701" s="344"/>
      <c r="AE701" s="344"/>
      <c r="AF701" s="344"/>
      <c r="AG701" s="344"/>
      <c r="AH701" s="344"/>
      <c r="AI701" s="344"/>
      <c r="AJ701" s="344"/>
      <c r="AK701" s="344"/>
      <c r="AL701" s="344"/>
      <c r="AM701" s="344"/>
      <c r="AN701" s="344"/>
      <c r="AO701" s="344"/>
    </row>
    <row r="702" spans="1:41" ht="15.75" customHeight="1" x14ac:dyDescent="0.25">
      <c r="A702" s="344"/>
      <c r="B702" s="353"/>
      <c r="C702" s="344"/>
      <c r="D702" s="344"/>
      <c r="E702" s="344"/>
      <c r="F702" s="344"/>
      <c r="G702" s="344"/>
      <c r="H702" s="344"/>
      <c r="I702" s="344"/>
      <c r="J702" s="344"/>
      <c r="K702" s="344"/>
      <c r="L702" s="344"/>
      <c r="M702" s="344"/>
      <c r="N702" s="344"/>
      <c r="O702" s="344"/>
      <c r="P702" s="344"/>
      <c r="Q702" s="344"/>
      <c r="R702" s="344"/>
      <c r="S702" s="344"/>
      <c r="T702" s="344"/>
      <c r="U702" s="344"/>
      <c r="V702" s="344"/>
      <c r="W702" s="344"/>
      <c r="X702" s="344"/>
      <c r="Y702" s="344"/>
      <c r="Z702" s="344"/>
      <c r="AA702" s="344"/>
      <c r="AB702" s="344"/>
      <c r="AC702" s="344"/>
      <c r="AD702" s="344"/>
      <c r="AE702" s="344"/>
      <c r="AF702" s="344"/>
      <c r="AG702" s="344"/>
      <c r="AH702" s="344"/>
      <c r="AI702" s="344"/>
      <c r="AJ702" s="344"/>
      <c r="AK702" s="344"/>
      <c r="AL702" s="344"/>
      <c r="AM702" s="344"/>
      <c r="AN702" s="344"/>
      <c r="AO702" s="344"/>
    </row>
    <row r="703" spans="1:41" ht="15.75" customHeight="1" x14ac:dyDescent="0.25">
      <c r="A703" s="344"/>
      <c r="B703" s="353"/>
      <c r="C703" s="344"/>
      <c r="D703" s="344"/>
      <c r="E703" s="344"/>
      <c r="F703" s="344"/>
      <c r="G703" s="344"/>
      <c r="H703" s="344"/>
      <c r="I703" s="344"/>
      <c r="J703" s="344"/>
      <c r="K703" s="344"/>
      <c r="L703" s="344"/>
      <c r="M703" s="344"/>
      <c r="N703" s="344"/>
      <c r="O703" s="344"/>
      <c r="P703" s="344"/>
      <c r="Q703" s="344"/>
      <c r="R703" s="344"/>
      <c r="S703" s="344"/>
      <c r="T703" s="344"/>
      <c r="U703" s="344"/>
      <c r="V703" s="344"/>
      <c r="W703" s="344"/>
      <c r="X703" s="344"/>
      <c r="Y703" s="344"/>
      <c r="Z703" s="344"/>
      <c r="AA703" s="344"/>
      <c r="AB703" s="344"/>
      <c r="AC703" s="344"/>
      <c r="AD703" s="344"/>
      <c r="AE703" s="344"/>
      <c r="AF703" s="344"/>
      <c r="AG703" s="344"/>
      <c r="AH703" s="344"/>
      <c r="AI703" s="344"/>
      <c r="AJ703" s="344"/>
      <c r="AK703" s="344"/>
      <c r="AL703" s="344"/>
      <c r="AM703" s="344"/>
      <c r="AN703" s="344"/>
      <c r="AO703" s="344"/>
    </row>
    <row r="704" spans="1:41" ht="15.75" customHeight="1" x14ac:dyDescent="0.25">
      <c r="A704" s="344"/>
      <c r="B704" s="353"/>
      <c r="C704" s="344"/>
      <c r="D704" s="344"/>
      <c r="E704" s="344"/>
      <c r="F704" s="344"/>
      <c r="G704" s="344"/>
      <c r="H704" s="344"/>
      <c r="I704" s="344"/>
      <c r="J704" s="344"/>
      <c r="K704" s="344"/>
      <c r="L704" s="344"/>
      <c r="M704" s="344"/>
      <c r="N704" s="344"/>
      <c r="O704" s="344"/>
      <c r="P704" s="344"/>
      <c r="Q704" s="344"/>
      <c r="R704" s="344"/>
      <c r="S704" s="344"/>
      <c r="T704" s="344"/>
      <c r="U704" s="344"/>
      <c r="V704" s="344"/>
      <c r="W704" s="344"/>
      <c r="X704" s="344"/>
      <c r="Y704" s="344"/>
      <c r="Z704" s="344"/>
      <c r="AA704" s="344"/>
      <c r="AB704" s="344"/>
      <c r="AC704" s="344"/>
      <c r="AD704" s="344"/>
      <c r="AE704" s="344"/>
      <c r="AF704" s="344"/>
      <c r="AG704" s="344"/>
      <c r="AH704" s="344"/>
      <c r="AI704" s="344"/>
      <c r="AJ704" s="344"/>
      <c r="AK704" s="344"/>
      <c r="AL704" s="344"/>
      <c r="AM704" s="344"/>
      <c r="AN704" s="344"/>
      <c r="AO704" s="344"/>
    </row>
    <row r="705" spans="1:41" ht="15.75" customHeight="1" x14ac:dyDescent="0.25">
      <c r="A705" s="344"/>
      <c r="B705" s="353"/>
      <c r="C705" s="344"/>
      <c r="D705" s="344"/>
      <c r="E705" s="344"/>
      <c r="F705" s="344"/>
      <c r="G705" s="344"/>
      <c r="H705" s="344"/>
      <c r="I705" s="344"/>
      <c r="J705" s="344"/>
      <c r="K705" s="344"/>
      <c r="L705" s="344"/>
      <c r="M705" s="344"/>
      <c r="N705" s="344"/>
      <c r="O705" s="344"/>
      <c r="P705" s="344"/>
      <c r="Q705" s="344"/>
      <c r="R705" s="344"/>
      <c r="S705" s="344"/>
      <c r="T705" s="344"/>
      <c r="U705" s="344"/>
      <c r="V705" s="344"/>
      <c r="W705" s="344"/>
      <c r="X705" s="344"/>
      <c r="Y705" s="344"/>
      <c r="Z705" s="344"/>
      <c r="AA705" s="344"/>
      <c r="AB705" s="344"/>
      <c r="AC705" s="344"/>
      <c r="AD705" s="344"/>
      <c r="AE705" s="344"/>
      <c r="AF705" s="344"/>
      <c r="AG705" s="344"/>
      <c r="AH705" s="344"/>
      <c r="AI705" s="344"/>
      <c r="AJ705" s="344"/>
      <c r="AK705" s="344"/>
      <c r="AL705" s="344"/>
      <c r="AM705" s="344"/>
      <c r="AN705" s="344"/>
      <c r="AO705" s="344"/>
    </row>
    <row r="706" spans="1:41" ht="15.75" customHeight="1" x14ac:dyDescent="0.25">
      <c r="A706" s="344"/>
      <c r="B706" s="353"/>
      <c r="C706" s="344"/>
      <c r="D706" s="344"/>
      <c r="E706" s="344"/>
      <c r="F706" s="344"/>
      <c r="G706" s="344"/>
      <c r="H706" s="344"/>
      <c r="I706" s="344"/>
      <c r="J706" s="344"/>
      <c r="K706" s="344"/>
      <c r="L706" s="344"/>
      <c r="M706" s="344"/>
      <c r="N706" s="344"/>
      <c r="O706" s="344"/>
      <c r="P706" s="344"/>
      <c r="Q706" s="344"/>
      <c r="R706" s="344"/>
      <c r="S706" s="344"/>
      <c r="T706" s="344"/>
      <c r="U706" s="344"/>
      <c r="V706" s="344"/>
      <c r="W706" s="344"/>
      <c r="X706" s="344"/>
      <c r="Y706" s="344"/>
      <c r="Z706" s="344"/>
      <c r="AA706" s="344"/>
      <c r="AB706" s="344"/>
      <c r="AC706" s="344"/>
      <c r="AD706" s="344"/>
      <c r="AE706" s="344"/>
      <c r="AF706" s="344"/>
      <c r="AG706" s="344"/>
      <c r="AH706" s="344"/>
      <c r="AI706" s="344"/>
      <c r="AJ706" s="344"/>
      <c r="AK706" s="344"/>
      <c r="AL706" s="344"/>
      <c r="AM706" s="344"/>
      <c r="AN706" s="344"/>
      <c r="AO706" s="344"/>
    </row>
    <row r="707" spans="1:41" ht="15.75" customHeight="1" x14ac:dyDescent="0.25">
      <c r="A707" s="344"/>
      <c r="B707" s="353"/>
      <c r="C707" s="344"/>
      <c r="D707" s="344"/>
      <c r="E707" s="344"/>
      <c r="F707" s="344"/>
      <c r="G707" s="344"/>
      <c r="H707" s="344"/>
      <c r="I707" s="344"/>
      <c r="J707" s="344"/>
      <c r="K707" s="344"/>
      <c r="L707" s="344"/>
      <c r="M707" s="344"/>
      <c r="N707" s="344"/>
      <c r="O707" s="344"/>
      <c r="P707" s="344"/>
      <c r="Q707" s="344"/>
      <c r="R707" s="344"/>
      <c r="S707" s="344"/>
      <c r="T707" s="344"/>
      <c r="U707" s="344"/>
      <c r="V707" s="344"/>
      <c r="W707" s="344"/>
      <c r="X707" s="344"/>
      <c r="Y707" s="344"/>
      <c r="Z707" s="344"/>
      <c r="AA707" s="344"/>
      <c r="AB707" s="344"/>
      <c r="AC707" s="344"/>
      <c r="AD707" s="344"/>
      <c r="AE707" s="344"/>
      <c r="AF707" s="344"/>
      <c r="AG707" s="344"/>
      <c r="AH707" s="344"/>
      <c r="AI707" s="344"/>
      <c r="AJ707" s="344"/>
      <c r="AK707" s="344"/>
      <c r="AL707" s="344"/>
      <c r="AM707" s="344"/>
      <c r="AN707" s="344"/>
      <c r="AO707" s="344"/>
    </row>
    <row r="708" spans="1:41" ht="15.75" customHeight="1" x14ac:dyDescent="0.25">
      <c r="A708" s="344"/>
      <c r="B708" s="353"/>
      <c r="C708" s="344"/>
      <c r="D708" s="344"/>
      <c r="E708" s="344"/>
      <c r="F708" s="344"/>
      <c r="G708" s="344"/>
      <c r="H708" s="344"/>
      <c r="I708" s="344"/>
      <c r="J708" s="344"/>
      <c r="K708" s="344"/>
      <c r="L708" s="344"/>
      <c r="M708" s="344"/>
      <c r="N708" s="344"/>
      <c r="O708" s="344"/>
      <c r="P708" s="344"/>
      <c r="Q708" s="344"/>
      <c r="R708" s="344"/>
      <c r="S708" s="344"/>
      <c r="T708" s="344"/>
      <c r="U708" s="344"/>
      <c r="V708" s="344"/>
      <c r="W708" s="344"/>
      <c r="X708" s="344"/>
      <c r="Y708" s="344"/>
      <c r="Z708" s="344"/>
      <c r="AA708" s="344"/>
      <c r="AB708" s="344"/>
      <c r="AC708" s="344"/>
      <c r="AD708" s="344"/>
      <c r="AE708" s="344"/>
      <c r="AF708" s="344"/>
      <c r="AG708" s="344"/>
      <c r="AH708" s="344"/>
      <c r="AI708" s="344"/>
      <c r="AJ708" s="344"/>
      <c r="AK708" s="344"/>
      <c r="AL708" s="344"/>
      <c r="AM708" s="344"/>
      <c r="AN708" s="344"/>
      <c r="AO708" s="344"/>
    </row>
    <row r="709" spans="1:41" ht="15.75" customHeight="1" x14ac:dyDescent="0.25">
      <c r="A709" s="344"/>
      <c r="B709" s="353"/>
      <c r="C709" s="344"/>
      <c r="D709" s="344"/>
      <c r="E709" s="344"/>
      <c r="F709" s="344"/>
      <c r="G709" s="344"/>
      <c r="H709" s="344"/>
      <c r="I709" s="344"/>
      <c r="J709" s="344"/>
      <c r="K709" s="344"/>
      <c r="L709" s="344"/>
      <c r="M709" s="344"/>
      <c r="N709" s="344"/>
      <c r="O709" s="344"/>
      <c r="P709" s="344"/>
      <c r="Q709" s="344"/>
      <c r="R709" s="344"/>
      <c r="S709" s="344"/>
      <c r="T709" s="344"/>
      <c r="U709" s="344"/>
      <c r="V709" s="344"/>
      <c r="W709" s="344"/>
      <c r="X709" s="344"/>
      <c r="Y709" s="344"/>
      <c r="Z709" s="344"/>
      <c r="AA709" s="344"/>
      <c r="AB709" s="344"/>
      <c r="AC709" s="344"/>
      <c r="AD709" s="344"/>
      <c r="AE709" s="344"/>
      <c r="AF709" s="344"/>
      <c r="AG709" s="344"/>
      <c r="AH709" s="344"/>
      <c r="AI709" s="344"/>
      <c r="AJ709" s="344"/>
      <c r="AK709" s="344"/>
      <c r="AL709" s="344"/>
      <c r="AM709" s="344"/>
      <c r="AN709" s="344"/>
      <c r="AO709" s="344"/>
    </row>
    <row r="710" spans="1:41" ht="15.75" customHeight="1" x14ac:dyDescent="0.25">
      <c r="A710" s="344"/>
      <c r="B710" s="353"/>
      <c r="C710" s="344"/>
      <c r="D710" s="344"/>
      <c r="E710" s="344"/>
      <c r="F710" s="344"/>
      <c r="G710" s="344"/>
      <c r="H710" s="344"/>
      <c r="I710" s="344"/>
      <c r="J710" s="344"/>
      <c r="K710" s="344"/>
      <c r="L710" s="344"/>
      <c r="M710" s="344"/>
      <c r="N710" s="344"/>
      <c r="O710" s="344"/>
      <c r="P710" s="344"/>
      <c r="Q710" s="344"/>
      <c r="R710" s="344"/>
      <c r="S710" s="344"/>
      <c r="T710" s="344"/>
      <c r="U710" s="344"/>
      <c r="V710" s="344"/>
      <c r="W710" s="344"/>
      <c r="X710" s="344"/>
      <c r="Y710" s="344"/>
      <c r="Z710" s="344"/>
      <c r="AA710" s="344"/>
      <c r="AB710" s="344"/>
      <c r="AC710" s="344"/>
      <c r="AD710" s="344"/>
      <c r="AE710" s="344"/>
      <c r="AF710" s="344"/>
      <c r="AG710" s="344"/>
      <c r="AH710" s="344"/>
      <c r="AI710" s="344"/>
      <c r="AJ710" s="344"/>
      <c r="AK710" s="344"/>
      <c r="AL710" s="344"/>
      <c r="AM710" s="344"/>
      <c r="AN710" s="344"/>
      <c r="AO710" s="344"/>
    </row>
    <row r="711" spans="1:41" ht="15.75" customHeight="1" x14ac:dyDescent="0.25">
      <c r="A711" s="344"/>
      <c r="B711" s="353"/>
      <c r="C711" s="344"/>
      <c r="D711" s="344"/>
      <c r="E711" s="344"/>
      <c r="F711" s="344"/>
      <c r="G711" s="344"/>
      <c r="H711" s="344"/>
      <c r="I711" s="344"/>
      <c r="J711" s="344"/>
      <c r="K711" s="344"/>
      <c r="L711" s="344"/>
      <c r="M711" s="344"/>
      <c r="N711" s="344"/>
      <c r="O711" s="344"/>
      <c r="P711" s="344"/>
      <c r="Q711" s="344"/>
      <c r="R711" s="344"/>
      <c r="S711" s="344"/>
      <c r="T711" s="344"/>
      <c r="U711" s="344"/>
      <c r="V711" s="344"/>
      <c r="W711" s="344"/>
      <c r="X711" s="344"/>
      <c r="Y711" s="344"/>
      <c r="Z711" s="344"/>
      <c r="AA711" s="344"/>
      <c r="AB711" s="344"/>
      <c r="AC711" s="344"/>
      <c r="AD711" s="344"/>
      <c r="AE711" s="344"/>
      <c r="AF711" s="344"/>
      <c r="AG711" s="344"/>
      <c r="AH711" s="344"/>
      <c r="AI711" s="344"/>
      <c r="AJ711" s="344"/>
      <c r="AK711" s="344"/>
      <c r="AL711" s="344"/>
      <c r="AM711" s="344"/>
      <c r="AN711" s="344"/>
      <c r="AO711" s="344"/>
    </row>
    <row r="712" spans="1:41" ht="15.75" customHeight="1" x14ac:dyDescent="0.25">
      <c r="A712" s="344"/>
      <c r="B712" s="353"/>
      <c r="C712" s="344"/>
      <c r="D712" s="344"/>
      <c r="E712" s="344"/>
      <c r="F712" s="344"/>
      <c r="G712" s="344"/>
      <c r="H712" s="344"/>
      <c r="I712" s="344"/>
      <c r="J712" s="344"/>
      <c r="K712" s="344"/>
      <c r="L712" s="344"/>
      <c r="M712" s="344"/>
      <c r="N712" s="344"/>
      <c r="O712" s="344"/>
      <c r="P712" s="344"/>
      <c r="Q712" s="344"/>
      <c r="R712" s="344"/>
      <c r="S712" s="344"/>
      <c r="T712" s="344"/>
      <c r="U712" s="344"/>
      <c r="V712" s="344"/>
      <c r="W712" s="344"/>
      <c r="X712" s="344"/>
      <c r="Y712" s="344"/>
      <c r="Z712" s="344"/>
      <c r="AA712" s="344"/>
      <c r="AB712" s="344"/>
      <c r="AC712" s="344"/>
      <c r="AD712" s="344"/>
      <c r="AE712" s="344"/>
      <c r="AF712" s="344"/>
      <c r="AG712" s="344"/>
      <c r="AH712" s="344"/>
      <c r="AI712" s="344"/>
      <c r="AJ712" s="344"/>
      <c r="AK712" s="344"/>
      <c r="AL712" s="344"/>
      <c r="AM712" s="344"/>
      <c r="AN712" s="344"/>
      <c r="AO712" s="344"/>
    </row>
    <row r="713" spans="1:41" ht="15.75" customHeight="1" x14ac:dyDescent="0.25">
      <c r="A713" s="344"/>
      <c r="B713" s="353"/>
      <c r="C713" s="344"/>
      <c r="D713" s="344"/>
      <c r="E713" s="344"/>
      <c r="F713" s="344"/>
      <c r="G713" s="344"/>
      <c r="H713" s="344"/>
      <c r="I713" s="344"/>
      <c r="J713" s="344"/>
      <c r="K713" s="344"/>
      <c r="L713" s="344"/>
      <c r="M713" s="344"/>
      <c r="N713" s="344"/>
      <c r="O713" s="344"/>
      <c r="P713" s="344"/>
      <c r="Q713" s="344"/>
      <c r="R713" s="344"/>
      <c r="S713" s="344"/>
      <c r="T713" s="344"/>
      <c r="U713" s="344"/>
      <c r="V713" s="344"/>
      <c r="W713" s="344"/>
      <c r="X713" s="344"/>
      <c r="Y713" s="344"/>
      <c r="Z713" s="344"/>
      <c r="AA713" s="344"/>
      <c r="AB713" s="344"/>
      <c r="AC713" s="344"/>
      <c r="AD713" s="344"/>
      <c r="AE713" s="344"/>
      <c r="AF713" s="344"/>
      <c r="AG713" s="344"/>
      <c r="AH713" s="344"/>
      <c r="AI713" s="344"/>
      <c r="AJ713" s="344"/>
      <c r="AK713" s="344"/>
      <c r="AL713" s="344"/>
      <c r="AM713" s="344"/>
      <c r="AN713" s="344"/>
      <c r="AO713" s="344"/>
    </row>
    <row r="714" spans="1:41" ht="15.75" customHeight="1" x14ac:dyDescent="0.25">
      <c r="A714" s="344"/>
      <c r="B714" s="353"/>
      <c r="C714" s="344"/>
      <c r="D714" s="344"/>
      <c r="E714" s="344"/>
      <c r="F714" s="344"/>
      <c r="G714" s="344"/>
      <c r="H714" s="344"/>
      <c r="I714" s="344"/>
      <c r="J714" s="344"/>
      <c r="K714" s="344"/>
      <c r="L714" s="344"/>
      <c r="M714" s="344"/>
      <c r="N714" s="344"/>
      <c r="O714" s="344"/>
      <c r="P714" s="344"/>
      <c r="Q714" s="344"/>
      <c r="R714" s="344"/>
      <c r="S714" s="344"/>
      <c r="T714" s="344"/>
      <c r="U714" s="344"/>
      <c r="V714" s="344"/>
      <c r="W714" s="344"/>
      <c r="X714" s="344"/>
      <c r="Y714" s="344"/>
      <c r="Z714" s="344"/>
      <c r="AA714" s="344"/>
      <c r="AB714" s="344"/>
      <c r="AC714" s="344"/>
      <c r="AD714" s="344"/>
      <c r="AE714" s="344"/>
      <c r="AF714" s="344"/>
      <c r="AG714" s="344"/>
      <c r="AH714" s="344"/>
      <c r="AI714" s="344"/>
      <c r="AJ714" s="344"/>
      <c r="AK714" s="344"/>
      <c r="AL714" s="344"/>
      <c r="AM714" s="344"/>
      <c r="AN714" s="344"/>
      <c r="AO714" s="344"/>
    </row>
    <row r="715" spans="1:41" ht="15.75" customHeight="1" x14ac:dyDescent="0.25">
      <c r="A715" s="344"/>
      <c r="B715" s="353"/>
      <c r="C715" s="344"/>
      <c r="D715" s="344"/>
      <c r="E715" s="344"/>
      <c r="F715" s="344"/>
      <c r="G715" s="344"/>
      <c r="H715" s="344"/>
      <c r="I715" s="344"/>
      <c r="J715" s="344"/>
      <c r="K715" s="344"/>
      <c r="L715" s="344"/>
      <c r="M715" s="344"/>
      <c r="N715" s="344"/>
      <c r="O715" s="344"/>
      <c r="P715" s="344"/>
      <c r="Q715" s="344"/>
      <c r="R715" s="344"/>
      <c r="S715" s="344"/>
      <c r="T715" s="344"/>
      <c r="U715" s="344"/>
      <c r="V715" s="344"/>
      <c r="W715" s="344"/>
      <c r="X715" s="344"/>
      <c r="Y715" s="344"/>
      <c r="Z715" s="344"/>
      <c r="AA715" s="344"/>
      <c r="AB715" s="344"/>
      <c r="AC715" s="344"/>
      <c r="AD715" s="344"/>
      <c r="AE715" s="344"/>
      <c r="AF715" s="344"/>
      <c r="AG715" s="344"/>
      <c r="AH715" s="344"/>
      <c r="AI715" s="344"/>
      <c r="AJ715" s="344"/>
      <c r="AK715" s="344"/>
      <c r="AL715" s="344"/>
      <c r="AM715" s="344"/>
      <c r="AN715" s="344"/>
      <c r="AO715" s="344"/>
    </row>
    <row r="716" spans="1:41" ht="15.75" customHeight="1" x14ac:dyDescent="0.25">
      <c r="A716" s="344"/>
      <c r="B716" s="353"/>
      <c r="C716" s="344"/>
      <c r="D716" s="344"/>
      <c r="E716" s="344"/>
      <c r="F716" s="344"/>
      <c r="G716" s="344"/>
      <c r="H716" s="344"/>
      <c r="I716" s="344"/>
      <c r="J716" s="344"/>
      <c r="K716" s="344"/>
      <c r="L716" s="344"/>
      <c r="M716" s="344"/>
      <c r="N716" s="344"/>
      <c r="O716" s="344"/>
      <c r="P716" s="344"/>
      <c r="Q716" s="344"/>
      <c r="R716" s="344"/>
      <c r="S716" s="344"/>
      <c r="T716" s="344"/>
      <c r="U716" s="344"/>
      <c r="V716" s="344"/>
      <c r="W716" s="344"/>
      <c r="X716" s="344"/>
      <c r="Y716" s="344"/>
      <c r="Z716" s="344"/>
      <c r="AA716" s="344"/>
      <c r="AB716" s="344"/>
      <c r="AC716" s="344"/>
      <c r="AD716" s="344"/>
      <c r="AE716" s="344"/>
      <c r="AF716" s="344"/>
      <c r="AG716" s="344"/>
      <c r="AH716" s="344"/>
      <c r="AI716" s="344"/>
      <c r="AJ716" s="344"/>
      <c r="AK716" s="344"/>
      <c r="AL716" s="344"/>
      <c r="AM716" s="344"/>
      <c r="AN716" s="344"/>
      <c r="AO716" s="344"/>
    </row>
    <row r="717" spans="1:41" ht="15.75" customHeight="1" x14ac:dyDescent="0.25">
      <c r="A717" s="344"/>
      <c r="B717" s="353"/>
      <c r="C717" s="344"/>
      <c r="D717" s="344"/>
      <c r="E717" s="344"/>
      <c r="F717" s="344"/>
      <c r="G717" s="344"/>
      <c r="H717" s="344"/>
      <c r="I717" s="344"/>
      <c r="J717" s="344"/>
      <c r="K717" s="344"/>
      <c r="L717" s="344"/>
      <c r="M717" s="344"/>
      <c r="N717" s="344"/>
      <c r="O717" s="344"/>
      <c r="P717" s="344"/>
      <c r="Q717" s="344"/>
      <c r="R717" s="344"/>
      <c r="S717" s="344"/>
      <c r="T717" s="344"/>
      <c r="U717" s="344"/>
      <c r="V717" s="344"/>
      <c r="W717" s="344"/>
      <c r="X717" s="344"/>
      <c r="Y717" s="344"/>
      <c r="Z717" s="344"/>
      <c r="AA717" s="344"/>
      <c r="AB717" s="344"/>
      <c r="AC717" s="344"/>
      <c r="AD717" s="344"/>
      <c r="AE717" s="344"/>
      <c r="AF717" s="344"/>
      <c r="AG717" s="344"/>
      <c r="AH717" s="344"/>
      <c r="AI717" s="344"/>
      <c r="AJ717" s="344"/>
      <c r="AK717" s="344"/>
      <c r="AL717" s="344"/>
      <c r="AM717" s="344"/>
      <c r="AN717" s="344"/>
      <c r="AO717" s="344"/>
    </row>
    <row r="718" spans="1:41" ht="15.75" customHeight="1" x14ac:dyDescent="0.25">
      <c r="A718" s="344"/>
      <c r="B718" s="353"/>
      <c r="C718" s="344"/>
      <c r="D718" s="344"/>
      <c r="E718" s="344"/>
      <c r="F718" s="344"/>
      <c r="G718" s="344"/>
      <c r="H718" s="344"/>
      <c r="I718" s="344"/>
      <c r="J718" s="344"/>
      <c r="K718" s="344"/>
      <c r="L718" s="344"/>
      <c r="M718" s="344"/>
      <c r="N718" s="344"/>
      <c r="O718" s="344"/>
      <c r="P718" s="344"/>
      <c r="Q718" s="344"/>
      <c r="R718" s="344"/>
      <c r="S718" s="344"/>
      <c r="T718" s="344"/>
      <c r="U718" s="344"/>
      <c r="V718" s="344"/>
      <c r="W718" s="344"/>
      <c r="X718" s="344"/>
      <c r="Y718" s="344"/>
      <c r="Z718" s="344"/>
      <c r="AA718" s="344"/>
      <c r="AB718" s="344"/>
      <c r="AC718" s="344"/>
      <c r="AD718" s="344"/>
      <c r="AE718" s="344"/>
      <c r="AF718" s="344"/>
      <c r="AG718" s="344"/>
      <c r="AH718" s="344"/>
      <c r="AI718" s="344"/>
      <c r="AJ718" s="344"/>
      <c r="AK718" s="344"/>
      <c r="AL718" s="344"/>
      <c r="AM718" s="344"/>
      <c r="AN718" s="344"/>
      <c r="AO718" s="344"/>
    </row>
    <row r="719" spans="1:41" ht="15.75" customHeight="1" x14ac:dyDescent="0.25">
      <c r="A719" s="344"/>
      <c r="B719" s="353"/>
      <c r="C719" s="344"/>
      <c r="D719" s="344"/>
      <c r="E719" s="344"/>
      <c r="F719" s="344"/>
      <c r="G719" s="344"/>
      <c r="H719" s="344"/>
      <c r="I719" s="344"/>
      <c r="J719" s="344"/>
      <c r="K719" s="344"/>
      <c r="L719" s="344"/>
      <c r="M719" s="344"/>
      <c r="N719" s="344"/>
      <c r="O719" s="344"/>
      <c r="P719" s="344"/>
      <c r="Q719" s="344"/>
      <c r="R719" s="344"/>
      <c r="S719" s="344"/>
      <c r="T719" s="344"/>
      <c r="U719" s="344"/>
      <c r="V719" s="344"/>
      <c r="W719" s="344"/>
      <c r="X719" s="344"/>
      <c r="Y719" s="344"/>
      <c r="Z719" s="344"/>
      <c r="AA719" s="344"/>
      <c r="AB719" s="344"/>
      <c r="AC719" s="344"/>
      <c r="AD719" s="344"/>
      <c r="AE719" s="344"/>
      <c r="AF719" s="344"/>
      <c r="AG719" s="344"/>
      <c r="AH719" s="344"/>
      <c r="AI719" s="344"/>
      <c r="AJ719" s="344"/>
      <c r="AK719" s="344"/>
      <c r="AL719" s="344"/>
      <c r="AM719" s="344"/>
      <c r="AN719" s="344"/>
      <c r="AO719" s="344"/>
    </row>
    <row r="720" spans="1:41" ht="15.75" customHeight="1" x14ac:dyDescent="0.25">
      <c r="A720" s="344"/>
      <c r="B720" s="353"/>
      <c r="C720" s="344"/>
      <c r="D720" s="344"/>
      <c r="E720" s="344"/>
      <c r="F720" s="344"/>
      <c r="G720" s="344"/>
      <c r="H720" s="344"/>
      <c r="I720" s="344"/>
      <c r="J720" s="344"/>
      <c r="K720" s="344"/>
      <c r="L720" s="344"/>
      <c r="M720" s="344"/>
      <c r="N720" s="344"/>
      <c r="O720" s="344"/>
      <c r="P720" s="344"/>
      <c r="Q720" s="344"/>
      <c r="R720" s="344"/>
      <c r="S720" s="344"/>
      <c r="T720" s="344"/>
      <c r="U720" s="344"/>
      <c r="V720" s="344"/>
      <c r="W720" s="344"/>
      <c r="X720" s="344"/>
      <c r="Y720" s="344"/>
      <c r="Z720" s="344"/>
      <c r="AA720" s="344"/>
      <c r="AB720" s="344"/>
      <c r="AC720" s="344"/>
      <c r="AD720" s="344"/>
      <c r="AE720" s="344"/>
      <c r="AF720" s="344"/>
      <c r="AG720" s="344"/>
      <c r="AH720" s="344"/>
      <c r="AI720" s="344"/>
      <c r="AJ720" s="344"/>
      <c r="AK720" s="344"/>
      <c r="AL720" s="344"/>
      <c r="AM720" s="344"/>
      <c r="AN720" s="344"/>
      <c r="AO720" s="344"/>
    </row>
    <row r="721" spans="1:41" ht="15.75" customHeight="1" x14ac:dyDescent="0.25">
      <c r="A721" s="344"/>
      <c r="B721" s="353"/>
      <c r="C721" s="344"/>
      <c r="D721" s="344"/>
      <c r="E721" s="344"/>
      <c r="F721" s="344"/>
      <c r="G721" s="344"/>
      <c r="H721" s="344"/>
      <c r="I721" s="344"/>
      <c r="J721" s="344"/>
      <c r="K721" s="344"/>
      <c r="L721" s="344"/>
      <c r="M721" s="344"/>
      <c r="N721" s="344"/>
      <c r="O721" s="344"/>
      <c r="P721" s="344"/>
      <c r="Q721" s="344"/>
      <c r="R721" s="344"/>
      <c r="S721" s="344"/>
      <c r="T721" s="344"/>
      <c r="U721" s="344"/>
      <c r="V721" s="344"/>
      <c r="W721" s="344"/>
      <c r="X721" s="344"/>
      <c r="Y721" s="344"/>
      <c r="Z721" s="344"/>
      <c r="AA721" s="344"/>
      <c r="AB721" s="344"/>
      <c r="AC721" s="344"/>
      <c r="AD721" s="344"/>
      <c r="AE721" s="344"/>
      <c r="AF721" s="344"/>
      <c r="AG721" s="344"/>
      <c r="AH721" s="344"/>
      <c r="AI721" s="344"/>
      <c r="AJ721" s="344"/>
      <c r="AK721" s="344"/>
      <c r="AL721" s="344"/>
      <c r="AM721" s="344"/>
      <c r="AN721" s="344"/>
      <c r="AO721" s="344"/>
    </row>
    <row r="722" spans="1:41" ht="15.75" customHeight="1" x14ac:dyDescent="0.25">
      <c r="A722" s="344"/>
      <c r="B722" s="353"/>
      <c r="C722" s="344"/>
      <c r="D722" s="344"/>
      <c r="E722" s="344"/>
      <c r="F722" s="344"/>
      <c r="G722" s="344"/>
      <c r="H722" s="344"/>
      <c r="I722" s="344"/>
      <c r="J722" s="344"/>
      <c r="K722" s="344"/>
      <c r="L722" s="344"/>
      <c r="M722" s="344"/>
      <c r="N722" s="344"/>
      <c r="O722" s="344"/>
      <c r="P722" s="344"/>
      <c r="Q722" s="344"/>
      <c r="R722" s="344"/>
      <c r="S722" s="344"/>
      <c r="T722" s="344"/>
      <c r="U722" s="344"/>
      <c r="V722" s="344"/>
      <c r="W722" s="344"/>
      <c r="X722" s="344"/>
      <c r="Y722" s="344"/>
      <c r="Z722" s="344"/>
      <c r="AA722" s="344"/>
      <c r="AB722" s="344"/>
      <c r="AC722" s="344"/>
      <c r="AD722" s="344"/>
      <c r="AE722" s="344"/>
      <c r="AF722" s="344"/>
      <c r="AG722" s="344"/>
      <c r="AH722" s="344"/>
      <c r="AI722" s="344"/>
      <c r="AJ722" s="344"/>
      <c r="AK722" s="344"/>
      <c r="AL722" s="344"/>
      <c r="AM722" s="344"/>
      <c r="AN722" s="344"/>
      <c r="AO722" s="344"/>
    </row>
    <row r="723" spans="1:41" ht="15.75" customHeight="1" x14ac:dyDescent="0.25">
      <c r="A723" s="344"/>
      <c r="B723" s="353"/>
      <c r="C723" s="344"/>
      <c r="D723" s="344"/>
      <c r="E723" s="344"/>
      <c r="F723" s="344"/>
      <c r="G723" s="344"/>
      <c r="H723" s="344"/>
      <c r="I723" s="344"/>
      <c r="J723" s="344"/>
      <c r="K723" s="344"/>
      <c r="L723" s="344"/>
      <c r="M723" s="344"/>
      <c r="N723" s="344"/>
      <c r="O723" s="344"/>
      <c r="P723" s="344"/>
      <c r="Q723" s="344"/>
      <c r="R723" s="344"/>
      <c r="S723" s="344"/>
      <c r="T723" s="344"/>
      <c r="U723" s="344"/>
      <c r="V723" s="344"/>
      <c r="W723" s="344"/>
      <c r="X723" s="344"/>
      <c r="Y723" s="344"/>
      <c r="Z723" s="344"/>
      <c r="AA723" s="344"/>
      <c r="AB723" s="344"/>
      <c r="AC723" s="344"/>
      <c r="AD723" s="344"/>
      <c r="AE723" s="344"/>
      <c r="AF723" s="344"/>
      <c r="AG723" s="344"/>
      <c r="AH723" s="344"/>
      <c r="AI723" s="344"/>
      <c r="AJ723" s="344"/>
      <c r="AK723" s="344"/>
      <c r="AL723" s="344"/>
      <c r="AM723" s="344"/>
      <c r="AN723" s="344"/>
      <c r="AO723" s="344"/>
    </row>
    <row r="724" spans="1:41" ht="15.75" customHeight="1" x14ac:dyDescent="0.25">
      <c r="A724" s="344"/>
      <c r="B724" s="353"/>
      <c r="C724" s="344"/>
      <c r="D724" s="344"/>
      <c r="E724" s="344"/>
      <c r="F724" s="344"/>
      <c r="G724" s="344"/>
      <c r="H724" s="344"/>
      <c r="I724" s="344"/>
      <c r="J724" s="344"/>
      <c r="K724" s="344"/>
      <c r="L724" s="344"/>
      <c r="M724" s="344"/>
      <c r="N724" s="344"/>
      <c r="O724" s="344"/>
      <c r="P724" s="344"/>
      <c r="Q724" s="344"/>
      <c r="R724" s="344"/>
      <c r="S724" s="344"/>
      <c r="T724" s="344"/>
      <c r="U724" s="344"/>
      <c r="V724" s="344"/>
      <c r="W724" s="344"/>
      <c r="X724" s="344"/>
      <c r="Y724" s="344"/>
      <c r="Z724" s="344"/>
      <c r="AA724" s="344"/>
      <c r="AB724" s="344"/>
      <c r="AC724" s="344"/>
      <c r="AD724" s="344"/>
      <c r="AE724" s="344"/>
      <c r="AF724" s="344"/>
      <c r="AG724" s="344"/>
      <c r="AH724" s="344"/>
      <c r="AI724" s="344"/>
      <c r="AJ724" s="344"/>
      <c r="AK724" s="344"/>
      <c r="AL724" s="344"/>
      <c r="AM724" s="344"/>
      <c r="AN724" s="344"/>
      <c r="AO724" s="344"/>
    </row>
    <row r="725" spans="1:41" ht="15.75" customHeight="1" x14ac:dyDescent="0.25">
      <c r="A725" s="344"/>
      <c r="B725" s="353"/>
      <c r="C725" s="344"/>
      <c r="D725" s="344"/>
      <c r="E725" s="344"/>
      <c r="F725" s="344"/>
      <c r="G725" s="344"/>
      <c r="H725" s="344"/>
      <c r="I725" s="344"/>
      <c r="J725" s="344"/>
      <c r="K725" s="344"/>
      <c r="L725" s="344"/>
      <c r="M725" s="344"/>
      <c r="N725" s="344"/>
      <c r="O725" s="344"/>
      <c r="P725" s="344"/>
      <c r="Q725" s="344"/>
      <c r="R725" s="344"/>
      <c r="S725" s="344"/>
      <c r="T725" s="344"/>
      <c r="U725" s="344"/>
      <c r="V725" s="344"/>
      <c r="W725" s="344"/>
      <c r="X725" s="344"/>
      <c r="Y725" s="344"/>
      <c r="Z725" s="344"/>
      <c r="AA725" s="344"/>
      <c r="AB725" s="344"/>
      <c r="AC725" s="344"/>
      <c r="AD725" s="344"/>
      <c r="AE725" s="344"/>
      <c r="AF725" s="344"/>
      <c r="AG725" s="344"/>
      <c r="AH725" s="344"/>
      <c r="AI725" s="344"/>
      <c r="AJ725" s="344"/>
      <c r="AK725" s="344"/>
      <c r="AL725" s="344"/>
      <c r="AM725" s="344"/>
      <c r="AN725" s="344"/>
      <c r="AO725" s="344"/>
    </row>
    <row r="726" spans="1:41" ht="15.75" customHeight="1" x14ac:dyDescent="0.25">
      <c r="A726" s="344"/>
      <c r="B726" s="353"/>
      <c r="C726" s="344"/>
      <c r="D726" s="344"/>
      <c r="E726" s="344"/>
      <c r="F726" s="344"/>
      <c r="G726" s="344"/>
      <c r="H726" s="344"/>
      <c r="I726" s="344"/>
      <c r="J726" s="344"/>
      <c r="K726" s="344"/>
      <c r="L726" s="344"/>
      <c r="M726" s="344"/>
      <c r="N726" s="344"/>
      <c r="O726" s="344"/>
      <c r="P726" s="344"/>
      <c r="Q726" s="344"/>
      <c r="R726" s="344"/>
      <c r="S726" s="344"/>
      <c r="T726" s="344"/>
      <c r="U726" s="344"/>
      <c r="V726" s="344"/>
      <c r="W726" s="344"/>
      <c r="X726" s="344"/>
      <c r="Y726" s="344"/>
      <c r="Z726" s="344"/>
      <c r="AA726" s="344"/>
      <c r="AB726" s="344"/>
      <c r="AC726" s="344"/>
      <c r="AD726" s="344"/>
      <c r="AE726" s="344"/>
      <c r="AF726" s="344"/>
      <c r="AG726" s="344"/>
      <c r="AH726" s="344"/>
      <c r="AI726" s="344"/>
      <c r="AJ726" s="344"/>
      <c r="AK726" s="344"/>
      <c r="AL726" s="344"/>
      <c r="AM726" s="344"/>
      <c r="AN726" s="344"/>
      <c r="AO726" s="344"/>
    </row>
    <row r="727" spans="1:41" ht="15.75" customHeight="1" x14ac:dyDescent="0.25">
      <c r="A727" s="344"/>
      <c r="B727" s="353"/>
      <c r="C727" s="344"/>
      <c r="D727" s="344"/>
      <c r="E727" s="344"/>
      <c r="F727" s="344"/>
      <c r="G727" s="344"/>
      <c r="H727" s="344"/>
      <c r="I727" s="344"/>
      <c r="J727" s="344"/>
      <c r="K727" s="344"/>
      <c r="L727" s="344"/>
      <c r="M727" s="344"/>
      <c r="N727" s="344"/>
      <c r="O727" s="344"/>
      <c r="P727" s="344"/>
      <c r="Q727" s="344"/>
      <c r="R727" s="344"/>
      <c r="S727" s="344"/>
      <c r="T727" s="344"/>
      <c r="U727" s="344"/>
      <c r="V727" s="344"/>
      <c r="W727" s="344"/>
      <c r="X727" s="344"/>
      <c r="Y727" s="344"/>
      <c r="Z727" s="344"/>
      <c r="AA727" s="344"/>
      <c r="AB727" s="344"/>
      <c r="AC727" s="344"/>
      <c r="AD727" s="344"/>
      <c r="AE727" s="344"/>
      <c r="AF727" s="344"/>
      <c r="AG727" s="344"/>
      <c r="AH727" s="344"/>
      <c r="AI727" s="344"/>
      <c r="AJ727" s="344"/>
      <c r="AK727" s="344"/>
      <c r="AL727" s="344"/>
      <c r="AM727" s="344"/>
      <c r="AN727" s="344"/>
      <c r="AO727" s="344"/>
    </row>
    <row r="728" spans="1:41" ht="15.75" customHeight="1" x14ac:dyDescent="0.25">
      <c r="A728" s="344"/>
      <c r="B728" s="353"/>
      <c r="C728" s="344"/>
      <c r="D728" s="344"/>
      <c r="E728" s="344"/>
      <c r="F728" s="344"/>
      <c r="G728" s="344"/>
      <c r="H728" s="344"/>
      <c r="I728" s="344"/>
      <c r="J728" s="344"/>
      <c r="K728" s="344"/>
      <c r="L728" s="344"/>
      <c r="M728" s="344"/>
      <c r="N728" s="344"/>
      <c r="O728" s="344"/>
      <c r="P728" s="344"/>
      <c r="Q728" s="344"/>
      <c r="R728" s="344"/>
      <c r="S728" s="344"/>
      <c r="T728" s="344"/>
      <c r="U728" s="344"/>
      <c r="V728" s="344"/>
      <c r="W728" s="344"/>
      <c r="X728" s="344"/>
      <c r="Y728" s="344"/>
      <c r="Z728" s="344"/>
      <c r="AA728" s="344"/>
      <c r="AB728" s="344"/>
      <c r="AC728" s="344"/>
      <c r="AD728" s="344"/>
      <c r="AE728" s="344"/>
      <c r="AF728" s="344"/>
      <c r="AG728" s="344"/>
      <c r="AH728" s="344"/>
      <c r="AI728" s="344"/>
      <c r="AJ728" s="344"/>
      <c r="AK728" s="344"/>
      <c r="AL728" s="344"/>
      <c r="AM728" s="344"/>
      <c r="AN728" s="344"/>
      <c r="AO728" s="344"/>
    </row>
    <row r="729" spans="1:41" ht="15.75" customHeight="1" x14ac:dyDescent="0.25">
      <c r="A729" s="344"/>
      <c r="B729" s="353"/>
      <c r="C729" s="344"/>
      <c r="D729" s="344"/>
      <c r="E729" s="344"/>
      <c r="F729" s="344"/>
      <c r="G729" s="344"/>
      <c r="H729" s="344"/>
      <c r="I729" s="344"/>
      <c r="J729" s="344"/>
      <c r="K729" s="344"/>
      <c r="L729" s="344"/>
      <c r="M729" s="344"/>
      <c r="N729" s="344"/>
      <c r="O729" s="344"/>
      <c r="P729" s="344"/>
      <c r="Q729" s="344"/>
      <c r="R729" s="344"/>
      <c r="S729" s="344"/>
      <c r="T729" s="344"/>
      <c r="U729" s="344"/>
      <c r="V729" s="344"/>
      <c r="W729" s="344"/>
      <c r="X729" s="344"/>
      <c r="Y729" s="344"/>
      <c r="Z729" s="344"/>
      <c r="AA729" s="344"/>
      <c r="AB729" s="344"/>
      <c r="AC729" s="344"/>
      <c r="AD729" s="344"/>
      <c r="AE729" s="344"/>
      <c r="AF729" s="344"/>
      <c r="AG729" s="344"/>
      <c r="AH729" s="344"/>
      <c r="AI729" s="344"/>
      <c r="AJ729" s="344"/>
      <c r="AK729" s="344"/>
      <c r="AL729" s="344"/>
      <c r="AM729" s="344"/>
      <c r="AN729" s="344"/>
      <c r="AO729" s="344"/>
    </row>
    <row r="730" spans="1:41" ht="15.75" customHeight="1" x14ac:dyDescent="0.25">
      <c r="A730" s="344"/>
      <c r="B730" s="353"/>
      <c r="C730" s="344"/>
      <c r="D730" s="344"/>
      <c r="E730" s="344"/>
      <c r="F730" s="344"/>
      <c r="G730" s="344"/>
      <c r="H730" s="344"/>
      <c r="I730" s="344"/>
      <c r="J730" s="344"/>
      <c r="K730" s="344"/>
      <c r="L730" s="344"/>
      <c r="M730" s="344"/>
      <c r="N730" s="344"/>
      <c r="O730" s="344"/>
      <c r="P730" s="344"/>
      <c r="Q730" s="344"/>
      <c r="R730" s="344"/>
      <c r="S730" s="344"/>
      <c r="T730" s="344"/>
      <c r="U730" s="344"/>
      <c r="V730" s="344"/>
      <c r="W730" s="344"/>
      <c r="X730" s="344"/>
      <c r="Y730" s="344"/>
      <c r="Z730" s="344"/>
      <c r="AA730" s="344"/>
      <c r="AB730" s="344"/>
      <c r="AC730" s="344"/>
      <c r="AD730" s="344"/>
      <c r="AE730" s="344"/>
      <c r="AF730" s="344"/>
      <c r="AG730" s="344"/>
      <c r="AH730" s="344"/>
      <c r="AI730" s="344"/>
      <c r="AJ730" s="344"/>
      <c r="AK730" s="344"/>
      <c r="AL730" s="344"/>
      <c r="AM730" s="344"/>
      <c r="AN730" s="344"/>
      <c r="AO730" s="344"/>
    </row>
    <row r="731" spans="1:41" ht="15.75" customHeight="1" x14ac:dyDescent="0.25">
      <c r="A731" s="344"/>
      <c r="B731" s="353"/>
      <c r="C731" s="344"/>
      <c r="D731" s="344"/>
      <c r="E731" s="344"/>
      <c r="F731" s="344"/>
      <c r="G731" s="344"/>
      <c r="H731" s="344"/>
      <c r="I731" s="344"/>
      <c r="J731" s="344"/>
      <c r="K731" s="344"/>
      <c r="L731" s="344"/>
      <c r="M731" s="344"/>
      <c r="N731" s="344"/>
      <c r="O731" s="344"/>
      <c r="P731" s="344"/>
      <c r="Q731" s="344"/>
      <c r="R731" s="344"/>
      <c r="S731" s="344"/>
      <c r="T731" s="344"/>
      <c r="U731" s="344"/>
      <c r="V731" s="344"/>
      <c r="W731" s="344"/>
      <c r="X731" s="344"/>
      <c r="Y731" s="344"/>
      <c r="Z731" s="344"/>
      <c r="AA731" s="344"/>
      <c r="AB731" s="344"/>
      <c r="AC731" s="344"/>
      <c r="AD731" s="344"/>
      <c r="AE731" s="344"/>
      <c r="AF731" s="344"/>
      <c r="AG731" s="344"/>
      <c r="AH731" s="344"/>
      <c r="AI731" s="344"/>
      <c r="AJ731" s="344"/>
      <c r="AK731" s="344"/>
      <c r="AL731" s="344"/>
      <c r="AM731" s="344"/>
      <c r="AN731" s="344"/>
      <c r="AO731" s="344"/>
    </row>
    <row r="732" spans="1:41" ht="15.75" customHeight="1" x14ac:dyDescent="0.25">
      <c r="A732" s="344"/>
      <c r="B732" s="353"/>
      <c r="C732" s="344"/>
      <c r="D732" s="344"/>
      <c r="E732" s="344"/>
      <c r="F732" s="344"/>
      <c r="G732" s="344"/>
      <c r="H732" s="344"/>
      <c r="I732" s="344"/>
      <c r="J732" s="344"/>
      <c r="K732" s="344"/>
      <c r="L732" s="344"/>
      <c r="M732" s="344"/>
      <c r="N732" s="344"/>
      <c r="O732" s="344"/>
      <c r="P732" s="344"/>
      <c r="Q732" s="344"/>
      <c r="R732" s="344"/>
      <c r="S732" s="344"/>
      <c r="T732" s="344"/>
      <c r="U732" s="344"/>
      <c r="V732" s="344"/>
      <c r="W732" s="344"/>
      <c r="X732" s="344"/>
      <c r="Y732" s="344"/>
      <c r="Z732" s="344"/>
      <c r="AA732" s="344"/>
      <c r="AB732" s="344"/>
      <c r="AC732" s="344"/>
      <c r="AD732" s="344"/>
      <c r="AE732" s="344"/>
      <c r="AF732" s="344"/>
      <c r="AG732" s="344"/>
      <c r="AH732" s="344"/>
      <c r="AI732" s="344"/>
      <c r="AJ732" s="344"/>
      <c r="AK732" s="344"/>
      <c r="AL732" s="344"/>
      <c r="AM732" s="344"/>
      <c r="AN732" s="344"/>
      <c r="AO732" s="344"/>
    </row>
    <row r="733" spans="1:41" ht="15.75" customHeight="1" x14ac:dyDescent="0.25">
      <c r="A733" s="344"/>
      <c r="B733" s="353"/>
      <c r="C733" s="344"/>
      <c r="D733" s="344"/>
      <c r="E733" s="344"/>
      <c r="F733" s="344"/>
      <c r="G733" s="344"/>
      <c r="H733" s="344"/>
      <c r="I733" s="344"/>
      <c r="J733" s="344"/>
      <c r="K733" s="344"/>
      <c r="L733" s="344"/>
      <c r="M733" s="344"/>
      <c r="N733" s="344"/>
      <c r="O733" s="344"/>
      <c r="P733" s="344"/>
      <c r="Q733" s="344"/>
      <c r="R733" s="344"/>
      <c r="S733" s="344"/>
      <c r="T733" s="344"/>
      <c r="U733" s="344"/>
      <c r="V733" s="344"/>
      <c r="W733" s="344"/>
      <c r="X733" s="344"/>
      <c r="Y733" s="344"/>
      <c r="Z733" s="344"/>
      <c r="AA733" s="344"/>
      <c r="AB733" s="344"/>
      <c r="AC733" s="344"/>
      <c r="AD733" s="344"/>
      <c r="AE733" s="344"/>
      <c r="AF733" s="344"/>
      <c r="AG733" s="344"/>
      <c r="AH733" s="344"/>
      <c r="AI733" s="344"/>
      <c r="AJ733" s="344"/>
      <c r="AK733" s="344"/>
      <c r="AL733" s="344"/>
      <c r="AM733" s="344"/>
      <c r="AN733" s="344"/>
      <c r="AO733" s="344"/>
    </row>
    <row r="734" spans="1:41" ht="15.75" customHeight="1" x14ac:dyDescent="0.25">
      <c r="A734" s="344"/>
      <c r="B734" s="353"/>
      <c r="C734" s="344"/>
      <c r="D734" s="344"/>
      <c r="E734" s="344"/>
      <c r="F734" s="344"/>
      <c r="G734" s="344"/>
      <c r="H734" s="344"/>
      <c r="I734" s="344"/>
      <c r="J734" s="344"/>
      <c r="K734" s="344"/>
      <c r="L734" s="344"/>
      <c r="M734" s="344"/>
      <c r="N734" s="344"/>
      <c r="O734" s="344"/>
      <c r="P734" s="344"/>
      <c r="Q734" s="344"/>
      <c r="R734" s="344"/>
      <c r="S734" s="344"/>
      <c r="T734" s="344"/>
      <c r="U734" s="344"/>
      <c r="V734" s="344"/>
      <c r="W734" s="344"/>
      <c r="X734" s="344"/>
      <c r="Y734" s="344"/>
      <c r="Z734" s="344"/>
      <c r="AA734" s="344"/>
      <c r="AB734" s="344"/>
      <c r="AC734" s="344"/>
      <c r="AD734" s="344"/>
      <c r="AE734" s="344"/>
      <c r="AF734" s="344"/>
      <c r="AG734" s="344"/>
      <c r="AH734" s="344"/>
      <c r="AI734" s="344"/>
      <c r="AJ734" s="344"/>
      <c r="AK734" s="344"/>
      <c r="AL734" s="344"/>
      <c r="AM734" s="344"/>
      <c r="AN734" s="344"/>
      <c r="AO734" s="344"/>
    </row>
    <row r="735" spans="1:41" ht="15.75" customHeight="1" x14ac:dyDescent="0.25">
      <c r="A735" s="344"/>
      <c r="B735" s="353"/>
      <c r="C735" s="344"/>
      <c r="D735" s="344"/>
      <c r="E735" s="344"/>
      <c r="F735" s="344"/>
      <c r="G735" s="344"/>
      <c r="H735" s="344"/>
      <c r="I735" s="344"/>
      <c r="J735" s="344"/>
      <c r="K735" s="344"/>
      <c r="L735" s="344"/>
      <c r="M735" s="344"/>
      <c r="N735" s="344"/>
      <c r="O735" s="344"/>
      <c r="P735" s="344"/>
      <c r="Q735" s="344"/>
      <c r="R735" s="344"/>
      <c r="S735" s="344"/>
      <c r="T735" s="344"/>
      <c r="U735" s="344"/>
      <c r="V735" s="344"/>
      <c r="W735" s="344"/>
      <c r="X735" s="344"/>
      <c r="Y735" s="344"/>
      <c r="Z735" s="344"/>
      <c r="AA735" s="344"/>
      <c r="AB735" s="344"/>
      <c r="AC735" s="344"/>
      <c r="AD735" s="344"/>
      <c r="AE735" s="344"/>
      <c r="AF735" s="344"/>
      <c r="AG735" s="344"/>
      <c r="AH735" s="344"/>
      <c r="AI735" s="344"/>
      <c r="AJ735" s="344"/>
      <c r="AK735" s="344"/>
      <c r="AL735" s="344"/>
      <c r="AM735" s="344"/>
      <c r="AN735" s="344"/>
      <c r="AO735" s="344"/>
    </row>
    <row r="736" spans="1:41" ht="15.75" customHeight="1" x14ac:dyDescent="0.25">
      <c r="A736" s="344"/>
      <c r="B736" s="353"/>
      <c r="C736" s="344"/>
      <c r="D736" s="344"/>
      <c r="E736" s="344"/>
      <c r="F736" s="344"/>
      <c r="G736" s="344"/>
      <c r="H736" s="344"/>
      <c r="I736" s="344"/>
      <c r="J736" s="344"/>
      <c r="K736" s="344"/>
      <c r="L736" s="344"/>
      <c r="M736" s="344"/>
      <c r="N736" s="344"/>
      <c r="O736" s="344"/>
      <c r="P736" s="344"/>
      <c r="Q736" s="344"/>
      <c r="R736" s="344"/>
      <c r="S736" s="344"/>
      <c r="T736" s="344"/>
      <c r="U736" s="344"/>
      <c r="V736" s="344"/>
      <c r="W736" s="344"/>
      <c r="X736" s="344"/>
      <c r="Y736" s="344"/>
      <c r="Z736" s="344"/>
      <c r="AA736" s="344"/>
      <c r="AB736" s="344"/>
      <c r="AC736" s="344"/>
      <c r="AD736" s="344"/>
      <c r="AE736" s="344"/>
      <c r="AF736" s="344"/>
      <c r="AG736" s="344"/>
      <c r="AH736" s="344"/>
      <c r="AI736" s="344"/>
      <c r="AJ736" s="344"/>
      <c r="AK736" s="344"/>
      <c r="AL736" s="344"/>
      <c r="AM736" s="344"/>
      <c r="AN736" s="344"/>
      <c r="AO736" s="344"/>
    </row>
    <row r="737" spans="1:41" ht="15.75" customHeight="1" x14ac:dyDescent="0.25">
      <c r="A737" s="344"/>
      <c r="B737" s="353"/>
      <c r="C737" s="344"/>
      <c r="D737" s="344"/>
      <c r="E737" s="344"/>
      <c r="F737" s="344"/>
      <c r="G737" s="344"/>
      <c r="H737" s="344"/>
      <c r="I737" s="344"/>
      <c r="J737" s="344"/>
      <c r="K737" s="344"/>
      <c r="L737" s="344"/>
      <c r="M737" s="344"/>
      <c r="N737" s="344"/>
      <c r="O737" s="344"/>
      <c r="P737" s="344"/>
      <c r="Q737" s="344"/>
      <c r="R737" s="344"/>
      <c r="S737" s="344"/>
      <c r="T737" s="344"/>
      <c r="U737" s="344"/>
      <c r="V737" s="344"/>
      <c r="W737" s="344"/>
      <c r="X737" s="344"/>
      <c r="Y737" s="344"/>
      <c r="Z737" s="344"/>
      <c r="AA737" s="344"/>
      <c r="AB737" s="344"/>
      <c r="AC737" s="344"/>
      <c r="AD737" s="344"/>
      <c r="AE737" s="344"/>
      <c r="AF737" s="344"/>
      <c r="AG737" s="344"/>
      <c r="AH737" s="344"/>
      <c r="AI737" s="344"/>
      <c r="AJ737" s="344"/>
      <c r="AK737" s="344"/>
      <c r="AL737" s="344"/>
      <c r="AM737" s="344"/>
      <c r="AN737" s="344"/>
      <c r="AO737" s="344"/>
    </row>
    <row r="738" spans="1:41" ht="15.75" customHeight="1" x14ac:dyDescent="0.25">
      <c r="A738" s="344"/>
      <c r="B738" s="353"/>
      <c r="C738" s="344"/>
      <c r="D738" s="344"/>
      <c r="E738" s="344"/>
      <c r="F738" s="344"/>
      <c r="G738" s="344"/>
      <c r="H738" s="344"/>
      <c r="I738" s="344"/>
      <c r="J738" s="344"/>
      <c r="K738" s="344"/>
      <c r="L738" s="344"/>
      <c r="M738" s="344"/>
      <c r="N738" s="344"/>
      <c r="O738" s="344"/>
      <c r="P738" s="344"/>
      <c r="Q738" s="344"/>
      <c r="R738" s="344"/>
      <c r="S738" s="344"/>
      <c r="T738" s="344"/>
      <c r="U738" s="344"/>
      <c r="V738" s="344"/>
      <c r="W738" s="344"/>
      <c r="X738" s="344"/>
      <c r="Y738" s="344"/>
      <c r="Z738" s="344"/>
      <c r="AA738" s="344"/>
      <c r="AB738" s="344"/>
      <c r="AC738" s="344"/>
      <c r="AD738" s="344"/>
      <c r="AE738" s="344"/>
      <c r="AF738" s="344"/>
      <c r="AG738" s="344"/>
      <c r="AH738" s="344"/>
      <c r="AI738" s="344"/>
      <c r="AJ738" s="344"/>
      <c r="AK738" s="344"/>
      <c r="AL738" s="344"/>
      <c r="AM738" s="344"/>
      <c r="AN738" s="344"/>
      <c r="AO738" s="344"/>
    </row>
    <row r="739" spans="1:41" ht="15.75" customHeight="1" x14ac:dyDescent="0.25">
      <c r="A739" s="344"/>
      <c r="B739" s="353"/>
      <c r="C739" s="344"/>
      <c r="D739" s="344"/>
      <c r="E739" s="344"/>
      <c r="F739" s="344"/>
      <c r="G739" s="344"/>
      <c r="H739" s="344"/>
      <c r="I739" s="344"/>
      <c r="J739" s="344"/>
      <c r="K739" s="344"/>
      <c r="L739" s="344"/>
      <c r="M739" s="344"/>
      <c r="N739" s="344"/>
      <c r="O739" s="344"/>
      <c r="P739" s="344"/>
      <c r="Q739" s="344"/>
      <c r="R739" s="344"/>
      <c r="S739" s="344"/>
      <c r="T739" s="344"/>
      <c r="U739" s="344"/>
      <c r="V739" s="344"/>
      <c r="W739" s="344"/>
      <c r="X739" s="344"/>
      <c r="Y739" s="344"/>
      <c r="Z739" s="344"/>
      <c r="AA739" s="344"/>
      <c r="AB739" s="344"/>
      <c r="AC739" s="344"/>
      <c r="AD739" s="344"/>
      <c r="AE739" s="344"/>
      <c r="AF739" s="344"/>
      <c r="AG739" s="344"/>
      <c r="AH739" s="344"/>
      <c r="AI739" s="344"/>
      <c r="AJ739" s="344"/>
      <c r="AK739" s="344"/>
      <c r="AL739" s="344"/>
      <c r="AM739" s="344"/>
      <c r="AN739" s="344"/>
      <c r="AO739" s="344"/>
    </row>
    <row r="740" spans="1:41" ht="15.75" customHeight="1" x14ac:dyDescent="0.25">
      <c r="A740" s="344"/>
      <c r="B740" s="353"/>
      <c r="C740" s="344"/>
      <c r="D740" s="344"/>
      <c r="E740" s="344"/>
      <c r="F740" s="344"/>
      <c r="G740" s="344"/>
      <c r="H740" s="344"/>
      <c r="I740" s="344"/>
      <c r="J740" s="344"/>
      <c r="K740" s="344"/>
      <c r="L740" s="344"/>
      <c r="M740" s="344"/>
      <c r="N740" s="344"/>
      <c r="O740" s="344"/>
      <c r="P740" s="344"/>
      <c r="Q740" s="344"/>
      <c r="R740" s="344"/>
      <c r="S740" s="344"/>
      <c r="T740" s="344"/>
      <c r="U740" s="344"/>
      <c r="V740" s="344"/>
      <c r="W740" s="344"/>
      <c r="X740" s="344"/>
      <c r="Y740" s="344"/>
      <c r="Z740" s="344"/>
      <c r="AA740" s="344"/>
      <c r="AB740" s="344"/>
      <c r="AC740" s="344"/>
      <c r="AD740" s="344"/>
      <c r="AE740" s="344"/>
      <c r="AF740" s="344"/>
      <c r="AG740" s="344"/>
      <c r="AH740" s="344"/>
      <c r="AI740" s="344"/>
      <c r="AJ740" s="344"/>
      <c r="AK740" s="344"/>
      <c r="AL740" s="344"/>
      <c r="AM740" s="344"/>
      <c r="AN740" s="344"/>
      <c r="AO740" s="344"/>
    </row>
    <row r="741" spans="1:41" ht="15.75" customHeight="1" x14ac:dyDescent="0.25">
      <c r="A741" s="344"/>
      <c r="B741" s="353"/>
      <c r="C741" s="344"/>
      <c r="D741" s="344"/>
      <c r="E741" s="344"/>
      <c r="F741" s="344"/>
      <c r="G741" s="344"/>
      <c r="H741" s="344"/>
      <c r="I741" s="344"/>
      <c r="J741" s="344"/>
      <c r="K741" s="344"/>
      <c r="L741" s="344"/>
      <c r="M741" s="344"/>
      <c r="N741" s="344"/>
      <c r="O741" s="344"/>
      <c r="P741" s="344"/>
      <c r="Q741" s="344"/>
      <c r="R741" s="344"/>
      <c r="S741" s="344"/>
      <c r="T741" s="344"/>
      <c r="U741" s="344"/>
      <c r="V741" s="344"/>
      <c r="W741" s="344"/>
      <c r="X741" s="344"/>
      <c r="Y741" s="344"/>
      <c r="Z741" s="344"/>
      <c r="AA741" s="344"/>
      <c r="AB741" s="344"/>
      <c r="AC741" s="344"/>
      <c r="AD741" s="344"/>
      <c r="AE741" s="344"/>
      <c r="AF741" s="344"/>
      <c r="AG741" s="344"/>
      <c r="AH741" s="344"/>
      <c r="AI741" s="344"/>
      <c r="AJ741" s="344"/>
      <c r="AK741" s="344"/>
      <c r="AL741" s="344"/>
      <c r="AM741" s="344"/>
      <c r="AN741" s="344"/>
      <c r="AO741" s="344"/>
    </row>
    <row r="742" spans="1:41" ht="15.75" customHeight="1" x14ac:dyDescent="0.25">
      <c r="A742" s="344"/>
      <c r="B742" s="353"/>
      <c r="C742" s="344"/>
      <c r="D742" s="344"/>
      <c r="E742" s="344"/>
      <c r="F742" s="344"/>
      <c r="G742" s="344"/>
      <c r="H742" s="344"/>
      <c r="I742" s="344"/>
      <c r="J742" s="344"/>
      <c r="K742" s="344"/>
      <c r="L742" s="344"/>
      <c r="M742" s="344"/>
      <c r="N742" s="344"/>
      <c r="O742" s="344"/>
      <c r="P742" s="344"/>
      <c r="Q742" s="344"/>
      <c r="R742" s="344"/>
      <c r="S742" s="344"/>
      <c r="T742" s="344"/>
      <c r="U742" s="344"/>
      <c r="V742" s="344"/>
      <c r="W742" s="344"/>
      <c r="X742" s="344"/>
      <c r="Y742" s="344"/>
      <c r="Z742" s="344"/>
      <c r="AA742" s="344"/>
      <c r="AB742" s="344"/>
      <c r="AC742" s="344"/>
      <c r="AD742" s="344"/>
      <c r="AE742" s="344"/>
      <c r="AF742" s="344"/>
      <c r="AG742" s="344"/>
      <c r="AH742" s="344"/>
      <c r="AI742" s="344"/>
      <c r="AJ742" s="344"/>
      <c r="AK742" s="344"/>
      <c r="AL742" s="344"/>
      <c r="AM742" s="344"/>
      <c r="AN742" s="344"/>
      <c r="AO742" s="344"/>
    </row>
    <row r="743" spans="1:41" ht="15.75" customHeight="1" x14ac:dyDescent="0.25">
      <c r="A743" s="344"/>
      <c r="B743" s="353"/>
      <c r="C743" s="344"/>
      <c r="D743" s="344"/>
      <c r="E743" s="344"/>
      <c r="F743" s="344"/>
      <c r="G743" s="344"/>
      <c r="H743" s="344"/>
      <c r="I743" s="344"/>
      <c r="J743" s="344"/>
      <c r="K743" s="344"/>
      <c r="L743" s="344"/>
      <c r="M743" s="344"/>
      <c r="N743" s="344"/>
      <c r="O743" s="344"/>
      <c r="P743" s="344"/>
      <c r="Q743" s="344"/>
      <c r="R743" s="344"/>
      <c r="S743" s="344"/>
      <c r="T743" s="344"/>
      <c r="U743" s="344"/>
      <c r="V743" s="344"/>
      <c r="W743" s="344"/>
      <c r="X743" s="344"/>
      <c r="Y743" s="344"/>
      <c r="Z743" s="344"/>
      <c r="AA743" s="344"/>
      <c r="AB743" s="344"/>
      <c r="AC743" s="344"/>
      <c r="AD743" s="344"/>
      <c r="AE743" s="344"/>
      <c r="AF743" s="344"/>
      <c r="AG743" s="344"/>
      <c r="AH743" s="344"/>
      <c r="AI743" s="344"/>
      <c r="AJ743" s="344"/>
      <c r="AK743" s="344"/>
      <c r="AL743" s="344"/>
      <c r="AM743" s="344"/>
      <c r="AN743" s="344"/>
      <c r="AO743" s="344"/>
    </row>
    <row r="744" spans="1:41" ht="15.75" customHeight="1" x14ac:dyDescent="0.25">
      <c r="A744" s="344"/>
      <c r="B744" s="353"/>
      <c r="C744" s="344"/>
      <c r="D744" s="344"/>
      <c r="E744" s="344"/>
      <c r="F744" s="344"/>
      <c r="G744" s="344"/>
      <c r="H744" s="344"/>
      <c r="I744" s="344"/>
      <c r="J744" s="344"/>
      <c r="K744" s="344"/>
      <c r="L744" s="344"/>
      <c r="M744" s="344"/>
      <c r="N744" s="344"/>
      <c r="O744" s="344"/>
      <c r="P744" s="344"/>
      <c r="Q744" s="344"/>
      <c r="R744" s="344"/>
      <c r="S744" s="344"/>
      <c r="T744" s="344"/>
      <c r="U744" s="344"/>
      <c r="V744" s="344"/>
      <c r="W744" s="344"/>
      <c r="X744" s="344"/>
      <c r="Y744" s="344"/>
      <c r="Z744" s="344"/>
      <c r="AA744" s="344"/>
      <c r="AB744" s="344"/>
      <c r="AC744" s="344"/>
      <c r="AD744" s="344"/>
      <c r="AE744" s="344"/>
      <c r="AF744" s="344"/>
      <c r="AG744" s="344"/>
      <c r="AH744" s="344"/>
      <c r="AI744" s="344"/>
      <c r="AJ744" s="344"/>
      <c r="AK744" s="344"/>
      <c r="AL744" s="344"/>
      <c r="AM744" s="344"/>
      <c r="AN744" s="344"/>
      <c r="AO744" s="344"/>
    </row>
    <row r="745" spans="1:41" ht="15.75" customHeight="1" x14ac:dyDescent="0.25">
      <c r="A745" s="344"/>
      <c r="B745" s="353"/>
      <c r="C745" s="344"/>
      <c r="D745" s="344"/>
      <c r="E745" s="344"/>
      <c r="F745" s="344"/>
      <c r="G745" s="344"/>
      <c r="H745" s="344"/>
      <c r="I745" s="344"/>
      <c r="J745" s="344"/>
      <c r="K745" s="344"/>
      <c r="L745" s="344"/>
      <c r="M745" s="344"/>
      <c r="N745" s="344"/>
      <c r="O745" s="344"/>
      <c r="P745" s="344"/>
      <c r="Q745" s="344"/>
      <c r="R745" s="344"/>
      <c r="S745" s="344"/>
      <c r="T745" s="344"/>
      <c r="U745" s="344"/>
      <c r="V745" s="344"/>
      <c r="W745" s="344"/>
      <c r="X745" s="344"/>
      <c r="Y745" s="344"/>
      <c r="Z745" s="344"/>
      <c r="AA745" s="344"/>
      <c r="AB745" s="344"/>
      <c r="AC745" s="344"/>
      <c r="AD745" s="344"/>
      <c r="AE745" s="344"/>
      <c r="AF745" s="344"/>
      <c r="AG745" s="344"/>
      <c r="AH745" s="344"/>
      <c r="AI745" s="344"/>
      <c r="AJ745" s="344"/>
      <c r="AK745" s="344"/>
      <c r="AL745" s="344"/>
      <c r="AM745" s="344"/>
      <c r="AN745" s="344"/>
      <c r="AO745" s="344"/>
    </row>
    <row r="746" spans="1:41" ht="15.75" customHeight="1" x14ac:dyDescent="0.25">
      <c r="A746" s="344"/>
      <c r="B746" s="353"/>
      <c r="C746" s="344"/>
      <c r="D746" s="344"/>
      <c r="E746" s="344"/>
      <c r="F746" s="344"/>
      <c r="G746" s="344"/>
      <c r="H746" s="344"/>
      <c r="I746" s="344"/>
      <c r="J746" s="344"/>
      <c r="K746" s="344"/>
      <c r="L746" s="344"/>
      <c r="M746" s="344"/>
      <c r="N746" s="344"/>
      <c r="O746" s="344"/>
      <c r="P746" s="344"/>
      <c r="Q746" s="344"/>
      <c r="R746" s="344"/>
      <c r="S746" s="344"/>
      <c r="T746" s="344"/>
      <c r="U746" s="344"/>
      <c r="V746" s="344"/>
      <c r="W746" s="344"/>
      <c r="X746" s="344"/>
      <c r="Y746" s="344"/>
      <c r="Z746" s="344"/>
      <c r="AA746" s="344"/>
      <c r="AB746" s="344"/>
      <c r="AC746" s="344"/>
      <c r="AD746" s="344"/>
      <c r="AE746" s="344"/>
      <c r="AF746" s="344"/>
      <c r="AG746" s="344"/>
      <c r="AH746" s="344"/>
      <c r="AI746" s="344"/>
      <c r="AJ746" s="344"/>
      <c r="AK746" s="344"/>
      <c r="AL746" s="344"/>
      <c r="AM746" s="344"/>
      <c r="AN746" s="344"/>
      <c r="AO746" s="344"/>
    </row>
    <row r="747" spans="1:41" ht="15.75" customHeight="1" x14ac:dyDescent="0.25">
      <c r="A747" s="344"/>
      <c r="B747" s="353"/>
      <c r="C747" s="344"/>
      <c r="D747" s="344"/>
      <c r="E747" s="344"/>
      <c r="F747" s="344"/>
      <c r="G747" s="344"/>
      <c r="H747" s="344"/>
      <c r="I747" s="344"/>
      <c r="J747" s="344"/>
      <c r="K747" s="344"/>
      <c r="L747" s="344"/>
      <c r="M747" s="344"/>
      <c r="N747" s="344"/>
      <c r="O747" s="344"/>
      <c r="P747" s="344"/>
      <c r="Q747" s="344"/>
      <c r="R747" s="344"/>
      <c r="S747" s="344"/>
      <c r="T747" s="344"/>
      <c r="U747" s="344"/>
      <c r="V747" s="344"/>
      <c r="W747" s="344"/>
      <c r="X747" s="344"/>
      <c r="Y747" s="344"/>
      <c r="Z747" s="344"/>
      <c r="AA747" s="344"/>
      <c r="AB747" s="344"/>
      <c r="AC747" s="344"/>
      <c r="AD747" s="344"/>
      <c r="AE747" s="344"/>
      <c r="AF747" s="344"/>
      <c r="AG747" s="344"/>
      <c r="AH747" s="344"/>
      <c r="AI747" s="344"/>
      <c r="AJ747" s="344"/>
      <c r="AK747" s="344"/>
      <c r="AL747" s="344"/>
      <c r="AM747" s="344"/>
      <c r="AN747" s="344"/>
      <c r="AO747" s="344"/>
    </row>
    <row r="748" spans="1:41" ht="15.75" customHeight="1" x14ac:dyDescent="0.25">
      <c r="A748" s="344"/>
      <c r="B748" s="353"/>
      <c r="C748" s="344"/>
      <c r="D748" s="344"/>
      <c r="E748" s="344"/>
      <c r="F748" s="344"/>
      <c r="G748" s="344"/>
      <c r="H748" s="344"/>
      <c r="I748" s="344"/>
      <c r="J748" s="344"/>
      <c r="K748" s="344"/>
      <c r="L748" s="344"/>
      <c r="M748" s="344"/>
      <c r="N748" s="344"/>
      <c r="O748" s="344"/>
      <c r="P748" s="344"/>
      <c r="Q748" s="344"/>
      <c r="R748" s="344"/>
      <c r="S748" s="344"/>
      <c r="T748" s="344"/>
      <c r="U748" s="344"/>
      <c r="V748" s="344"/>
      <c r="W748" s="344"/>
      <c r="X748" s="344"/>
      <c r="Y748" s="344"/>
      <c r="Z748" s="344"/>
      <c r="AA748" s="344"/>
      <c r="AB748" s="344"/>
      <c r="AC748" s="344"/>
      <c r="AD748" s="344"/>
      <c r="AE748" s="344"/>
      <c r="AF748" s="344"/>
      <c r="AG748" s="344"/>
      <c r="AH748" s="344"/>
      <c r="AI748" s="344"/>
      <c r="AJ748" s="344"/>
      <c r="AK748" s="344"/>
      <c r="AL748" s="344"/>
      <c r="AM748" s="344"/>
      <c r="AN748" s="344"/>
      <c r="AO748" s="344"/>
    </row>
    <row r="749" spans="1:41" ht="15.75" customHeight="1" x14ac:dyDescent="0.25">
      <c r="A749" s="344"/>
      <c r="B749" s="353"/>
      <c r="C749" s="344"/>
      <c r="D749" s="344"/>
      <c r="E749" s="344"/>
      <c r="F749" s="344"/>
      <c r="G749" s="344"/>
      <c r="H749" s="344"/>
      <c r="I749" s="344"/>
      <c r="J749" s="344"/>
      <c r="K749" s="344"/>
      <c r="L749" s="344"/>
      <c r="M749" s="344"/>
      <c r="N749" s="344"/>
      <c r="O749" s="344"/>
      <c r="P749" s="344"/>
      <c r="Q749" s="344"/>
      <c r="R749" s="344"/>
      <c r="S749" s="344"/>
      <c r="T749" s="344"/>
      <c r="U749" s="344"/>
      <c r="V749" s="344"/>
      <c r="W749" s="344"/>
      <c r="X749" s="344"/>
      <c r="Y749" s="344"/>
      <c r="Z749" s="344"/>
      <c r="AA749" s="344"/>
      <c r="AB749" s="344"/>
      <c r="AC749" s="344"/>
      <c r="AD749" s="344"/>
      <c r="AE749" s="344"/>
      <c r="AF749" s="344"/>
      <c r="AG749" s="344"/>
      <c r="AH749" s="344"/>
      <c r="AI749" s="344"/>
      <c r="AJ749" s="344"/>
      <c r="AK749" s="344"/>
      <c r="AL749" s="344"/>
      <c r="AM749" s="344"/>
      <c r="AN749" s="344"/>
      <c r="AO749" s="344"/>
    </row>
    <row r="750" spans="1:41" ht="15.75" customHeight="1" x14ac:dyDescent="0.25">
      <c r="A750" s="344"/>
      <c r="B750" s="353"/>
      <c r="C750" s="344"/>
      <c r="D750" s="344"/>
      <c r="E750" s="344"/>
      <c r="F750" s="344"/>
      <c r="G750" s="344"/>
      <c r="H750" s="344"/>
      <c r="I750" s="344"/>
      <c r="J750" s="344"/>
      <c r="K750" s="344"/>
      <c r="L750" s="344"/>
      <c r="M750" s="344"/>
      <c r="N750" s="344"/>
      <c r="O750" s="344"/>
      <c r="P750" s="344"/>
      <c r="Q750" s="344"/>
      <c r="R750" s="344"/>
      <c r="S750" s="344"/>
      <c r="T750" s="344"/>
      <c r="U750" s="344"/>
      <c r="V750" s="344"/>
      <c r="W750" s="344"/>
      <c r="X750" s="344"/>
      <c r="Y750" s="344"/>
      <c r="Z750" s="344"/>
      <c r="AA750" s="344"/>
      <c r="AB750" s="344"/>
      <c r="AC750" s="344"/>
      <c r="AD750" s="344"/>
      <c r="AE750" s="344"/>
      <c r="AF750" s="344"/>
      <c r="AG750" s="344"/>
      <c r="AH750" s="344"/>
      <c r="AI750" s="344"/>
      <c r="AJ750" s="344"/>
      <c r="AK750" s="344"/>
      <c r="AL750" s="344"/>
      <c r="AM750" s="344"/>
      <c r="AN750" s="344"/>
      <c r="AO750" s="344"/>
    </row>
    <row r="751" spans="1:41" ht="15.75" customHeight="1" x14ac:dyDescent="0.25">
      <c r="A751" s="344"/>
      <c r="B751" s="353"/>
      <c r="C751" s="344"/>
      <c r="D751" s="344"/>
      <c r="E751" s="344"/>
      <c r="F751" s="344"/>
      <c r="G751" s="344"/>
      <c r="H751" s="344"/>
      <c r="I751" s="344"/>
      <c r="J751" s="344"/>
      <c r="K751" s="344"/>
      <c r="L751" s="344"/>
      <c r="M751" s="344"/>
      <c r="N751" s="344"/>
      <c r="O751" s="344"/>
      <c r="P751" s="344"/>
      <c r="Q751" s="344"/>
      <c r="R751" s="344"/>
      <c r="S751" s="344"/>
      <c r="T751" s="344"/>
      <c r="U751" s="344"/>
      <c r="V751" s="344"/>
      <c r="W751" s="344"/>
      <c r="X751" s="344"/>
      <c r="Y751" s="344"/>
      <c r="Z751" s="344"/>
      <c r="AA751" s="344"/>
      <c r="AB751" s="344"/>
      <c r="AC751" s="344"/>
      <c r="AD751" s="344"/>
      <c r="AE751" s="344"/>
      <c r="AF751" s="344"/>
      <c r="AG751" s="344"/>
      <c r="AH751" s="344"/>
      <c r="AI751" s="344"/>
      <c r="AJ751" s="344"/>
      <c r="AK751" s="344"/>
      <c r="AL751" s="344"/>
      <c r="AM751" s="344"/>
      <c r="AN751" s="344"/>
      <c r="AO751" s="344"/>
    </row>
    <row r="752" spans="1:41" ht="15.75" customHeight="1" x14ac:dyDescent="0.25">
      <c r="A752" s="344"/>
      <c r="B752" s="353"/>
      <c r="C752" s="344"/>
      <c r="D752" s="344"/>
      <c r="E752" s="344"/>
      <c r="F752" s="344"/>
      <c r="G752" s="344"/>
      <c r="H752" s="344"/>
      <c r="I752" s="344"/>
      <c r="J752" s="344"/>
      <c r="K752" s="344"/>
      <c r="L752" s="344"/>
      <c r="M752" s="344"/>
      <c r="N752" s="344"/>
      <c r="O752" s="344"/>
      <c r="P752" s="344"/>
      <c r="Q752" s="344"/>
      <c r="R752" s="344"/>
      <c r="S752" s="344"/>
      <c r="T752" s="344"/>
      <c r="U752" s="344"/>
      <c r="V752" s="344"/>
      <c r="W752" s="344"/>
      <c r="X752" s="344"/>
      <c r="Y752" s="344"/>
      <c r="Z752" s="344"/>
      <c r="AA752" s="344"/>
      <c r="AB752" s="344"/>
      <c r="AC752" s="344"/>
      <c r="AD752" s="344"/>
      <c r="AE752" s="344"/>
      <c r="AF752" s="344"/>
      <c r="AG752" s="344"/>
      <c r="AH752" s="344"/>
      <c r="AI752" s="344"/>
      <c r="AJ752" s="344"/>
      <c r="AK752" s="344"/>
      <c r="AL752" s="344"/>
      <c r="AM752" s="344"/>
      <c r="AN752" s="344"/>
      <c r="AO752" s="344"/>
    </row>
    <row r="753" spans="1:41" ht="15.75" customHeight="1" x14ac:dyDescent="0.25">
      <c r="A753" s="344"/>
      <c r="B753" s="353"/>
      <c r="C753" s="344"/>
      <c r="D753" s="344"/>
      <c r="E753" s="344"/>
      <c r="F753" s="344"/>
      <c r="G753" s="344"/>
      <c r="H753" s="344"/>
      <c r="I753" s="344"/>
      <c r="J753" s="344"/>
      <c r="K753" s="344"/>
      <c r="L753" s="344"/>
      <c r="M753" s="344"/>
      <c r="N753" s="344"/>
      <c r="O753" s="344"/>
      <c r="P753" s="344"/>
      <c r="Q753" s="344"/>
      <c r="R753" s="344"/>
      <c r="S753" s="344"/>
      <c r="T753" s="344"/>
      <c r="U753" s="344"/>
      <c r="V753" s="344"/>
      <c r="W753" s="344"/>
      <c r="X753" s="344"/>
      <c r="Y753" s="344"/>
      <c r="Z753" s="344"/>
      <c r="AA753" s="344"/>
      <c r="AB753" s="344"/>
      <c r="AC753" s="344"/>
      <c r="AD753" s="344"/>
      <c r="AE753" s="344"/>
      <c r="AF753" s="344"/>
      <c r="AG753" s="344"/>
      <c r="AH753" s="344"/>
      <c r="AI753" s="344"/>
      <c r="AJ753" s="344"/>
      <c r="AK753" s="344"/>
      <c r="AL753" s="344"/>
      <c r="AM753" s="344"/>
      <c r="AN753" s="344"/>
      <c r="AO753" s="344"/>
    </row>
    <row r="754" spans="1:41" ht="15.75" customHeight="1" x14ac:dyDescent="0.25">
      <c r="A754" s="344"/>
      <c r="B754" s="353"/>
      <c r="C754" s="344"/>
      <c r="D754" s="344"/>
      <c r="E754" s="344"/>
      <c r="F754" s="344"/>
      <c r="G754" s="344"/>
      <c r="H754" s="344"/>
      <c r="I754" s="344"/>
      <c r="J754" s="344"/>
      <c r="K754" s="344"/>
      <c r="L754" s="344"/>
      <c r="M754" s="344"/>
      <c r="N754" s="344"/>
      <c r="O754" s="344"/>
      <c r="P754" s="344"/>
      <c r="Q754" s="344"/>
      <c r="R754" s="344"/>
      <c r="S754" s="344"/>
      <c r="T754" s="344"/>
      <c r="U754" s="344"/>
      <c r="V754" s="344"/>
      <c r="W754" s="344"/>
      <c r="X754" s="344"/>
      <c r="Y754" s="344"/>
      <c r="Z754" s="344"/>
      <c r="AA754" s="344"/>
      <c r="AB754" s="344"/>
      <c r="AC754" s="344"/>
      <c r="AD754" s="344"/>
      <c r="AE754" s="344"/>
      <c r="AF754" s="344"/>
      <c r="AG754" s="344"/>
      <c r="AH754" s="344"/>
      <c r="AI754" s="344"/>
      <c r="AJ754" s="344"/>
      <c r="AK754" s="344"/>
      <c r="AL754" s="344"/>
      <c r="AM754" s="344"/>
      <c r="AN754" s="344"/>
      <c r="AO754" s="344"/>
    </row>
    <row r="755" spans="1:41" ht="15.75" customHeight="1" x14ac:dyDescent="0.25">
      <c r="A755" s="344"/>
      <c r="B755" s="353"/>
      <c r="C755" s="344"/>
      <c r="D755" s="344"/>
      <c r="E755" s="344"/>
      <c r="F755" s="344"/>
      <c r="G755" s="344"/>
      <c r="H755" s="344"/>
      <c r="I755" s="344"/>
      <c r="J755" s="344"/>
      <c r="K755" s="344"/>
      <c r="L755" s="344"/>
      <c r="M755" s="344"/>
      <c r="N755" s="344"/>
      <c r="O755" s="344"/>
      <c r="P755" s="344"/>
      <c r="Q755" s="344"/>
      <c r="R755" s="344"/>
      <c r="S755" s="344"/>
      <c r="T755" s="344"/>
      <c r="U755" s="344"/>
      <c r="V755" s="344"/>
      <c r="W755" s="344"/>
      <c r="X755" s="344"/>
      <c r="Y755" s="344"/>
      <c r="Z755" s="344"/>
      <c r="AA755" s="344"/>
      <c r="AB755" s="344"/>
      <c r="AC755" s="344"/>
      <c r="AD755" s="344"/>
      <c r="AE755" s="344"/>
      <c r="AF755" s="344"/>
      <c r="AG755" s="344"/>
      <c r="AH755" s="344"/>
      <c r="AI755" s="344"/>
      <c r="AJ755" s="344"/>
      <c r="AK755" s="344"/>
      <c r="AL755" s="344"/>
      <c r="AM755" s="344"/>
      <c r="AN755" s="344"/>
      <c r="AO755" s="344"/>
    </row>
    <row r="756" spans="1:41" ht="15.75" customHeight="1" x14ac:dyDescent="0.25">
      <c r="A756" s="344"/>
      <c r="B756" s="353"/>
      <c r="C756" s="344"/>
      <c r="D756" s="344"/>
      <c r="E756" s="344"/>
      <c r="F756" s="344"/>
      <c r="G756" s="344"/>
      <c r="H756" s="344"/>
      <c r="I756" s="344"/>
      <c r="J756" s="344"/>
      <c r="K756" s="344"/>
      <c r="L756" s="344"/>
      <c r="M756" s="344"/>
      <c r="N756" s="344"/>
      <c r="O756" s="344"/>
      <c r="P756" s="344"/>
      <c r="Q756" s="344"/>
      <c r="R756" s="344"/>
      <c r="S756" s="344"/>
      <c r="T756" s="344"/>
      <c r="U756" s="344"/>
      <c r="V756" s="344"/>
      <c r="W756" s="344"/>
      <c r="X756" s="344"/>
      <c r="Y756" s="344"/>
      <c r="Z756" s="344"/>
      <c r="AA756" s="344"/>
      <c r="AB756" s="344"/>
      <c r="AC756" s="344"/>
      <c r="AD756" s="344"/>
      <c r="AE756" s="344"/>
      <c r="AF756" s="344"/>
      <c r="AG756" s="344"/>
      <c r="AH756" s="344"/>
      <c r="AI756" s="344"/>
      <c r="AJ756" s="344"/>
      <c r="AK756" s="344"/>
      <c r="AL756" s="344"/>
      <c r="AM756" s="344"/>
      <c r="AN756" s="344"/>
      <c r="AO756" s="344"/>
    </row>
    <row r="757" spans="1:41" ht="15.75" customHeight="1" x14ac:dyDescent="0.25">
      <c r="A757" s="344"/>
      <c r="B757" s="353"/>
      <c r="C757" s="344"/>
      <c r="D757" s="344"/>
      <c r="E757" s="344"/>
      <c r="F757" s="344"/>
      <c r="G757" s="344"/>
      <c r="H757" s="344"/>
      <c r="I757" s="344"/>
      <c r="J757" s="344"/>
      <c r="K757" s="344"/>
      <c r="L757" s="344"/>
      <c r="M757" s="344"/>
      <c r="N757" s="344"/>
      <c r="O757" s="344"/>
      <c r="P757" s="344"/>
      <c r="Q757" s="344"/>
      <c r="R757" s="344"/>
      <c r="S757" s="344"/>
      <c r="T757" s="344"/>
      <c r="U757" s="344"/>
      <c r="V757" s="344"/>
      <c r="W757" s="344"/>
      <c r="X757" s="344"/>
      <c r="Y757" s="344"/>
      <c r="Z757" s="344"/>
      <c r="AA757" s="344"/>
      <c r="AB757" s="344"/>
      <c r="AC757" s="344"/>
      <c r="AD757" s="344"/>
      <c r="AE757" s="344"/>
      <c r="AF757" s="344"/>
      <c r="AG757" s="344"/>
      <c r="AH757" s="344"/>
      <c r="AI757" s="344"/>
      <c r="AJ757" s="344"/>
      <c r="AK757" s="344"/>
      <c r="AL757" s="344"/>
      <c r="AM757" s="344"/>
      <c r="AN757" s="344"/>
      <c r="AO757" s="344"/>
    </row>
    <row r="758" spans="1:41" ht="15.75" customHeight="1" x14ac:dyDescent="0.25">
      <c r="A758" s="344"/>
      <c r="B758" s="353"/>
      <c r="C758" s="344"/>
      <c r="D758" s="344"/>
      <c r="E758" s="344"/>
      <c r="F758" s="344"/>
      <c r="G758" s="344"/>
      <c r="H758" s="344"/>
      <c r="I758" s="344"/>
      <c r="J758" s="344"/>
      <c r="K758" s="344"/>
      <c r="L758" s="344"/>
      <c r="M758" s="344"/>
      <c r="N758" s="344"/>
      <c r="O758" s="344"/>
      <c r="P758" s="344"/>
      <c r="Q758" s="344"/>
      <c r="R758" s="344"/>
      <c r="S758" s="344"/>
      <c r="T758" s="344"/>
      <c r="U758" s="344"/>
      <c r="V758" s="344"/>
      <c r="W758" s="344"/>
      <c r="X758" s="344"/>
      <c r="Y758" s="344"/>
      <c r="Z758" s="344"/>
      <c r="AA758" s="344"/>
      <c r="AB758" s="344"/>
      <c r="AC758" s="344"/>
      <c r="AD758" s="344"/>
      <c r="AE758" s="344"/>
      <c r="AF758" s="344"/>
      <c r="AG758" s="344"/>
      <c r="AH758" s="344"/>
      <c r="AI758" s="344"/>
      <c r="AJ758" s="344"/>
      <c r="AK758" s="344"/>
      <c r="AL758" s="344"/>
      <c r="AM758" s="344"/>
      <c r="AN758" s="344"/>
      <c r="AO758" s="344"/>
    </row>
    <row r="759" spans="1:41" ht="15.75" customHeight="1" x14ac:dyDescent="0.25">
      <c r="A759" s="344"/>
      <c r="B759" s="353"/>
      <c r="C759" s="344"/>
      <c r="D759" s="344"/>
      <c r="E759" s="344"/>
      <c r="F759" s="344"/>
      <c r="G759" s="344"/>
      <c r="H759" s="344"/>
      <c r="I759" s="344"/>
      <c r="J759" s="344"/>
      <c r="K759" s="344"/>
      <c r="L759" s="344"/>
      <c r="M759" s="344"/>
      <c r="N759" s="344"/>
      <c r="O759" s="344"/>
      <c r="P759" s="344"/>
      <c r="Q759" s="344"/>
      <c r="R759" s="344"/>
      <c r="S759" s="344"/>
      <c r="T759" s="344"/>
      <c r="U759" s="344"/>
      <c r="V759" s="344"/>
      <c r="W759" s="344"/>
      <c r="X759" s="344"/>
      <c r="Y759" s="344"/>
      <c r="Z759" s="344"/>
      <c r="AA759" s="344"/>
      <c r="AB759" s="344"/>
      <c r="AC759" s="344"/>
      <c r="AD759" s="344"/>
      <c r="AE759" s="344"/>
      <c r="AF759" s="344"/>
      <c r="AG759" s="344"/>
      <c r="AH759" s="344"/>
      <c r="AI759" s="344"/>
      <c r="AJ759" s="344"/>
      <c r="AK759" s="344"/>
      <c r="AL759" s="344"/>
      <c r="AM759" s="344"/>
      <c r="AN759" s="344"/>
      <c r="AO759" s="344"/>
    </row>
    <row r="760" spans="1:41" ht="15.75" customHeight="1" x14ac:dyDescent="0.25">
      <c r="A760" s="344"/>
      <c r="B760" s="353"/>
      <c r="C760" s="344"/>
      <c r="D760" s="344"/>
      <c r="E760" s="344"/>
      <c r="F760" s="344"/>
      <c r="G760" s="344"/>
      <c r="H760" s="344"/>
      <c r="I760" s="344"/>
      <c r="J760" s="344"/>
      <c r="K760" s="344"/>
      <c r="L760" s="344"/>
      <c r="M760" s="344"/>
      <c r="N760" s="344"/>
      <c r="O760" s="344"/>
      <c r="P760" s="344"/>
      <c r="Q760" s="344"/>
      <c r="R760" s="344"/>
      <c r="S760" s="344"/>
      <c r="T760" s="344"/>
      <c r="U760" s="344"/>
      <c r="V760" s="344"/>
      <c r="W760" s="344"/>
      <c r="X760" s="344"/>
      <c r="Y760" s="344"/>
      <c r="Z760" s="344"/>
      <c r="AA760" s="344"/>
      <c r="AB760" s="344"/>
      <c r="AC760" s="344"/>
      <c r="AD760" s="344"/>
      <c r="AE760" s="344"/>
      <c r="AF760" s="344"/>
      <c r="AG760" s="344"/>
      <c r="AH760" s="344"/>
      <c r="AI760" s="344"/>
      <c r="AJ760" s="344"/>
      <c r="AK760" s="344"/>
      <c r="AL760" s="344"/>
      <c r="AM760" s="344"/>
      <c r="AN760" s="344"/>
      <c r="AO760" s="344"/>
    </row>
    <row r="761" spans="1:41" ht="15.75" customHeight="1" x14ac:dyDescent="0.25">
      <c r="A761" s="344"/>
      <c r="B761" s="353"/>
      <c r="C761" s="344"/>
      <c r="D761" s="344"/>
      <c r="E761" s="344"/>
      <c r="F761" s="344"/>
      <c r="G761" s="344"/>
      <c r="H761" s="344"/>
      <c r="I761" s="344"/>
      <c r="J761" s="344"/>
      <c r="K761" s="344"/>
      <c r="L761" s="344"/>
      <c r="M761" s="344"/>
      <c r="N761" s="344"/>
      <c r="O761" s="344"/>
      <c r="P761" s="344"/>
      <c r="Q761" s="344"/>
      <c r="R761" s="344"/>
      <c r="S761" s="344"/>
      <c r="T761" s="344"/>
      <c r="U761" s="344"/>
      <c r="V761" s="344"/>
      <c r="W761" s="344"/>
      <c r="X761" s="344"/>
      <c r="Y761" s="344"/>
      <c r="Z761" s="344"/>
      <c r="AA761" s="344"/>
      <c r="AB761" s="344"/>
      <c r="AC761" s="344"/>
      <c r="AD761" s="344"/>
      <c r="AE761" s="344"/>
      <c r="AF761" s="344"/>
      <c r="AG761" s="344"/>
      <c r="AH761" s="344"/>
      <c r="AI761" s="344"/>
      <c r="AJ761" s="344"/>
      <c r="AK761" s="344"/>
      <c r="AL761" s="344"/>
      <c r="AM761" s="344"/>
      <c r="AN761" s="344"/>
      <c r="AO761" s="344"/>
    </row>
    <row r="762" spans="1:41" ht="15.75" customHeight="1" x14ac:dyDescent="0.25">
      <c r="A762" s="344"/>
      <c r="B762" s="353"/>
      <c r="C762" s="344"/>
      <c r="D762" s="344"/>
      <c r="E762" s="344"/>
      <c r="F762" s="344"/>
      <c r="G762" s="344"/>
      <c r="H762" s="344"/>
      <c r="I762" s="344"/>
      <c r="J762" s="344"/>
      <c r="K762" s="344"/>
      <c r="L762" s="344"/>
      <c r="M762" s="344"/>
      <c r="N762" s="344"/>
      <c r="O762" s="344"/>
      <c r="P762" s="344"/>
      <c r="Q762" s="344"/>
      <c r="R762" s="344"/>
      <c r="S762" s="344"/>
      <c r="T762" s="344"/>
      <c r="U762" s="344"/>
      <c r="V762" s="344"/>
      <c r="W762" s="344"/>
      <c r="X762" s="344"/>
      <c r="Y762" s="344"/>
      <c r="Z762" s="344"/>
      <c r="AA762" s="344"/>
      <c r="AB762" s="344"/>
      <c r="AC762" s="344"/>
      <c r="AD762" s="344"/>
      <c r="AE762" s="344"/>
      <c r="AF762" s="344"/>
      <c r="AG762" s="344"/>
      <c r="AH762" s="344"/>
      <c r="AI762" s="344"/>
      <c r="AJ762" s="344"/>
      <c r="AK762" s="344"/>
      <c r="AL762" s="344"/>
      <c r="AM762" s="344"/>
      <c r="AN762" s="344"/>
      <c r="AO762" s="344"/>
    </row>
    <row r="763" spans="1:41" ht="15.75" customHeight="1" x14ac:dyDescent="0.25">
      <c r="A763" s="344"/>
      <c r="B763" s="353"/>
      <c r="C763" s="344"/>
      <c r="D763" s="344"/>
      <c r="E763" s="344"/>
      <c r="F763" s="344"/>
      <c r="G763" s="344"/>
      <c r="H763" s="344"/>
      <c r="I763" s="344"/>
      <c r="J763" s="344"/>
      <c r="K763" s="344"/>
      <c r="L763" s="344"/>
      <c r="M763" s="344"/>
      <c r="N763" s="344"/>
      <c r="O763" s="344"/>
      <c r="P763" s="344"/>
      <c r="Q763" s="344"/>
      <c r="R763" s="344"/>
      <c r="S763" s="344"/>
      <c r="T763" s="344"/>
      <c r="U763" s="344"/>
      <c r="V763" s="344"/>
      <c r="W763" s="344"/>
      <c r="X763" s="344"/>
      <c r="Y763" s="344"/>
      <c r="Z763" s="344"/>
      <c r="AA763" s="344"/>
      <c r="AB763" s="344"/>
      <c r="AC763" s="344"/>
      <c r="AD763" s="344"/>
      <c r="AE763" s="344"/>
      <c r="AF763" s="344"/>
      <c r="AG763" s="344"/>
      <c r="AH763" s="344"/>
      <c r="AI763" s="344"/>
      <c r="AJ763" s="344"/>
      <c r="AK763" s="344"/>
      <c r="AL763" s="344"/>
      <c r="AM763" s="344"/>
      <c r="AN763" s="344"/>
      <c r="AO763" s="344"/>
    </row>
    <row r="764" spans="1:41" ht="15.75" customHeight="1" x14ac:dyDescent="0.25">
      <c r="A764" s="344"/>
      <c r="B764" s="353"/>
      <c r="C764" s="344"/>
      <c r="D764" s="344"/>
      <c r="E764" s="344"/>
      <c r="F764" s="344"/>
      <c r="G764" s="344"/>
      <c r="H764" s="344"/>
      <c r="I764" s="344"/>
      <c r="J764" s="344"/>
      <c r="K764" s="344"/>
      <c r="L764" s="344"/>
      <c r="M764" s="344"/>
      <c r="N764" s="344"/>
      <c r="O764" s="344"/>
      <c r="P764" s="344"/>
      <c r="Q764" s="344"/>
      <c r="R764" s="344"/>
      <c r="S764" s="344"/>
      <c r="T764" s="344"/>
      <c r="U764" s="344"/>
      <c r="V764" s="344"/>
      <c r="W764" s="344"/>
      <c r="X764" s="344"/>
      <c r="Y764" s="344"/>
      <c r="Z764" s="344"/>
      <c r="AA764" s="344"/>
      <c r="AB764" s="344"/>
      <c r="AC764" s="344"/>
      <c r="AD764" s="344"/>
      <c r="AE764" s="344"/>
      <c r="AF764" s="344"/>
      <c r="AG764" s="344"/>
      <c r="AH764" s="344"/>
      <c r="AI764" s="344"/>
      <c r="AJ764" s="344"/>
      <c r="AK764" s="344"/>
      <c r="AL764" s="344"/>
      <c r="AM764" s="344"/>
      <c r="AN764" s="344"/>
      <c r="AO764" s="344"/>
    </row>
    <row r="765" spans="1:41" ht="15.75" customHeight="1" x14ac:dyDescent="0.25">
      <c r="A765" s="344"/>
      <c r="B765" s="353"/>
      <c r="C765" s="344"/>
      <c r="D765" s="344"/>
      <c r="E765" s="344"/>
      <c r="F765" s="344"/>
      <c r="G765" s="344"/>
      <c r="H765" s="344"/>
      <c r="I765" s="344"/>
      <c r="J765" s="344"/>
      <c r="K765" s="344"/>
      <c r="L765" s="344"/>
      <c r="M765" s="344"/>
      <c r="N765" s="344"/>
      <c r="O765" s="344"/>
      <c r="P765" s="344"/>
      <c r="Q765" s="344"/>
      <c r="R765" s="344"/>
      <c r="S765" s="344"/>
      <c r="T765" s="344"/>
      <c r="U765" s="344"/>
      <c r="V765" s="344"/>
      <c r="W765" s="344"/>
      <c r="X765" s="344"/>
      <c r="Y765" s="344"/>
      <c r="Z765" s="344"/>
      <c r="AA765" s="344"/>
      <c r="AB765" s="344"/>
      <c r="AC765" s="344"/>
      <c r="AD765" s="344"/>
      <c r="AE765" s="344"/>
      <c r="AF765" s="344"/>
      <c r="AG765" s="344"/>
      <c r="AH765" s="344"/>
      <c r="AI765" s="344"/>
      <c r="AJ765" s="344"/>
      <c r="AK765" s="344"/>
      <c r="AL765" s="344"/>
      <c r="AM765" s="344"/>
      <c r="AN765" s="344"/>
      <c r="AO765" s="344"/>
    </row>
    <row r="766" spans="1:41" ht="15.75" customHeight="1" x14ac:dyDescent="0.25">
      <c r="A766" s="344"/>
      <c r="B766" s="353"/>
      <c r="C766" s="344"/>
      <c r="D766" s="344"/>
      <c r="E766" s="344"/>
      <c r="F766" s="344"/>
      <c r="G766" s="344"/>
      <c r="H766" s="344"/>
      <c r="I766" s="344"/>
      <c r="J766" s="344"/>
      <c r="K766" s="344"/>
      <c r="L766" s="344"/>
      <c r="M766" s="344"/>
      <c r="N766" s="344"/>
      <c r="O766" s="344"/>
      <c r="P766" s="344"/>
      <c r="Q766" s="344"/>
      <c r="R766" s="344"/>
      <c r="S766" s="344"/>
      <c r="T766" s="344"/>
      <c r="U766" s="344"/>
      <c r="V766" s="344"/>
      <c r="W766" s="344"/>
      <c r="X766" s="344"/>
      <c r="Y766" s="344"/>
      <c r="Z766" s="344"/>
      <c r="AA766" s="344"/>
      <c r="AB766" s="344"/>
      <c r="AC766" s="344"/>
      <c r="AD766" s="344"/>
      <c r="AE766" s="344"/>
      <c r="AF766" s="344"/>
      <c r="AG766" s="344"/>
      <c r="AH766" s="344"/>
      <c r="AI766" s="344"/>
      <c r="AJ766" s="344"/>
      <c r="AK766" s="344"/>
      <c r="AL766" s="344"/>
      <c r="AM766" s="344"/>
      <c r="AN766" s="344"/>
      <c r="AO766" s="344"/>
    </row>
    <row r="767" spans="1:41" ht="15.75" customHeight="1" x14ac:dyDescent="0.25">
      <c r="A767" s="344"/>
      <c r="B767" s="353"/>
      <c r="C767" s="344"/>
      <c r="D767" s="344"/>
      <c r="E767" s="344"/>
      <c r="F767" s="344"/>
      <c r="G767" s="344"/>
      <c r="H767" s="344"/>
      <c r="I767" s="344"/>
      <c r="J767" s="344"/>
      <c r="K767" s="344"/>
      <c r="L767" s="344"/>
      <c r="M767" s="344"/>
      <c r="N767" s="344"/>
      <c r="O767" s="344"/>
      <c r="P767" s="344"/>
      <c r="Q767" s="344"/>
      <c r="R767" s="344"/>
      <c r="S767" s="344"/>
      <c r="T767" s="344"/>
      <c r="U767" s="344"/>
      <c r="V767" s="344"/>
      <c r="W767" s="344"/>
      <c r="X767" s="344"/>
      <c r="Y767" s="344"/>
      <c r="Z767" s="344"/>
      <c r="AA767" s="344"/>
      <c r="AB767" s="344"/>
      <c r="AC767" s="344"/>
      <c r="AD767" s="344"/>
      <c r="AE767" s="344"/>
      <c r="AF767" s="344"/>
      <c r="AG767" s="344"/>
      <c r="AH767" s="344"/>
      <c r="AI767" s="344"/>
      <c r="AJ767" s="344"/>
      <c r="AK767" s="344"/>
      <c r="AL767" s="344"/>
      <c r="AM767" s="344"/>
      <c r="AN767" s="344"/>
      <c r="AO767" s="344"/>
    </row>
    <row r="768" spans="1:41" ht="15.75" customHeight="1" x14ac:dyDescent="0.25">
      <c r="A768" s="344"/>
      <c r="B768" s="353"/>
      <c r="C768" s="344"/>
      <c r="D768" s="344"/>
      <c r="E768" s="344"/>
      <c r="F768" s="344"/>
      <c r="G768" s="344"/>
      <c r="H768" s="344"/>
      <c r="I768" s="344"/>
      <c r="J768" s="344"/>
      <c r="K768" s="344"/>
      <c r="L768" s="344"/>
      <c r="M768" s="344"/>
      <c r="N768" s="344"/>
      <c r="O768" s="344"/>
      <c r="P768" s="344"/>
      <c r="Q768" s="344"/>
      <c r="R768" s="344"/>
      <c r="S768" s="344"/>
      <c r="T768" s="344"/>
      <c r="U768" s="344"/>
      <c r="V768" s="344"/>
      <c r="W768" s="344"/>
      <c r="X768" s="344"/>
      <c r="Y768" s="344"/>
      <c r="Z768" s="344"/>
      <c r="AA768" s="344"/>
      <c r="AB768" s="344"/>
      <c r="AC768" s="344"/>
      <c r="AD768" s="344"/>
      <c r="AE768" s="344"/>
      <c r="AF768" s="344"/>
      <c r="AG768" s="344"/>
      <c r="AH768" s="344"/>
      <c r="AI768" s="344"/>
      <c r="AJ768" s="344"/>
      <c r="AK768" s="344"/>
      <c r="AL768" s="344"/>
      <c r="AM768" s="344"/>
      <c r="AN768" s="344"/>
      <c r="AO768" s="344"/>
    </row>
    <row r="769" spans="1:41" ht="15.75" customHeight="1" x14ac:dyDescent="0.25">
      <c r="A769" s="344"/>
      <c r="B769" s="353"/>
      <c r="C769" s="344"/>
      <c r="D769" s="344"/>
      <c r="E769" s="344"/>
      <c r="F769" s="344"/>
      <c r="G769" s="344"/>
      <c r="H769" s="344"/>
      <c r="I769" s="344"/>
      <c r="J769" s="344"/>
      <c r="K769" s="344"/>
      <c r="L769" s="344"/>
      <c r="M769" s="344"/>
      <c r="N769" s="344"/>
      <c r="O769" s="344"/>
      <c r="P769" s="344"/>
      <c r="Q769" s="344"/>
      <c r="R769" s="344"/>
      <c r="S769" s="344"/>
      <c r="T769" s="344"/>
      <c r="U769" s="344"/>
      <c r="V769" s="344"/>
      <c r="W769" s="344"/>
      <c r="X769" s="344"/>
      <c r="Y769" s="344"/>
      <c r="Z769" s="344"/>
      <c r="AA769" s="344"/>
      <c r="AB769" s="344"/>
      <c r="AC769" s="344"/>
      <c r="AD769" s="344"/>
      <c r="AE769" s="344"/>
      <c r="AF769" s="344"/>
      <c r="AG769" s="344"/>
      <c r="AH769" s="344"/>
      <c r="AI769" s="344"/>
      <c r="AJ769" s="344"/>
      <c r="AK769" s="344"/>
      <c r="AL769" s="344"/>
      <c r="AM769" s="344"/>
      <c r="AN769" s="344"/>
      <c r="AO769" s="344"/>
    </row>
    <row r="770" spans="1:41" ht="15.75" customHeight="1" x14ac:dyDescent="0.25">
      <c r="A770" s="344"/>
      <c r="B770" s="353"/>
      <c r="C770" s="344"/>
      <c r="D770" s="344"/>
      <c r="E770" s="344"/>
      <c r="F770" s="344"/>
      <c r="G770" s="344"/>
      <c r="H770" s="344"/>
      <c r="I770" s="344"/>
      <c r="J770" s="344"/>
      <c r="K770" s="344"/>
      <c r="L770" s="344"/>
      <c r="M770" s="344"/>
      <c r="N770" s="344"/>
      <c r="O770" s="344"/>
      <c r="P770" s="344"/>
      <c r="Q770" s="344"/>
      <c r="R770" s="344"/>
      <c r="S770" s="344"/>
      <c r="T770" s="344"/>
      <c r="U770" s="344"/>
      <c r="V770" s="344"/>
      <c r="W770" s="344"/>
      <c r="X770" s="344"/>
      <c r="Y770" s="344"/>
      <c r="Z770" s="344"/>
      <c r="AA770" s="344"/>
      <c r="AB770" s="344"/>
      <c r="AC770" s="344"/>
      <c r="AD770" s="344"/>
      <c r="AE770" s="344"/>
      <c r="AF770" s="344"/>
      <c r="AG770" s="344"/>
      <c r="AH770" s="344"/>
      <c r="AI770" s="344"/>
      <c r="AJ770" s="344"/>
      <c r="AK770" s="344"/>
      <c r="AL770" s="344"/>
      <c r="AM770" s="344"/>
      <c r="AN770" s="344"/>
      <c r="AO770" s="344"/>
    </row>
    <row r="771" spans="1:41" ht="15.75" customHeight="1" x14ac:dyDescent="0.25">
      <c r="A771" s="344"/>
      <c r="B771" s="353"/>
      <c r="C771" s="344"/>
      <c r="D771" s="344"/>
      <c r="E771" s="344"/>
      <c r="F771" s="344"/>
      <c r="G771" s="344"/>
      <c r="H771" s="344"/>
      <c r="I771" s="344"/>
      <c r="J771" s="344"/>
      <c r="K771" s="344"/>
      <c r="L771" s="344"/>
      <c r="M771" s="344"/>
      <c r="N771" s="344"/>
      <c r="O771" s="344"/>
      <c r="P771" s="344"/>
      <c r="Q771" s="344"/>
      <c r="R771" s="344"/>
      <c r="S771" s="344"/>
      <c r="T771" s="344"/>
      <c r="U771" s="344"/>
      <c r="V771" s="344"/>
      <c r="W771" s="344"/>
      <c r="X771" s="344"/>
      <c r="Y771" s="344"/>
      <c r="Z771" s="344"/>
      <c r="AA771" s="344"/>
      <c r="AB771" s="344"/>
      <c r="AC771" s="344"/>
      <c r="AD771" s="344"/>
      <c r="AE771" s="344"/>
      <c r="AF771" s="344"/>
      <c r="AG771" s="344"/>
      <c r="AH771" s="344"/>
      <c r="AI771" s="344"/>
      <c r="AJ771" s="344"/>
      <c r="AK771" s="344"/>
      <c r="AL771" s="344"/>
      <c r="AM771" s="344"/>
      <c r="AN771" s="344"/>
      <c r="AO771" s="344"/>
    </row>
    <row r="772" spans="1:41" ht="15.75" customHeight="1" x14ac:dyDescent="0.25">
      <c r="A772" s="344"/>
      <c r="B772" s="353"/>
      <c r="C772" s="344"/>
      <c r="D772" s="344"/>
      <c r="E772" s="344"/>
      <c r="F772" s="344"/>
      <c r="G772" s="344"/>
      <c r="H772" s="344"/>
      <c r="I772" s="344"/>
      <c r="J772" s="344"/>
      <c r="K772" s="344"/>
      <c r="L772" s="344"/>
      <c r="M772" s="344"/>
      <c r="N772" s="344"/>
      <c r="O772" s="344"/>
      <c r="P772" s="344"/>
      <c r="Q772" s="344"/>
      <c r="R772" s="344"/>
      <c r="S772" s="344"/>
      <c r="T772" s="344"/>
      <c r="U772" s="344"/>
      <c r="V772" s="344"/>
      <c r="W772" s="344"/>
      <c r="X772" s="344"/>
      <c r="Y772" s="344"/>
      <c r="Z772" s="344"/>
      <c r="AA772" s="344"/>
      <c r="AB772" s="344"/>
      <c r="AC772" s="344"/>
      <c r="AD772" s="344"/>
      <c r="AE772" s="344"/>
      <c r="AF772" s="344"/>
      <c r="AG772" s="344"/>
      <c r="AH772" s="344"/>
      <c r="AI772" s="344"/>
      <c r="AJ772" s="344"/>
      <c r="AK772" s="344"/>
      <c r="AL772" s="344"/>
      <c r="AM772" s="344"/>
      <c r="AN772" s="344"/>
      <c r="AO772" s="344"/>
    </row>
    <row r="773" spans="1:41" ht="15.75" customHeight="1" x14ac:dyDescent="0.25">
      <c r="A773" s="344"/>
      <c r="B773" s="353"/>
      <c r="C773" s="344"/>
      <c r="D773" s="344"/>
      <c r="E773" s="344"/>
      <c r="F773" s="344"/>
      <c r="G773" s="344"/>
      <c r="H773" s="344"/>
      <c r="I773" s="344"/>
      <c r="J773" s="344"/>
      <c r="K773" s="344"/>
      <c r="L773" s="344"/>
      <c r="M773" s="344"/>
      <c r="N773" s="344"/>
      <c r="O773" s="344"/>
      <c r="P773" s="344"/>
      <c r="Q773" s="344"/>
      <c r="R773" s="344"/>
      <c r="S773" s="344"/>
      <c r="T773" s="344"/>
      <c r="U773" s="344"/>
      <c r="V773" s="344"/>
      <c r="W773" s="344"/>
      <c r="X773" s="344"/>
      <c r="Y773" s="344"/>
      <c r="Z773" s="344"/>
      <c r="AA773" s="344"/>
      <c r="AB773" s="344"/>
      <c r="AC773" s="344"/>
      <c r="AD773" s="344"/>
      <c r="AE773" s="344"/>
      <c r="AF773" s="344"/>
      <c r="AG773" s="344"/>
      <c r="AH773" s="344"/>
      <c r="AI773" s="344"/>
      <c r="AJ773" s="344"/>
      <c r="AK773" s="344"/>
      <c r="AL773" s="344"/>
      <c r="AM773" s="344"/>
      <c r="AN773" s="344"/>
      <c r="AO773" s="344"/>
    </row>
    <row r="774" spans="1:41" ht="15.75" customHeight="1" x14ac:dyDescent="0.25">
      <c r="A774" s="344"/>
      <c r="B774" s="353"/>
      <c r="C774" s="344"/>
      <c r="D774" s="344"/>
      <c r="E774" s="344"/>
      <c r="F774" s="344"/>
      <c r="G774" s="344"/>
      <c r="H774" s="344"/>
      <c r="I774" s="344"/>
      <c r="J774" s="344"/>
      <c r="K774" s="344"/>
      <c r="L774" s="344"/>
      <c r="M774" s="344"/>
      <c r="N774" s="344"/>
      <c r="O774" s="344"/>
      <c r="P774" s="344"/>
      <c r="Q774" s="344"/>
      <c r="R774" s="344"/>
      <c r="S774" s="344"/>
      <c r="T774" s="344"/>
      <c r="U774" s="344"/>
      <c r="V774" s="344"/>
      <c r="W774" s="344"/>
      <c r="X774" s="344"/>
      <c r="Y774" s="344"/>
      <c r="Z774" s="344"/>
      <c r="AA774" s="344"/>
      <c r="AB774" s="344"/>
      <c r="AC774" s="344"/>
      <c r="AD774" s="344"/>
      <c r="AE774" s="344"/>
      <c r="AF774" s="344"/>
      <c r="AG774" s="344"/>
      <c r="AH774" s="344"/>
      <c r="AI774" s="344"/>
      <c r="AJ774" s="344"/>
      <c r="AK774" s="344"/>
      <c r="AL774" s="344"/>
      <c r="AM774" s="344"/>
      <c r="AN774" s="344"/>
      <c r="AO774" s="344"/>
    </row>
    <row r="775" spans="1:41" ht="15.75" customHeight="1" x14ac:dyDescent="0.25">
      <c r="A775" s="344"/>
      <c r="B775" s="353"/>
      <c r="C775" s="344"/>
      <c r="D775" s="344"/>
      <c r="E775" s="344"/>
      <c r="F775" s="344"/>
      <c r="G775" s="344"/>
      <c r="H775" s="344"/>
      <c r="I775" s="344"/>
      <c r="J775" s="344"/>
      <c r="K775" s="344"/>
      <c r="L775" s="344"/>
      <c r="M775" s="344"/>
      <c r="N775" s="344"/>
      <c r="O775" s="344"/>
      <c r="P775" s="344"/>
      <c r="Q775" s="344"/>
      <c r="R775" s="344"/>
      <c r="S775" s="344"/>
      <c r="T775" s="344"/>
      <c r="U775" s="344"/>
      <c r="V775" s="344"/>
      <c r="W775" s="344"/>
      <c r="X775" s="344"/>
      <c r="Y775" s="344"/>
      <c r="Z775" s="344"/>
      <c r="AA775" s="344"/>
      <c r="AB775" s="344"/>
      <c r="AC775" s="344"/>
      <c r="AD775" s="344"/>
      <c r="AE775" s="344"/>
      <c r="AF775" s="344"/>
      <c r="AG775" s="344"/>
      <c r="AH775" s="344"/>
      <c r="AI775" s="344"/>
      <c r="AJ775" s="344"/>
      <c r="AK775" s="344"/>
      <c r="AL775" s="344"/>
      <c r="AM775" s="344"/>
      <c r="AN775" s="344"/>
      <c r="AO775" s="344"/>
    </row>
    <row r="776" spans="1:41" ht="15.75" customHeight="1" x14ac:dyDescent="0.25">
      <c r="A776" s="344"/>
      <c r="B776" s="353"/>
      <c r="C776" s="344"/>
      <c r="D776" s="344"/>
      <c r="E776" s="344"/>
      <c r="F776" s="344"/>
      <c r="G776" s="344"/>
      <c r="H776" s="344"/>
      <c r="I776" s="344"/>
      <c r="J776" s="344"/>
      <c r="K776" s="344"/>
      <c r="L776" s="344"/>
      <c r="M776" s="344"/>
      <c r="N776" s="344"/>
      <c r="O776" s="344"/>
      <c r="P776" s="344"/>
      <c r="Q776" s="344"/>
      <c r="R776" s="344"/>
      <c r="S776" s="344"/>
      <c r="T776" s="344"/>
      <c r="U776" s="344"/>
      <c r="V776" s="344"/>
      <c r="W776" s="344"/>
      <c r="X776" s="344"/>
      <c r="Y776" s="344"/>
      <c r="Z776" s="344"/>
      <c r="AA776" s="344"/>
      <c r="AB776" s="344"/>
      <c r="AC776" s="344"/>
      <c r="AD776" s="344"/>
      <c r="AE776" s="344"/>
      <c r="AF776" s="344"/>
      <c r="AG776" s="344"/>
      <c r="AH776" s="344"/>
      <c r="AI776" s="344"/>
      <c r="AJ776" s="344"/>
      <c r="AK776" s="344"/>
      <c r="AL776" s="344"/>
      <c r="AM776" s="344"/>
      <c r="AN776" s="344"/>
      <c r="AO776" s="344"/>
    </row>
    <row r="777" spans="1:41" ht="15.75" customHeight="1" x14ac:dyDescent="0.25">
      <c r="A777" s="344"/>
      <c r="B777" s="353"/>
      <c r="C777" s="344"/>
      <c r="D777" s="344"/>
      <c r="E777" s="344"/>
      <c r="F777" s="344"/>
      <c r="G777" s="344"/>
      <c r="H777" s="344"/>
      <c r="I777" s="344"/>
      <c r="J777" s="344"/>
      <c r="K777" s="344"/>
      <c r="L777" s="344"/>
      <c r="M777" s="344"/>
      <c r="N777" s="344"/>
      <c r="O777" s="344"/>
      <c r="P777" s="344"/>
      <c r="Q777" s="344"/>
      <c r="R777" s="344"/>
      <c r="S777" s="344"/>
      <c r="T777" s="344"/>
      <c r="U777" s="344"/>
      <c r="V777" s="344"/>
      <c r="W777" s="344"/>
      <c r="X777" s="344"/>
      <c r="Y777" s="344"/>
      <c r="Z777" s="344"/>
      <c r="AA777" s="344"/>
      <c r="AB777" s="344"/>
      <c r="AC777" s="344"/>
      <c r="AD777" s="344"/>
      <c r="AE777" s="344"/>
      <c r="AF777" s="344"/>
      <c r="AG777" s="344"/>
      <c r="AH777" s="344"/>
      <c r="AI777" s="344"/>
      <c r="AJ777" s="344"/>
      <c r="AK777" s="344"/>
      <c r="AL777" s="344"/>
      <c r="AM777" s="344"/>
      <c r="AN777" s="344"/>
      <c r="AO777" s="344"/>
    </row>
    <row r="778" spans="1:41" ht="15.75" customHeight="1" x14ac:dyDescent="0.25">
      <c r="A778" s="344"/>
      <c r="B778" s="353"/>
      <c r="C778" s="344"/>
      <c r="D778" s="344"/>
      <c r="E778" s="344"/>
      <c r="F778" s="344"/>
      <c r="G778" s="344"/>
      <c r="H778" s="344"/>
      <c r="I778" s="344"/>
      <c r="J778" s="344"/>
      <c r="K778" s="344"/>
      <c r="L778" s="344"/>
      <c r="M778" s="344"/>
      <c r="N778" s="344"/>
      <c r="O778" s="344"/>
      <c r="P778" s="344"/>
      <c r="Q778" s="344"/>
      <c r="R778" s="344"/>
      <c r="S778" s="344"/>
      <c r="T778" s="344"/>
      <c r="U778" s="344"/>
      <c r="V778" s="344"/>
      <c r="W778" s="344"/>
      <c r="X778" s="344"/>
      <c r="Y778" s="344"/>
      <c r="Z778" s="344"/>
      <c r="AA778" s="344"/>
      <c r="AB778" s="344"/>
      <c r="AC778" s="344"/>
      <c r="AD778" s="344"/>
      <c r="AE778" s="344"/>
      <c r="AF778" s="344"/>
      <c r="AG778" s="344"/>
      <c r="AH778" s="344"/>
      <c r="AI778" s="344"/>
      <c r="AJ778" s="344"/>
      <c r="AK778" s="344"/>
      <c r="AL778" s="344"/>
      <c r="AM778" s="344"/>
      <c r="AN778" s="344"/>
      <c r="AO778" s="344"/>
    </row>
    <row r="779" spans="1:41" ht="15.75" customHeight="1" x14ac:dyDescent="0.25">
      <c r="A779" s="344"/>
      <c r="B779" s="353"/>
      <c r="C779" s="344"/>
      <c r="D779" s="344"/>
      <c r="E779" s="344"/>
      <c r="F779" s="344"/>
      <c r="G779" s="344"/>
      <c r="H779" s="344"/>
      <c r="I779" s="344"/>
      <c r="J779" s="344"/>
      <c r="K779" s="344"/>
      <c r="L779" s="344"/>
      <c r="M779" s="344"/>
      <c r="N779" s="344"/>
      <c r="O779" s="344"/>
      <c r="P779" s="344"/>
      <c r="Q779" s="344"/>
      <c r="R779" s="344"/>
      <c r="S779" s="344"/>
      <c r="T779" s="344"/>
      <c r="U779" s="344"/>
      <c r="V779" s="344"/>
      <c r="W779" s="344"/>
      <c r="X779" s="344"/>
      <c r="Y779" s="344"/>
      <c r="Z779" s="344"/>
      <c r="AA779" s="344"/>
      <c r="AB779" s="344"/>
      <c r="AC779" s="344"/>
      <c r="AD779" s="344"/>
      <c r="AE779" s="344"/>
      <c r="AF779" s="344"/>
      <c r="AG779" s="344"/>
      <c r="AH779" s="344"/>
      <c r="AI779" s="344"/>
      <c r="AJ779" s="344"/>
      <c r="AK779" s="344"/>
      <c r="AL779" s="344"/>
      <c r="AM779" s="344"/>
      <c r="AN779" s="344"/>
      <c r="AO779" s="344"/>
    </row>
    <row r="780" spans="1:41" ht="15.75" customHeight="1" x14ac:dyDescent="0.25">
      <c r="A780" s="344"/>
      <c r="B780" s="353"/>
      <c r="C780" s="344"/>
      <c r="D780" s="344"/>
      <c r="E780" s="344"/>
      <c r="F780" s="344"/>
      <c r="G780" s="344"/>
      <c r="H780" s="344"/>
      <c r="I780" s="344"/>
      <c r="J780" s="344"/>
      <c r="K780" s="344"/>
      <c r="L780" s="344"/>
      <c r="M780" s="344"/>
      <c r="N780" s="344"/>
      <c r="O780" s="344"/>
      <c r="P780" s="344"/>
      <c r="Q780" s="344"/>
      <c r="R780" s="344"/>
      <c r="S780" s="344"/>
      <c r="T780" s="344"/>
      <c r="U780" s="344"/>
      <c r="V780" s="344"/>
      <c r="W780" s="344"/>
      <c r="X780" s="344"/>
      <c r="Y780" s="344"/>
      <c r="Z780" s="344"/>
      <c r="AA780" s="344"/>
      <c r="AB780" s="344"/>
      <c r="AC780" s="344"/>
      <c r="AD780" s="344"/>
      <c r="AE780" s="344"/>
      <c r="AF780" s="344"/>
      <c r="AG780" s="344"/>
      <c r="AH780" s="344"/>
      <c r="AI780" s="344"/>
      <c r="AJ780" s="344"/>
      <c r="AK780" s="344"/>
      <c r="AL780" s="344"/>
      <c r="AM780" s="344"/>
      <c r="AN780" s="344"/>
      <c r="AO780" s="344"/>
    </row>
    <row r="781" spans="1:41" ht="15.75" customHeight="1" x14ac:dyDescent="0.25">
      <c r="A781" s="344"/>
      <c r="B781" s="353"/>
      <c r="C781" s="344"/>
      <c r="D781" s="344"/>
      <c r="E781" s="344"/>
      <c r="F781" s="344"/>
      <c r="G781" s="344"/>
      <c r="H781" s="344"/>
      <c r="I781" s="344"/>
      <c r="J781" s="344"/>
      <c r="K781" s="344"/>
      <c r="L781" s="344"/>
      <c r="M781" s="344"/>
      <c r="N781" s="344"/>
      <c r="O781" s="344"/>
      <c r="P781" s="344"/>
      <c r="Q781" s="344"/>
      <c r="R781" s="344"/>
      <c r="S781" s="344"/>
      <c r="T781" s="344"/>
      <c r="U781" s="344"/>
      <c r="V781" s="344"/>
      <c r="W781" s="344"/>
      <c r="X781" s="344"/>
      <c r="Y781" s="344"/>
      <c r="Z781" s="344"/>
      <c r="AA781" s="344"/>
      <c r="AB781" s="344"/>
      <c r="AC781" s="344"/>
      <c r="AD781" s="344"/>
      <c r="AE781" s="344"/>
      <c r="AF781" s="344"/>
      <c r="AG781" s="344"/>
      <c r="AH781" s="344"/>
      <c r="AI781" s="344"/>
      <c r="AJ781" s="344"/>
      <c r="AK781" s="344"/>
      <c r="AL781" s="344"/>
      <c r="AM781" s="344"/>
      <c r="AN781" s="344"/>
      <c r="AO781" s="344"/>
    </row>
    <row r="782" spans="1:41" ht="15.75" customHeight="1" x14ac:dyDescent="0.25">
      <c r="A782" s="344"/>
      <c r="B782" s="353"/>
      <c r="C782" s="344"/>
      <c r="D782" s="344"/>
      <c r="E782" s="344"/>
      <c r="F782" s="344"/>
      <c r="G782" s="344"/>
      <c r="H782" s="344"/>
      <c r="I782" s="344"/>
      <c r="J782" s="344"/>
      <c r="K782" s="344"/>
      <c r="L782" s="344"/>
      <c r="M782" s="344"/>
      <c r="N782" s="344"/>
      <c r="O782" s="344"/>
      <c r="P782" s="344"/>
      <c r="Q782" s="344"/>
      <c r="R782" s="344"/>
      <c r="S782" s="344"/>
      <c r="T782" s="344"/>
      <c r="U782" s="344"/>
      <c r="V782" s="344"/>
      <c r="W782" s="344"/>
      <c r="X782" s="344"/>
      <c r="Y782" s="344"/>
      <c r="Z782" s="344"/>
      <c r="AA782" s="344"/>
      <c r="AB782" s="344"/>
      <c r="AC782" s="344"/>
      <c r="AD782" s="344"/>
      <c r="AE782" s="344"/>
      <c r="AF782" s="344"/>
      <c r="AG782" s="344"/>
      <c r="AH782" s="344"/>
      <c r="AI782" s="344"/>
      <c r="AJ782" s="344"/>
      <c r="AK782" s="344"/>
      <c r="AL782" s="344"/>
      <c r="AM782" s="344"/>
      <c r="AN782" s="344"/>
      <c r="AO782" s="344"/>
    </row>
    <row r="783" spans="1:41" ht="15.75" customHeight="1" x14ac:dyDescent="0.25">
      <c r="A783" s="344"/>
      <c r="B783" s="353"/>
      <c r="C783" s="344"/>
      <c r="D783" s="344"/>
      <c r="E783" s="344"/>
      <c r="F783" s="344"/>
      <c r="G783" s="344"/>
      <c r="H783" s="344"/>
      <c r="I783" s="344"/>
      <c r="J783" s="344"/>
      <c r="K783" s="344"/>
      <c r="L783" s="344"/>
      <c r="M783" s="344"/>
      <c r="N783" s="344"/>
      <c r="O783" s="344"/>
      <c r="P783" s="344"/>
      <c r="Q783" s="344"/>
      <c r="R783" s="344"/>
      <c r="S783" s="344"/>
      <c r="T783" s="344"/>
      <c r="U783" s="344"/>
      <c r="V783" s="344"/>
      <c r="W783" s="344"/>
      <c r="X783" s="344"/>
      <c r="Y783" s="344"/>
      <c r="Z783" s="344"/>
      <c r="AA783" s="344"/>
      <c r="AB783" s="344"/>
      <c r="AC783" s="344"/>
      <c r="AD783" s="344"/>
      <c r="AE783" s="344"/>
      <c r="AF783" s="344"/>
      <c r="AG783" s="344"/>
      <c r="AH783" s="344"/>
      <c r="AI783" s="344"/>
      <c r="AJ783" s="344"/>
      <c r="AK783" s="344"/>
      <c r="AL783" s="344"/>
      <c r="AM783" s="344"/>
      <c r="AN783" s="344"/>
      <c r="AO783" s="344"/>
    </row>
    <row r="784" spans="1:41" ht="15.75" customHeight="1" x14ac:dyDescent="0.25">
      <c r="A784" s="344"/>
      <c r="B784" s="353"/>
      <c r="C784" s="344"/>
      <c r="D784" s="344"/>
      <c r="E784" s="344"/>
      <c r="F784" s="344"/>
      <c r="G784" s="344"/>
      <c r="H784" s="344"/>
      <c r="I784" s="344"/>
      <c r="J784" s="344"/>
      <c r="K784" s="344"/>
      <c r="L784" s="344"/>
      <c r="M784" s="344"/>
      <c r="N784" s="344"/>
      <c r="O784" s="344"/>
      <c r="P784" s="344"/>
      <c r="Q784" s="344"/>
      <c r="R784" s="344"/>
      <c r="S784" s="344"/>
      <c r="T784" s="344"/>
      <c r="U784" s="344"/>
      <c r="V784" s="344"/>
      <c r="W784" s="344"/>
      <c r="X784" s="344"/>
      <c r="Y784" s="344"/>
      <c r="Z784" s="344"/>
      <c r="AA784" s="344"/>
      <c r="AB784" s="344"/>
      <c r="AC784" s="344"/>
      <c r="AD784" s="344"/>
      <c r="AE784" s="344"/>
      <c r="AF784" s="344"/>
      <c r="AG784" s="344"/>
      <c r="AH784" s="344"/>
      <c r="AI784" s="344"/>
      <c r="AJ784" s="344"/>
      <c r="AK784" s="344"/>
      <c r="AL784" s="344"/>
      <c r="AM784" s="344"/>
      <c r="AN784" s="344"/>
      <c r="AO784" s="344"/>
    </row>
    <row r="785" spans="1:41" ht="15.75" customHeight="1" x14ac:dyDescent="0.25">
      <c r="A785" s="344"/>
      <c r="B785" s="353"/>
      <c r="C785" s="344"/>
      <c r="D785" s="344"/>
      <c r="E785" s="344"/>
      <c r="F785" s="344"/>
      <c r="G785" s="344"/>
      <c r="H785" s="344"/>
      <c r="I785" s="344"/>
      <c r="J785" s="344"/>
      <c r="K785" s="344"/>
      <c r="L785" s="344"/>
      <c r="M785" s="344"/>
      <c r="N785" s="344"/>
      <c r="O785" s="344"/>
      <c r="P785" s="344"/>
      <c r="Q785" s="344"/>
      <c r="R785" s="344"/>
      <c r="S785" s="344"/>
      <c r="T785" s="344"/>
      <c r="U785" s="344"/>
      <c r="V785" s="344"/>
      <c r="W785" s="344"/>
      <c r="X785" s="344"/>
      <c r="Y785" s="344"/>
      <c r="Z785" s="344"/>
      <c r="AA785" s="344"/>
      <c r="AB785" s="344"/>
      <c r="AC785" s="344"/>
      <c r="AD785" s="344"/>
      <c r="AE785" s="344"/>
      <c r="AF785" s="344"/>
      <c r="AG785" s="344"/>
      <c r="AH785" s="344"/>
      <c r="AI785" s="344"/>
      <c r="AJ785" s="344"/>
      <c r="AK785" s="344"/>
      <c r="AL785" s="344"/>
      <c r="AM785" s="344"/>
      <c r="AN785" s="344"/>
      <c r="AO785" s="344"/>
    </row>
    <row r="786" spans="1:41" ht="15.75" customHeight="1" x14ac:dyDescent="0.25">
      <c r="A786" s="344"/>
      <c r="B786" s="353"/>
      <c r="C786" s="344"/>
      <c r="D786" s="344"/>
      <c r="E786" s="344"/>
      <c r="F786" s="344"/>
      <c r="G786" s="344"/>
      <c r="H786" s="344"/>
      <c r="I786" s="344"/>
      <c r="J786" s="344"/>
      <c r="K786" s="344"/>
      <c r="L786" s="344"/>
      <c r="M786" s="344"/>
      <c r="N786" s="344"/>
      <c r="O786" s="344"/>
      <c r="P786" s="344"/>
      <c r="Q786" s="344"/>
      <c r="R786" s="344"/>
      <c r="S786" s="344"/>
      <c r="T786" s="344"/>
      <c r="U786" s="344"/>
      <c r="V786" s="344"/>
      <c r="W786" s="344"/>
      <c r="X786" s="344"/>
      <c r="Y786" s="344"/>
      <c r="Z786" s="344"/>
      <c r="AA786" s="344"/>
      <c r="AB786" s="344"/>
      <c r="AC786" s="344"/>
      <c r="AD786" s="344"/>
      <c r="AE786" s="344"/>
      <c r="AF786" s="344"/>
      <c r="AG786" s="344"/>
      <c r="AH786" s="344"/>
      <c r="AI786" s="344"/>
      <c r="AJ786" s="344"/>
      <c r="AK786" s="344"/>
      <c r="AL786" s="344"/>
      <c r="AM786" s="344"/>
      <c r="AN786" s="344"/>
      <c r="AO786" s="344"/>
    </row>
    <row r="787" spans="1:41" ht="15.75" customHeight="1" x14ac:dyDescent="0.25">
      <c r="A787" s="344"/>
      <c r="B787" s="353"/>
      <c r="C787" s="344"/>
      <c r="D787" s="344"/>
      <c r="E787" s="344"/>
      <c r="F787" s="344"/>
      <c r="G787" s="344"/>
      <c r="H787" s="344"/>
      <c r="I787" s="344"/>
      <c r="J787" s="344"/>
      <c r="K787" s="344"/>
      <c r="L787" s="344"/>
      <c r="M787" s="344"/>
      <c r="N787" s="344"/>
      <c r="O787" s="344"/>
      <c r="P787" s="344"/>
      <c r="Q787" s="344"/>
      <c r="R787" s="344"/>
      <c r="S787" s="344"/>
      <c r="T787" s="344"/>
      <c r="U787" s="344"/>
      <c r="V787" s="344"/>
      <c r="W787" s="344"/>
      <c r="X787" s="344"/>
      <c r="Y787" s="344"/>
      <c r="Z787" s="344"/>
      <c r="AA787" s="344"/>
      <c r="AB787" s="344"/>
      <c r="AC787" s="344"/>
      <c r="AD787" s="344"/>
      <c r="AE787" s="344"/>
      <c r="AF787" s="344"/>
      <c r="AG787" s="344"/>
      <c r="AH787" s="344"/>
      <c r="AI787" s="344"/>
      <c r="AJ787" s="344"/>
      <c r="AK787" s="344"/>
      <c r="AL787" s="344"/>
      <c r="AM787" s="344"/>
      <c r="AN787" s="344"/>
      <c r="AO787" s="344"/>
    </row>
    <row r="788" spans="1:41" ht="15.75" customHeight="1" x14ac:dyDescent="0.25">
      <c r="A788" s="344"/>
      <c r="B788" s="353"/>
      <c r="C788" s="344"/>
      <c r="D788" s="344"/>
      <c r="E788" s="344"/>
      <c r="F788" s="344"/>
      <c r="G788" s="344"/>
      <c r="H788" s="344"/>
      <c r="I788" s="344"/>
      <c r="J788" s="344"/>
      <c r="K788" s="344"/>
      <c r="L788" s="344"/>
      <c r="M788" s="344"/>
      <c r="N788" s="344"/>
      <c r="O788" s="344"/>
      <c r="P788" s="344"/>
      <c r="Q788" s="344"/>
      <c r="R788" s="344"/>
      <c r="S788" s="344"/>
      <c r="T788" s="344"/>
      <c r="U788" s="344"/>
      <c r="V788" s="344"/>
      <c r="W788" s="344"/>
      <c r="X788" s="344"/>
      <c r="Y788" s="344"/>
      <c r="Z788" s="344"/>
      <c r="AA788" s="344"/>
      <c r="AB788" s="344"/>
      <c r="AC788" s="344"/>
      <c r="AD788" s="344"/>
      <c r="AE788" s="344"/>
      <c r="AF788" s="344"/>
      <c r="AG788" s="344"/>
      <c r="AH788" s="344"/>
      <c r="AI788" s="344"/>
      <c r="AJ788" s="344"/>
      <c r="AK788" s="344"/>
      <c r="AL788" s="344"/>
      <c r="AM788" s="344"/>
      <c r="AN788" s="344"/>
      <c r="AO788" s="344"/>
    </row>
    <row r="789" spans="1:41" ht="15.75" customHeight="1" x14ac:dyDescent="0.25">
      <c r="A789" s="344"/>
      <c r="B789" s="353"/>
      <c r="C789" s="344"/>
      <c r="D789" s="344"/>
      <c r="E789" s="344"/>
      <c r="F789" s="344"/>
      <c r="G789" s="344"/>
      <c r="H789" s="344"/>
      <c r="I789" s="344"/>
      <c r="J789" s="344"/>
      <c r="K789" s="344"/>
      <c r="L789" s="344"/>
      <c r="M789" s="344"/>
      <c r="N789" s="344"/>
      <c r="O789" s="344"/>
      <c r="P789" s="344"/>
      <c r="Q789" s="344"/>
      <c r="R789" s="344"/>
      <c r="S789" s="344"/>
      <c r="T789" s="344"/>
      <c r="U789" s="344"/>
      <c r="V789" s="344"/>
      <c r="W789" s="344"/>
      <c r="X789" s="344"/>
      <c r="Y789" s="344"/>
      <c r="Z789" s="344"/>
      <c r="AA789" s="344"/>
      <c r="AB789" s="344"/>
      <c r="AC789" s="344"/>
      <c r="AD789" s="344"/>
      <c r="AE789" s="344"/>
      <c r="AF789" s="344"/>
      <c r="AG789" s="344"/>
      <c r="AH789" s="344"/>
      <c r="AI789" s="344"/>
      <c r="AJ789" s="344"/>
      <c r="AK789" s="344"/>
      <c r="AL789" s="344"/>
      <c r="AM789" s="344"/>
      <c r="AN789" s="344"/>
      <c r="AO789" s="344"/>
    </row>
    <row r="790" spans="1:41" ht="15.75" customHeight="1" x14ac:dyDescent="0.25">
      <c r="A790" s="344"/>
      <c r="B790" s="353"/>
      <c r="C790" s="344"/>
      <c r="D790" s="344"/>
      <c r="E790" s="344"/>
      <c r="F790" s="344"/>
      <c r="G790" s="344"/>
      <c r="H790" s="344"/>
      <c r="I790" s="344"/>
      <c r="J790" s="344"/>
      <c r="K790" s="344"/>
      <c r="L790" s="344"/>
      <c r="M790" s="344"/>
      <c r="N790" s="344"/>
      <c r="O790" s="344"/>
      <c r="P790" s="344"/>
      <c r="Q790" s="344"/>
      <c r="R790" s="344"/>
      <c r="S790" s="344"/>
      <c r="T790" s="344"/>
      <c r="U790" s="344"/>
      <c r="V790" s="344"/>
      <c r="W790" s="344"/>
      <c r="X790" s="344"/>
      <c r="Y790" s="344"/>
      <c r="Z790" s="344"/>
      <c r="AA790" s="344"/>
      <c r="AB790" s="344"/>
      <c r="AC790" s="344"/>
      <c r="AD790" s="344"/>
      <c r="AE790" s="344"/>
      <c r="AF790" s="344"/>
      <c r="AG790" s="344"/>
      <c r="AH790" s="344"/>
      <c r="AI790" s="344"/>
      <c r="AJ790" s="344"/>
      <c r="AK790" s="344"/>
      <c r="AL790" s="344"/>
      <c r="AM790" s="344"/>
      <c r="AN790" s="344"/>
      <c r="AO790" s="344"/>
    </row>
    <row r="791" spans="1:41" ht="15.75" customHeight="1" x14ac:dyDescent="0.25">
      <c r="A791" s="344"/>
      <c r="B791" s="353"/>
      <c r="C791" s="344"/>
      <c r="D791" s="344"/>
      <c r="E791" s="344"/>
      <c r="F791" s="344"/>
      <c r="G791" s="344"/>
      <c r="H791" s="344"/>
      <c r="I791" s="344"/>
      <c r="J791" s="344"/>
      <c r="K791" s="344"/>
      <c r="L791" s="344"/>
      <c r="M791" s="344"/>
      <c r="N791" s="344"/>
      <c r="O791" s="344"/>
      <c r="P791" s="344"/>
      <c r="Q791" s="344"/>
      <c r="R791" s="344"/>
      <c r="S791" s="344"/>
      <c r="T791" s="344"/>
      <c r="U791" s="344"/>
      <c r="V791" s="344"/>
      <c r="W791" s="344"/>
      <c r="X791" s="344"/>
      <c r="Y791" s="344"/>
      <c r="Z791" s="344"/>
      <c r="AA791" s="344"/>
      <c r="AB791" s="344"/>
      <c r="AC791" s="344"/>
      <c r="AD791" s="344"/>
      <c r="AE791" s="344"/>
      <c r="AF791" s="344"/>
      <c r="AG791" s="344"/>
      <c r="AH791" s="344"/>
      <c r="AI791" s="344"/>
      <c r="AJ791" s="344"/>
      <c r="AK791" s="344"/>
      <c r="AL791" s="344"/>
      <c r="AM791" s="344"/>
      <c r="AN791" s="344"/>
      <c r="AO791" s="344"/>
    </row>
    <row r="792" spans="1:41" ht="15.75" customHeight="1" x14ac:dyDescent="0.25">
      <c r="A792" s="344"/>
      <c r="B792" s="353"/>
      <c r="C792" s="344"/>
      <c r="D792" s="344"/>
      <c r="E792" s="344"/>
      <c r="F792" s="344"/>
      <c r="G792" s="344"/>
      <c r="H792" s="344"/>
      <c r="I792" s="344"/>
      <c r="J792" s="344"/>
      <c r="K792" s="344"/>
      <c r="L792" s="344"/>
      <c r="M792" s="344"/>
      <c r="N792" s="344"/>
      <c r="O792" s="344"/>
      <c r="P792" s="344"/>
      <c r="Q792" s="344"/>
      <c r="R792" s="344"/>
      <c r="S792" s="344"/>
      <c r="T792" s="344"/>
      <c r="U792" s="344"/>
      <c r="V792" s="344"/>
      <c r="W792" s="344"/>
      <c r="X792" s="344"/>
      <c r="Y792" s="344"/>
      <c r="Z792" s="344"/>
      <c r="AA792" s="344"/>
      <c r="AB792" s="344"/>
      <c r="AC792" s="344"/>
      <c r="AD792" s="344"/>
      <c r="AE792" s="344"/>
      <c r="AF792" s="344"/>
      <c r="AG792" s="344"/>
      <c r="AH792" s="344"/>
      <c r="AI792" s="344"/>
      <c r="AJ792" s="344"/>
      <c r="AK792" s="344"/>
      <c r="AL792" s="344"/>
      <c r="AM792" s="344"/>
      <c r="AN792" s="344"/>
      <c r="AO792" s="344"/>
    </row>
    <row r="793" spans="1:41" ht="15.75" customHeight="1" x14ac:dyDescent="0.25">
      <c r="A793" s="344"/>
      <c r="B793" s="353"/>
      <c r="C793" s="344"/>
      <c r="D793" s="344"/>
      <c r="E793" s="344"/>
      <c r="F793" s="344"/>
      <c r="G793" s="344"/>
      <c r="H793" s="344"/>
      <c r="I793" s="344"/>
      <c r="J793" s="344"/>
      <c r="K793" s="344"/>
      <c r="L793" s="344"/>
      <c r="M793" s="344"/>
      <c r="N793" s="344"/>
      <c r="O793" s="344"/>
      <c r="P793" s="344"/>
      <c r="Q793" s="344"/>
      <c r="R793" s="344"/>
      <c r="S793" s="344"/>
      <c r="T793" s="344"/>
      <c r="U793" s="344"/>
      <c r="V793" s="344"/>
      <c r="W793" s="344"/>
      <c r="X793" s="344"/>
      <c r="Y793" s="344"/>
      <c r="Z793" s="344"/>
      <c r="AA793" s="344"/>
      <c r="AB793" s="344"/>
      <c r="AC793" s="344"/>
      <c r="AD793" s="344"/>
      <c r="AE793" s="344"/>
      <c r="AF793" s="344"/>
      <c r="AG793" s="344"/>
      <c r="AH793" s="344"/>
      <c r="AI793" s="344"/>
      <c r="AJ793" s="344"/>
      <c r="AK793" s="344"/>
      <c r="AL793" s="344"/>
      <c r="AM793" s="344"/>
      <c r="AN793" s="344"/>
      <c r="AO793" s="344"/>
    </row>
    <row r="794" spans="1:41" ht="15.75" customHeight="1" x14ac:dyDescent="0.25">
      <c r="A794" s="344"/>
      <c r="B794" s="353"/>
      <c r="C794" s="344"/>
      <c r="D794" s="344"/>
      <c r="E794" s="344"/>
      <c r="F794" s="344"/>
      <c r="G794" s="344"/>
      <c r="H794" s="344"/>
      <c r="I794" s="344"/>
      <c r="J794" s="344"/>
      <c r="K794" s="344"/>
      <c r="L794" s="344"/>
      <c r="M794" s="344"/>
      <c r="N794" s="344"/>
      <c r="O794" s="344"/>
      <c r="P794" s="344"/>
      <c r="Q794" s="344"/>
      <c r="R794" s="344"/>
      <c r="S794" s="344"/>
      <c r="T794" s="344"/>
      <c r="U794" s="344"/>
      <c r="V794" s="344"/>
      <c r="W794" s="344"/>
      <c r="X794" s="344"/>
      <c r="Y794" s="344"/>
      <c r="Z794" s="344"/>
      <c r="AA794" s="344"/>
      <c r="AB794" s="344"/>
      <c r="AC794" s="344"/>
      <c r="AD794" s="344"/>
      <c r="AE794" s="344"/>
      <c r="AF794" s="344"/>
      <c r="AG794" s="344"/>
      <c r="AH794" s="344"/>
      <c r="AI794" s="344"/>
      <c r="AJ794" s="344"/>
      <c r="AK794" s="344"/>
      <c r="AL794" s="344"/>
      <c r="AM794" s="344"/>
      <c r="AN794" s="344"/>
      <c r="AO794" s="344"/>
    </row>
    <row r="795" spans="1:41" ht="15.75" customHeight="1" x14ac:dyDescent="0.25">
      <c r="A795" s="344"/>
      <c r="B795" s="353"/>
      <c r="C795" s="344"/>
      <c r="D795" s="344"/>
      <c r="E795" s="344"/>
      <c r="F795" s="344"/>
      <c r="G795" s="344"/>
      <c r="H795" s="344"/>
      <c r="I795" s="344"/>
      <c r="J795" s="344"/>
      <c r="K795" s="344"/>
      <c r="L795" s="344"/>
      <c r="M795" s="344"/>
      <c r="N795" s="344"/>
      <c r="O795" s="344"/>
      <c r="P795" s="344"/>
      <c r="Q795" s="344"/>
      <c r="R795" s="344"/>
      <c r="S795" s="344"/>
      <c r="T795" s="344"/>
      <c r="U795" s="344"/>
      <c r="V795" s="344"/>
      <c r="W795" s="344"/>
      <c r="X795" s="344"/>
      <c r="Y795" s="344"/>
      <c r="Z795" s="344"/>
      <c r="AA795" s="344"/>
      <c r="AB795" s="344"/>
      <c r="AC795" s="344"/>
      <c r="AD795" s="344"/>
      <c r="AE795" s="344"/>
      <c r="AF795" s="344"/>
      <c r="AG795" s="344"/>
      <c r="AH795" s="344"/>
      <c r="AI795" s="344"/>
      <c r="AJ795" s="344"/>
      <c r="AK795" s="344"/>
      <c r="AL795" s="344"/>
      <c r="AM795" s="344"/>
      <c r="AN795" s="344"/>
      <c r="AO795" s="344"/>
    </row>
    <row r="796" spans="1:41" ht="15.75" customHeight="1" x14ac:dyDescent="0.25">
      <c r="A796" s="344"/>
      <c r="B796" s="353"/>
      <c r="C796" s="344"/>
      <c r="D796" s="344"/>
      <c r="E796" s="344"/>
      <c r="F796" s="344"/>
      <c r="G796" s="344"/>
      <c r="H796" s="344"/>
      <c r="I796" s="344"/>
      <c r="J796" s="344"/>
      <c r="K796" s="344"/>
      <c r="L796" s="344"/>
      <c r="M796" s="344"/>
      <c r="N796" s="344"/>
      <c r="O796" s="344"/>
      <c r="P796" s="344"/>
      <c r="Q796" s="344"/>
      <c r="R796" s="344"/>
      <c r="S796" s="344"/>
      <c r="T796" s="344"/>
      <c r="U796" s="344"/>
      <c r="V796" s="344"/>
      <c r="W796" s="344"/>
      <c r="X796" s="344"/>
      <c r="Y796" s="344"/>
      <c r="Z796" s="344"/>
      <c r="AA796" s="344"/>
      <c r="AB796" s="344"/>
      <c r="AC796" s="344"/>
      <c r="AD796" s="344"/>
      <c r="AE796" s="344"/>
      <c r="AF796" s="344"/>
      <c r="AG796" s="344"/>
      <c r="AH796" s="344"/>
      <c r="AI796" s="344"/>
      <c r="AJ796" s="344"/>
      <c r="AK796" s="344"/>
      <c r="AL796" s="344"/>
      <c r="AM796" s="344"/>
      <c r="AN796" s="344"/>
      <c r="AO796" s="344"/>
    </row>
    <row r="797" spans="1:41" ht="15.75" customHeight="1" x14ac:dyDescent="0.25">
      <c r="A797" s="344"/>
      <c r="B797" s="353"/>
      <c r="C797" s="344"/>
      <c r="D797" s="344"/>
      <c r="E797" s="344"/>
      <c r="F797" s="344"/>
      <c r="G797" s="344"/>
      <c r="H797" s="344"/>
      <c r="I797" s="344"/>
      <c r="J797" s="344"/>
      <c r="K797" s="344"/>
      <c r="L797" s="344"/>
      <c r="M797" s="344"/>
      <c r="N797" s="344"/>
      <c r="O797" s="344"/>
      <c r="P797" s="344"/>
      <c r="Q797" s="344"/>
      <c r="R797" s="344"/>
      <c r="S797" s="344"/>
      <c r="T797" s="344"/>
      <c r="U797" s="344"/>
      <c r="V797" s="344"/>
      <c r="W797" s="344"/>
      <c r="X797" s="344"/>
      <c r="Y797" s="344"/>
      <c r="Z797" s="344"/>
      <c r="AA797" s="344"/>
      <c r="AB797" s="344"/>
      <c r="AC797" s="344"/>
      <c r="AD797" s="344"/>
      <c r="AE797" s="344"/>
      <c r="AF797" s="344"/>
      <c r="AG797" s="344"/>
      <c r="AH797" s="344"/>
      <c r="AI797" s="344"/>
      <c r="AJ797" s="344"/>
      <c r="AK797" s="344"/>
      <c r="AL797" s="344"/>
      <c r="AM797" s="344"/>
      <c r="AN797" s="344"/>
      <c r="AO797" s="344"/>
    </row>
    <row r="798" spans="1:41" ht="15.75" customHeight="1" x14ac:dyDescent="0.25">
      <c r="A798" s="344"/>
      <c r="B798" s="353"/>
      <c r="C798" s="344"/>
      <c r="D798" s="344"/>
      <c r="E798" s="344"/>
      <c r="F798" s="344"/>
      <c r="G798" s="344"/>
      <c r="H798" s="344"/>
      <c r="I798" s="344"/>
      <c r="J798" s="344"/>
      <c r="K798" s="344"/>
      <c r="L798" s="344"/>
      <c r="M798" s="344"/>
      <c r="N798" s="344"/>
      <c r="O798" s="344"/>
      <c r="P798" s="344"/>
      <c r="Q798" s="344"/>
      <c r="R798" s="344"/>
      <c r="S798" s="344"/>
      <c r="T798" s="344"/>
      <c r="U798" s="344"/>
      <c r="V798" s="344"/>
      <c r="W798" s="344"/>
      <c r="X798" s="344"/>
      <c r="Y798" s="344"/>
      <c r="Z798" s="344"/>
      <c r="AA798" s="344"/>
      <c r="AB798" s="344"/>
      <c r="AC798" s="344"/>
      <c r="AD798" s="344"/>
      <c r="AE798" s="344"/>
      <c r="AF798" s="344"/>
      <c r="AG798" s="344"/>
      <c r="AH798" s="344"/>
      <c r="AI798" s="344"/>
      <c r="AJ798" s="344"/>
      <c r="AK798" s="344"/>
      <c r="AL798" s="344"/>
      <c r="AM798" s="344"/>
      <c r="AN798" s="344"/>
      <c r="AO798" s="344"/>
    </row>
    <row r="799" spans="1:41" ht="15.75" customHeight="1" x14ac:dyDescent="0.25">
      <c r="A799" s="344"/>
      <c r="B799" s="353"/>
      <c r="C799" s="344"/>
      <c r="D799" s="344"/>
      <c r="E799" s="344"/>
      <c r="F799" s="344"/>
      <c r="G799" s="344"/>
      <c r="H799" s="344"/>
      <c r="I799" s="344"/>
      <c r="J799" s="344"/>
      <c r="K799" s="344"/>
      <c r="L799" s="344"/>
      <c r="M799" s="344"/>
      <c r="N799" s="344"/>
      <c r="O799" s="344"/>
      <c r="P799" s="344"/>
      <c r="Q799" s="344"/>
      <c r="R799" s="344"/>
      <c r="S799" s="344"/>
      <c r="T799" s="344"/>
      <c r="U799" s="344"/>
      <c r="V799" s="344"/>
      <c r="W799" s="344"/>
      <c r="X799" s="344"/>
      <c r="Y799" s="344"/>
      <c r="Z799" s="344"/>
      <c r="AA799" s="344"/>
      <c r="AB799" s="344"/>
      <c r="AC799" s="344"/>
      <c r="AD799" s="344"/>
      <c r="AE799" s="344"/>
      <c r="AF799" s="344"/>
      <c r="AG799" s="344"/>
      <c r="AH799" s="344"/>
      <c r="AI799" s="344"/>
      <c r="AJ799" s="344"/>
      <c r="AK799" s="344"/>
      <c r="AL799" s="344"/>
      <c r="AM799" s="344"/>
      <c r="AN799" s="344"/>
      <c r="AO799" s="344"/>
    </row>
    <row r="800" spans="1:41" ht="15.75" customHeight="1" x14ac:dyDescent="0.25">
      <c r="A800" s="344"/>
      <c r="B800" s="353"/>
      <c r="C800" s="344"/>
      <c r="D800" s="344"/>
      <c r="E800" s="344"/>
      <c r="F800" s="344"/>
      <c r="G800" s="344"/>
      <c r="H800" s="344"/>
      <c r="I800" s="344"/>
      <c r="J800" s="344"/>
      <c r="K800" s="344"/>
      <c r="L800" s="344"/>
      <c r="M800" s="344"/>
      <c r="N800" s="344"/>
      <c r="O800" s="344"/>
      <c r="P800" s="344"/>
      <c r="Q800" s="344"/>
      <c r="R800" s="344"/>
      <c r="S800" s="344"/>
      <c r="T800" s="344"/>
      <c r="U800" s="344"/>
      <c r="V800" s="344"/>
      <c r="W800" s="344"/>
      <c r="X800" s="344"/>
      <c r="Y800" s="344"/>
      <c r="Z800" s="344"/>
      <c r="AA800" s="344"/>
      <c r="AB800" s="344"/>
      <c r="AC800" s="344"/>
      <c r="AD800" s="344"/>
      <c r="AE800" s="344"/>
      <c r="AF800" s="344"/>
      <c r="AG800" s="344"/>
      <c r="AH800" s="344"/>
      <c r="AI800" s="344"/>
      <c r="AJ800" s="344"/>
      <c r="AK800" s="344"/>
      <c r="AL800" s="344"/>
      <c r="AM800" s="344"/>
      <c r="AN800" s="344"/>
      <c r="AO800" s="344"/>
    </row>
    <row r="801" spans="1:41" ht="15.75" customHeight="1" x14ac:dyDescent="0.25">
      <c r="A801" s="344"/>
      <c r="B801" s="353"/>
      <c r="C801" s="344"/>
      <c r="D801" s="344"/>
      <c r="E801" s="344"/>
      <c r="F801" s="344"/>
      <c r="G801" s="344"/>
      <c r="H801" s="344"/>
      <c r="I801" s="344"/>
      <c r="J801" s="344"/>
      <c r="K801" s="344"/>
      <c r="L801" s="344"/>
      <c r="M801" s="344"/>
      <c r="N801" s="344"/>
      <c r="O801" s="344"/>
      <c r="P801" s="344"/>
      <c r="Q801" s="344"/>
      <c r="R801" s="344"/>
      <c r="S801" s="344"/>
      <c r="T801" s="344"/>
      <c r="U801" s="344"/>
      <c r="V801" s="344"/>
      <c r="W801" s="344"/>
      <c r="X801" s="344"/>
      <c r="Y801" s="344"/>
      <c r="Z801" s="344"/>
      <c r="AA801" s="344"/>
      <c r="AB801" s="344"/>
      <c r="AC801" s="344"/>
      <c r="AD801" s="344"/>
      <c r="AE801" s="344"/>
      <c r="AF801" s="344"/>
      <c r="AG801" s="344"/>
      <c r="AH801" s="344"/>
      <c r="AI801" s="344"/>
      <c r="AJ801" s="344"/>
      <c r="AK801" s="344"/>
      <c r="AL801" s="344"/>
      <c r="AM801" s="344"/>
      <c r="AN801" s="344"/>
      <c r="AO801" s="344"/>
    </row>
    <row r="802" spans="1:41" ht="15.75" customHeight="1" x14ac:dyDescent="0.25">
      <c r="A802" s="344"/>
      <c r="B802" s="353"/>
      <c r="C802" s="344"/>
      <c r="D802" s="344"/>
      <c r="E802" s="344"/>
      <c r="F802" s="344"/>
      <c r="G802" s="344"/>
      <c r="H802" s="344"/>
      <c r="I802" s="344"/>
      <c r="J802" s="344"/>
      <c r="K802" s="344"/>
      <c r="L802" s="344"/>
      <c r="M802" s="344"/>
      <c r="N802" s="344"/>
      <c r="O802" s="344"/>
      <c r="P802" s="344"/>
      <c r="Q802" s="344"/>
      <c r="R802" s="344"/>
      <c r="S802" s="344"/>
      <c r="T802" s="344"/>
      <c r="U802" s="344"/>
      <c r="V802" s="344"/>
      <c r="W802" s="344"/>
      <c r="X802" s="344"/>
      <c r="Y802" s="344"/>
      <c r="Z802" s="344"/>
      <c r="AA802" s="344"/>
      <c r="AB802" s="344"/>
      <c r="AC802" s="344"/>
      <c r="AD802" s="344"/>
      <c r="AE802" s="344"/>
      <c r="AF802" s="344"/>
      <c r="AG802" s="344"/>
      <c r="AH802" s="344"/>
      <c r="AI802" s="344"/>
      <c r="AJ802" s="344"/>
      <c r="AK802" s="344"/>
      <c r="AL802" s="344"/>
      <c r="AM802" s="344"/>
      <c r="AN802" s="344"/>
      <c r="AO802" s="344"/>
    </row>
    <row r="803" spans="1:41" ht="15.75" customHeight="1" x14ac:dyDescent="0.25">
      <c r="A803" s="344"/>
      <c r="B803" s="353"/>
      <c r="C803" s="344"/>
      <c r="D803" s="344"/>
      <c r="E803" s="344"/>
      <c r="F803" s="344"/>
      <c r="G803" s="344"/>
      <c r="H803" s="344"/>
      <c r="I803" s="344"/>
      <c r="J803" s="344"/>
      <c r="K803" s="344"/>
      <c r="L803" s="344"/>
      <c r="M803" s="344"/>
      <c r="N803" s="344"/>
      <c r="O803" s="344"/>
      <c r="P803" s="344"/>
      <c r="Q803" s="344"/>
      <c r="R803" s="344"/>
      <c r="S803" s="344"/>
      <c r="T803" s="344"/>
      <c r="U803" s="344"/>
      <c r="V803" s="344"/>
      <c r="W803" s="344"/>
      <c r="X803" s="344"/>
      <c r="Y803" s="344"/>
      <c r="Z803" s="344"/>
      <c r="AA803" s="344"/>
      <c r="AB803" s="344"/>
      <c r="AC803" s="344"/>
      <c r="AD803" s="344"/>
      <c r="AE803" s="344"/>
      <c r="AF803" s="344"/>
      <c r="AG803" s="344"/>
      <c r="AH803" s="344"/>
      <c r="AI803" s="344"/>
      <c r="AJ803" s="344"/>
      <c r="AK803" s="344"/>
      <c r="AL803" s="344"/>
      <c r="AM803" s="344"/>
      <c r="AN803" s="344"/>
      <c r="AO803" s="344"/>
    </row>
    <row r="804" spans="1:41" ht="15.75" customHeight="1" x14ac:dyDescent="0.25">
      <c r="A804" s="344"/>
      <c r="B804" s="353"/>
      <c r="C804" s="344"/>
      <c r="D804" s="344"/>
      <c r="E804" s="344"/>
      <c r="F804" s="344"/>
      <c r="G804" s="344"/>
      <c r="H804" s="344"/>
      <c r="I804" s="344"/>
      <c r="J804" s="344"/>
      <c r="K804" s="344"/>
      <c r="L804" s="344"/>
      <c r="M804" s="344"/>
      <c r="N804" s="344"/>
      <c r="O804" s="344"/>
      <c r="P804" s="344"/>
      <c r="Q804" s="344"/>
      <c r="R804" s="344"/>
      <c r="S804" s="344"/>
      <c r="T804" s="344"/>
      <c r="U804" s="344"/>
      <c r="V804" s="344"/>
      <c r="W804" s="344"/>
      <c r="X804" s="344"/>
      <c r="Y804" s="344"/>
      <c r="Z804" s="344"/>
      <c r="AA804" s="344"/>
      <c r="AB804" s="344"/>
      <c r="AC804" s="344"/>
      <c r="AD804" s="344"/>
      <c r="AE804" s="344"/>
      <c r="AF804" s="344"/>
      <c r="AG804" s="344"/>
      <c r="AH804" s="344"/>
      <c r="AI804" s="344"/>
      <c r="AJ804" s="344"/>
      <c r="AK804" s="344"/>
      <c r="AL804" s="344"/>
      <c r="AM804" s="344"/>
      <c r="AN804" s="344"/>
      <c r="AO804" s="344"/>
    </row>
    <row r="805" spans="1:41" ht="15.75" customHeight="1" x14ac:dyDescent="0.25">
      <c r="A805" s="344"/>
      <c r="B805" s="353"/>
      <c r="C805" s="344"/>
      <c r="D805" s="344"/>
      <c r="E805" s="344"/>
      <c r="F805" s="344"/>
      <c r="G805" s="344"/>
      <c r="H805" s="344"/>
      <c r="I805" s="344"/>
      <c r="J805" s="344"/>
      <c r="K805" s="344"/>
      <c r="L805" s="344"/>
      <c r="M805" s="344"/>
      <c r="N805" s="344"/>
      <c r="O805" s="344"/>
      <c r="P805" s="344"/>
      <c r="Q805" s="344"/>
      <c r="R805" s="344"/>
      <c r="S805" s="344"/>
      <c r="T805" s="344"/>
      <c r="U805" s="344"/>
      <c r="V805" s="344"/>
      <c r="W805" s="344"/>
      <c r="X805" s="344"/>
      <c r="Y805" s="344"/>
      <c r="Z805" s="344"/>
      <c r="AA805" s="344"/>
      <c r="AB805" s="344"/>
      <c r="AC805" s="344"/>
      <c r="AD805" s="344"/>
      <c r="AE805" s="344"/>
      <c r="AF805" s="344"/>
      <c r="AG805" s="344"/>
      <c r="AH805" s="344"/>
      <c r="AI805" s="344"/>
      <c r="AJ805" s="344"/>
      <c r="AK805" s="344"/>
      <c r="AL805" s="344"/>
      <c r="AM805" s="344"/>
      <c r="AN805" s="344"/>
      <c r="AO805" s="344"/>
    </row>
    <row r="806" spans="1:41" ht="15.75" customHeight="1" x14ac:dyDescent="0.25">
      <c r="A806" s="344"/>
      <c r="B806" s="353"/>
      <c r="C806" s="344"/>
      <c r="D806" s="344"/>
      <c r="E806" s="344"/>
      <c r="F806" s="344"/>
      <c r="G806" s="344"/>
      <c r="H806" s="344"/>
      <c r="I806" s="344"/>
      <c r="J806" s="344"/>
      <c r="K806" s="344"/>
      <c r="L806" s="344"/>
      <c r="M806" s="344"/>
      <c r="N806" s="344"/>
      <c r="O806" s="344"/>
      <c r="P806" s="344"/>
      <c r="Q806" s="344"/>
      <c r="R806" s="344"/>
      <c r="S806" s="344"/>
      <c r="T806" s="344"/>
      <c r="U806" s="344"/>
      <c r="V806" s="344"/>
      <c r="W806" s="344"/>
      <c r="X806" s="344"/>
      <c r="Y806" s="344"/>
      <c r="Z806" s="344"/>
      <c r="AA806" s="344"/>
      <c r="AB806" s="344"/>
      <c r="AC806" s="344"/>
      <c r="AD806" s="344"/>
      <c r="AE806" s="344"/>
      <c r="AF806" s="344"/>
      <c r="AG806" s="344"/>
      <c r="AH806" s="344"/>
      <c r="AI806" s="344"/>
      <c r="AJ806" s="344"/>
      <c r="AK806" s="344"/>
      <c r="AL806" s="344"/>
      <c r="AM806" s="344"/>
      <c r="AN806" s="344"/>
      <c r="AO806" s="344"/>
    </row>
    <row r="807" spans="1:41" ht="15.75" customHeight="1" x14ac:dyDescent="0.25">
      <c r="A807" s="344"/>
      <c r="B807" s="353"/>
      <c r="C807" s="344"/>
      <c r="D807" s="344"/>
      <c r="E807" s="344"/>
      <c r="F807" s="344"/>
      <c r="G807" s="344"/>
      <c r="H807" s="344"/>
      <c r="I807" s="344"/>
      <c r="J807" s="344"/>
      <c r="K807" s="344"/>
      <c r="L807" s="344"/>
      <c r="M807" s="344"/>
      <c r="N807" s="344"/>
      <c r="O807" s="344"/>
      <c r="P807" s="344"/>
      <c r="Q807" s="344"/>
      <c r="R807" s="344"/>
      <c r="S807" s="344"/>
      <c r="T807" s="344"/>
      <c r="U807" s="344"/>
      <c r="V807" s="344"/>
      <c r="W807" s="344"/>
      <c r="X807" s="344"/>
      <c r="Y807" s="344"/>
      <c r="Z807" s="344"/>
      <c r="AA807" s="344"/>
      <c r="AB807" s="344"/>
      <c r="AC807" s="344"/>
      <c r="AD807" s="344"/>
      <c r="AE807" s="344"/>
      <c r="AF807" s="344"/>
      <c r="AG807" s="344"/>
      <c r="AH807" s="344"/>
      <c r="AI807" s="344"/>
      <c r="AJ807" s="344"/>
      <c r="AK807" s="344"/>
      <c r="AL807" s="344"/>
      <c r="AM807" s="344"/>
      <c r="AN807" s="344"/>
      <c r="AO807" s="344"/>
    </row>
    <row r="808" spans="1:41" ht="15.75" customHeight="1" x14ac:dyDescent="0.25">
      <c r="A808" s="344"/>
      <c r="B808" s="353"/>
      <c r="C808" s="344"/>
      <c r="D808" s="344"/>
      <c r="E808" s="344"/>
      <c r="F808" s="344"/>
      <c r="G808" s="344"/>
      <c r="H808" s="344"/>
      <c r="I808" s="344"/>
      <c r="J808" s="344"/>
      <c r="K808" s="344"/>
      <c r="L808" s="344"/>
      <c r="M808" s="344"/>
      <c r="N808" s="344"/>
      <c r="O808" s="344"/>
      <c r="P808" s="344"/>
      <c r="Q808" s="344"/>
      <c r="R808" s="344"/>
      <c r="S808" s="344"/>
      <c r="T808" s="344"/>
      <c r="U808" s="344"/>
      <c r="V808" s="344"/>
      <c r="W808" s="344"/>
      <c r="X808" s="344"/>
      <c r="Y808" s="344"/>
      <c r="Z808" s="344"/>
      <c r="AA808" s="344"/>
      <c r="AB808" s="344"/>
      <c r="AC808" s="344"/>
      <c r="AD808" s="344"/>
      <c r="AE808" s="344"/>
      <c r="AF808" s="344"/>
      <c r="AG808" s="344"/>
      <c r="AH808" s="344"/>
      <c r="AI808" s="344"/>
      <c r="AJ808" s="344"/>
      <c r="AK808" s="344"/>
      <c r="AL808" s="344"/>
      <c r="AM808" s="344"/>
      <c r="AN808" s="344"/>
      <c r="AO808" s="344"/>
    </row>
    <row r="809" spans="1:41" ht="15.75" customHeight="1" x14ac:dyDescent="0.25">
      <c r="A809" s="344"/>
      <c r="B809" s="353"/>
      <c r="C809" s="344"/>
      <c r="D809" s="344"/>
      <c r="E809" s="344"/>
      <c r="F809" s="344"/>
      <c r="G809" s="344"/>
      <c r="H809" s="344"/>
      <c r="I809" s="344"/>
      <c r="J809" s="344"/>
      <c r="K809" s="344"/>
      <c r="L809" s="344"/>
      <c r="M809" s="344"/>
      <c r="N809" s="344"/>
      <c r="O809" s="344"/>
      <c r="P809" s="344"/>
      <c r="Q809" s="344"/>
      <c r="R809" s="344"/>
      <c r="S809" s="344"/>
      <c r="T809" s="344"/>
      <c r="U809" s="344"/>
      <c r="V809" s="344"/>
      <c r="W809" s="344"/>
      <c r="X809" s="344"/>
      <c r="Y809" s="344"/>
      <c r="Z809" s="344"/>
      <c r="AA809" s="344"/>
      <c r="AB809" s="344"/>
      <c r="AC809" s="344"/>
      <c r="AD809" s="344"/>
      <c r="AE809" s="344"/>
      <c r="AF809" s="344"/>
      <c r="AG809" s="344"/>
      <c r="AH809" s="344"/>
      <c r="AI809" s="344"/>
      <c r="AJ809" s="344"/>
      <c r="AK809" s="344"/>
      <c r="AL809" s="344"/>
      <c r="AM809" s="344"/>
      <c r="AN809" s="344"/>
      <c r="AO809" s="344"/>
    </row>
    <row r="810" spans="1:41" ht="15.75" customHeight="1" x14ac:dyDescent="0.25">
      <c r="A810" s="344"/>
      <c r="B810" s="353"/>
      <c r="C810" s="344"/>
      <c r="D810" s="344"/>
      <c r="E810" s="344"/>
      <c r="F810" s="344"/>
      <c r="G810" s="344"/>
      <c r="H810" s="344"/>
      <c r="I810" s="344"/>
      <c r="J810" s="344"/>
      <c r="K810" s="344"/>
      <c r="L810" s="344"/>
      <c r="M810" s="344"/>
      <c r="N810" s="344"/>
      <c r="O810" s="344"/>
      <c r="P810" s="344"/>
      <c r="Q810" s="344"/>
      <c r="R810" s="344"/>
      <c r="S810" s="344"/>
      <c r="T810" s="344"/>
      <c r="U810" s="344"/>
      <c r="V810" s="344"/>
      <c r="W810" s="344"/>
      <c r="X810" s="344"/>
      <c r="Y810" s="344"/>
      <c r="Z810" s="344"/>
      <c r="AA810" s="344"/>
      <c r="AB810" s="344"/>
      <c r="AC810" s="344"/>
      <c r="AD810" s="344"/>
      <c r="AE810" s="344"/>
      <c r="AF810" s="344"/>
      <c r="AG810" s="344"/>
      <c r="AH810" s="344"/>
      <c r="AI810" s="344"/>
      <c r="AJ810" s="344"/>
      <c r="AK810" s="344"/>
      <c r="AL810" s="344"/>
      <c r="AM810" s="344"/>
      <c r="AN810" s="344"/>
      <c r="AO810" s="344"/>
    </row>
    <row r="811" spans="1:41" ht="15.75" customHeight="1" x14ac:dyDescent="0.25">
      <c r="A811" s="344"/>
      <c r="B811" s="353"/>
      <c r="C811" s="344"/>
      <c r="D811" s="344"/>
      <c r="E811" s="344"/>
      <c r="F811" s="344"/>
      <c r="G811" s="344"/>
      <c r="H811" s="344"/>
      <c r="I811" s="344"/>
      <c r="J811" s="344"/>
      <c r="K811" s="344"/>
      <c r="L811" s="344"/>
      <c r="M811" s="344"/>
      <c r="N811" s="344"/>
      <c r="O811" s="344"/>
      <c r="P811" s="344"/>
      <c r="Q811" s="344"/>
      <c r="R811" s="344"/>
      <c r="S811" s="344"/>
      <c r="T811" s="344"/>
      <c r="U811" s="344"/>
      <c r="V811" s="344"/>
      <c r="W811" s="344"/>
      <c r="X811" s="344"/>
      <c r="Y811" s="344"/>
      <c r="Z811" s="344"/>
      <c r="AA811" s="344"/>
      <c r="AB811" s="344"/>
      <c r="AC811" s="344"/>
      <c r="AD811" s="344"/>
      <c r="AE811" s="344"/>
      <c r="AF811" s="344"/>
      <c r="AG811" s="344"/>
      <c r="AH811" s="344"/>
      <c r="AI811" s="344"/>
      <c r="AJ811" s="344"/>
      <c r="AK811" s="344"/>
      <c r="AL811" s="344"/>
      <c r="AM811" s="344"/>
      <c r="AN811" s="344"/>
      <c r="AO811" s="344"/>
    </row>
    <row r="812" spans="1:41" ht="15.75" customHeight="1" x14ac:dyDescent="0.25">
      <c r="A812" s="344"/>
      <c r="B812" s="353"/>
      <c r="C812" s="344"/>
      <c r="D812" s="344"/>
      <c r="E812" s="344"/>
      <c r="F812" s="344"/>
      <c r="G812" s="344"/>
      <c r="H812" s="344"/>
      <c r="I812" s="344"/>
      <c r="J812" s="344"/>
      <c r="K812" s="344"/>
      <c r="L812" s="344"/>
      <c r="M812" s="344"/>
      <c r="N812" s="344"/>
      <c r="O812" s="344"/>
      <c r="P812" s="344"/>
      <c r="Q812" s="344"/>
      <c r="R812" s="344"/>
      <c r="S812" s="344"/>
      <c r="T812" s="344"/>
      <c r="U812" s="344"/>
      <c r="V812" s="344"/>
      <c r="W812" s="344"/>
      <c r="X812" s="344"/>
      <c r="Y812" s="344"/>
      <c r="Z812" s="344"/>
      <c r="AA812" s="344"/>
      <c r="AB812" s="344"/>
      <c r="AC812" s="344"/>
      <c r="AD812" s="344"/>
      <c r="AE812" s="344"/>
      <c r="AF812" s="344"/>
      <c r="AG812" s="344"/>
      <c r="AH812" s="344"/>
      <c r="AI812" s="344"/>
      <c r="AJ812" s="344"/>
      <c r="AK812" s="344"/>
      <c r="AL812" s="344"/>
      <c r="AM812" s="344"/>
      <c r="AN812" s="344"/>
      <c r="AO812" s="344"/>
    </row>
    <row r="813" spans="1:41" ht="15.75" customHeight="1" x14ac:dyDescent="0.25">
      <c r="A813" s="344"/>
      <c r="B813" s="353"/>
      <c r="C813" s="344"/>
      <c r="D813" s="344"/>
      <c r="E813" s="344"/>
      <c r="F813" s="344"/>
      <c r="G813" s="344"/>
      <c r="H813" s="344"/>
      <c r="I813" s="344"/>
      <c r="J813" s="344"/>
      <c r="K813" s="344"/>
      <c r="L813" s="344"/>
      <c r="M813" s="344"/>
      <c r="N813" s="344"/>
      <c r="O813" s="344"/>
      <c r="P813" s="344"/>
      <c r="Q813" s="344"/>
      <c r="R813" s="344"/>
      <c r="S813" s="344"/>
      <c r="T813" s="344"/>
      <c r="U813" s="344"/>
      <c r="V813" s="344"/>
      <c r="W813" s="344"/>
      <c r="X813" s="344"/>
      <c r="Y813" s="344"/>
      <c r="Z813" s="344"/>
      <c r="AA813" s="344"/>
      <c r="AB813" s="344"/>
      <c r="AC813" s="344"/>
      <c r="AD813" s="344"/>
      <c r="AE813" s="344"/>
      <c r="AF813" s="344"/>
      <c r="AG813" s="344"/>
      <c r="AH813" s="344"/>
      <c r="AI813" s="344"/>
      <c r="AJ813" s="344"/>
      <c r="AK813" s="344"/>
      <c r="AL813" s="344"/>
      <c r="AM813" s="344"/>
      <c r="AN813" s="344"/>
      <c r="AO813" s="344"/>
    </row>
    <row r="814" spans="1:41" ht="15.75" customHeight="1" x14ac:dyDescent="0.25">
      <c r="A814" s="344"/>
      <c r="B814" s="353"/>
      <c r="C814" s="344"/>
      <c r="D814" s="344"/>
      <c r="E814" s="344"/>
      <c r="F814" s="344"/>
      <c r="G814" s="344"/>
      <c r="H814" s="344"/>
      <c r="I814" s="344"/>
      <c r="J814" s="344"/>
      <c r="K814" s="344"/>
      <c r="L814" s="344"/>
      <c r="M814" s="344"/>
      <c r="N814" s="344"/>
      <c r="O814" s="344"/>
      <c r="P814" s="344"/>
      <c r="Q814" s="344"/>
      <c r="R814" s="344"/>
      <c r="S814" s="344"/>
      <c r="T814" s="344"/>
      <c r="U814" s="344"/>
      <c r="V814" s="344"/>
      <c r="W814" s="344"/>
      <c r="X814" s="344"/>
      <c r="Y814" s="344"/>
      <c r="Z814" s="344"/>
      <c r="AA814" s="344"/>
      <c r="AB814" s="344"/>
      <c r="AC814" s="344"/>
      <c r="AD814" s="344"/>
      <c r="AE814" s="344"/>
      <c r="AF814" s="344"/>
      <c r="AG814" s="344"/>
      <c r="AH814" s="344"/>
      <c r="AI814" s="344"/>
      <c r="AJ814" s="344"/>
      <c r="AK814" s="344"/>
      <c r="AL814" s="344"/>
      <c r="AM814" s="344"/>
      <c r="AN814" s="344"/>
      <c r="AO814" s="344"/>
    </row>
    <row r="815" spans="1:41" ht="15.75" customHeight="1" x14ac:dyDescent="0.25">
      <c r="A815" s="344"/>
      <c r="B815" s="353"/>
      <c r="C815" s="344"/>
      <c r="D815" s="344"/>
      <c r="E815" s="344"/>
      <c r="F815" s="344"/>
      <c r="G815" s="344"/>
      <c r="H815" s="344"/>
      <c r="I815" s="344"/>
      <c r="J815" s="344"/>
      <c r="K815" s="344"/>
      <c r="L815" s="344"/>
      <c r="M815" s="344"/>
      <c r="N815" s="344"/>
      <c r="O815" s="344"/>
      <c r="P815" s="344"/>
      <c r="Q815" s="344"/>
      <c r="R815" s="344"/>
      <c r="S815" s="344"/>
      <c r="T815" s="344"/>
      <c r="U815" s="344"/>
      <c r="V815" s="344"/>
      <c r="W815" s="344"/>
      <c r="X815" s="344"/>
      <c r="Y815" s="344"/>
      <c r="Z815" s="344"/>
      <c r="AA815" s="344"/>
      <c r="AB815" s="344"/>
      <c r="AC815" s="344"/>
      <c r="AD815" s="344"/>
      <c r="AE815" s="344"/>
      <c r="AF815" s="344"/>
      <c r="AG815" s="344"/>
      <c r="AH815" s="344"/>
      <c r="AI815" s="344"/>
      <c r="AJ815" s="344"/>
      <c r="AK815" s="344"/>
      <c r="AL815" s="344"/>
      <c r="AM815" s="344"/>
      <c r="AN815" s="344"/>
      <c r="AO815" s="344"/>
    </row>
    <row r="816" spans="1:41" ht="15.75" customHeight="1" x14ac:dyDescent="0.25">
      <c r="A816" s="344"/>
      <c r="B816" s="353"/>
      <c r="C816" s="344"/>
      <c r="D816" s="344"/>
      <c r="E816" s="344"/>
      <c r="F816" s="344"/>
      <c r="G816" s="344"/>
      <c r="H816" s="344"/>
      <c r="I816" s="344"/>
      <c r="J816" s="344"/>
      <c r="K816" s="344"/>
      <c r="L816" s="344"/>
      <c r="M816" s="344"/>
      <c r="N816" s="344"/>
      <c r="O816" s="344"/>
      <c r="P816" s="344"/>
      <c r="Q816" s="344"/>
      <c r="R816" s="344"/>
      <c r="S816" s="344"/>
      <c r="T816" s="344"/>
      <c r="U816" s="344"/>
      <c r="V816" s="344"/>
      <c r="W816" s="344"/>
      <c r="X816" s="344"/>
      <c r="Y816" s="344"/>
      <c r="Z816" s="344"/>
      <c r="AA816" s="344"/>
      <c r="AB816" s="344"/>
      <c r="AC816" s="344"/>
      <c r="AD816" s="344"/>
      <c r="AE816" s="344"/>
      <c r="AF816" s="344"/>
      <c r="AG816" s="344"/>
      <c r="AH816" s="344"/>
      <c r="AI816" s="344"/>
      <c r="AJ816" s="344"/>
      <c r="AK816" s="344"/>
      <c r="AL816" s="344"/>
      <c r="AM816" s="344"/>
      <c r="AN816" s="344"/>
      <c r="AO816" s="344"/>
    </row>
    <row r="817" spans="1:41" ht="15.75" customHeight="1" x14ac:dyDescent="0.25">
      <c r="A817" s="344"/>
      <c r="B817" s="353"/>
      <c r="C817" s="344"/>
      <c r="D817" s="344"/>
      <c r="E817" s="344"/>
      <c r="F817" s="344"/>
      <c r="G817" s="344"/>
      <c r="H817" s="344"/>
      <c r="I817" s="344"/>
      <c r="J817" s="344"/>
      <c r="K817" s="344"/>
      <c r="L817" s="344"/>
      <c r="M817" s="344"/>
      <c r="N817" s="344"/>
      <c r="O817" s="344"/>
      <c r="P817" s="344"/>
      <c r="Q817" s="344"/>
      <c r="R817" s="344"/>
      <c r="S817" s="344"/>
      <c r="T817" s="344"/>
      <c r="U817" s="344"/>
      <c r="V817" s="344"/>
      <c r="W817" s="344"/>
      <c r="X817" s="344"/>
      <c r="Y817" s="344"/>
      <c r="Z817" s="344"/>
      <c r="AA817" s="344"/>
      <c r="AB817" s="344"/>
      <c r="AC817" s="344"/>
      <c r="AD817" s="344"/>
      <c r="AE817" s="344"/>
      <c r="AF817" s="344"/>
      <c r="AG817" s="344"/>
      <c r="AH817" s="344"/>
      <c r="AI817" s="344"/>
      <c r="AJ817" s="344"/>
      <c r="AK817" s="344"/>
      <c r="AL817" s="344"/>
      <c r="AM817" s="344"/>
      <c r="AN817" s="344"/>
      <c r="AO817" s="344"/>
    </row>
    <row r="818" spans="1:41" ht="15.75" customHeight="1" x14ac:dyDescent="0.25">
      <c r="A818" s="344"/>
      <c r="B818" s="353"/>
      <c r="C818" s="344"/>
      <c r="D818" s="344"/>
      <c r="E818" s="344"/>
      <c r="F818" s="344"/>
      <c r="G818" s="344"/>
      <c r="H818" s="344"/>
      <c r="I818" s="344"/>
      <c r="J818" s="344"/>
      <c r="K818" s="344"/>
      <c r="L818" s="344"/>
      <c r="M818" s="344"/>
      <c r="N818" s="344"/>
      <c r="O818" s="344"/>
      <c r="P818" s="344"/>
      <c r="Q818" s="344"/>
      <c r="R818" s="344"/>
      <c r="S818" s="344"/>
      <c r="T818" s="344"/>
      <c r="U818" s="344"/>
      <c r="V818" s="344"/>
      <c r="W818" s="344"/>
      <c r="X818" s="344"/>
      <c r="Y818" s="344"/>
      <c r="Z818" s="344"/>
      <c r="AA818" s="344"/>
      <c r="AB818" s="344"/>
      <c r="AC818" s="344"/>
      <c r="AD818" s="344"/>
      <c r="AE818" s="344"/>
      <c r="AF818" s="344"/>
      <c r="AG818" s="344"/>
      <c r="AH818" s="344"/>
      <c r="AI818" s="344"/>
      <c r="AJ818" s="344"/>
      <c r="AK818" s="344"/>
      <c r="AL818" s="344"/>
      <c r="AM818" s="344"/>
      <c r="AN818" s="344"/>
      <c r="AO818" s="344"/>
    </row>
    <row r="819" spans="1:41" ht="15.75" customHeight="1" x14ac:dyDescent="0.25">
      <c r="A819" s="344"/>
      <c r="B819" s="353"/>
      <c r="C819" s="344"/>
      <c r="D819" s="344"/>
      <c r="E819" s="344"/>
      <c r="F819" s="344"/>
      <c r="G819" s="344"/>
      <c r="H819" s="344"/>
      <c r="I819" s="344"/>
      <c r="J819" s="344"/>
      <c r="K819" s="344"/>
      <c r="L819" s="344"/>
      <c r="M819" s="344"/>
      <c r="N819" s="344"/>
      <c r="O819" s="344"/>
      <c r="P819" s="344"/>
      <c r="Q819" s="344"/>
      <c r="R819" s="344"/>
      <c r="S819" s="344"/>
      <c r="T819" s="344"/>
      <c r="U819" s="344"/>
      <c r="V819" s="344"/>
      <c r="W819" s="344"/>
      <c r="X819" s="344"/>
      <c r="Y819" s="344"/>
      <c r="Z819" s="344"/>
      <c r="AA819" s="344"/>
      <c r="AB819" s="344"/>
      <c r="AC819" s="344"/>
      <c r="AD819" s="344"/>
      <c r="AE819" s="344"/>
      <c r="AF819" s="344"/>
      <c r="AG819" s="344"/>
      <c r="AH819" s="344"/>
      <c r="AI819" s="344"/>
      <c r="AJ819" s="344"/>
      <c r="AK819" s="344"/>
      <c r="AL819" s="344"/>
      <c r="AM819" s="344"/>
      <c r="AN819" s="344"/>
      <c r="AO819" s="344"/>
    </row>
    <row r="820" spans="1:41" ht="15.75" customHeight="1" x14ac:dyDescent="0.25">
      <c r="A820" s="344"/>
      <c r="B820" s="353"/>
      <c r="C820" s="344"/>
      <c r="D820" s="344"/>
      <c r="E820" s="344"/>
      <c r="F820" s="344"/>
      <c r="G820" s="344"/>
      <c r="H820" s="344"/>
      <c r="I820" s="344"/>
      <c r="J820" s="344"/>
      <c r="K820" s="344"/>
      <c r="L820" s="344"/>
      <c r="M820" s="344"/>
      <c r="N820" s="344"/>
      <c r="O820" s="344"/>
      <c r="P820" s="344"/>
      <c r="Q820" s="344"/>
      <c r="R820" s="344"/>
      <c r="S820" s="344"/>
      <c r="T820" s="344"/>
      <c r="U820" s="344"/>
      <c r="V820" s="344"/>
      <c r="W820" s="344"/>
      <c r="X820" s="344"/>
      <c r="Y820" s="344"/>
      <c r="Z820" s="344"/>
      <c r="AA820" s="344"/>
      <c r="AB820" s="344"/>
      <c r="AC820" s="344"/>
      <c r="AD820" s="344"/>
      <c r="AE820" s="344"/>
      <c r="AF820" s="344"/>
      <c r="AG820" s="344"/>
      <c r="AH820" s="344"/>
      <c r="AI820" s="344"/>
      <c r="AJ820" s="344"/>
      <c r="AK820" s="344"/>
      <c r="AL820" s="344"/>
      <c r="AM820" s="344"/>
      <c r="AN820" s="344"/>
      <c r="AO820" s="344"/>
    </row>
    <row r="821" spans="1:41" ht="15.75" customHeight="1" x14ac:dyDescent="0.25">
      <c r="A821" s="344"/>
      <c r="B821" s="353"/>
      <c r="C821" s="344"/>
      <c r="D821" s="344"/>
      <c r="E821" s="344"/>
      <c r="F821" s="344"/>
      <c r="G821" s="344"/>
      <c r="H821" s="344"/>
      <c r="I821" s="344"/>
      <c r="J821" s="344"/>
      <c r="K821" s="344"/>
      <c r="L821" s="344"/>
      <c r="M821" s="344"/>
      <c r="N821" s="344"/>
      <c r="O821" s="344"/>
      <c r="P821" s="344"/>
      <c r="Q821" s="344"/>
      <c r="R821" s="344"/>
      <c r="S821" s="344"/>
      <c r="T821" s="344"/>
      <c r="U821" s="344"/>
      <c r="V821" s="344"/>
      <c r="W821" s="344"/>
      <c r="X821" s="344"/>
      <c r="Y821" s="344"/>
      <c r="Z821" s="344"/>
      <c r="AA821" s="344"/>
      <c r="AB821" s="344"/>
      <c r="AC821" s="344"/>
      <c r="AD821" s="344"/>
      <c r="AE821" s="344"/>
      <c r="AF821" s="344"/>
      <c r="AG821" s="344"/>
      <c r="AH821" s="344"/>
      <c r="AI821" s="344"/>
      <c r="AJ821" s="344"/>
      <c r="AK821" s="344"/>
      <c r="AL821" s="344"/>
      <c r="AM821" s="344"/>
      <c r="AN821" s="344"/>
      <c r="AO821" s="344"/>
    </row>
    <row r="822" spans="1:41" ht="15.75" customHeight="1" x14ac:dyDescent="0.25">
      <c r="A822" s="344"/>
      <c r="B822" s="353"/>
      <c r="C822" s="344"/>
      <c r="D822" s="344"/>
      <c r="E822" s="344"/>
      <c r="F822" s="344"/>
      <c r="G822" s="344"/>
      <c r="H822" s="344"/>
      <c r="I822" s="344"/>
      <c r="J822" s="344"/>
      <c r="K822" s="344"/>
      <c r="L822" s="344"/>
      <c r="M822" s="344"/>
      <c r="N822" s="344"/>
      <c r="O822" s="344"/>
      <c r="P822" s="344"/>
      <c r="Q822" s="344"/>
      <c r="R822" s="344"/>
      <c r="S822" s="344"/>
      <c r="T822" s="344"/>
      <c r="U822" s="344"/>
      <c r="V822" s="344"/>
      <c r="W822" s="344"/>
      <c r="X822" s="344"/>
      <c r="Y822" s="344"/>
      <c r="Z822" s="344"/>
      <c r="AA822" s="344"/>
      <c r="AB822" s="344"/>
      <c r="AC822" s="344"/>
      <c r="AD822" s="344"/>
      <c r="AE822" s="344"/>
      <c r="AF822" s="344"/>
      <c r="AG822" s="344"/>
      <c r="AH822" s="344"/>
      <c r="AI822" s="344"/>
      <c r="AJ822" s="344"/>
      <c r="AK822" s="344"/>
      <c r="AL822" s="344"/>
      <c r="AM822" s="344"/>
      <c r="AN822" s="344"/>
      <c r="AO822" s="344"/>
    </row>
    <row r="823" spans="1:41" ht="15.75" customHeight="1" x14ac:dyDescent="0.25">
      <c r="A823" s="344"/>
      <c r="B823" s="353"/>
      <c r="C823" s="344"/>
      <c r="D823" s="344"/>
      <c r="E823" s="344"/>
      <c r="F823" s="344"/>
      <c r="G823" s="344"/>
      <c r="H823" s="344"/>
      <c r="I823" s="344"/>
      <c r="J823" s="344"/>
      <c r="K823" s="344"/>
      <c r="L823" s="344"/>
      <c r="M823" s="344"/>
      <c r="N823" s="344"/>
      <c r="O823" s="344"/>
      <c r="P823" s="344"/>
      <c r="Q823" s="344"/>
      <c r="R823" s="344"/>
      <c r="S823" s="344"/>
      <c r="T823" s="344"/>
      <c r="U823" s="344"/>
      <c r="V823" s="344"/>
      <c r="W823" s="344"/>
      <c r="X823" s="344"/>
      <c r="Y823" s="344"/>
      <c r="Z823" s="344"/>
      <c r="AA823" s="344"/>
      <c r="AB823" s="344"/>
      <c r="AC823" s="344"/>
      <c r="AD823" s="344"/>
      <c r="AE823" s="344"/>
      <c r="AF823" s="344"/>
      <c r="AG823" s="344"/>
      <c r="AH823" s="344"/>
      <c r="AI823" s="344"/>
      <c r="AJ823" s="344"/>
      <c r="AK823" s="344"/>
      <c r="AL823" s="344"/>
      <c r="AM823" s="344"/>
      <c r="AN823" s="344"/>
      <c r="AO823" s="344"/>
    </row>
    <row r="824" spans="1:41" ht="15.75" customHeight="1" x14ac:dyDescent="0.25">
      <c r="A824" s="344"/>
      <c r="B824" s="353"/>
      <c r="C824" s="344"/>
      <c r="D824" s="344"/>
      <c r="E824" s="344"/>
      <c r="F824" s="344"/>
      <c r="G824" s="344"/>
      <c r="H824" s="344"/>
      <c r="I824" s="344"/>
      <c r="J824" s="344"/>
      <c r="K824" s="344"/>
      <c r="L824" s="344"/>
      <c r="M824" s="344"/>
      <c r="N824" s="344"/>
      <c r="O824" s="344"/>
      <c r="P824" s="344"/>
      <c r="Q824" s="344"/>
      <c r="R824" s="344"/>
      <c r="S824" s="344"/>
      <c r="T824" s="344"/>
      <c r="U824" s="344"/>
      <c r="V824" s="344"/>
      <c r="W824" s="344"/>
      <c r="X824" s="344"/>
      <c r="Y824" s="344"/>
      <c r="Z824" s="344"/>
      <c r="AA824" s="344"/>
      <c r="AB824" s="344"/>
      <c r="AC824" s="344"/>
      <c r="AD824" s="344"/>
      <c r="AE824" s="344"/>
      <c r="AF824" s="344"/>
      <c r="AG824" s="344"/>
      <c r="AH824" s="344"/>
      <c r="AI824" s="344"/>
      <c r="AJ824" s="344"/>
      <c r="AK824" s="344"/>
      <c r="AL824" s="344"/>
      <c r="AM824" s="344"/>
      <c r="AN824" s="344"/>
      <c r="AO824" s="344"/>
    </row>
    <row r="825" spans="1:41" ht="15.75" customHeight="1" x14ac:dyDescent="0.25">
      <c r="A825" s="344"/>
      <c r="B825" s="353"/>
      <c r="C825" s="344"/>
      <c r="D825" s="344"/>
      <c r="E825" s="344"/>
      <c r="F825" s="344"/>
      <c r="G825" s="344"/>
      <c r="H825" s="344"/>
      <c r="I825" s="344"/>
      <c r="J825" s="344"/>
      <c r="K825" s="344"/>
      <c r="L825" s="344"/>
      <c r="M825" s="344"/>
      <c r="N825" s="344"/>
      <c r="O825" s="344"/>
      <c r="P825" s="344"/>
      <c r="Q825" s="344"/>
      <c r="R825" s="344"/>
      <c r="S825" s="344"/>
      <c r="T825" s="344"/>
      <c r="U825" s="344"/>
      <c r="V825" s="344"/>
      <c r="W825" s="344"/>
      <c r="X825" s="344"/>
      <c r="Y825" s="344"/>
      <c r="Z825" s="344"/>
      <c r="AA825" s="344"/>
      <c r="AB825" s="344"/>
      <c r="AC825" s="344"/>
      <c r="AD825" s="344"/>
      <c r="AE825" s="344"/>
      <c r="AF825" s="344"/>
      <c r="AG825" s="344"/>
      <c r="AH825" s="344"/>
      <c r="AI825" s="344"/>
      <c r="AJ825" s="344"/>
      <c r="AK825" s="344"/>
      <c r="AL825" s="344"/>
      <c r="AM825" s="344"/>
      <c r="AN825" s="344"/>
      <c r="AO825" s="344"/>
    </row>
    <row r="826" spans="1:41" ht="15.75" customHeight="1" x14ac:dyDescent="0.25">
      <c r="A826" s="344"/>
      <c r="B826" s="353"/>
      <c r="C826" s="344"/>
      <c r="D826" s="344"/>
      <c r="E826" s="344"/>
      <c r="F826" s="344"/>
      <c r="G826" s="344"/>
      <c r="H826" s="344"/>
      <c r="I826" s="344"/>
      <c r="J826" s="344"/>
      <c r="K826" s="344"/>
      <c r="L826" s="344"/>
      <c r="M826" s="344"/>
      <c r="N826" s="344"/>
      <c r="O826" s="344"/>
      <c r="P826" s="344"/>
      <c r="Q826" s="344"/>
      <c r="R826" s="344"/>
      <c r="S826" s="344"/>
      <c r="T826" s="344"/>
      <c r="U826" s="344"/>
      <c r="V826" s="344"/>
      <c r="W826" s="344"/>
      <c r="X826" s="344"/>
      <c r="Y826" s="344"/>
      <c r="Z826" s="344"/>
      <c r="AA826" s="344"/>
      <c r="AB826" s="344"/>
      <c r="AC826" s="344"/>
      <c r="AD826" s="344"/>
      <c r="AE826" s="344"/>
      <c r="AF826" s="344"/>
      <c r="AG826" s="344"/>
      <c r="AH826" s="344"/>
      <c r="AI826" s="344"/>
      <c r="AJ826" s="344"/>
      <c r="AK826" s="344"/>
      <c r="AL826" s="344"/>
      <c r="AM826" s="344"/>
      <c r="AN826" s="344"/>
      <c r="AO826" s="344"/>
    </row>
    <row r="827" spans="1:41" ht="15.75" customHeight="1" x14ac:dyDescent="0.25">
      <c r="A827" s="344"/>
      <c r="B827" s="353"/>
      <c r="C827" s="344"/>
      <c r="D827" s="344"/>
      <c r="E827" s="344"/>
      <c r="F827" s="344"/>
      <c r="G827" s="344"/>
      <c r="H827" s="344"/>
      <c r="I827" s="344"/>
      <c r="J827" s="344"/>
      <c r="K827" s="344"/>
      <c r="L827" s="344"/>
      <c r="M827" s="344"/>
      <c r="N827" s="344"/>
      <c r="O827" s="344"/>
      <c r="P827" s="344"/>
      <c r="Q827" s="344"/>
      <c r="R827" s="344"/>
      <c r="S827" s="344"/>
      <c r="T827" s="344"/>
      <c r="U827" s="344"/>
      <c r="V827" s="344"/>
      <c r="W827" s="344"/>
      <c r="X827" s="344"/>
      <c r="Y827" s="344"/>
      <c r="Z827" s="344"/>
      <c r="AA827" s="344"/>
      <c r="AB827" s="344"/>
      <c r="AC827" s="344"/>
      <c r="AD827" s="344"/>
      <c r="AE827" s="344"/>
      <c r="AF827" s="344"/>
      <c r="AG827" s="344"/>
      <c r="AH827" s="344"/>
      <c r="AI827" s="344"/>
      <c r="AJ827" s="344"/>
      <c r="AK827" s="344"/>
      <c r="AL827" s="344"/>
      <c r="AM827" s="344"/>
      <c r="AN827" s="344"/>
      <c r="AO827" s="344"/>
    </row>
    <row r="828" spans="1:41" ht="15.75" customHeight="1" x14ac:dyDescent="0.25">
      <c r="A828" s="344"/>
      <c r="B828" s="353"/>
      <c r="C828" s="344"/>
      <c r="D828" s="344"/>
      <c r="E828" s="344"/>
      <c r="F828" s="344"/>
      <c r="G828" s="344"/>
      <c r="H828" s="344"/>
      <c r="I828" s="344"/>
      <c r="J828" s="344"/>
      <c r="K828" s="344"/>
      <c r="L828" s="344"/>
      <c r="M828" s="344"/>
      <c r="N828" s="344"/>
      <c r="O828" s="344"/>
      <c r="P828" s="344"/>
      <c r="Q828" s="344"/>
      <c r="R828" s="344"/>
      <c r="S828" s="344"/>
      <c r="T828" s="344"/>
      <c r="U828" s="344"/>
      <c r="V828" s="344"/>
      <c r="W828" s="344"/>
      <c r="X828" s="344"/>
      <c r="Y828" s="344"/>
      <c r="Z828" s="344"/>
      <c r="AA828" s="344"/>
      <c r="AB828" s="344"/>
      <c r="AC828" s="344"/>
      <c r="AD828" s="344"/>
      <c r="AE828" s="344"/>
      <c r="AF828" s="344"/>
      <c r="AG828" s="344"/>
      <c r="AH828" s="344"/>
      <c r="AI828" s="344"/>
      <c r="AJ828" s="344"/>
      <c r="AK828" s="344"/>
      <c r="AL828" s="344"/>
      <c r="AM828" s="344"/>
      <c r="AN828" s="344"/>
      <c r="AO828" s="344"/>
    </row>
    <row r="829" spans="1:41" ht="15.75" customHeight="1" x14ac:dyDescent="0.25">
      <c r="A829" s="344"/>
      <c r="B829" s="353"/>
      <c r="C829" s="344"/>
      <c r="D829" s="344"/>
      <c r="E829" s="344"/>
      <c r="F829" s="344"/>
      <c r="G829" s="344"/>
      <c r="H829" s="344"/>
      <c r="I829" s="344"/>
      <c r="J829" s="344"/>
      <c r="K829" s="344"/>
      <c r="L829" s="344"/>
      <c r="M829" s="344"/>
      <c r="N829" s="344"/>
      <c r="O829" s="344"/>
      <c r="P829" s="344"/>
      <c r="Q829" s="344"/>
      <c r="R829" s="344"/>
      <c r="S829" s="344"/>
      <c r="T829" s="344"/>
      <c r="U829" s="344"/>
      <c r="V829" s="344"/>
      <c r="W829" s="344"/>
      <c r="X829" s="344"/>
      <c r="Y829" s="344"/>
      <c r="Z829" s="344"/>
      <c r="AA829" s="344"/>
      <c r="AB829" s="344"/>
      <c r="AC829" s="344"/>
      <c r="AD829" s="344"/>
      <c r="AE829" s="344"/>
      <c r="AF829" s="344"/>
      <c r="AG829" s="344"/>
      <c r="AH829" s="344"/>
      <c r="AI829" s="344"/>
      <c r="AJ829" s="344"/>
      <c r="AK829" s="344"/>
      <c r="AL829" s="344"/>
      <c r="AM829" s="344"/>
      <c r="AN829" s="344"/>
      <c r="AO829" s="344"/>
    </row>
    <row r="830" spans="1:41" ht="15.75" customHeight="1" x14ac:dyDescent="0.25">
      <c r="A830" s="344"/>
      <c r="B830" s="353"/>
      <c r="C830" s="344"/>
      <c r="D830" s="344"/>
      <c r="E830" s="344"/>
      <c r="F830" s="344"/>
      <c r="G830" s="344"/>
      <c r="H830" s="344"/>
      <c r="I830" s="344"/>
      <c r="J830" s="344"/>
      <c r="K830" s="344"/>
      <c r="L830" s="344"/>
      <c r="M830" s="344"/>
      <c r="N830" s="344"/>
      <c r="O830" s="344"/>
      <c r="P830" s="344"/>
      <c r="Q830" s="344"/>
      <c r="R830" s="344"/>
      <c r="S830" s="344"/>
      <c r="T830" s="344"/>
      <c r="U830" s="344"/>
      <c r="V830" s="344"/>
      <c r="W830" s="344"/>
      <c r="X830" s="344"/>
      <c r="Y830" s="344"/>
      <c r="Z830" s="344"/>
      <c r="AA830" s="344"/>
      <c r="AB830" s="344"/>
      <c r="AC830" s="344"/>
      <c r="AD830" s="344"/>
      <c r="AE830" s="344"/>
      <c r="AF830" s="344"/>
      <c r="AG830" s="344"/>
      <c r="AH830" s="344"/>
      <c r="AI830" s="344"/>
      <c r="AJ830" s="344"/>
      <c r="AK830" s="344"/>
      <c r="AL830" s="344"/>
      <c r="AM830" s="344"/>
      <c r="AN830" s="344"/>
      <c r="AO830" s="344"/>
    </row>
    <row r="831" spans="1:41" ht="15.75" customHeight="1" x14ac:dyDescent="0.25">
      <c r="A831" s="344"/>
      <c r="B831" s="353"/>
      <c r="C831" s="344"/>
      <c r="D831" s="344"/>
      <c r="E831" s="344"/>
      <c r="F831" s="344"/>
      <c r="G831" s="344"/>
      <c r="H831" s="344"/>
      <c r="I831" s="344"/>
      <c r="J831" s="344"/>
      <c r="K831" s="344"/>
      <c r="L831" s="344"/>
      <c r="M831" s="344"/>
      <c r="N831" s="344"/>
      <c r="O831" s="344"/>
      <c r="P831" s="344"/>
      <c r="Q831" s="344"/>
      <c r="R831" s="344"/>
      <c r="S831" s="344"/>
      <c r="T831" s="344"/>
      <c r="U831" s="344"/>
      <c r="V831" s="344"/>
      <c r="W831" s="344"/>
      <c r="X831" s="344"/>
      <c r="Y831" s="344"/>
      <c r="Z831" s="344"/>
      <c r="AA831" s="344"/>
      <c r="AB831" s="344"/>
      <c r="AC831" s="344"/>
      <c r="AD831" s="344"/>
      <c r="AE831" s="344"/>
      <c r="AF831" s="344"/>
      <c r="AG831" s="344"/>
      <c r="AH831" s="344"/>
      <c r="AI831" s="344"/>
      <c r="AJ831" s="344"/>
      <c r="AK831" s="344"/>
      <c r="AL831" s="344"/>
      <c r="AM831" s="344"/>
      <c r="AN831" s="344"/>
      <c r="AO831" s="344"/>
    </row>
    <row r="832" spans="1:41" ht="15.75" customHeight="1" x14ac:dyDescent="0.25">
      <c r="A832" s="344"/>
      <c r="B832" s="353"/>
      <c r="C832" s="344"/>
      <c r="D832" s="344"/>
      <c r="E832" s="344"/>
      <c r="F832" s="344"/>
      <c r="G832" s="344"/>
      <c r="H832" s="344"/>
      <c r="I832" s="344"/>
      <c r="J832" s="344"/>
      <c r="K832" s="344"/>
      <c r="L832" s="344"/>
      <c r="M832" s="344"/>
      <c r="N832" s="344"/>
      <c r="O832" s="344"/>
      <c r="P832" s="344"/>
      <c r="Q832" s="344"/>
      <c r="R832" s="344"/>
      <c r="S832" s="344"/>
      <c r="T832" s="344"/>
      <c r="U832" s="344"/>
      <c r="V832" s="344"/>
      <c r="W832" s="344"/>
      <c r="X832" s="344"/>
      <c r="Y832" s="344"/>
      <c r="Z832" s="344"/>
      <c r="AA832" s="344"/>
      <c r="AB832" s="344"/>
      <c r="AC832" s="344"/>
      <c r="AD832" s="344"/>
      <c r="AE832" s="344"/>
      <c r="AF832" s="344"/>
      <c r="AG832" s="344"/>
      <c r="AH832" s="344"/>
      <c r="AI832" s="344"/>
      <c r="AJ832" s="344"/>
      <c r="AK832" s="344"/>
      <c r="AL832" s="344"/>
      <c r="AM832" s="344"/>
      <c r="AN832" s="344"/>
      <c r="AO832" s="344"/>
    </row>
    <row r="833" spans="1:41" ht="15.75" customHeight="1" x14ac:dyDescent="0.25">
      <c r="A833" s="344"/>
      <c r="B833" s="353"/>
      <c r="C833" s="344"/>
      <c r="D833" s="344"/>
      <c r="E833" s="344"/>
      <c r="F833" s="344"/>
      <c r="G833" s="344"/>
      <c r="H833" s="344"/>
      <c r="I833" s="344"/>
      <c r="J833" s="344"/>
      <c r="K833" s="344"/>
      <c r="L833" s="344"/>
      <c r="M833" s="344"/>
      <c r="N833" s="344"/>
      <c r="O833" s="344"/>
      <c r="P833" s="344"/>
      <c r="Q833" s="344"/>
      <c r="R833" s="344"/>
      <c r="S833" s="344"/>
      <c r="T833" s="344"/>
      <c r="U833" s="344"/>
      <c r="V833" s="344"/>
      <c r="W833" s="344"/>
      <c r="X833" s="344"/>
      <c r="Y833" s="344"/>
      <c r="Z833" s="344"/>
      <c r="AA833" s="344"/>
      <c r="AB833" s="344"/>
      <c r="AC833" s="344"/>
      <c r="AD833" s="344"/>
      <c r="AE833" s="344"/>
      <c r="AF833" s="344"/>
      <c r="AG833" s="344"/>
      <c r="AH833" s="344"/>
      <c r="AI833" s="344"/>
      <c r="AJ833" s="344"/>
      <c r="AK833" s="344"/>
      <c r="AL833" s="344"/>
      <c r="AM833" s="344"/>
      <c r="AN833" s="344"/>
      <c r="AO833" s="344"/>
    </row>
    <row r="834" spans="1:41" ht="15.75" customHeight="1" x14ac:dyDescent="0.25">
      <c r="A834" s="344"/>
      <c r="B834" s="353"/>
      <c r="C834" s="344"/>
      <c r="D834" s="344"/>
      <c r="E834" s="344"/>
      <c r="F834" s="344"/>
      <c r="G834" s="344"/>
      <c r="H834" s="344"/>
      <c r="I834" s="344"/>
      <c r="J834" s="344"/>
      <c r="K834" s="344"/>
      <c r="L834" s="344"/>
      <c r="M834" s="344"/>
      <c r="N834" s="344"/>
      <c r="O834" s="344"/>
      <c r="P834" s="344"/>
      <c r="Q834" s="344"/>
      <c r="R834" s="344"/>
      <c r="S834" s="344"/>
      <c r="T834" s="344"/>
      <c r="U834" s="344"/>
      <c r="V834" s="344"/>
      <c r="W834" s="344"/>
      <c r="X834" s="344"/>
      <c r="Y834" s="344"/>
      <c r="Z834" s="344"/>
      <c r="AA834" s="344"/>
      <c r="AB834" s="344"/>
      <c r="AC834" s="344"/>
      <c r="AD834" s="344"/>
      <c r="AE834" s="344"/>
      <c r="AF834" s="344"/>
      <c r="AG834" s="344"/>
      <c r="AH834" s="344"/>
      <c r="AI834" s="344"/>
      <c r="AJ834" s="344"/>
      <c r="AK834" s="344"/>
      <c r="AL834" s="344"/>
      <c r="AM834" s="344"/>
      <c r="AN834" s="344"/>
      <c r="AO834" s="344"/>
    </row>
    <row r="835" spans="1:41" ht="15.75" customHeight="1" x14ac:dyDescent="0.25">
      <c r="A835" s="344"/>
      <c r="B835" s="353"/>
      <c r="C835" s="344"/>
      <c r="D835" s="344"/>
      <c r="E835" s="344"/>
      <c r="F835" s="344"/>
      <c r="G835" s="344"/>
      <c r="H835" s="344"/>
      <c r="I835" s="344"/>
      <c r="J835" s="344"/>
      <c r="K835" s="344"/>
      <c r="L835" s="344"/>
      <c r="M835" s="344"/>
      <c r="N835" s="344"/>
      <c r="O835" s="344"/>
      <c r="P835" s="344"/>
      <c r="Q835" s="344"/>
      <c r="R835" s="344"/>
      <c r="S835" s="344"/>
      <c r="T835" s="344"/>
      <c r="U835" s="344"/>
      <c r="V835" s="344"/>
      <c r="W835" s="344"/>
      <c r="X835" s="344"/>
      <c r="Y835" s="344"/>
      <c r="Z835" s="344"/>
      <c r="AA835" s="344"/>
      <c r="AB835" s="344"/>
      <c r="AC835" s="344"/>
      <c r="AD835" s="344"/>
      <c r="AE835" s="344"/>
      <c r="AF835" s="344"/>
      <c r="AG835" s="344"/>
      <c r="AH835" s="344"/>
      <c r="AI835" s="344"/>
      <c r="AJ835" s="344"/>
      <c r="AK835" s="344"/>
      <c r="AL835" s="344"/>
      <c r="AM835" s="344"/>
      <c r="AN835" s="344"/>
      <c r="AO835" s="344"/>
    </row>
    <row r="836" spans="1:41" ht="15.75" customHeight="1" x14ac:dyDescent="0.25">
      <c r="A836" s="344"/>
      <c r="B836" s="353"/>
      <c r="C836" s="344"/>
      <c r="D836" s="344"/>
      <c r="E836" s="344"/>
      <c r="F836" s="344"/>
      <c r="G836" s="344"/>
      <c r="H836" s="344"/>
      <c r="I836" s="344"/>
      <c r="J836" s="344"/>
      <c r="K836" s="344"/>
      <c r="L836" s="344"/>
      <c r="M836" s="344"/>
      <c r="N836" s="344"/>
      <c r="O836" s="344"/>
      <c r="P836" s="344"/>
      <c r="Q836" s="344"/>
      <c r="R836" s="344"/>
      <c r="S836" s="344"/>
      <c r="T836" s="344"/>
      <c r="U836" s="344"/>
      <c r="V836" s="344"/>
      <c r="W836" s="344"/>
      <c r="X836" s="344"/>
      <c r="Y836" s="344"/>
      <c r="Z836" s="344"/>
      <c r="AA836" s="344"/>
      <c r="AB836" s="344"/>
      <c r="AC836" s="344"/>
      <c r="AD836" s="344"/>
      <c r="AE836" s="344"/>
      <c r="AF836" s="344"/>
      <c r="AG836" s="344"/>
      <c r="AH836" s="344"/>
      <c r="AI836" s="344"/>
      <c r="AJ836" s="344"/>
      <c r="AK836" s="344"/>
      <c r="AL836" s="344"/>
      <c r="AM836" s="344"/>
      <c r="AN836" s="344"/>
      <c r="AO836" s="344"/>
    </row>
    <row r="837" spans="1:41" ht="15.75" customHeight="1" x14ac:dyDescent="0.25">
      <c r="A837" s="344"/>
      <c r="B837" s="353"/>
      <c r="C837" s="344"/>
      <c r="D837" s="344"/>
      <c r="E837" s="344"/>
      <c r="F837" s="344"/>
      <c r="G837" s="344"/>
      <c r="H837" s="344"/>
      <c r="I837" s="344"/>
      <c r="J837" s="344"/>
      <c r="K837" s="344"/>
      <c r="L837" s="344"/>
      <c r="M837" s="344"/>
      <c r="N837" s="344"/>
      <c r="O837" s="344"/>
      <c r="P837" s="344"/>
      <c r="Q837" s="344"/>
      <c r="R837" s="344"/>
      <c r="S837" s="344"/>
      <c r="T837" s="344"/>
      <c r="U837" s="344"/>
      <c r="V837" s="344"/>
      <c r="W837" s="344"/>
      <c r="X837" s="344"/>
      <c r="Y837" s="344"/>
      <c r="Z837" s="344"/>
      <c r="AA837" s="344"/>
      <c r="AB837" s="344"/>
      <c r="AC837" s="344"/>
      <c r="AD837" s="344"/>
      <c r="AE837" s="344"/>
      <c r="AF837" s="344"/>
      <c r="AG837" s="344"/>
      <c r="AH837" s="344"/>
      <c r="AI837" s="344"/>
      <c r="AJ837" s="344"/>
      <c r="AK837" s="344"/>
      <c r="AL837" s="344"/>
      <c r="AM837" s="344"/>
      <c r="AN837" s="344"/>
      <c r="AO837" s="344"/>
    </row>
    <row r="838" spans="1:41" ht="15.75" customHeight="1" x14ac:dyDescent="0.25">
      <c r="A838" s="344"/>
      <c r="B838" s="353"/>
      <c r="C838" s="344"/>
      <c r="D838" s="344"/>
      <c r="E838" s="344"/>
      <c r="F838" s="344"/>
      <c r="G838" s="344"/>
      <c r="H838" s="344"/>
      <c r="I838" s="344"/>
      <c r="J838" s="344"/>
      <c r="K838" s="344"/>
      <c r="L838" s="344"/>
      <c r="M838" s="344"/>
      <c r="N838" s="344"/>
      <c r="O838" s="344"/>
      <c r="P838" s="344"/>
      <c r="Q838" s="344"/>
      <c r="R838" s="344"/>
      <c r="S838" s="344"/>
      <c r="T838" s="344"/>
      <c r="U838" s="344"/>
      <c r="V838" s="344"/>
      <c r="W838" s="344"/>
      <c r="X838" s="344"/>
      <c r="Y838" s="344"/>
      <c r="Z838" s="344"/>
      <c r="AA838" s="344"/>
      <c r="AB838" s="344"/>
      <c r="AC838" s="344"/>
      <c r="AD838" s="344"/>
      <c r="AE838" s="344"/>
      <c r="AF838" s="344"/>
      <c r="AG838" s="344"/>
      <c r="AH838" s="344"/>
      <c r="AI838" s="344"/>
      <c r="AJ838" s="344"/>
      <c r="AK838" s="344"/>
      <c r="AL838" s="344"/>
      <c r="AM838" s="344"/>
      <c r="AN838" s="344"/>
      <c r="AO838" s="344"/>
    </row>
    <row r="839" spans="1:41" ht="15.75" customHeight="1" x14ac:dyDescent="0.25">
      <c r="A839" s="344"/>
      <c r="B839" s="353"/>
      <c r="C839" s="344"/>
      <c r="D839" s="344"/>
      <c r="E839" s="344"/>
      <c r="F839" s="344"/>
      <c r="G839" s="344"/>
      <c r="H839" s="344"/>
      <c r="I839" s="344"/>
      <c r="J839" s="344"/>
      <c r="K839" s="344"/>
      <c r="L839" s="344"/>
      <c r="M839" s="344"/>
      <c r="N839" s="344"/>
      <c r="O839" s="344"/>
      <c r="P839" s="344"/>
      <c r="Q839" s="344"/>
      <c r="R839" s="344"/>
      <c r="S839" s="344"/>
      <c r="T839" s="344"/>
      <c r="U839" s="344"/>
      <c r="V839" s="344"/>
      <c r="W839" s="344"/>
      <c r="X839" s="344"/>
      <c r="Y839" s="344"/>
      <c r="Z839" s="344"/>
      <c r="AA839" s="344"/>
      <c r="AB839" s="344"/>
      <c r="AC839" s="344"/>
      <c r="AD839" s="344"/>
      <c r="AE839" s="344"/>
      <c r="AF839" s="344"/>
      <c r="AG839" s="344"/>
      <c r="AH839" s="344"/>
      <c r="AI839" s="344"/>
      <c r="AJ839" s="344"/>
      <c r="AK839" s="344"/>
      <c r="AL839" s="344"/>
      <c r="AM839" s="344"/>
      <c r="AN839" s="344"/>
      <c r="AO839" s="344"/>
    </row>
    <row r="840" spans="1:41" ht="15.75" customHeight="1" x14ac:dyDescent="0.25">
      <c r="A840" s="344"/>
      <c r="B840" s="353"/>
      <c r="C840" s="344"/>
      <c r="D840" s="344"/>
      <c r="E840" s="344"/>
      <c r="F840" s="344"/>
      <c r="G840" s="344"/>
      <c r="H840" s="344"/>
      <c r="I840" s="344"/>
      <c r="J840" s="344"/>
      <c r="K840" s="344"/>
      <c r="L840" s="344"/>
      <c r="M840" s="344"/>
      <c r="N840" s="344"/>
      <c r="O840" s="344"/>
      <c r="P840" s="344"/>
      <c r="Q840" s="344"/>
      <c r="R840" s="344"/>
      <c r="S840" s="344"/>
      <c r="T840" s="344"/>
      <c r="U840" s="344"/>
      <c r="V840" s="344"/>
      <c r="W840" s="344"/>
      <c r="X840" s="344"/>
      <c r="Y840" s="344"/>
      <c r="Z840" s="344"/>
      <c r="AA840" s="344"/>
      <c r="AB840" s="344"/>
      <c r="AC840" s="344"/>
      <c r="AD840" s="344"/>
      <c r="AE840" s="344"/>
      <c r="AF840" s="344"/>
      <c r="AG840" s="344"/>
      <c r="AH840" s="344"/>
      <c r="AI840" s="344"/>
      <c r="AJ840" s="344"/>
      <c r="AK840" s="344"/>
      <c r="AL840" s="344"/>
      <c r="AM840" s="344"/>
      <c r="AN840" s="344"/>
      <c r="AO840" s="344"/>
    </row>
    <row r="841" spans="1:41" ht="15.75" customHeight="1" x14ac:dyDescent="0.25">
      <c r="A841" s="344"/>
      <c r="B841" s="353"/>
      <c r="C841" s="344"/>
      <c r="D841" s="344"/>
      <c r="E841" s="344"/>
      <c r="F841" s="344"/>
      <c r="G841" s="344"/>
      <c r="H841" s="344"/>
      <c r="I841" s="344"/>
      <c r="J841" s="344"/>
      <c r="K841" s="344"/>
      <c r="L841" s="344"/>
      <c r="M841" s="344"/>
      <c r="N841" s="344"/>
      <c r="O841" s="344"/>
      <c r="P841" s="344"/>
      <c r="Q841" s="344"/>
      <c r="R841" s="344"/>
      <c r="S841" s="344"/>
      <c r="T841" s="344"/>
      <c r="U841" s="344"/>
      <c r="V841" s="344"/>
      <c r="W841" s="344"/>
      <c r="X841" s="344"/>
      <c r="Y841" s="344"/>
      <c r="Z841" s="344"/>
      <c r="AA841" s="344"/>
      <c r="AB841" s="344"/>
      <c r="AC841" s="344"/>
      <c r="AD841" s="344"/>
      <c r="AE841" s="344"/>
      <c r="AF841" s="344"/>
      <c r="AG841" s="344"/>
      <c r="AH841" s="344"/>
      <c r="AI841" s="344"/>
      <c r="AJ841" s="344"/>
      <c r="AK841" s="344"/>
      <c r="AL841" s="344"/>
      <c r="AM841" s="344"/>
      <c r="AN841" s="344"/>
      <c r="AO841" s="344"/>
    </row>
    <row r="842" spans="1:41" ht="15.75" customHeight="1" x14ac:dyDescent="0.25">
      <c r="A842" s="344"/>
      <c r="B842" s="353"/>
      <c r="C842" s="344"/>
      <c r="D842" s="344"/>
      <c r="E842" s="344"/>
      <c r="F842" s="344"/>
      <c r="G842" s="344"/>
      <c r="H842" s="344"/>
      <c r="I842" s="344"/>
      <c r="J842" s="344"/>
      <c r="K842" s="344"/>
      <c r="L842" s="344"/>
      <c r="M842" s="344"/>
      <c r="N842" s="344"/>
      <c r="O842" s="344"/>
      <c r="P842" s="344"/>
      <c r="Q842" s="344"/>
      <c r="R842" s="344"/>
      <c r="S842" s="344"/>
      <c r="T842" s="344"/>
      <c r="U842" s="344"/>
      <c r="V842" s="344"/>
      <c r="W842" s="344"/>
      <c r="X842" s="344"/>
      <c r="Y842" s="344"/>
      <c r="Z842" s="344"/>
      <c r="AA842" s="344"/>
      <c r="AB842" s="344"/>
      <c r="AC842" s="344"/>
      <c r="AD842" s="344"/>
      <c r="AE842" s="344"/>
      <c r="AF842" s="344"/>
      <c r="AG842" s="344"/>
      <c r="AH842" s="344"/>
      <c r="AI842" s="344"/>
      <c r="AJ842" s="344"/>
      <c r="AK842" s="344"/>
      <c r="AL842" s="344"/>
      <c r="AM842" s="344"/>
      <c r="AN842" s="344"/>
      <c r="AO842" s="344"/>
    </row>
    <row r="843" spans="1:41" ht="15.75" customHeight="1" x14ac:dyDescent="0.25">
      <c r="A843" s="344"/>
      <c r="B843" s="353"/>
      <c r="C843" s="344"/>
      <c r="D843" s="344"/>
      <c r="E843" s="344"/>
      <c r="F843" s="344"/>
      <c r="G843" s="344"/>
      <c r="H843" s="344"/>
      <c r="I843" s="344"/>
      <c r="J843" s="344"/>
      <c r="K843" s="344"/>
      <c r="L843" s="344"/>
      <c r="M843" s="344"/>
      <c r="N843" s="344"/>
      <c r="O843" s="344"/>
      <c r="P843" s="344"/>
      <c r="Q843" s="344"/>
      <c r="R843" s="344"/>
      <c r="S843" s="344"/>
      <c r="T843" s="344"/>
      <c r="U843" s="344"/>
      <c r="V843" s="344"/>
      <c r="W843" s="344"/>
      <c r="X843" s="344"/>
      <c r="Y843" s="344"/>
      <c r="Z843" s="344"/>
      <c r="AA843" s="344"/>
      <c r="AB843" s="344"/>
      <c r="AC843" s="344"/>
      <c r="AD843" s="344"/>
      <c r="AE843" s="344"/>
      <c r="AF843" s="344"/>
      <c r="AG843" s="344"/>
      <c r="AH843" s="344"/>
      <c r="AI843" s="344"/>
      <c r="AJ843" s="344"/>
      <c r="AK843" s="344"/>
      <c r="AL843" s="344"/>
      <c r="AM843" s="344"/>
      <c r="AN843" s="344"/>
      <c r="AO843" s="344"/>
    </row>
    <row r="844" spans="1:41" ht="15.75" customHeight="1" x14ac:dyDescent="0.25">
      <c r="A844" s="344"/>
      <c r="B844" s="353"/>
      <c r="C844" s="344"/>
      <c r="D844" s="344"/>
      <c r="E844" s="344"/>
      <c r="F844" s="344"/>
      <c r="G844" s="344"/>
      <c r="H844" s="344"/>
      <c r="I844" s="344"/>
      <c r="J844" s="344"/>
      <c r="K844" s="344"/>
      <c r="L844" s="344"/>
      <c r="M844" s="344"/>
      <c r="N844" s="344"/>
      <c r="O844" s="344"/>
      <c r="P844" s="344"/>
      <c r="Q844" s="344"/>
      <c r="R844" s="344"/>
      <c r="S844" s="344"/>
      <c r="T844" s="344"/>
      <c r="U844" s="344"/>
      <c r="V844" s="344"/>
      <c r="W844" s="344"/>
      <c r="X844" s="344"/>
      <c r="Y844" s="344"/>
      <c r="Z844" s="344"/>
      <c r="AA844" s="344"/>
      <c r="AB844" s="344"/>
      <c r="AC844" s="344"/>
      <c r="AD844" s="344"/>
      <c r="AE844" s="344"/>
      <c r="AF844" s="344"/>
      <c r="AG844" s="344"/>
      <c r="AH844" s="344"/>
      <c r="AI844" s="344"/>
      <c r="AJ844" s="344"/>
      <c r="AK844" s="344"/>
      <c r="AL844" s="344"/>
      <c r="AM844" s="344"/>
      <c r="AN844" s="344"/>
      <c r="AO844" s="344"/>
    </row>
    <row r="845" spans="1:41" ht="15.75" customHeight="1" x14ac:dyDescent="0.25">
      <c r="A845" s="344"/>
      <c r="B845" s="353"/>
      <c r="C845" s="344"/>
      <c r="D845" s="344"/>
      <c r="E845" s="344"/>
      <c r="F845" s="344"/>
      <c r="G845" s="344"/>
      <c r="H845" s="344"/>
      <c r="I845" s="344"/>
      <c r="J845" s="344"/>
      <c r="K845" s="344"/>
      <c r="L845" s="344"/>
      <c r="M845" s="344"/>
      <c r="N845" s="344"/>
      <c r="O845" s="344"/>
      <c r="P845" s="344"/>
      <c r="Q845" s="344"/>
      <c r="R845" s="344"/>
      <c r="S845" s="344"/>
      <c r="T845" s="344"/>
      <c r="U845" s="344"/>
      <c r="V845" s="344"/>
      <c r="W845" s="344"/>
      <c r="X845" s="344"/>
      <c r="Y845" s="344"/>
      <c r="Z845" s="344"/>
      <c r="AA845" s="344"/>
      <c r="AB845" s="344"/>
      <c r="AC845" s="344"/>
      <c r="AD845" s="344"/>
      <c r="AE845" s="344"/>
      <c r="AF845" s="344"/>
      <c r="AG845" s="344"/>
      <c r="AH845" s="344"/>
      <c r="AI845" s="344"/>
      <c r="AJ845" s="344"/>
      <c r="AK845" s="344"/>
      <c r="AL845" s="344"/>
      <c r="AM845" s="344"/>
      <c r="AN845" s="344"/>
      <c r="AO845" s="344"/>
    </row>
    <row r="846" spans="1:41" ht="15.75" customHeight="1" x14ac:dyDescent="0.25">
      <c r="A846" s="344"/>
      <c r="B846" s="353"/>
      <c r="C846" s="344"/>
      <c r="D846" s="344"/>
      <c r="E846" s="344"/>
      <c r="F846" s="344"/>
      <c r="G846" s="344"/>
      <c r="H846" s="344"/>
      <c r="I846" s="344"/>
      <c r="J846" s="344"/>
      <c r="K846" s="344"/>
      <c r="L846" s="344"/>
      <c r="M846" s="344"/>
      <c r="N846" s="344"/>
      <c r="O846" s="344"/>
      <c r="P846" s="344"/>
      <c r="Q846" s="344"/>
      <c r="R846" s="344"/>
      <c r="S846" s="344"/>
      <c r="T846" s="344"/>
      <c r="U846" s="344"/>
      <c r="V846" s="344"/>
      <c r="W846" s="344"/>
      <c r="X846" s="344"/>
      <c r="Y846" s="344"/>
      <c r="Z846" s="344"/>
      <c r="AA846" s="344"/>
      <c r="AB846" s="344"/>
      <c r="AC846" s="344"/>
      <c r="AD846" s="344"/>
      <c r="AE846" s="344"/>
      <c r="AF846" s="344"/>
      <c r="AG846" s="344"/>
      <c r="AH846" s="344"/>
      <c r="AI846" s="344"/>
      <c r="AJ846" s="344"/>
      <c r="AK846" s="344"/>
      <c r="AL846" s="344"/>
      <c r="AM846" s="344"/>
      <c r="AN846" s="344"/>
      <c r="AO846" s="344"/>
    </row>
    <row r="847" spans="1:41" ht="15.75" customHeight="1" x14ac:dyDescent="0.25">
      <c r="A847" s="344"/>
      <c r="B847" s="353"/>
      <c r="C847" s="344"/>
      <c r="D847" s="344"/>
      <c r="E847" s="344"/>
      <c r="F847" s="344"/>
      <c r="G847" s="344"/>
      <c r="H847" s="344"/>
      <c r="I847" s="344"/>
      <c r="J847" s="344"/>
      <c r="K847" s="344"/>
      <c r="L847" s="344"/>
      <c r="M847" s="344"/>
      <c r="N847" s="344"/>
      <c r="O847" s="344"/>
      <c r="P847" s="344"/>
      <c r="Q847" s="344"/>
      <c r="R847" s="344"/>
      <c r="S847" s="344"/>
      <c r="T847" s="344"/>
      <c r="U847" s="344"/>
      <c r="V847" s="344"/>
      <c r="W847" s="344"/>
      <c r="X847" s="344"/>
      <c r="Y847" s="344"/>
      <c r="Z847" s="344"/>
      <c r="AA847" s="344"/>
      <c r="AB847" s="344"/>
      <c r="AC847" s="344"/>
      <c r="AD847" s="344"/>
      <c r="AE847" s="344"/>
      <c r="AF847" s="344"/>
      <c r="AG847" s="344"/>
      <c r="AH847" s="344"/>
      <c r="AI847" s="344"/>
      <c r="AJ847" s="344"/>
      <c r="AK847" s="344"/>
      <c r="AL847" s="344"/>
      <c r="AM847" s="344"/>
      <c r="AN847" s="344"/>
      <c r="AO847" s="344"/>
    </row>
    <row r="848" spans="1:41" ht="15.75" customHeight="1" x14ac:dyDescent="0.25">
      <c r="A848" s="344"/>
      <c r="B848" s="353"/>
      <c r="C848" s="344"/>
      <c r="D848" s="344"/>
      <c r="E848" s="344"/>
      <c r="F848" s="344"/>
      <c r="G848" s="344"/>
      <c r="H848" s="344"/>
      <c r="I848" s="344"/>
      <c r="J848" s="344"/>
      <c r="K848" s="344"/>
      <c r="L848" s="344"/>
      <c r="M848" s="344"/>
      <c r="N848" s="344"/>
      <c r="O848" s="344"/>
      <c r="P848" s="344"/>
      <c r="Q848" s="344"/>
      <c r="R848" s="344"/>
      <c r="S848" s="344"/>
      <c r="T848" s="344"/>
      <c r="U848" s="344"/>
      <c r="V848" s="344"/>
      <c r="W848" s="344"/>
      <c r="X848" s="344"/>
      <c r="Y848" s="344"/>
      <c r="Z848" s="344"/>
      <c r="AA848" s="344"/>
      <c r="AB848" s="344"/>
      <c r="AC848" s="344"/>
      <c r="AD848" s="344"/>
      <c r="AE848" s="344"/>
      <c r="AF848" s="344"/>
      <c r="AG848" s="344"/>
      <c r="AH848" s="344"/>
      <c r="AI848" s="344"/>
      <c r="AJ848" s="344"/>
      <c r="AK848" s="344"/>
      <c r="AL848" s="344"/>
      <c r="AM848" s="344"/>
      <c r="AN848" s="344"/>
      <c r="AO848" s="344"/>
    </row>
    <row r="849" spans="1:41" ht="15.75" customHeight="1" x14ac:dyDescent="0.25">
      <c r="A849" s="344"/>
      <c r="B849" s="353"/>
      <c r="C849" s="344"/>
      <c r="D849" s="344"/>
      <c r="E849" s="344"/>
      <c r="F849" s="344"/>
      <c r="G849" s="344"/>
      <c r="H849" s="344"/>
      <c r="I849" s="344"/>
      <c r="J849" s="344"/>
      <c r="K849" s="344"/>
      <c r="L849" s="344"/>
      <c r="M849" s="344"/>
      <c r="N849" s="344"/>
      <c r="O849" s="344"/>
      <c r="P849" s="344"/>
      <c r="Q849" s="344"/>
      <c r="R849" s="344"/>
      <c r="S849" s="344"/>
      <c r="T849" s="344"/>
      <c r="U849" s="344"/>
      <c r="V849" s="344"/>
      <c r="W849" s="344"/>
      <c r="X849" s="344"/>
      <c r="Y849" s="344"/>
      <c r="Z849" s="344"/>
      <c r="AA849" s="344"/>
      <c r="AB849" s="344"/>
      <c r="AC849" s="344"/>
      <c r="AD849" s="344"/>
      <c r="AE849" s="344"/>
      <c r="AF849" s="344"/>
      <c r="AG849" s="344"/>
      <c r="AH849" s="344"/>
      <c r="AI849" s="344"/>
      <c r="AJ849" s="344"/>
      <c r="AK849" s="344"/>
      <c r="AL849" s="344"/>
      <c r="AM849" s="344"/>
      <c r="AN849" s="344"/>
      <c r="AO849" s="344"/>
    </row>
    <row r="850" spans="1:41" ht="15.75" customHeight="1" x14ac:dyDescent="0.25">
      <c r="A850" s="344"/>
      <c r="B850" s="353"/>
      <c r="C850" s="344"/>
      <c r="D850" s="344"/>
      <c r="E850" s="344"/>
      <c r="F850" s="344"/>
      <c r="G850" s="344"/>
      <c r="H850" s="344"/>
      <c r="I850" s="344"/>
      <c r="J850" s="344"/>
      <c r="K850" s="344"/>
      <c r="L850" s="344"/>
      <c r="M850" s="344"/>
      <c r="N850" s="344"/>
      <c r="O850" s="344"/>
      <c r="P850" s="344"/>
      <c r="Q850" s="344"/>
      <c r="R850" s="344"/>
      <c r="S850" s="344"/>
      <c r="T850" s="344"/>
      <c r="U850" s="344"/>
      <c r="V850" s="344"/>
      <c r="W850" s="344"/>
      <c r="X850" s="344"/>
      <c r="Y850" s="344"/>
      <c r="Z850" s="344"/>
      <c r="AA850" s="344"/>
      <c r="AB850" s="344"/>
      <c r="AC850" s="344"/>
      <c r="AD850" s="344"/>
      <c r="AE850" s="344"/>
      <c r="AF850" s="344"/>
      <c r="AG850" s="344"/>
      <c r="AH850" s="344"/>
      <c r="AI850" s="344"/>
      <c r="AJ850" s="344"/>
      <c r="AK850" s="344"/>
      <c r="AL850" s="344"/>
      <c r="AM850" s="344"/>
      <c r="AN850" s="344"/>
      <c r="AO850" s="344"/>
    </row>
    <row r="851" spans="1:41" ht="15.75" customHeight="1" x14ac:dyDescent="0.25">
      <c r="A851" s="344"/>
      <c r="B851" s="353"/>
      <c r="C851" s="344"/>
      <c r="D851" s="344"/>
      <c r="E851" s="344"/>
      <c r="F851" s="344"/>
      <c r="G851" s="344"/>
      <c r="H851" s="344"/>
      <c r="I851" s="344"/>
      <c r="J851" s="344"/>
      <c r="K851" s="344"/>
      <c r="L851" s="344"/>
      <c r="M851" s="344"/>
      <c r="N851" s="344"/>
      <c r="O851" s="344"/>
      <c r="P851" s="344"/>
      <c r="Q851" s="344"/>
      <c r="R851" s="344"/>
      <c r="S851" s="344"/>
      <c r="T851" s="344"/>
      <c r="U851" s="344"/>
      <c r="V851" s="344"/>
      <c r="W851" s="344"/>
      <c r="X851" s="344"/>
      <c r="Y851" s="344"/>
      <c r="Z851" s="344"/>
      <c r="AA851" s="344"/>
      <c r="AB851" s="344"/>
      <c r="AC851" s="344"/>
      <c r="AD851" s="344"/>
      <c r="AE851" s="344"/>
      <c r="AF851" s="344"/>
      <c r="AG851" s="344"/>
      <c r="AH851" s="344"/>
      <c r="AI851" s="344"/>
      <c r="AJ851" s="344"/>
      <c r="AK851" s="344"/>
      <c r="AL851" s="344"/>
      <c r="AM851" s="344"/>
      <c r="AN851" s="344"/>
      <c r="AO851" s="344"/>
    </row>
    <row r="852" spans="1:41" ht="15.75" customHeight="1" x14ac:dyDescent="0.25">
      <c r="A852" s="344"/>
      <c r="B852" s="353"/>
      <c r="C852" s="344"/>
      <c r="D852" s="344"/>
      <c r="E852" s="344"/>
      <c r="F852" s="344"/>
      <c r="G852" s="344"/>
      <c r="H852" s="344"/>
      <c r="I852" s="344"/>
      <c r="J852" s="344"/>
      <c r="K852" s="344"/>
      <c r="L852" s="344"/>
      <c r="M852" s="344"/>
      <c r="N852" s="344"/>
      <c r="O852" s="344"/>
      <c r="P852" s="344"/>
      <c r="Q852" s="344"/>
      <c r="R852" s="344"/>
      <c r="S852" s="344"/>
      <c r="T852" s="344"/>
      <c r="U852" s="344"/>
      <c r="V852" s="344"/>
      <c r="W852" s="344"/>
      <c r="X852" s="344"/>
      <c r="Y852" s="344"/>
      <c r="Z852" s="344"/>
      <c r="AA852" s="344"/>
      <c r="AB852" s="344"/>
      <c r="AC852" s="344"/>
      <c r="AD852" s="344"/>
      <c r="AE852" s="344"/>
      <c r="AF852" s="344"/>
      <c r="AG852" s="344"/>
      <c r="AH852" s="344"/>
      <c r="AI852" s="344"/>
      <c r="AJ852" s="344"/>
      <c r="AK852" s="344"/>
      <c r="AL852" s="344"/>
      <c r="AM852" s="344"/>
      <c r="AN852" s="344"/>
      <c r="AO852" s="344"/>
    </row>
    <row r="853" spans="1:41" ht="15.75" customHeight="1" x14ac:dyDescent="0.25">
      <c r="A853" s="344"/>
      <c r="B853" s="353"/>
      <c r="C853" s="344"/>
      <c r="D853" s="344"/>
      <c r="E853" s="344"/>
      <c r="F853" s="344"/>
      <c r="G853" s="344"/>
      <c r="H853" s="344"/>
      <c r="I853" s="344"/>
      <c r="J853" s="344"/>
      <c r="K853" s="344"/>
      <c r="L853" s="344"/>
      <c r="M853" s="344"/>
      <c r="N853" s="344"/>
      <c r="O853" s="344"/>
      <c r="P853" s="344"/>
      <c r="Q853" s="344"/>
      <c r="R853" s="344"/>
      <c r="S853" s="344"/>
      <c r="T853" s="344"/>
      <c r="U853" s="344"/>
      <c r="V853" s="344"/>
      <c r="W853" s="344"/>
      <c r="X853" s="344"/>
      <c r="Y853" s="344"/>
      <c r="Z853" s="344"/>
      <c r="AA853" s="344"/>
      <c r="AB853" s="344"/>
      <c r="AC853" s="344"/>
      <c r="AD853" s="344"/>
      <c r="AE853" s="344"/>
      <c r="AF853" s="344"/>
      <c r="AG853" s="344"/>
      <c r="AH853" s="344"/>
      <c r="AI853" s="344"/>
      <c r="AJ853" s="344"/>
      <c r="AK853" s="344"/>
      <c r="AL853" s="344"/>
      <c r="AM853" s="344"/>
      <c r="AN853" s="344"/>
      <c r="AO853" s="344"/>
    </row>
    <row r="854" spans="1:41" ht="15.75" customHeight="1" x14ac:dyDescent="0.25">
      <c r="A854" s="344"/>
      <c r="B854" s="353"/>
      <c r="C854" s="344"/>
      <c r="D854" s="344"/>
      <c r="E854" s="344"/>
      <c r="F854" s="344"/>
      <c r="G854" s="344"/>
      <c r="H854" s="344"/>
      <c r="I854" s="344"/>
      <c r="J854" s="344"/>
      <c r="K854" s="344"/>
      <c r="L854" s="344"/>
      <c r="M854" s="344"/>
      <c r="N854" s="344"/>
      <c r="O854" s="344"/>
      <c r="P854" s="344"/>
      <c r="Q854" s="344"/>
      <c r="R854" s="344"/>
      <c r="S854" s="344"/>
      <c r="T854" s="344"/>
      <c r="U854" s="344"/>
      <c r="V854" s="344"/>
      <c r="W854" s="344"/>
      <c r="X854" s="344"/>
      <c r="Y854" s="344"/>
      <c r="Z854" s="344"/>
      <c r="AA854" s="344"/>
      <c r="AB854" s="344"/>
      <c r="AC854" s="344"/>
      <c r="AD854" s="344"/>
      <c r="AE854" s="344"/>
      <c r="AF854" s="344"/>
      <c r="AG854" s="344"/>
      <c r="AH854" s="344"/>
      <c r="AI854" s="344"/>
      <c r="AJ854" s="344"/>
      <c r="AK854" s="344"/>
      <c r="AL854" s="344"/>
      <c r="AM854" s="344"/>
      <c r="AN854" s="344"/>
      <c r="AO854" s="344"/>
    </row>
    <row r="855" spans="1:41" ht="15.75" customHeight="1" x14ac:dyDescent="0.25">
      <c r="A855" s="344"/>
      <c r="B855" s="353"/>
      <c r="C855" s="344"/>
      <c r="D855" s="344"/>
      <c r="E855" s="344"/>
      <c r="F855" s="344"/>
      <c r="G855" s="344"/>
      <c r="H855" s="344"/>
      <c r="I855" s="344"/>
      <c r="J855" s="344"/>
      <c r="K855" s="344"/>
      <c r="L855" s="344"/>
      <c r="M855" s="344"/>
      <c r="N855" s="344"/>
      <c r="O855" s="344"/>
      <c r="P855" s="344"/>
      <c r="Q855" s="344"/>
      <c r="R855" s="344"/>
      <c r="S855" s="344"/>
      <c r="T855" s="344"/>
      <c r="U855" s="344"/>
      <c r="V855" s="344"/>
      <c r="W855" s="344"/>
      <c r="X855" s="344"/>
      <c r="Y855" s="344"/>
      <c r="Z855" s="344"/>
      <c r="AA855" s="344"/>
      <c r="AB855" s="344"/>
      <c r="AC855" s="344"/>
      <c r="AD855" s="344"/>
      <c r="AE855" s="344"/>
      <c r="AF855" s="344"/>
      <c r="AG855" s="344"/>
      <c r="AH855" s="344"/>
      <c r="AI855" s="344"/>
      <c r="AJ855" s="344"/>
      <c r="AK855" s="344"/>
      <c r="AL855" s="344"/>
      <c r="AM855" s="344"/>
      <c r="AN855" s="344"/>
      <c r="AO855" s="344"/>
    </row>
    <row r="856" spans="1:41" ht="15.75" customHeight="1" x14ac:dyDescent="0.25">
      <c r="A856" s="344"/>
      <c r="B856" s="353"/>
      <c r="C856" s="344"/>
      <c r="D856" s="344"/>
      <c r="E856" s="344"/>
      <c r="F856" s="344"/>
      <c r="G856" s="344"/>
      <c r="H856" s="344"/>
      <c r="I856" s="344"/>
      <c r="J856" s="344"/>
      <c r="K856" s="344"/>
      <c r="L856" s="344"/>
      <c r="M856" s="344"/>
      <c r="N856" s="344"/>
      <c r="O856" s="344"/>
      <c r="P856" s="344"/>
      <c r="Q856" s="344"/>
      <c r="R856" s="344"/>
      <c r="S856" s="344"/>
      <c r="T856" s="344"/>
      <c r="U856" s="344"/>
      <c r="V856" s="344"/>
      <c r="W856" s="344"/>
      <c r="X856" s="344"/>
      <c r="Y856" s="344"/>
      <c r="Z856" s="344"/>
      <c r="AA856" s="344"/>
      <c r="AB856" s="344"/>
      <c r="AC856" s="344"/>
      <c r="AD856" s="344"/>
      <c r="AE856" s="344"/>
      <c r="AF856" s="344"/>
      <c r="AG856" s="344"/>
      <c r="AH856" s="344"/>
      <c r="AI856" s="344"/>
      <c r="AJ856" s="344"/>
      <c r="AK856" s="344"/>
      <c r="AL856" s="344"/>
      <c r="AM856" s="344"/>
      <c r="AN856" s="344"/>
      <c r="AO856" s="344"/>
    </row>
    <row r="857" spans="1:41" ht="15.75" customHeight="1" x14ac:dyDescent="0.25">
      <c r="A857" s="344"/>
      <c r="B857" s="353"/>
      <c r="C857" s="344"/>
      <c r="D857" s="344"/>
      <c r="E857" s="344"/>
      <c r="F857" s="344"/>
      <c r="G857" s="344"/>
      <c r="H857" s="344"/>
      <c r="I857" s="344"/>
      <c r="J857" s="344"/>
      <c r="K857" s="344"/>
      <c r="L857" s="344"/>
      <c r="M857" s="344"/>
      <c r="N857" s="344"/>
      <c r="O857" s="344"/>
      <c r="P857" s="344"/>
      <c r="Q857" s="344"/>
      <c r="R857" s="344"/>
      <c r="S857" s="344"/>
      <c r="T857" s="344"/>
      <c r="U857" s="344"/>
      <c r="V857" s="344"/>
      <c r="W857" s="344"/>
      <c r="X857" s="344"/>
      <c r="Y857" s="344"/>
      <c r="Z857" s="344"/>
      <c r="AA857" s="344"/>
      <c r="AB857" s="344"/>
      <c r="AC857" s="344"/>
      <c r="AD857" s="344"/>
      <c r="AE857" s="344"/>
      <c r="AF857" s="344"/>
      <c r="AG857" s="344"/>
      <c r="AH857" s="344"/>
      <c r="AI857" s="344"/>
      <c r="AJ857" s="344"/>
      <c r="AK857" s="344"/>
      <c r="AL857" s="344"/>
      <c r="AM857" s="344"/>
      <c r="AN857" s="344"/>
      <c r="AO857" s="344"/>
    </row>
    <row r="858" spans="1:41" ht="15.75" customHeight="1" x14ac:dyDescent="0.25">
      <c r="A858" s="344"/>
      <c r="B858" s="353"/>
      <c r="C858" s="344"/>
      <c r="D858" s="344"/>
      <c r="E858" s="344"/>
      <c r="F858" s="344"/>
      <c r="G858" s="344"/>
      <c r="H858" s="344"/>
      <c r="I858" s="344"/>
      <c r="J858" s="344"/>
      <c r="K858" s="344"/>
      <c r="L858" s="344"/>
      <c r="M858" s="344"/>
      <c r="N858" s="344"/>
      <c r="O858" s="344"/>
      <c r="P858" s="344"/>
      <c r="Q858" s="344"/>
      <c r="R858" s="344"/>
      <c r="S858" s="344"/>
      <c r="T858" s="344"/>
      <c r="U858" s="344"/>
      <c r="V858" s="344"/>
      <c r="W858" s="344"/>
      <c r="X858" s="344"/>
      <c r="Y858" s="344"/>
      <c r="Z858" s="344"/>
      <c r="AA858" s="344"/>
      <c r="AB858" s="344"/>
      <c r="AC858" s="344"/>
      <c r="AD858" s="344"/>
      <c r="AE858" s="344"/>
      <c r="AF858" s="344"/>
      <c r="AG858" s="344"/>
      <c r="AH858" s="344"/>
      <c r="AI858" s="344"/>
      <c r="AJ858" s="344"/>
      <c r="AK858" s="344"/>
      <c r="AL858" s="344"/>
      <c r="AM858" s="344"/>
      <c r="AN858" s="344"/>
      <c r="AO858" s="344"/>
    </row>
    <row r="859" spans="1:41" ht="15.75" customHeight="1" x14ac:dyDescent="0.25">
      <c r="A859" s="344"/>
      <c r="B859" s="353"/>
      <c r="C859" s="344"/>
      <c r="D859" s="344"/>
      <c r="E859" s="344"/>
      <c r="F859" s="344"/>
      <c r="G859" s="344"/>
      <c r="H859" s="344"/>
      <c r="I859" s="344"/>
      <c r="J859" s="344"/>
      <c r="K859" s="344"/>
      <c r="L859" s="344"/>
      <c r="M859" s="344"/>
      <c r="N859" s="344"/>
      <c r="O859" s="344"/>
      <c r="P859" s="344"/>
      <c r="Q859" s="344"/>
      <c r="R859" s="344"/>
      <c r="S859" s="344"/>
      <c r="T859" s="344"/>
      <c r="U859" s="344"/>
      <c r="V859" s="344"/>
      <c r="W859" s="344"/>
      <c r="X859" s="344"/>
      <c r="Y859" s="344"/>
      <c r="Z859" s="344"/>
      <c r="AA859" s="344"/>
      <c r="AB859" s="344"/>
      <c r="AC859" s="344"/>
      <c r="AD859" s="344"/>
      <c r="AE859" s="344"/>
      <c r="AF859" s="344"/>
      <c r="AG859" s="344"/>
      <c r="AH859" s="344"/>
      <c r="AI859" s="344"/>
      <c r="AJ859" s="344"/>
      <c r="AK859" s="344"/>
      <c r="AL859" s="344"/>
      <c r="AM859" s="344"/>
      <c r="AN859" s="344"/>
      <c r="AO859" s="344"/>
    </row>
    <row r="860" spans="1:41" ht="15.75" customHeight="1" x14ac:dyDescent="0.25">
      <c r="A860" s="344"/>
      <c r="B860" s="353"/>
      <c r="C860" s="344"/>
      <c r="D860" s="344"/>
      <c r="E860" s="344"/>
      <c r="F860" s="344"/>
      <c r="G860" s="344"/>
      <c r="H860" s="344"/>
      <c r="I860" s="344"/>
      <c r="J860" s="344"/>
      <c r="K860" s="344"/>
      <c r="L860" s="344"/>
      <c r="M860" s="344"/>
      <c r="N860" s="344"/>
      <c r="O860" s="344"/>
      <c r="P860" s="344"/>
      <c r="Q860" s="344"/>
      <c r="R860" s="344"/>
      <c r="S860" s="344"/>
      <c r="T860" s="344"/>
      <c r="U860" s="344"/>
      <c r="V860" s="344"/>
      <c r="W860" s="344"/>
      <c r="X860" s="344"/>
      <c r="Y860" s="344"/>
      <c r="Z860" s="344"/>
      <c r="AA860" s="344"/>
      <c r="AB860" s="344"/>
      <c r="AC860" s="344"/>
      <c r="AD860" s="344"/>
      <c r="AE860" s="344"/>
      <c r="AF860" s="344"/>
      <c r="AG860" s="344"/>
      <c r="AH860" s="344"/>
      <c r="AI860" s="344"/>
      <c r="AJ860" s="344"/>
      <c r="AK860" s="344"/>
      <c r="AL860" s="344"/>
      <c r="AM860" s="344"/>
      <c r="AN860" s="344"/>
      <c r="AO860" s="344"/>
    </row>
    <row r="861" spans="1:41" ht="15.75" customHeight="1" x14ac:dyDescent="0.25">
      <c r="A861" s="344"/>
      <c r="B861" s="353"/>
      <c r="C861" s="344"/>
      <c r="D861" s="344"/>
      <c r="E861" s="344"/>
      <c r="F861" s="344"/>
      <c r="G861" s="344"/>
      <c r="H861" s="344"/>
      <c r="I861" s="344"/>
      <c r="J861" s="344"/>
      <c r="K861" s="344"/>
      <c r="L861" s="344"/>
      <c r="M861" s="344"/>
      <c r="N861" s="344"/>
      <c r="O861" s="344"/>
      <c r="P861" s="344"/>
      <c r="Q861" s="344"/>
      <c r="R861" s="344"/>
      <c r="S861" s="344"/>
      <c r="T861" s="344"/>
      <c r="U861" s="344"/>
      <c r="V861" s="344"/>
      <c r="W861" s="344"/>
      <c r="X861" s="344"/>
      <c r="Y861" s="344"/>
      <c r="Z861" s="344"/>
      <c r="AA861" s="344"/>
      <c r="AB861" s="344"/>
      <c r="AC861" s="344"/>
      <c r="AD861" s="344"/>
      <c r="AE861" s="344"/>
      <c r="AF861" s="344"/>
      <c r="AG861" s="344"/>
      <c r="AH861" s="344"/>
      <c r="AI861" s="344"/>
      <c r="AJ861" s="344"/>
      <c r="AK861" s="344"/>
      <c r="AL861" s="344"/>
      <c r="AM861" s="344"/>
      <c r="AN861" s="344"/>
      <c r="AO861" s="344"/>
    </row>
    <row r="862" spans="1:41" ht="15.75" customHeight="1" x14ac:dyDescent="0.25">
      <c r="A862" s="344"/>
      <c r="B862" s="353"/>
      <c r="C862" s="344"/>
      <c r="D862" s="344"/>
      <c r="E862" s="344"/>
      <c r="F862" s="344"/>
      <c r="G862" s="344"/>
      <c r="H862" s="344"/>
      <c r="I862" s="344"/>
      <c r="J862" s="344"/>
      <c r="K862" s="344"/>
      <c r="L862" s="344"/>
      <c r="M862" s="344"/>
      <c r="N862" s="344"/>
      <c r="O862" s="344"/>
      <c r="P862" s="344"/>
      <c r="Q862" s="344"/>
      <c r="R862" s="344"/>
      <c r="S862" s="344"/>
      <c r="T862" s="344"/>
      <c r="U862" s="344"/>
      <c r="V862" s="344"/>
      <c r="W862" s="344"/>
      <c r="X862" s="344"/>
      <c r="Y862" s="344"/>
      <c r="Z862" s="344"/>
      <c r="AA862" s="344"/>
      <c r="AB862" s="344"/>
      <c r="AC862" s="344"/>
      <c r="AD862" s="344"/>
      <c r="AE862" s="344"/>
      <c r="AF862" s="344"/>
      <c r="AG862" s="344"/>
      <c r="AH862" s="344"/>
      <c r="AI862" s="344"/>
      <c r="AJ862" s="344"/>
      <c r="AK862" s="344"/>
      <c r="AL862" s="344"/>
      <c r="AM862" s="344"/>
      <c r="AN862" s="344"/>
      <c r="AO862" s="344"/>
    </row>
    <row r="863" spans="1:41" ht="15.75" customHeight="1" x14ac:dyDescent="0.25">
      <c r="A863" s="344"/>
      <c r="B863" s="353"/>
      <c r="C863" s="344"/>
      <c r="D863" s="344"/>
      <c r="E863" s="344"/>
      <c r="F863" s="344"/>
      <c r="G863" s="344"/>
      <c r="H863" s="344"/>
      <c r="I863" s="344"/>
      <c r="J863" s="344"/>
      <c r="K863" s="344"/>
      <c r="L863" s="344"/>
      <c r="M863" s="344"/>
      <c r="N863" s="344"/>
      <c r="O863" s="344"/>
      <c r="P863" s="344"/>
      <c r="Q863" s="344"/>
      <c r="R863" s="344"/>
      <c r="S863" s="344"/>
      <c r="T863" s="344"/>
      <c r="U863" s="344"/>
      <c r="V863" s="344"/>
      <c r="W863" s="344"/>
      <c r="X863" s="344"/>
      <c r="Y863" s="344"/>
      <c r="Z863" s="344"/>
      <c r="AA863" s="344"/>
      <c r="AB863" s="344"/>
      <c r="AC863" s="344"/>
      <c r="AD863" s="344"/>
      <c r="AE863" s="344"/>
      <c r="AF863" s="344"/>
      <c r="AG863" s="344"/>
      <c r="AH863" s="344"/>
      <c r="AI863" s="344"/>
      <c r="AJ863" s="344"/>
      <c r="AK863" s="344"/>
      <c r="AL863" s="344"/>
      <c r="AM863" s="344"/>
      <c r="AN863" s="344"/>
      <c r="AO863" s="344"/>
    </row>
    <row r="864" spans="1:41" ht="15.75" customHeight="1" x14ac:dyDescent="0.25">
      <c r="A864" s="344"/>
      <c r="B864" s="353"/>
      <c r="C864" s="344"/>
      <c r="D864" s="344"/>
      <c r="E864" s="344"/>
      <c r="F864" s="344"/>
      <c r="G864" s="344"/>
      <c r="H864" s="344"/>
      <c r="I864" s="344"/>
      <c r="J864" s="344"/>
      <c r="K864" s="344"/>
      <c r="L864" s="344"/>
      <c r="M864" s="344"/>
      <c r="N864" s="344"/>
      <c r="O864" s="344"/>
      <c r="P864" s="344"/>
      <c r="Q864" s="344"/>
      <c r="R864" s="344"/>
      <c r="S864" s="344"/>
      <c r="T864" s="344"/>
      <c r="U864" s="344"/>
      <c r="V864" s="344"/>
      <c r="W864" s="344"/>
      <c r="X864" s="344"/>
      <c r="Y864" s="344"/>
      <c r="Z864" s="344"/>
      <c r="AA864" s="344"/>
      <c r="AB864" s="344"/>
      <c r="AC864" s="344"/>
      <c r="AD864" s="344"/>
      <c r="AE864" s="344"/>
      <c r="AF864" s="344"/>
      <c r="AG864" s="344"/>
      <c r="AH864" s="344"/>
      <c r="AI864" s="344"/>
      <c r="AJ864" s="344"/>
      <c r="AK864" s="344"/>
      <c r="AL864" s="344"/>
      <c r="AM864" s="344"/>
      <c r="AN864" s="344"/>
      <c r="AO864" s="344"/>
    </row>
    <row r="865" spans="1:41" ht="15.75" customHeight="1" x14ac:dyDescent="0.25">
      <c r="A865" s="344"/>
      <c r="B865" s="353"/>
      <c r="C865" s="344"/>
      <c r="D865" s="344"/>
      <c r="E865" s="344"/>
      <c r="F865" s="344"/>
      <c r="G865" s="344"/>
      <c r="H865" s="344"/>
      <c r="I865" s="344"/>
      <c r="J865" s="344"/>
      <c r="K865" s="344"/>
      <c r="L865" s="344"/>
      <c r="M865" s="344"/>
      <c r="N865" s="344"/>
      <c r="O865" s="344"/>
      <c r="P865" s="344"/>
      <c r="Q865" s="344"/>
      <c r="R865" s="344"/>
      <c r="S865" s="344"/>
      <c r="T865" s="344"/>
      <c r="U865" s="344"/>
      <c r="V865" s="344"/>
      <c r="W865" s="344"/>
      <c r="X865" s="344"/>
      <c r="Y865" s="344"/>
      <c r="Z865" s="344"/>
      <c r="AA865" s="344"/>
      <c r="AB865" s="344"/>
      <c r="AC865" s="344"/>
      <c r="AD865" s="344"/>
      <c r="AE865" s="344"/>
      <c r="AF865" s="344"/>
      <c r="AG865" s="344"/>
      <c r="AH865" s="344"/>
      <c r="AI865" s="344"/>
      <c r="AJ865" s="344"/>
      <c r="AK865" s="344"/>
      <c r="AL865" s="344"/>
      <c r="AM865" s="344"/>
      <c r="AN865" s="344"/>
      <c r="AO865" s="344"/>
    </row>
    <row r="866" spans="1:41" ht="15.75" customHeight="1" x14ac:dyDescent="0.25">
      <c r="A866" s="344"/>
      <c r="B866" s="353"/>
      <c r="C866" s="344"/>
      <c r="D866" s="344"/>
      <c r="E866" s="344"/>
      <c r="F866" s="344"/>
      <c r="G866" s="344"/>
      <c r="H866" s="344"/>
      <c r="I866" s="344"/>
      <c r="J866" s="344"/>
      <c r="K866" s="344"/>
      <c r="L866" s="344"/>
      <c r="M866" s="344"/>
      <c r="N866" s="344"/>
      <c r="O866" s="344"/>
      <c r="P866" s="344"/>
      <c r="Q866" s="344"/>
      <c r="R866" s="344"/>
      <c r="S866" s="344"/>
      <c r="T866" s="344"/>
      <c r="U866" s="344"/>
      <c r="V866" s="344"/>
      <c r="W866" s="344"/>
      <c r="X866" s="344"/>
      <c r="Y866" s="344"/>
      <c r="Z866" s="344"/>
      <c r="AA866" s="344"/>
      <c r="AB866" s="344"/>
      <c r="AC866" s="344"/>
      <c r="AD866" s="344"/>
      <c r="AE866" s="344"/>
      <c r="AF866" s="344"/>
      <c r="AG866" s="344"/>
      <c r="AH866" s="344"/>
      <c r="AI866" s="344"/>
      <c r="AJ866" s="344"/>
      <c r="AK866" s="344"/>
      <c r="AL866" s="344"/>
      <c r="AM866" s="344"/>
      <c r="AN866" s="344"/>
      <c r="AO866" s="344"/>
    </row>
    <row r="867" spans="1:41" ht="15.75" customHeight="1" x14ac:dyDescent="0.25">
      <c r="A867" s="344"/>
      <c r="B867" s="353"/>
      <c r="C867" s="344"/>
      <c r="D867" s="344"/>
      <c r="E867" s="344"/>
      <c r="F867" s="344"/>
      <c r="G867" s="344"/>
      <c r="H867" s="344"/>
      <c r="I867" s="344"/>
      <c r="J867" s="344"/>
      <c r="K867" s="344"/>
      <c r="L867" s="344"/>
      <c r="M867" s="344"/>
      <c r="N867" s="344"/>
      <c r="O867" s="344"/>
      <c r="P867" s="344"/>
      <c r="Q867" s="344"/>
      <c r="R867" s="344"/>
      <c r="S867" s="344"/>
      <c r="T867" s="344"/>
      <c r="U867" s="344"/>
      <c r="V867" s="344"/>
      <c r="W867" s="344"/>
      <c r="X867" s="344"/>
      <c r="Y867" s="344"/>
      <c r="Z867" s="344"/>
      <c r="AA867" s="344"/>
      <c r="AB867" s="344"/>
      <c r="AC867" s="344"/>
      <c r="AD867" s="344"/>
      <c r="AE867" s="344"/>
      <c r="AF867" s="344"/>
      <c r="AG867" s="344"/>
      <c r="AH867" s="344"/>
      <c r="AI867" s="344"/>
      <c r="AJ867" s="344"/>
      <c r="AK867" s="344"/>
      <c r="AL867" s="344"/>
      <c r="AM867" s="344"/>
      <c r="AN867" s="344"/>
      <c r="AO867" s="344"/>
    </row>
    <row r="868" spans="1:41" ht="15.75" customHeight="1" x14ac:dyDescent="0.25">
      <c r="A868" s="344"/>
      <c r="B868" s="353"/>
      <c r="C868" s="344"/>
      <c r="D868" s="344"/>
      <c r="E868" s="344"/>
      <c r="F868" s="344"/>
      <c r="G868" s="344"/>
      <c r="H868" s="344"/>
      <c r="I868" s="344"/>
      <c r="J868" s="344"/>
      <c r="K868" s="344"/>
      <c r="L868" s="344"/>
      <c r="M868" s="344"/>
      <c r="N868" s="344"/>
      <c r="O868" s="344"/>
      <c r="P868" s="344"/>
      <c r="Q868" s="344"/>
      <c r="R868" s="344"/>
      <c r="S868" s="344"/>
      <c r="T868" s="344"/>
      <c r="U868" s="344"/>
      <c r="V868" s="344"/>
      <c r="W868" s="344"/>
      <c r="X868" s="344"/>
      <c r="Y868" s="344"/>
      <c r="Z868" s="344"/>
      <c r="AA868" s="344"/>
      <c r="AB868" s="344"/>
      <c r="AC868" s="344"/>
      <c r="AD868" s="344"/>
      <c r="AE868" s="344"/>
      <c r="AF868" s="344"/>
      <c r="AG868" s="344"/>
      <c r="AH868" s="344"/>
      <c r="AI868" s="344"/>
      <c r="AJ868" s="344"/>
      <c r="AK868" s="344"/>
      <c r="AL868" s="344"/>
      <c r="AM868" s="344"/>
      <c r="AN868" s="344"/>
      <c r="AO868" s="344"/>
    </row>
    <row r="869" spans="1:41" ht="15.75" customHeight="1" x14ac:dyDescent="0.25">
      <c r="A869" s="344"/>
      <c r="B869" s="353"/>
      <c r="C869" s="344"/>
      <c r="D869" s="344"/>
      <c r="E869" s="344"/>
      <c r="F869" s="344"/>
      <c r="G869" s="344"/>
      <c r="H869" s="344"/>
      <c r="I869" s="344"/>
      <c r="J869" s="344"/>
      <c r="K869" s="344"/>
      <c r="L869" s="344"/>
      <c r="M869" s="344"/>
      <c r="N869" s="344"/>
      <c r="O869" s="344"/>
      <c r="P869" s="344"/>
      <c r="Q869" s="344"/>
      <c r="R869" s="344"/>
      <c r="S869" s="344"/>
      <c r="T869" s="344"/>
      <c r="U869" s="344"/>
      <c r="V869" s="344"/>
      <c r="W869" s="344"/>
      <c r="X869" s="344"/>
      <c r="Y869" s="344"/>
      <c r="Z869" s="344"/>
      <c r="AA869" s="344"/>
      <c r="AB869" s="344"/>
      <c r="AC869" s="344"/>
      <c r="AD869" s="344"/>
      <c r="AE869" s="344"/>
      <c r="AF869" s="344"/>
      <c r="AG869" s="344"/>
      <c r="AH869" s="344"/>
      <c r="AI869" s="344"/>
      <c r="AJ869" s="344"/>
      <c r="AK869" s="344"/>
      <c r="AL869" s="344"/>
      <c r="AM869" s="344"/>
      <c r="AN869" s="344"/>
      <c r="AO869" s="344"/>
    </row>
    <row r="870" spans="1:41" ht="15.75" customHeight="1" x14ac:dyDescent="0.25">
      <c r="A870" s="344"/>
      <c r="B870" s="353"/>
      <c r="C870" s="344"/>
      <c r="D870" s="344"/>
      <c r="E870" s="344"/>
      <c r="F870" s="344"/>
      <c r="G870" s="344"/>
      <c r="H870" s="344"/>
      <c r="I870" s="344"/>
      <c r="J870" s="344"/>
      <c r="K870" s="344"/>
      <c r="L870" s="344"/>
      <c r="M870" s="344"/>
      <c r="N870" s="344"/>
      <c r="O870" s="344"/>
      <c r="P870" s="344"/>
      <c r="Q870" s="344"/>
      <c r="R870" s="344"/>
      <c r="S870" s="344"/>
      <c r="T870" s="344"/>
      <c r="U870" s="344"/>
      <c r="V870" s="344"/>
      <c r="W870" s="344"/>
      <c r="X870" s="344"/>
      <c r="Y870" s="344"/>
      <c r="Z870" s="344"/>
      <c r="AA870" s="344"/>
      <c r="AB870" s="344"/>
      <c r="AC870" s="344"/>
      <c r="AD870" s="344"/>
      <c r="AE870" s="344"/>
      <c r="AF870" s="344"/>
      <c r="AG870" s="344"/>
      <c r="AH870" s="344"/>
      <c r="AI870" s="344"/>
      <c r="AJ870" s="344"/>
      <c r="AK870" s="344"/>
      <c r="AL870" s="344"/>
      <c r="AM870" s="344"/>
      <c r="AN870" s="344"/>
      <c r="AO870" s="344"/>
    </row>
    <row r="871" spans="1:41" ht="15.75" customHeight="1" x14ac:dyDescent="0.25">
      <c r="A871" s="344"/>
      <c r="B871" s="353"/>
      <c r="C871" s="344"/>
      <c r="D871" s="344"/>
      <c r="E871" s="344"/>
      <c r="F871" s="344"/>
      <c r="G871" s="344"/>
      <c r="H871" s="344"/>
      <c r="I871" s="344"/>
      <c r="J871" s="344"/>
      <c r="K871" s="344"/>
      <c r="L871" s="344"/>
      <c r="M871" s="344"/>
      <c r="N871" s="344"/>
      <c r="O871" s="344"/>
      <c r="P871" s="344"/>
      <c r="Q871" s="344"/>
      <c r="R871" s="344"/>
      <c r="S871" s="344"/>
      <c r="T871" s="344"/>
      <c r="U871" s="344"/>
      <c r="V871" s="344"/>
      <c r="W871" s="344"/>
      <c r="X871" s="344"/>
      <c r="Y871" s="344"/>
      <c r="Z871" s="344"/>
      <c r="AA871" s="344"/>
      <c r="AB871" s="344"/>
      <c r="AC871" s="344"/>
      <c r="AD871" s="344"/>
      <c r="AE871" s="344"/>
      <c r="AF871" s="344"/>
      <c r="AG871" s="344"/>
      <c r="AH871" s="344"/>
      <c r="AI871" s="344"/>
      <c r="AJ871" s="344"/>
      <c r="AK871" s="344"/>
      <c r="AL871" s="344"/>
      <c r="AM871" s="344"/>
      <c r="AN871" s="344"/>
      <c r="AO871" s="344"/>
    </row>
    <row r="872" spans="1:41" ht="15.75" customHeight="1" x14ac:dyDescent="0.25">
      <c r="A872" s="344"/>
      <c r="B872" s="353"/>
      <c r="C872" s="344"/>
      <c r="D872" s="344"/>
      <c r="E872" s="344"/>
      <c r="F872" s="344"/>
      <c r="G872" s="344"/>
      <c r="H872" s="344"/>
      <c r="I872" s="344"/>
      <c r="J872" s="344"/>
      <c r="K872" s="344"/>
      <c r="L872" s="344"/>
      <c r="M872" s="344"/>
      <c r="N872" s="344"/>
      <c r="O872" s="344"/>
      <c r="P872" s="344"/>
      <c r="Q872" s="344"/>
      <c r="R872" s="344"/>
      <c r="S872" s="344"/>
      <c r="T872" s="344"/>
      <c r="U872" s="344"/>
      <c r="V872" s="344"/>
      <c r="W872" s="344"/>
      <c r="X872" s="344"/>
      <c r="Y872" s="344"/>
      <c r="Z872" s="344"/>
      <c r="AA872" s="344"/>
      <c r="AB872" s="344"/>
      <c r="AC872" s="344"/>
      <c r="AD872" s="344"/>
      <c r="AE872" s="344"/>
      <c r="AF872" s="344"/>
      <c r="AG872" s="344"/>
      <c r="AH872" s="344"/>
      <c r="AI872" s="344"/>
      <c r="AJ872" s="344"/>
      <c r="AK872" s="344"/>
      <c r="AL872" s="344"/>
      <c r="AM872" s="344"/>
      <c r="AN872" s="344"/>
      <c r="AO872" s="344"/>
    </row>
    <row r="873" spans="1:41" ht="15.75" customHeight="1" x14ac:dyDescent="0.25">
      <c r="A873" s="344"/>
      <c r="B873" s="353"/>
      <c r="C873" s="344"/>
      <c r="D873" s="344"/>
      <c r="E873" s="344"/>
      <c r="F873" s="344"/>
      <c r="G873" s="344"/>
      <c r="H873" s="344"/>
      <c r="I873" s="344"/>
      <c r="J873" s="344"/>
      <c r="K873" s="344"/>
      <c r="L873" s="344"/>
      <c r="M873" s="344"/>
      <c r="N873" s="344"/>
      <c r="O873" s="344"/>
      <c r="P873" s="344"/>
      <c r="Q873" s="344"/>
      <c r="R873" s="344"/>
      <c r="S873" s="344"/>
      <c r="T873" s="344"/>
      <c r="U873" s="344"/>
      <c r="V873" s="344"/>
      <c r="W873" s="344"/>
      <c r="X873" s="344"/>
      <c r="Y873" s="344"/>
      <c r="Z873" s="344"/>
      <c r="AA873" s="344"/>
      <c r="AB873" s="344"/>
      <c r="AC873" s="344"/>
      <c r="AD873" s="344"/>
      <c r="AE873" s="344"/>
      <c r="AF873" s="344"/>
      <c r="AG873" s="344"/>
      <c r="AH873" s="344"/>
      <c r="AI873" s="344"/>
      <c r="AJ873" s="344"/>
      <c r="AK873" s="344"/>
      <c r="AL873" s="344"/>
      <c r="AM873" s="344"/>
      <c r="AN873" s="344"/>
      <c r="AO873" s="344"/>
    </row>
    <row r="874" spans="1:41" ht="15.75" customHeight="1" x14ac:dyDescent="0.25">
      <c r="A874" s="344"/>
      <c r="B874" s="353"/>
      <c r="C874" s="344"/>
      <c r="D874" s="344"/>
      <c r="E874" s="344"/>
      <c r="F874" s="344"/>
      <c r="G874" s="344"/>
      <c r="H874" s="344"/>
      <c r="I874" s="344"/>
      <c r="J874" s="344"/>
      <c r="K874" s="344"/>
      <c r="L874" s="344"/>
      <c r="M874" s="344"/>
      <c r="N874" s="344"/>
      <c r="O874" s="344"/>
      <c r="P874" s="344"/>
      <c r="Q874" s="344"/>
      <c r="R874" s="344"/>
      <c r="S874" s="344"/>
      <c r="T874" s="344"/>
      <c r="U874" s="344"/>
      <c r="V874" s="344"/>
      <c r="W874" s="344"/>
      <c r="X874" s="344"/>
      <c r="Y874" s="344"/>
      <c r="Z874" s="344"/>
      <c r="AA874" s="344"/>
      <c r="AB874" s="344"/>
      <c r="AC874" s="344"/>
      <c r="AD874" s="344"/>
      <c r="AE874" s="344"/>
      <c r="AF874" s="344"/>
      <c r="AG874" s="344"/>
      <c r="AH874" s="344"/>
      <c r="AI874" s="344"/>
      <c r="AJ874" s="344"/>
      <c r="AK874" s="344"/>
      <c r="AL874" s="344"/>
      <c r="AM874" s="344"/>
      <c r="AN874" s="344"/>
      <c r="AO874" s="344"/>
    </row>
    <row r="875" spans="1:41" ht="15.75" customHeight="1" x14ac:dyDescent="0.25">
      <c r="A875" s="344"/>
      <c r="B875" s="353"/>
      <c r="C875" s="344"/>
      <c r="D875" s="344"/>
      <c r="E875" s="344"/>
      <c r="F875" s="344"/>
      <c r="G875" s="344"/>
      <c r="H875" s="344"/>
      <c r="I875" s="344"/>
      <c r="J875" s="344"/>
      <c r="K875" s="344"/>
      <c r="L875" s="344"/>
      <c r="M875" s="344"/>
      <c r="N875" s="344"/>
      <c r="O875" s="344"/>
      <c r="P875" s="344"/>
      <c r="Q875" s="344"/>
      <c r="R875" s="344"/>
      <c r="S875" s="344"/>
      <c r="T875" s="344"/>
      <c r="U875" s="344"/>
      <c r="V875" s="344"/>
      <c r="W875" s="344"/>
      <c r="X875" s="344"/>
      <c r="Y875" s="344"/>
      <c r="Z875" s="344"/>
      <c r="AA875" s="344"/>
      <c r="AB875" s="344"/>
      <c r="AC875" s="344"/>
      <c r="AD875" s="344"/>
      <c r="AE875" s="344"/>
      <c r="AF875" s="344"/>
      <c r="AG875" s="344"/>
      <c r="AH875" s="344"/>
      <c r="AI875" s="344"/>
      <c r="AJ875" s="344"/>
      <c r="AK875" s="344"/>
      <c r="AL875" s="344"/>
      <c r="AM875" s="344"/>
      <c r="AN875" s="344"/>
      <c r="AO875" s="344"/>
    </row>
    <row r="876" spans="1:41" ht="15.75" customHeight="1" x14ac:dyDescent="0.25">
      <c r="A876" s="344"/>
      <c r="B876" s="353"/>
      <c r="C876" s="344"/>
      <c r="D876" s="344"/>
      <c r="E876" s="344"/>
      <c r="F876" s="344"/>
      <c r="G876" s="344"/>
      <c r="H876" s="344"/>
      <c r="I876" s="344"/>
      <c r="J876" s="344"/>
      <c r="K876" s="344"/>
      <c r="L876" s="344"/>
      <c r="M876" s="344"/>
      <c r="N876" s="344"/>
      <c r="O876" s="344"/>
      <c r="P876" s="344"/>
      <c r="Q876" s="344"/>
      <c r="R876" s="344"/>
      <c r="S876" s="344"/>
      <c r="T876" s="344"/>
      <c r="U876" s="344"/>
      <c r="V876" s="344"/>
      <c r="W876" s="344"/>
      <c r="X876" s="344"/>
      <c r="Y876" s="344"/>
      <c r="Z876" s="344"/>
      <c r="AA876" s="344"/>
      <c r="AB876" s="344"/>
      <c r="AC876" s="344"/>
      <c r="AD876" s="344"/>
      <c r="AE876" s="344"/>
      <c r="AF876" s="344"/>
      <c r="AG876" s="344"/>
      <c r="AH876" s="344"/>
      <c r="AI876" s="344"/>
      <c r="AJ876" s="344"/>
      <c r="AK876" s="344"/>
      <c r="AL876" s="344"/>
      <c r="AM876" s="344"/>
      <c r="AN876" s="344"/>
      <c r="AO876" s="344"/>
    </row>
    <row r="877" spans="1:41" ht="15.75" customHeight="1" x14ac:dyDescent="0.25">
      <c r="A877" s="344"/>
      <c r="B877" s="353"/>
      <c r="C877" s="344"/>
      <c r="D877" s="344"/>
      <c r="E877" s="344"/>
      <c r="F877" s="344"/>
      <c r="G877" s="344"/>
      <c r="H877" s="344"/>
      <c r="I877" s="344"/>
      <c r="J877" s="344"/>
      <c r="K877" s="344"/>
      <c r="L877" s="344"/>
      <c r="M877" s="344"/>
      <c r="N877" s="344"/>
      <c r="O877" s="344"/>
      <c r="P877" s="344"/>
      <c r="Q877" s="344"/>
      <c r="R877" s="344"/>
      <c r="S877" s="344"/>
      <c r="T877" s="344"/>
      <c r="U877" s="344"/>
      <c r="V877" s="344"/>
      <c r="W877" s="344"/>
      <c r="X877" s="344"/>
      <c r="Y877" s="344"/>
      <c r="Z877" s="344"/>
      <c r="AA877" s="344"/>
      <c r="AB877" s="344"/>
      <c r="AC877" s="344"/>
      <c r="AD877" s="344"/>
      <c r="AE877" s="344"/>
      <c r="AF877" s="344"/>
      <c r="AG877" s="344"/>
      <c r="AH877" s="344"/>
      <c r="AI877" s="344"/>
      <c r="AJ877" s="344"/>
      <c r="AK877" s="344"/>
      <c r="AL877" s="344"/>
      <c r="AM877" s="344"/>
      <c r="AN877" s="344"/>
      <c r="AO877" s="344"/>
    </row>
    <row r="878" spans="1:41" ht="15.75" customHeight="1" x14ac:dyDescent="0.25">
      <c r="A878" s="344"/>
      <c r="B878" s="353"/>
      <c r="C878" s="344"/>
      <c r="D878" s="344"/>
      <c r="E878" s="344"/>
      <c r="F878" s="344"/>
      <c r="G878" s="344"/>
      <c r="H878" s="344"/>
      <c r="I878" s="344"/>
      <c r="J878" s="344"/>
      <c r="K878" s="344"/>
      <c r="L878" s="344"/>
      <c r="M878" s="344"/>
      <c r="N878" s="344"/>
      <c r="O878" s="344"/>
      <c r="P878" s="344"/>
      <c r="Q878" s="344"/>
      <c r="R878" s="344"/>
      <c r="S878" s="344"/>
      <c r="T878" s="344"/>
      <c r="U878" s="344"/>
      <c r="V878" s="344"/>
      <c r="W878" s="344"/>
      <c r="X878" s="344"/>
      <c r="Y878" s="344"/>
      <c r="Z878" s="344"/>
      <c r="AA878" s="344"/>
      <c r="AB878" s="344"/>
      <c r="AC878" s="344"/>
      <c r="AD878" s="344"/>
      <c r="AE878" s="344"/>
      <c r="AF878" s="344"/>
      <c r="AG878" s="344"/>
      <c r="AH878" s="344"/>
      <c r="AI878" s="344"/>
      <c r="AJ878" s="344"/>
      <c r="AK878" s="344"/>
      <c r="AL878" s="344"/>
      <c r="AM878" s="344"/>
      <c r="AN878" s="344"/>
      <c r="AO878" s="344"/>
    </row>
    <row r="879" spans="1:41" ht="15.75" customHeight="1" x14ac:dyDescent="0.25">
      <c r="A879" s="344"/>
      <c r="B879" s="353"/>
      <c r="C879" s="344"/>
      <c r="D879" s="344"/>
      <c r="E879" s="344"/>
      <c r="F879" s="344"/>
      <c r="G879" s="344"/>
      <c r="H879" s="344"/>
      <c r="I879" s="344"/>
      <c r="J879" s="344"/>
      <c r="K879" s="344"/>
      <c r="L879" s="344"/>
      <c r="M879" s="344"/>
      <c r="N879" s="344"/>
      <c r="O879" s="344"/>
      <c r="P879" s="344"/>
      <c r="Q879" s="344"/>
      <c r="R879" s="344"/>
      <c r="S879" s="344"/>
      <c r="T879" s="344"/>
      <c r="U879" s="344"/>
      <c r="V879" s="344"/>
      <c r="W879" s="344"/>
      <c r="X879" s="344"/>
      <c r="Y879" s="344"/>
      <c r="Z879" s="344"/>
      <c r="AA879" s="344"/>
      <c r="AB879" s="344"/>
      <c r="AC879" s="344"/>
      <c r="AD879" s="344"/>
      <c r="AE879" s="344"/>
      <c r="AF879" s="344"/>
      <c r="AG879" s="344"/>
      <c r="AH879" s="344"/>
      <c r="AI879" s="344"/>
      <c r="AJ879" s="344"/>
      <c r="AK879" s="344"/>
      <c r="AL879" s="344"/>
      <c r="AM879" s="344"/>
      <c r="AN879" s="344"/>
      <c r="AO879" s="344"/>
    </row>
    <row r="880" spans="1:41" ht="15.75" customHeight="1" x14ac:dyDescent="0.25">
      <c r="A880" s="344"/>
      <c r="B880" s="353"/>
      <c r="C880" s="344"/>
      <c r="D880" s="344"/>
      <c r="E880" s="344"/>
      <c r="F880" s="344"/>
      <c r="G880" s="344"/>
      <c r="H880" s="344"/>
      <c r="I880" s="344"/>
      <c r="J880" s="344"/>
      <c r="K880" s="344"/>
      <c r="L880" s="344"/>
      <c r="M880" s="344"/>
      <c r="N880" s="344"/>
      <c r="O880" s="344"/>
      <c r="P880" s="344"/>
      <c r="Q880" s="344"/>
      <c r="R880" s="344"/>
      <c r="S880" s="344"/>
      <c r="T880" s="344"/>
      <c r="U880" s="344"/>
      <c r="V880" s="344"/>
      <c r="W880" s="344"/>
      <c r="X880" s="344"/>
      <c r="Y880" s="344"/>
      <c r="Z880" s="344"/>
      <c r="AA880" s="344"/>
      <c r="AB880" s="344"/>
      <c r="AC880" s="344"/>
      <c r="AD880" s="344"/>
      <c r="AE880" s="344"/>
      <c r="AF880" s="344"/>
      <c r="AG880" s="344"/>
      <c r="AH880" s="344"/>
      <c r="AI880" s="344"/>
      <c r="AJ880" s="344"/>
      <c r="AK880" s="344"/>
      <c r="AL880" s="344"/>
      <c r="AM880" s="344"/>
      <c r="AN880" s="344"/>
      <c r="AO880" s="344"/>
    </row>
    <row r="881" spans="1:41" ht="15.75" customHeight="1" x14ac:dyDescent="0.25">
      <c r="A881" s="344"/>
      <c r="B881" s="353"/>
      <c r="C881" s="344"/>
      <c r="D881" s="344"/>
      <c r="E881" s="344"/>
      <c r="F881" s="344"/>
      <c r="G881" s="344"/>
      <c r="H881" s="344"/>
      <c r="I881" s="344"/>
      <c r="J881" s="344"/>
      <c r="K881" s="344"/>
      <c r="L881" s="344"/>
      <c r="M881" s="344"/>
      <c r="N881" s="344"/>
      <c r="O881" s="344"/>
      <c r="P881" s="344"/>
      <c r="Q881" s="344"/>
      <c r="R881" s="344"/>
      <c r="S881" s="344"/>
      <c r="T881" s="344"/>
      <c r="U881" s="344"/>
      <c r="V881" s="344"/>
      <c r="W881" s="344"/>
      <c r="X881" s="344"/>
      <c r="Y881" s="344"/>
      <c r="Z881" s="344"/>
      <c r="AA881" s="344"/>
      <c r="AB881" s="344"/>
      <c r="AC881" s="344"/>
      <c r="AD881" s="344"/>
      <c r="AE881" s="344"/>
      <c r="AF881" s="344"/>
      <c r="AG881" s="344"/>
      <c r="AH881" s="344"/>
      <c r="AI881" s="344"/>
      <c r="AJ881" s="344"/>
      <c r="AK881" s="344"/>
      <c r="AL881" s="344"/>
      <c r="AM881" s="344"/>
      <c r="AN881" s="344"/>
      <c r="AO881" s="344"/>
    </row>
    <row r="882" spans="1:41" ht="15.75" customHeight="1" x14ac:dyDescent="0.25">
      <c r="A882" s="344"/>
      <c r="B882" s="353"/>
      <c r="C882" s="344"/>
      <c r="D882" s="344"/>
      <c r="E882" s="344"/>
      <c r="F882" s="344"/>
      <c r="G882" s="344"/>
      <c r="H882" s="344"/>
      <c r="I882" s="344"/>
      <c r="J882" s="344"/>
      <c r="K882" s="344"/>
      <c r="L882" s="344"/>
      <c r="M882" s="344"/>
      <c r="N882" s="344"/>
      <c r="O882" s="344"/>
      <c r="P882" s="344"/>
      <c r="Q882" s="344"/>
      <c r="R882" s="344"/>
      <c r="S882" s="344"/>
      <c r="T882" s="344"/>
      <c r="U882" s="344"/>
      <c r="V882" s="344"/>
      <c r="W882" s="344"/>
      <c r="X882" s="344"/>
      <c r="Y882" s="344"/>
      <c r="Z882" s="344"/>
      <c r="AA882" s="344"/>
      <c r="AB882" s="344"/>
      <c r="AC882" s="344"/>
      <c r="AD882" s="344"/>
      <c r="AE882" s="344"/>
      <c r="AF882" s="344"/>
      <c r="AG882" s="344"/>
      <c r="AH882" s="344"/>
      <c r="AI882" s="344"/>
      <c r="AJ882" s="344"/>
      <c r="AK882" s="344"/>
      <c r="AL882" s="344"/>
      <c r="AM882" s="344"/>
      <c r="AN882" s="344"/>
      <c r="AO882" s="344"/>
    </row>
    <row r="883" spans="1:41" ht="15.75" customHeight="1" x14ac:dyDescent="0.25">
      <c r="A883" s="344"/>
      <c r="B883" s="353"/>
      <c r="C883" s="344"/>
      <c r="D883" s="344"/>
      <c r="E883" s="344"/>
      <c r="F883" s="344"/>
      <c r="G883" s="344"/>
      <c r="H883" s="344"/>
      <c r="I883" s="344"/>
      <c r="J883" s="344"/>
      <c r="K883" s="344"/>
      <c r="L883" s="344"/>
      <c r="M883" s="344"/>
      <c r="N883" s="344"/>
      <c r="O883" s="344"/>
      <c r="P883" s="344"/>
      <c r="Q883" s="344"/>
      <c r="R883" s="344"/>
      <c r="S883" s="344"/>
      <c r="T883" s="344"/>
      <c r="U883" s="344"/>
      <c r="V883" s="344"/>
      <c r="W883" s="344"/>
      <c r="X883" s="344"/>
      <c r="Y883" s="344"/>
      <c r="Z883" s="344"/>
      <c r="AA883" s="344"/>
      <c r="AB883" s="344"/>
      <c r="AC883" s="344"/>
      <c r="AD883" s="344"/>
      <c r="AE883" s="344"/>
      <c r="AF883" s="344"/>
      <c r="AG883" s="344"/>
      <c r="AH883" s="344"/>
      <c r="AI883" s="344"/>
      <c r="AJ883" s="344"/>
      <c r="AK883" s="344"/>
      <c r="AL883" s="344"/>
      <c r="AM883" s="344"/>
      <c r="AN883" s="344"/>
      <c r="AO883" s="344"/>
    </row>
    <row r="884" spans="1:41" ht="15.75" customHeight="1" x14ac:dyDescent="0.25">
      <c r="A884" s="344"/>
      <c r="B884" s="353"/>
      <c r="C884" s="344"/>
      <c r="D884" s="344"/>
      <c r="E884" s="344"/>
      <c r="F884" s="344"/>
      <c r="G884" s="344"/>
      <c r="H884" s="344"/>
      <c r="I884" s="344"/>
      <c r="J884" s="344"/>
      <c r="K884" s="344"/>
      <c r="L884" s="344"/>
      <c r="M884" s="344"/>
      <c r="N884" s="344"/>
      <c r="O884" s="344"/>
      <c r="P884" s="344"/>
      <c r="Q884" s="344"/>
      <c r="R884" s="344"/>
      <c r="S884" s="344"/>
      <c r="T884" s="344"/>
      <c r="U884" s="344"/>
      <c r="V884" s="344"/>
      <c r="W884" s="344"/>
      <c r="X884" s="344"/>
      <c r="Y884" s="344"/>
      <c r="Z884" s="344"/>
      <c r="AA884" s="344"/>
      <c r="AB884" s="344"/>
      <c r="AC884" s="344"/>
      <c r="AD884" s="344"/>
      <c r="AE884" s="344"/>
      <c r="AF884" s="344"/>
      <c r="AG884" s="344"/>
      <c r="AH884" s="344"/>
      <c r="AI884" s="344"/>
      <c r="AJ884" s="344"/>
      <c r="AK884" s="344"/>
      <c r="AL884" s="344"/>
      <c r="AM884" s="344"/>
      <c r="AN884" s="344"/>
      <c r="AO884" s="344"/>
    </row>
    <row r="885" spans="1:41" ht="15.75" customHeight="1" x14ac:dyDescent="0.25">
      <c r="A885" s="344"/>
      <c r="B885" s="353"/>
      <c r="C885" s="344"/>
      <c r="D885" s="344"/>
      <c r="E885" s="344"/>
      <c r="F885" s="344"/>
      <c r="G885" s="344"/>
      <c r="H885" s="344"/>
      <c r="I885" s="344"/>
      <c r="J885" s="344"/>
      <c r="K885" s="344"/>
      <c r="L885" s="344"/>
      <c r="M885" s="344"/>
      <c r="N885" s="344"/>
      <c r="O885" s="344"/>
      <c r="P885" s="344"/>
      <c r="Q885" s="344"/>
      <c r="R885" s="344"/>
      <c r="S885" s="344"/>
      <c r="T885" s="344"/>
      <c r="U885" s="344"/>
      <c r="V885" s="344"/>
      <c r="W885" s="344"/>
      <c r="X885" s="344"/>
      <c r="Y885" s="344"/>
      <c r="Z885" s="344"/>
      <c r="AA885" s="344"/>
      <c r="AB885" s="344"/>
      <c r="AC885" s="344"/>
      <c r="AD885" s="344"/>
      <c r="AE885" s="344"/>
      <c r="AF885" s="344"/>
      <c r="AG885" s="344"/>
      <c r="AH885" s="344"/>
      <c r="AI885" s="344"/>
      <c r="AJ885" s="344"/>
      <c r="AK885" s="344"/>
      <c r="AL885" s="344"/>
      <c r="AM885" s="344"/>
      <c r="AN885" s="344"/>
      <c r="AO885" s="344"/>
    </row>
    <row r="886" spans="1:41" ht="15.75" customHeight="1" x14ac:dyDescent="0.25">
      <c r="A886" s="344"/>
      <c r="B886" s="353"/>
      <c r="C886" s="344"/>
      <c r="D886" s="344"/>
      <c r="E886" s="344"/>
      <c r="F886" s="344"/>
      <c r="G886" s="344"/>
      <c r="H886" s="344"/>
      <c r="I886" s="344"/>
      <c r="J886" s="344"/>
      <c r="K886" s="344"/>
      <c r="L886" s="344"/>
      <c r="M886" s="344"/>
      <c r="N886" s="344"/>
      <c r="O886" s="344"/>
      <c r="P886" s="344"/>
      <c r="Q886" s="344"/>
      <c r="R886" s="344"/>
      <c r="S886" s="344"/>
      <c r="T886" s="344"/>
      <c r="U886" s="344"/>
      <c r="V886" s="344"/>
      <c r="W886" s="344"/>
      <c r="X886" s="344"/>
      <c r="Y886" s="344"/>
      <c r="Z886" s="344"/>
      <c r="AA886" s="344"/>
      <c r="AB886" s="344"/>
      <c r="AC886" s="344"/>
      <c r="AD886" s="344"/>
      <c r="AE886" s="344"/>
      <c r="AF886" s="344"/>
      <c r="AG886" s="344"/>
      <c r="AH886" s="344"/>
      <c r="AI886" s="344"/>
      <c r="AJ886" s="344"/>
      <c r="AK886" s="344"/>
      <c r="AL886" s="344"/>
      <c r="AM886" s="344"/>
      <c r="AN886" s="344"/>
      <c r="AO886" s="344"/>
    </row>
    <row r="887" spans="1:41" ht="15.75" customHeight="1" x14ac:dyDescent="0.25">
      <c r="A887" s="344"/>
      <c r="B887" s="353"/>
      <c r="C887" s="344"/>
      <c r="D887" s="344"/>
      <c r="E887" s="344"/>
      <c r="F887" s="344"/>
      <c r="G887" s="344"/>
      <c r="H887" s="344"/>
      <c r="I887" s="344"/>
      <c r="J887" s="344"/>
      <c r="K887" s="344"/>
      <c r="L887" s="344"/>
      <c r="M887" s="344"/>
      <c r="N887" s="344"/>
      <c r="O887" s="344"/>
      <c r="P887" s="344"/>
      <c r="Q887" s="344"/>
      <c r="R887" s="344"/>
      <c r="S887" s="344"/>
      <c r="T887" s="344"/>
      <c r="U887" s="344"/>
      <c r="V887" s="344"/>
      <c r="W887" s="344"/>
      <c r="X887" s="344"/>
      <c r="Y887" s="344"/>
      <c r="Z887" s="344"/>
      <c r="AA887" s="344"/>
      <c r="AB887" s="344"/>
      <c r="AC887" s="344"/>
      <c r="AD887" s="344"/>
      <c r="AE887" s="344"/>
      <c r="AF887" s="344"/>
      <c r="AG887" s="344"/>
      <c r="AH887" s="344"/>
      <c r="AI887" s="344"/>
      <c r="AJ887" s="344"/>
      <c r="AK887" s="344"/>
      <c r="AL887" s="344"/>
      <c r="AM887" s="344"/>
      <c r="AN887" s="344"/>
      <c r="AO887" s="344"/>
    </row>
    <row r="888" spans="1:41" ht="15.75" customHeight="1" x14ac:dyDescent="0.25">
      <c r="A888" s="344"/>
      <c r="B888" s="353"/>
      <c r="C888" s="344"/>
      <c r="D888" s="344"/>
      <c r="E888" s="344"/>
      <c r="F888" s="344"/>
      <c r="G888" s="344"/>
      <c r="H888" s="344"/>
      <c r="I888" s="344"/>
      <c r="J888" s="344"/>
      <c r="K888" s="344"/>
      <c r="L888" s="344"/>
      <c r="M888" s="344"/>
      <c r="N888" s="344"/>
      <c r="O888" s="344"/>
      <c r="P888" s="344"/>
      <c r="Q888" s="344"/>
      <c r="R888" s="344"/>
      <c r="S888" s="344"/>
      <c r="T888" s="344"/>
      <c r="U888" s="344"/>
      <c r="V888" s="344"/>
      <c r="W888" s="344"/>
      <c r="X888" s="344"/>
      <c r="Y888" s="344"/>
      <c r="Z888" s="344"/>
      <c r="AA888" s="344"/>
      <c r="AB888" s="344"/>
      <c r="AC888" s="344"/>
      <c r="AD888" s="344"/>
      <c r="AE888" s="344"/>
      <c r="AF888" s="344"/>
      <c r="AG888" s="344"/>
      <c r="AH888" s="344"/>
      <c r="AI888" s="344"/>
      <c r="AJ888" s="344"/>
      <c r="AK888" s="344"/>
      <c r="AL888" s="344"/>
      <c r="AM888" s="344"/>
      <c r="AN888" s="344"/>
      <c r="AO888" s="344"/>
    </row>
    <row r="889" spans="1:41" ht="15.75" customHeight="1" x14ac:dyDescent="0.25">
      <c r="A889" s="344"/>
      <c r="B889" s="353"/>
      <c r="C889" s="344"/>
      <c r="D889" s="344"/>
      <c r="E889" s="344"/>
      <c r="F889" s="344"/>
      <c r="G889" s="344"/>
      <c r="H889" s="344"/>
      <c r="I889" s="344"/>
      <c r="J889" s="344"/>
      <c r="K889" s="344"/>
      <c r="L889" s="344"/>
      <c r="M889" s="344"/>
      <c r="N889" s="344"/>
      <c r="O889" s="344"/>
      <c r="P889" s="344"/>
      <c r="Q889" s="344"/>
      <c r="R889" s="344"/>
      <c r="S889" s="344"/>
      <c r="T889" s="344"/>
      <c r="U889" s="344"/>
      <c r="V889" s="344"/>
      <c r="W889" s="344"/>
      <c r="X889" s="344"/>
      <c r="Y889" s="344"/>
      <c r="Z889" s="344"/>
      <c r="AA889" s="344"/>
      <c r="AB889" s="344"/>
      <c r="AC889" s="344"/>
      <c r="AD889" s="344"/>
      <c r="AE889" s="344"/>
      <c r="AF889" s="344"/>
      <c r="AG889" s="344"/>
      <c r="AH889" s="344"/>
      <c r="AI889" s="344"/>
      <c r="AJ889" s="344"/>
      <c r="AK889" s="344"/>
      <c r="AL889" s="344"/>
      <c r="AM889" s="344"/>
      <c r="AN889" s="344"/>
      <c r="AO889" s="344"/>
    </row>
    <row r="890" spans="1:41" ht="15.75" customHeight="1" x14ac:dyDescent="0.25">
      <c r="A890" s="344"/>
      <c r="B890" s="353"/>
      <c r="C890" s="344"/>
      <c r="D890" s="344"/>
      <c r="E890" s="344"/>
      <c r="F890" s="344"/>
      <c r="G890" s="344"/>
      <c r="H890" s="344"/>
      <c r="I890" s="344"/>
      <c r="J890" s="344"/>
      <c r="K890" s="344"/>
      <c r="L890" s="344"/>
      <c r="M890" s="344"/>
      <c r="N890" s="344"/>
      <c r="O890" s="344"/>
      <c r="P890" s="344"/>
      <c r="Q890" s="344"/>
      <c r="R890" s="344"/>
      <c r="S890" s="344"/>
      <c r="T890" s="344"/>
      <c r="U890" s="344"/>
      <c r="V890" s="344"/>
      <c r="W890" s="344"/>
      <c r="X890" s="344"/>
      <c r="Y890" s="344"/>
      <c r="Z890" s="344"/>
      <c r="AA890" s="344"/>
      <c r="AB890" s="344"/>
      <c r="AC890" s="344"/>
      <c r="AD890" s="344"/>
      <c r="AE890" s="344"/>
      <c r="AF890" s="344"/>
      <c r="AG890" s="344"/>
      <c r="AH890" s="344"/>
      <c r="AI890" s="344"/>
      <c r="AJ890" s="344"/>
      <c r="AK890" s="344"/>
      <c r="AL890" s="344"/>
      <c r="AM890" s="344"/>
      <c r="AN890" s="344"/>
      <c r="AO890" s="344"/>
    </row>
    <row r="891" spans="1:41" ht="15.75" customHeight="1" x14ac:dyDescent="0.25">
      <c r="A891" s="344"/>
      <c r="B891" s="353"/>
      <c r="C891" s="344"/>
      <c r="D891" s="344"/>
      <c r="E891" s="344"/>
      <c r="F891" s="344"/>
      <c r="G891" s="344"/>
      <c r="H891" s="344"/>
      <c r="I891" s="344"/>
      <c r="J891" s="344"/>
      <c r="K891" s="344"/>
      <c r="L891" s="344"/>
      <c r="M891" s="344"/>
      <c r="N891" s="344"/>
      <c r="O891" s="344"/>
      <c r="P891" s="344"/>
      <c r="Q891" s="344"/>
      <c r="R891" s="344"/>
      <c r="S891" s="344"/>
      <c r="T891" s="344"/>
      <c r="U891" s="344"/>
      <c r="V891" s="344"/>
      <c r="W891" s="344"/>
      <c r="X891" s="344"/>
      <c r="Y891" s="344"/>
      <c r="Z891" s="344"/>
      <c r="AA891" s="344"/>
      <c r="AB891" s="344"/>
      <c r="AC891" s="344"/>
      <c r="AD891" s="344"/>
      <c r="AE891" s="344"/>
      <c r="AF891" s="344"/>
      <c r="AG891" s="344"/>
      <c r="AH891" s="344"/>
      <c r="AI891" s="344"/>
      <c r="AJ891" s="344"/>
      <c r="AK891" s="344"/>
      <c r="AL891" s="344"/>
      <c r="AM891" s="344"/>
      <c r="AN891" s="344"/>
      <c r="AO891" s="344"/>
    </row>
    <row r="892" spans="1:41" ht="15.75" customHeight="1" x14ac:dyDescent="0.25">
      <c r="A892" s="344"/>
      <c r="B892" s="353"/>
      <c r="C892" s="344"/>
      <c r="D892" s="344"/>
      <c r="E892" s="344"/>
      <c r="F892" s="344"/>
      <c r="G892" s="344"/>
      <c r="H892" s="344"/>
      <c r="I892" s="344"/>
      <c r="J892" s="344"/>
      <c r="K892" s="344"/>
      <c r="L892" s="344"/>
      <c r="M892" s="344"/>
      <c r="N892" s="344"/>
      <c r="O892" s="344"/>
      <c r="P892" s="344"/>
      <c r="Q892" s="344"/>
      <c r="R892" s="344"/>
      <c r="S892" s="344"/>
      <c r="T892" s="344"/>
      <c r="U892" s="344"/>
      <c r="V892" s="344"/>
      <c r="W892" s="344"/>
      <c r="X892" s="344"/>
      <c r="Y892" s="344"/>
      <c r="Z892" s="344"/>
      <c r="AA892" s="344"/>
      <c r="AB892" s="344"/>
      <c r="AC892" s="344"/>
      <c r="AD892" s="344"/>
      <c r="AE892" s="344"/>
      <c r="AF892" s="344"/>
      <c r="AG892" s="344"/>
      <c r="AH892" s="344"/>
      <c r="AI892" s="344"/>
      <c r="AJ892" s="344"/>
      <c r="AK892" s="344"/>
      <c r="AL892" s="344"/>
      <c r="AM892" s="344"/>
      <c r="AN892" s="344"/>
      <c r="AO892" s="344"/>
    </row>
    <row r="893" spans="1:41" ht="15.75" customHeight="1" x14ac:dyDescent="0.25">
      <c r="A893" s="344"/>
      <c r="B893" s="353"/>
      <c r="C893" s="344"/>
      <c r="D893" s="344"/>
      <c r="E893" s="344"/>
      <c r="F893" s="344"/>
      <c r="G893" s="344"/>
      <c r="H893" s="344"/>
      <c r="I893" s="344"/>
      <c r="J893" s="344"/>
      <c r="K893" s="344"/>
      <c r="L893" s="344"/>
      <c r="M893" s="344"/>
      <c r="N893" s="344"/>
      <c r="O893" s="344"/>
      <c r="P893" s="344"/>
      <c r="Q893" s="344"/>
      <c r="R893" s="344"/>
      <c r="S893" s="344"/>
      <c r="T893" s="344"/>
      <c r="U893" s="344"/>
      <c r="V893" s="344"/>
      <c r="W893" s="344"/>
      <c r="X893" s="344"/>
      <c r="Y893" s="344"/>
      <c r="Z893" s="344"/>
      <c r="AA893" s="344"/>
      <c r="AB893" s="344"/>
      <c r="AC893" s="344"/>
      <c r="AD893" s="344"/>
      <c r="AE893" s="344"/>
      <c r="AF893" s="344"/>
      <c r="AG893" s="344"/>
      <c r="AH893" s="344"/>
      <c r="AI893" s="344"/>
      <c r="AJ893" s="344"/>
      <c r="AK893" s="344"/>
      <c r="AL893" s="344"/>
      <c r="AM893" s="344"/>
      <c r="AN893" s="344"/>
      <c r="AO893" s="344"/>
    </row>
    <row r="894" spans="1:41" ht="15.75" customHeight="1" x14ac:dyDescent="0.25">
      <c r="A894" s="344"/>
      <c r="B894" s="353"/>
      <c r="C894" s="344"/>
      <c r="D894" s="344"/>
      <c r="E894" s="344"/>
      <c r="F894" s="344"/>
      <c r="G894" s="344"/>
      <c r="H894" s="344"/>
      <c r="I894" s="344"/>
      <c r="J894" s="344"/>
      <c r="K894" s="344"/>
      <c r="L894" s="344"/>
      <c r="M894" s="344"/>
      <c r="N894" s="344"/>
      <c r="O894" s="344"/>
      <c r="P894" s="344"/>
      <c r="Q894" s="344"/>
      <c r="R894" s="344"/>
      <c r="S894" s="344"/>
      <c r="T894" s="344"/>
      <c r="U894" s="344"/>
      <c r="V894" s="344"/>
      <c r="W894" s="344"/>
      <c r="X894" s="344"/>
      <c r="Y894" s="344"/>
      <c r="Z894" s="344"/>
      <c r="AA894" s="344"/>
      <c r="AB894" s="344"/>
      <c r="AC894" s="344"/>
      <c r="AD894" s="344"/>
      <c r="AE894" s="344"/>
      <c r="AF894" s="344"/>
      <c r="AG894" s="344"/>
      <c r="AH894" s="344"/>
      <c r="AI894" s="344"/>
      <c r="AJ894" s="344"/>
      <c r="AK894" s="344"/>
      <c r="AL894" s="344"/>
      <c r="AM894" s="344"/>
      <c r="AN894" s="344"/>
      <c r="AO894" s="344"/>
    </row>
    <row r="895" spans="1:41" ht="15.75" customHeight="1" x14ac:dyDescent="0.25">
      <c r="A895" s="344"/>
      <c r="B895" s="353"/>
      <c r="C895" s="344"/>
      <c r="D895" s="344"/>
      <c r="E895" s="344"/>
      <c r="F895" s="344"/>
      <c r="G895" s="344"/>
      <c r="H895" s="344"/>
      <c r="I895" s="344"/>
      <c r="J895" s="344"/>
      <c r="K895" s="344"/>
      <c r="L895" s="344"/>
      <c r="M895" s="344"/>
      <c r="N895" s="344"/>
      <c r="O895" s="344"/>
      <c r="P895" s="344"/>
      <c r="Q895" s="344"/>
      <c r="R895" s="344"/>
      <c r="S895" s="344"/>
      <c r="T895" s="344"/>
      <c r="U895" s="344"/>
      <c r="V895" s="344"/>
      <c r="W895" s="344"/>
      <c r="X895" s="344"/>
      <c r="Y895" s="344"/>
      <c r="Z895" s="344"/>
      <c r="AA895" s="344"/>
      <c r="AB895" s="344"/>
      <c r="AC895" s="344"/>
      <c r="AD895" s="344"/>
      <c r="AE895" s="344"/>
      <c r="AF895" s="344"/>
      <c r="AG895" s="344"/>
      <c r="AH895" s="344"/>
      <c r="AI895" s="344"/>
      <c r="AJ895" s="344"/>
      <c r="AK895" s="344"/>
      <c r="AL895" s="344"/>
      <c r="AM895" s="344"/>
      <c r="AN895" s="344"/>
      <c r="AO895" s="344"/>
    </row>
    <row r="896" spans="1:41" ht="15.75" customHeight="1" x14ac:dyDescent="0.25">
      <c r="A896" s="344"/>
      <c r="B896" s="353"/>
      <c r="C896" s="344"/>
      <c r="D896" s="344"/>
      <c r="E896" s="344"/>
      <c r="F896" s="344"/>
      <c r="G896" s="344"/>
      <c r="H896" s="344"/>
      <c r="I896" s="344"/>
      <c r="J896" s="344"/>
      <c r="K896" s="344"/>
      <c r="L896" s="344"/>
      <c r="M896" s="344"/>
      <c r="N896" s="344"/>
      <c r="O896" s="344"/>
      <c r="P896" s="344"/>
      <c r="Q896" s="344"/>
      <c r="R896" s="344"/>
      <c r="S896" s="344"/>
      <c r="T896" s="344"/>
      <c r="U896" s="344"/>
      <c r="V896" s="344"/>
      <c r="W896" s="344"/>
      <c r="X896" s="344"/>
      <c r="Y896" s="344"/>
      <c r="Z896" s="344"/>
      <c r="AA896" s="344"/>
      <c r="AB896" s="344"/>
      <c r="AC896" s="344"/>
      <c r="AD896" s="344"/>
      <c r="AE896" s="344"/>
      <c r="AF896" s="344"/>
      <c r="AG896" s="344"/>
      <c r="AH896" s="344"/>
      <c r="AI896" s="344"/>
      <c r="AJ896" s="344"/>
      <c r="AK896" s="344"/>
      <c r="AL896" s="344"/>
      <c r="AM896" s="344"/>
      <c r="AN896" s="344"/>
      <c r="AO896" s="344"/>
    </row>
    <row r="897" spans="1:41" ht="15.75" customHeight="1" x14ac:dyDescent="0.25">
      <c r="A897" s="344"/>
      <c r="B897" s="353"/>
      <c r="C897" s="344"/>
      <c r="D897" s="344"/>
      <c r="E897" s="344"/>
      <c r="F897" s="344"/>
      <c r="G897" s="344"/>
      <c r="H897" s="344"/>
      <c r="I897" s="344"/>
      <c r="J897" s="344"/>
      <c r="K897" s="344"/>
      <c r="L897" s="344"/>
      <c r="M897" s="344"/>
      <c r="N897" s="344"/>
      <c r="O897" s="344"/>
      <c r="P897" s="344"/>
      <c r="Q897" s="344"/>
      <c r="R897" s="344"/>
      <c r="S897" s="344"/>
      <c r="T897" s="344"/>
      <c r="U897" s="344"/>
      <c r="V897" s="344"/>
      <c r="W897" s="344"/>
      <c r="X897" s="344"/>
      <c r="Y897" s="344"/>
      <c r="Z897" s="344"/>
      <c r="AA897" s="344"/>
      <c r="AB897" s="344"/>
      <c r="AC897" s="344"/>
      <c r="AD897" s="344"/>
      <c r="AE897" s="344"/>
      <c r="AF897" s="344"/>
      <c r="AG897" s="344"/>
      <c r="AH897" s="344"/>
      <c r="AI897" s="344"/>
      <c r="AJ897" s="344"/>
      <c r="AK897" s="344"/>
      <c r="AL897" s="344"/>
      <c r="AM897" s="344"/>
      <c r="AN897" s="344"/>
      <c r="AO897" s="344"/>
    </row>
    <row r="898" spans="1:41" ht="15.75" customHeight="1" x14ac:dyDescent="0.25">
      <c r="A898" s="344"/>
      <c r="B898" s="353"/>
      <c r="C898" s="344"/>
      <c r="D898" s="344"/>
      <c r="E898" s="344"/>
      <c r="F898" s="344"/>
      <c r="G898" s="344"/>
      <c r="H898" s="344"/>
      <c r="I898" s="344"/>
      <c r="J898" s="344"/>
      <c r="K898" s="344"/>
      <c r="L898" s="344"/>
      <c r="M898" s="344"/>
      <c r="N898" s="344"/>
      <c r="O898" s="344"/>
      <c r="P898" s="344"/>
      <c r="Q898" s="344"/>
      <c r="R898" s="344"/>
      <c r="S898" s="344"/>
      <c r="T898" s="344"/>
      <c r="U898" s="344"/>
      <c r="V898" s="344"/>
      <c r="W898" s="344"/>
      <c r="X898" s="344"/>
      <c r="Y898" s="344"/>
      <c r="Z898" s="344"/>
      <c r="AA898" s="344"/>
      <c r="AB898" s="344"/>
      <c r="AC898" s="344"/>
      <c r="AD898" s="344"/>
      <c r="AE898" s="344"/>
      <c r="AF898" s="344"/>
      <c r="AG898" s="344"/>
      <c r="AH898" s="344"/>
      <c r="AI898" s="344"/>
      <c r="AJ898" s="344"/>
      <c r="AK898" s="344"/>
      <c r="AL898" s="344"/>
      <c r="AM898" s="344"/>
      <c r="AN898" s="344"/>
      <c r="AO898" s="344"/>
    </row>
    <row r="899" spans="1:41" ht="15.75" customHeight="1" x14ac:dyDescent="0.25">
      <c r="A899" s="344"/>
      <c r="B899" s="353"/>
      <c r="C899" s="344"/>
      <c r="D899" s="344"/>
      <c r="E899" s="344"/>
      <c r="F899" s="344"/>
      <c r="G899" s="344"/>
      <c r="H899" s="344"/>
      <c r="I899" s="344"/>
      <c r="J899" s="344"/>
      <c r="K899" s="344"/>
      <c r="L899" s="344"/>
      <c r="M899" s="344"/>
      <c r="N899" s="344"/>
      <c r="O899" s="344"/>
      <c r="P899" s="344"/>
      <c r="Q899" s="344"/>
      <c r="R899" s="344"/>
      <c r="S899" s="344"/>
      <c r="T899" s="344"/>
      <c r="U899" s="344"/>
      <c r="V899" s="344"/>
      <c r="W899" s="344"/>
      <c r="X899" s="344"/>
      <c r="Y899" s="344"/>
      <c r="Z899" s="344"/>
      <c r="AA899" s="344"/>
      <c r="AB899" s="344"/>
      <c r="AC899" s="344"/>
      <c r="AD899" s="344"/>
      <c r="AE899" s="344"/>
      <c r="AF899" s="344"/>
      <c r="AG899" s="344"/>
      <c r="AH899" s="344"/>
      <c r="AI899" s="344"/>
      <c r="AJ899" s="344"/>
      <c r="AK899" s="344"/>
      <c r="AL899" s="344"/>
      <c r="AM899" s="344"/>
      <c r="AN899" s="344"/>
      <c r="AO899" s="344"/>
    </row>
    <row r="900" spans="1:41" ht="15.75" customHeight="1" x14ac:dyDescent="0.25">
      <c r="A900" s="344"/>
      <c r="B900" s="353"/>
      <c r="C900" s="344"/>
      <c r="D900" s="344"/>
      <c r="E900" s="344"/>
      <c r="F900" s="344"/>
      <c r="G900" s="344"/>
      <c r="H900" s="344"/>
      <c r="I900" s="344"/>
      <c r="J900" s="344"/>
      <c r="K900" s="344"/>
      <c r="L900" s="344"/>
      <c r="M900" s="344"/>
      <c r="N900" s="344"/>
      <c r="O900" s="344"/>
      <c r="P900" s="344"/>
      <c r="Q900" s="344"/>
      <c r="R900" s="344"/>
      <c r="S900" s="344"/>
      <c r="T900" s="344"/>
      <c r="U900" s="344"/>
      <c r="V900" s="344"/>
      <c r="W900" s="344"/>
      <c r="X900" s="344"/>
      <c r="Y900" s="344"/>
      <c r="Z900" s="344"/>
      <c r="AA900" s="344"/>
      <c r="AB900" s="344"/>
      <c r="AC900" s="344"/>
      <c r="AD900" s="344"/>
      <c r="AE900" s="344"/>
      <c r="AF900" s="344"/>
      <c r="AG900" s="344"/>
      <c r="AH900" s="344"/>
      <c r="AI900" s="344"/>
      <c r="AJ900" s="344"/>
      <c r="AK900" s="344"/>
      <c r="AL900" s="344"/>
      <c r="AM900" s="344"/>
      <c r="AN900" s="344"/>
      <c r="AO900" s="344"/>
    </row>
    <row r="901" spans="1:41" ht="15.75" customHeight="1" x14ac:dyDescent="0.25">
      <c r="A901" s="344"/>
      <c r="B901" s="353"/>
      <c r="C901" s="344"/>
      <c r="D901" s="344"/>
      <c r="E901" s="344"/>
      <c r="F901" s="344"/>
      <c r="G901" s="344"/>
      <c r="H901" s="344"/>
      <c r="I901" s="344"/>
      <c r="J901" s="344"/>
      <c r="K901" s="344"/>
      <c r="L901" s="344"/>
      <c r="M901" s="344"/>
      <c r="N901" s="344"/>
      <c r="O901" s="344"/>
      <c r="P901" s="344"/>
      <c r="Q901" s="344"/>
      <c r="R901" s="344"/>
      <c r="S901" s="344"/>
      <c r="T901" s="344"/>
      <c r="U901" s="344"/>
      <c r="V901" s="344"/>
      <c r="W901" s="344"/>
      <c r="X901" s="344"/>
      <c r="Y901" s="344"/>
      <c r="Z901" s="344"/>
      <c r="AA901" s="344"/>
      <c r="AB901" s="344"/>
      <c r="AC901" s="344"/>
      <c r="AD901" s="344"/>
      <c r="AE901" s="344"/>
      <c r="AF901" s="344"/>
      <c r="AG901" s="344"/>
      <c r="AH901" s="344"/>
      <c r="AI901" s="344"/>
      <c r="AJ901" s="344"/>
      <c r="AK901" s="344"/>
      <c r="AL901" s="344"/>
      <c r="AM901" s="344"/>
      <c r="AN901" s="344"/>
      <c r="AO901" s="344"/>
    </row>
    <row r="902" spans="1:41" ht="15.75" customHeight="1" x14ac:dyDescent="0.25">
      <c r="A902" s="344"/>
      <c r="B902" s="353"/>
      <c r="C902" s="344"/>
      <c r="D902" s="344"/>
      <c r="E902" s="344"/>
      <c r="F902" s="344"/>
      <c r="G902" s="344"/>
      <c r="H902" s="344"/>
      <c r="I902" s="344"/>
      <c r="J902" s="344"/>
      <c r="K902" s="344"/>
      <c r="L902" s="344"/>
      <c r="M902" s="344"/>
      <c r="N902" s="344"/>
      <c r="O902" s="344"/>
      <c r="P902" s="344"/>
      <c r="Q902" s="344"/>
      <c r="R902" s="344"/>
      <c r="S902" s="344"/>
      <c r="T902" s="344"/>
      <c r="U902" s="344"/>
      <c r="V902" s="344"/>
      <c r="W902" s="344"/>
      <c r="X902" s="344"/>
      <c r="Y902" s="344"/>
      <c r="Z902" s="344"/>
      <c r="AA902" s="344"/>
      <c r="AB902" s="344"/>
      <c r="AC902" s="344"/>
      <c r="AD902" s="344"/>
      <c r="AE902" s="344"/>
      <c r="AF902" s="344"/>
      <c r="AG902" s="344"/>
      <c r="AH902" s="344"/>
      <c r="AI902" s="344"/>
      <c r="AJ902" s="344"/>
      <c r="AK902" s="344"/>
      <c r="AL902" s="344"/>
      <c r="AM902" s="344"/>
      <c r="AN902" s="344"/>
      <c r="AO902" s="344"/>
    </row>
    <row r="903" spans="1:41" ht="15.75" customHeight="1" x14ac:dyDescent="0.25">
      <c r="A903" s="344"/>
      <c r="B903" s="353"/>
      <c r="C903" s="344"/>
      <c r="D903" s="344"/>
      <c r="E903" s="344"/>
      <c r="F903" s="344"/>
      <c r="G903" s="344"/>
      <c r="H903" s="344"/>
      <c r="I903" s="344"/>
      <c r="J903" s="344"/>
      <c r="K903" s="344"/>
      <c r="L903" s="344"/>
      <c r="M903" s="344"/>
      <c r="N903" s="344"/>
      <c r="O903" s="344"/>
      <c r="P903" s="344"/>
      <c r="Q903" s="344"/>
      <c r="R903" s="344"/>
      <c r="S903" s="344"/>
      <c r="T903" s="344"/>
      <c r="U903" s="344"/>
      <c r="V903" s="344"/>
      <c r="W903" s="344"/>
      <c r="X903" s="344"/>
      <c r="Y903" s="344"/>
      <c r="Z903" s="344"/>
      <c r="AA903" s="344"/>
      <c r="AB903" s="344"/>
      <c r="AC903" s="344"/>
      <c r="AD903" s="344"/>
      <c r="AE903" s="344"/>
      <c r="AF903" s="344"/>
      <c r="AG903" s="344"/>
      <c r="AH903" s="344"/>
      <c r="AI903" s="344"/>
      <c r="AJ903" s="344"/>
      <c r="AK903" s="344"/>
      <c r="AL903" s="344"/>
      <c r="AM903" s="344"/>
      <c r="AN903" s="344"/>
      <c r="AO903" s="344"/>
    </row>
    <row r="904" spans="1:41" ht="15.75" customHeight="1" x14ac:dyDescent="0.25">
      <c r="A904" s="344"/>
      <c r="B904" s="353"/>
      <c r="C904" s="344"/>
      <c r="D904" s="344"/>
      <c r="E904" s="344"/>
      <c r="F904" s="344"/>
      <c r="G904" s="344"/>
      <c r="H904" s="344"/>
      <c r="I904" s="344"/>
      <c r="J904" s="344"/>
      <c r="K904" s="344"/>
      <c r="L904" s="344"/>
      <c r="M904" s="344"/>
      <c r="N904" s="344"/>
      <c r="O904" s="344"/>
      <c r="P904" s="344"/>
      <c r="Q904" s="344"/>
      <c r="R904" s="344"/>
      <c r="S904" s="344"/>
      <c r="T904" s="344"/>
      <c r="U904" s="344"/>
      <c r="V904" s="344"/>
      <c r="W904" s="344"/>
      <c r="X904" s="344"/>
      <c r="Y904" s="344"/>
      <c r="Z904" s="344"/>
      <c r="AA904" s="344"/>
      <c r="AB904" s="344"/>
      <c r="AC904" s="344"/>
      <c r="AD904" s="344"/>
      <c r="AE904" s="344"/>
      <c r="AF904" s="344"/>
      <c r="AG904" s="344"/>
      <c r="AH904" s="344"/>
      <c r="AI904" s="344"/>
      <c r="AJ904" s="344"/>
      <c r="AK904" s="344"/>
      <c r="AL904" s="344"/>
      <c r="AM904" s="344"/>
      <c r="AN904" s="344"/>
      <c r="AO904" s="344"/>
    </row>
    <row r="905" spans="1:41" ht="15.75" customHeight="1" x14ac:dyDescent="0.25">
      <c r="A905" s="344"/>
      <c r="B905" s="353"/>
      <c r="C905" s="344"/>
      <c r="D905" s="344"/>
      <c r="E905" s="344"/>
      <c r="F905" s="344"/>
      <c r="G905" s="344"/>
      <c r="H905" s="344"/>
      <c r="I905" s="344"/>
      <c r="J905" s="344"/>
      <c r="K905" s="344"/>
      <c r="L905" s="344"/>
      <c r="M905" s="344"/>
      <c r="N905" s="344"/>
      <c r="O905" s="344"/>
      <c r="P905" s="344"/>
      <c r="Q905" s="344"/>
      <c r="R905" s="344"/>
      <c r="S905" s="344"/>
      <c r="T905" s="344"/>
      <c r="U905" s="344"/>
      <c r="V905" s="344"/>
      <c r="W905" s="344"/>
      <c r="X905" s="344"/>
      <c r="Y905" s="344"/>
      <c r="Z905" s="344"/>
      <c r="AA905" s="344"/>
      <c r="AB905" s="344"/>
      <c r="AC905" s="344"/>
      <c r="AD905" s="344"/>
      <c r="AE905" s="344"/>
      <c r="AF905" s="344"/>
      <c r="AG905" s="344"/>
      <c r="AH905" s="344"/>
      <c r="AI905" s="344"/>
      <c r="AJ905" s="344"/>
      <c r="AK905" s="344"/>
      <c r="AL905" s="344"/>
      <c r="AM905" s="344"/>
      <c r="AN905" s="344"/>
      <c r="AO905" s="344"/>
    </row>
    <row r="906" spans="1:41" ht="15.75" customHeight="1" x14ac:dyDescent="0.25">
      <c r="A906" s="344"/>
      <c r="B906" s="353"/>
      <c r="C906" s="344"/>
      <c r="D906" s="344"/>
      <c r="E906" s="344"/>
      <c r="F906" s="344"/>
      <c r="G906" s="344"/>
      <c r="H906" s="344"/>
      <c r="I906" s="344"/>
      <c r="J906" s="344"/>
      <c r="K906" s="344"/>
      <c r="L906" s="344"/>
      <c r="M906" s="344"/>
      <c r="N906" s="344"/>
      <c r="O906" s="344"/>
      <c r="P906" s="344"/>
      <c r="Q906" s="344"/>
      <c r="R906" s="344"/>
      <c r="S906" s="344"/>
      <c r="T906" s="344"/>
      <c r="U906" s="344"/>
      <c r="V906" s="344"/>
      <c r="W906" s="344"/>
      <c r="X906" s="344"/>
      <c r="Y906" s="344"/>
      <c r="Z906" s="344"/>
      <c r="AA906" s="344"/>
      <c r="AB906" s="344"/>
      <c r="AC906" s="344"/>
      <c r="AD906" s="344"/>
      <c r="AE906" s="344"/>
      <c r="AF906" s="344"/>
      <c r="AG906" s="344"/>
      <c r="AH906" s="344"/>
      <c r="AI906" s="344"/>
      <c r="AJ906" s="344"/>
      <c r="AK906" s="344"/>
      <c r="AL906" s="344"/>
      <c r="AM906" s="344"/>
      <c r="AN906" s="344"/>
      <c r="AO906" s="344"/>
    </row>
    <row r="907" spans="1:41" ht="15.75" customHeight="1" x14ac:dyDescent="0.25">
      <c r="A907" s="344"/>
      <c r="B907" s="353"/>
      <c r="C907" s="344"/>
      <c r="D907" s="344"/>
      <c r="E907" s="344"/>
      <c r="F907" s="344"/>
      <c r="G907" s="344"/>
      <c r="H907" s="344"/>
      <c r="I907" s="344"/>
      <c r="J907" s="344"/>
      <c r="K907" s="344"/>
      <c r="L907" s="344"/>
      <c r="M907" s="344"/>
      <c r="N907" s="344"/>
      <c r="O907" s="344"/>
      <c r="P907" s="344"/>
      <c r="Q907" s="344"/>
      <c r="R907" s="344"/>
      <c r="S907" s="344"/>
      <c r="T907" s="344"/>
      <c r="U907" s="344"/>
      <c r="V907" s="344"/>
      <c r="W907" s="344"/>
      <c r="X907" s="344"/>
      <c r="Y907" s="344"/>
      <c r="Z907" s="344"/>
      <c r="AA907" s="344"/>
      <c r="AB907" s="344"/>
      <c r="AC907" s="344"/>
      <c r="AD907" s="344"/>
      <c r="AE907" s="344"/>
      <c r="AF907" s="344"/>
      <c r="AG907" s="344"/>
      <c r="AH907" s="344"/>
      <c r="AI907" s="344"/>
      <c r="AJ907" s="344"/>
      <c r="AK907" s="344"/>
      <c r="AL907" s="344"/>
      <c r="AM907" s="344"/>
      <c r="AN907" s="344"/>
      <c r="AO907" s="344"/>
    </row>
    <row r="908" spans="1:41" ht="15.75" customHeight="1" x14ac:dyDescent="0.25">
      <c r="A908" s="344"/>
      <c r="B908" s="353"/>
      <c r="C908" s="344"/>
      <c r="D908" s="344"/>
      <c r="E908" s="344"/>
      <c r="F908" s="344"/>
      <c r="G908" s="344"/>
      <c r="H908" s="344"/>
      <c r="I908" s="344"/>
      <c r="J908" s="344"/>
      <c r="K908" s="344"/>
      <c r="L908" s="344"/>
      <c r="M908" s="344"/>
      <c r="N908" s="344"/>
      <c r="O908" s="344"/>
      <c r="P908" s="344"/>
      <c r="Q908" s="344"/>
      <c r="R908" s="344"/>
      <c r="S908" s="344"/>
      <c r="T908" s="344"/>
      <c r="U908" s="344"/>
      <c r="V908" s="344"/>
      <c r="W908" s="344"/>
      <c r="X908" s="344"/>
      <c r="Y908" s="344"/>
      <c r="Z908" s="344"/>
      <c r="AA908" s="344"/>
      <c r="AB908" s="344"/>
      <c r="AC908" s="344"/>
      <c r="AD908" s="344"/>
      <c r="AE908" s="344"/>
      <c r="AF908" s="344"/>
      <c r="AG908" s="344"/>
      <c r="AH908" s="344"/>
      <c r="AI908" s="344"/>
      <c r="AJ908" s="344"/>
      <c r="AK908" s="344"/>
      <c r="AL908" s="344"/>
      <c r="AM908" s="344"/>
      <c r="AN908" s="344"/>
      <c r="AO908" s="344"/>
    </row>
    <row r="909" spans="1:41" ht="15.75" customHeight="1" x14ac:dyDescent="0.25">
      <c r="A909" s="344"/>
      <c r="B909" s="353"/>
      <c r="C909" s="344"/>
      <c r="D909" s="344"/>
      <c r="E909" s="344"/>
      <c r="F909" s="344"/>
      <c r="G909" s="344"/>
      <c r="H909" s="344"/>
      <c r="I909" s="344"/>
      <c r="J909" s="344"/>
      <c r="K909" s="344"/>
      <c r="L909" s="344"/>
      <c r="M909" s="344"/>
      <c r="N909" s="344"/>
      <c r="O909" s="344"/>
      <c r="P909" s="344"/>
      <c r="Q909" s="344"/>
      <c r="R909" s="344"/>
      <c r="S909" s="344"/>
      <c r="T909" s="344"/>
      <c r="U909" s="344"/>
      <c r="V909" s="344"/>
      <c r="W909" s="344"/>
      <c r="X909" s="344"/>
      <c r="Y909" s="344"/>
      <c r="Z909" s="344"/>
      <c r="AA909" s="344"/>
      <c r="AB909" s="344"/>
      <c r="AC909" s="344"/>
      <c r="AD909" s="344"/>
      <c r="AE909" s="344"/>
      <c r="AF909" s="344"/>
      <c r="AG909" s="344"/>
      <c r="AH909" s="344"/>
      <c r="AI909" s="344"/>
      <c r="AJ909" s="344"/>
      <c r="AK909" s="344"/>
      <c r="AL909" s="344"/>
      <c r="AM909" s="344"/>
      <c r="AN909" s="344"/>
      <c r="AO909" s="344"/>
    </row>
    <row r="910" spans="1:41" ht="15.75" customHeight="1" x14ac:dyDescent="0.25">
      <c r="A910" s="344"/>
      <c r="B910" s="353"/>
      <c r="C910" s="344"/>
      <c r="D910" s="344"/>
      <c r="E910" s="344"/>
      <c r="F910" s="344"/>
      <c r="G910" s="344"/>
      <c r="H910" s="344"/>
      <c r="I910" s="344"/>
      <c r="J910" s="344"/>
      <c r="K910" s="344"/>
      <c r="L910" s="344"/>
      <c r="M910" s="344"/>
      <c r="N910" s="344"/>
      <c r="O910" s="344"/>
      <c r="P910" s="344"/>
      <c r="Q910" s="344"/>
      <c r="R910" s="344"/>
      <c r="S910" s="344"/>
      <c r="T910" s="344"/>
      <c r="U910" s="344"/>
      <c r="V910" s="344"/>
      <c r="W910" s="344"/>
      <c r="X910" s="344"/>
      <c r="Y910" s="344"/>
      <c r="Z910" s="344"/>
      <c r="AA910" s="344"/>
      <c r="AB910" s="344"/>
      <c r="AC910" s="344"/>
      <c r="AD910" s="344"/>
      <c r="AE910" s="344"/>
      <c r="AF910" s="344"/>
      <c r="AG910" s="344"/>
      <c r="AH910" s="344"/>
      <c r="AI910" s="344"/>
      <c r="AJ910" s="344"/>
      <c r="AK910" s="344"/>
      <c r="AL910" s="344"/>
      <c r="AM910" s="344"/>
      <c r="AN910" s="344"/>
      <c r="AO910" s="344"/>
    </row>
    <row r="911" spans="1:41" ht="15.75" customHeight="1" x14ac:dyDescent="0.25">
      <c r="A911" s="344"/>
      <c r="B911" s="353"/>
      <c r="C911" s="344"/>
      <c r="D911" s="344"/>
      <c r="E911" s="344"/>
      <c r="F911" s="344"/>
      <c r="G911" s="344"/>
      <c r="H911" s="344"/>
      <c r="I911" s="344"/>
      <c r="J911" s="344"/>
      <c r="K911" s="344"/>
      <c r="L911" s="344"/>
      <c r="M911" s="344"/>
      <c r="N911" s="344"/>
      <c r="O911" s="344"/>
      <c r="P911" s="344"/>
      <c r="Q911" s="344"/>
      <c r="R911" s="344"/>
      <c r="S911" s="344"/>
      <c r="T911" s="344"/>
      <c r="U911" s="344"/>
      <c r="V911" s="344"/>
      <c r="W911" s="344"/>
      <c r="X911" s="344"/>
      <c r="Y911" s="344"/>
      <c r="Z911" s="344"/>
      <c r="AA911" s="344"/>
      <c r="AB911" s="344"/>
      <c r="AC911" s="344"/>
      <c r="AD911" s="344"/>
      <c r="AE911" s="344"/>
      <c r="AF911" s="344"/>
      <c r="AG911" s="344"/>
      <c r="AH911" s="344"/>
      <c r="AI911" s="344"/>
      <c r="AJ911" s="344"/>
      <c r="AK911" s="344"/>
      <c r="AL911" s="344"/>
      <c r="AM911" s="344"/>
      <c r="AN911" s="344"/>
      <c r="AO911" s="344"/>
    </row>
    <row r="912" spans="1:41" ht="15.75" customHeight="1" x14ac:dyDescent="0.25">
      <c r="A912" s="344"/>
      <c r="B912" s="353"/>
      <c r="C912" s="344"/>
      <c r="D912" s="344"/>
      <c r="E912" s="344"/>
      <c r="F912" s="344"/>
      <c r="G912" s="344"/>
      <c r="H912" s="344"/>
      <c r="I912" s="344"/>
      <c r="J912" s="344"/>
      <c r="K912" s="344"/>
      <c r="L912" s="344"/>
      <c r="M912" s="344"/>
      <c r="N912" s="344"/>
      <c r="O912" s="344"/>
      <c r="P912" s="344"/>
      <c r="Q912" s="344"/>
      <c r="R912" s="344"/>
      <c r="S912" s="344"/>
      <c r="T912" s="344"/>
      <c r="U912" s="344"/>
      <c r="V912" s="344"/>
      <c r="W912" s="344"/>
      <c r="X912" s="344"/>
      <c r="Y912" s="344"/>
      <c r="Z912" s="344"/>
      <c r="AA912" s="344"/>
      <c r="AB912" s="344"/>
      <c r="AC912" s="344"/>
      <c r="AD912" s="344"/>
      <c r="AE912" s="344"/>
      <c r="AF912" s="344"/>
      <c r="AG912" s="344"/>
      <c r="AH912" s="344"/>
      <c r="AI912" s="344"/>
      <c r="AJ912" s="344"/>
      <c r="AK912" s="344"/>
      <c r="AL912" s="344"/>
      <c r="AM912" s="344"/>
      <c r="AN912" s="344"/>
      <c r="AO912" s="344"/>
    </row>
    <row r="913" spans="1:41" ht="15.75" customHeight="1" x14ac:dyDescent="0.25">
      <c r="A913" s="344"/>
      <c r="B913" s="353"/>
      <c r="C913" s="344"/>
      <c r="D913" s="344"/>
      <c r="E913" s="344"/>
      <c r="F913" s="344"/>
      <c r="G913" s="344"/>
      <c r="H913" s="344"/>
      <c r="I913" s="344"/>
      <c r="J913" s="344"/>
      <c r="K913" s="344"/>
      <c r="L913" s="344"/>
      <c r="M913" s="344"/>
      <c r="N913" s="344"/>
      <c r="O913" s="344"/>
      <c r="P913" s="344"/>
      <c r="Q913" s="344"/>
      <c r="R913" s="344"/>
      <c r="S913" s="344"/>
      <c r="T913" s="344"/>
      <c r="U913" s="344"/>
      <c r="V913" s="344"/>
      <c r="W913" s="344"/>
      <c r="X913" s="344"/>
      <c r="Y913" s="344"/>
      <c r="Z913" s="344"/>
      <c r="AA913" s="344"/>
      <c r="AB913" s="344"/>
      <c r="AC913" s="344"/>
      <c r="AD913" s="344"/>
      <c r="AE913" s="344"/>
      <c r="AF913" s="344"/>
      <c r="AG913" s="344"/>
      <c r="AH913" s="344"/>
      <c r="AI913" s="344"/>
      <c r="AJ913" s="344"/>
      <c r="AK913" s="344"/>
      <c r="AL913" s="344"/>
      <c r="AM913" s="344"/>
      <c r="AN913" s="344"/>
      <c r="AO913" s="344"/>
    </row>
    <row r="914" spans="1:41" ht="15.75" customHeight="1" x14ac:dyDescent="0.25">
      <c r="A914" s="344"/>
      <c r="B914" s="353"/>
      <c r="C914" s="344"/>
      <c r="D914" s="344"/>
      <c r="E914" s="344"/>
      <c r="F914" s="344"/>
      <c r="G914" s="344"/>
      <c r="H914" s="344"/>
      <c r="I914" s="344"/>
      <c r="J914" s="344"/>
      <c r="K914" s="344"/>
      <c r="L914" s="344"/>
      <c r="M914" s="344"/>
      <c r="N914" s="344"/>
      <c r="O914" s="344"/>
      <c r="P914" s="344"/>
      <c r="Q914" s="344"/>
      <c r="R914" s="344"/>
      <c r="S914" s="344"/>
      <c r="T914" s="344"/>
      <c r="U914" s="344"/>
      <c r="V914" s="344"/>
      <c r="W914" s="344"/>
      <c r="X914" s="344"/>
      <c r="Y914" s="344"/>
      <c r="Z914" s="344"/>
      <c r="AA914" s="344"/>
      <c r="AB914" s="344"/>
      <c r="AC914" s="344"/>
      <c r="AD914" s="344"/>
      <c r="AE914" s="344"/>
      <c r="AF914" s="344"/>
      <c r="AG914" s="344"/>
      <c r="AH914" s="344"/>
      <c r="AI914" s="344"/>
      <c r="AJ914" s="344"/>
      <c r="AK914" s="344"/>
      <c r="AL914" s="344"/>
      <c r="AM914" s="344"/>
      <c r="AN914" s="344"/>
      <c r="AO914" s="344"/>
    </row>
    <row r="915" spans="1:41" ht="15.75" customHeight="1" x14ac:dyDescent="0.25">
      <c r="A915" s="344"/>
      <c r="B915" s="353"/>
      <c r="C915" s="344"/>
      <c r="D915" s="344"/>
      <c r="E915" s="344"/>
      <c r="F915" s="344"/>
      <c r="G915" s="344"/>
      <c r="H915" s="344"/>
      <c r="I915" s="344"/>
      <c r="J915" s="344"/>
      <c r="K915" s="344"/>
      <c r="L915" s="344"/>
      <c r="M915" s="344"/>
      <c r="N915" s="344"/>
      <c r="O915" s="344"/>
      <c r="P915" s="344"/>
      <c r="Q915" s="344"/>
      <c r="R915" s="344"/>
      <c r="S915" s="344"/>
      <c r="T915" s="344"/>
      <c r="U915" s="344"/>
      <c r="V915" s="344"/>
      <c r="W915" s="344"/>
      <c r="X915" s="344"/>
      <c r="Y915" s="344"/>
      <c r="Z915" s="344"/>
      <c r="AA915" s="344"/>
      <c r="AB915" s="344"/>
      <c r="AC915" s="344"/>
      <c r="AD915" s="344"/>
      <c r="AE915" s="344"/>
      <c r="AF915" s="344"/>
      <c r="AG915" s="344"/>
      <c r="AH915" s="344"/>
      <c r="AI915" s="344"/>
      <c r="AJ915" s="344"/>
      <c r="AK915" s="344"/>
      <c r="AL915" s="344"/>
      <c r="AM915" s="344"/>
      <c r="AN915" s="344"/>
      <c r="AO915" s="344"/>
    </row>
    <row r="916" spans="1:41" ht="15.75" customHeight="1" x14ac:dyDescent="0.25">
      <c r="A916" s="344"/>
      <c r="B916" s="353"/>
      <c r="C916" s="344"/>
      <c r="D916" s="344"/>
      <c r="E916" s="344"/>
      <c r="F916" s="344"/>
      <c r="G916" s="344"/>
      <c r="H916" s="344"/>
      <c r="I916" s="344"/>
      <c r="J916" s="344"/>
      <c r="K916" s="344"/>
      <c r="L916" s="344"/>
      <c r="M916" s="344"/>
      <c r="N916" s="344"/>
      <c r="O916" s="344"/>
      <c r="P916" s="344"/>
      <c r="Q916" s="344"/>
      <c r="R916" s="344"/>
      <c r="S916" s="344"/>
      <c r="T916" s="344"/>
      <c r="U916" s="344"/>
      <c r="V916" s="344"/>
      <c r="W916" s="344"/>
      <c r="X916" s="344"/>
      <c r="Y916" s="344"/>
      <c r="Z916" s="344"/>
      <c r="AA916" s="344"/>
      <c r="AB916" s="344"/>
      <c r="AC916" s="344"/>
      <c r="AD916" s="344"/>
      <c r="AE916" s="344"/>
      <c r="AF916" s="344"/>
      <c r="AG916" s="344"/>
      <c r="AH916" s="344"/>
      <c r="AI916" s="344"/>
      <c r="AJ916" s="344"/>
      <c r="AK916" s="344"/>
      <c r="AL916" s="344"/>
      <c r="AM916" s="344"/>
      <c r="AN916" s="344"/>
      <c r="AO916" s="344"/>
    </row>
    <row r="917" spans="1:41" ht="15.75" customHeight="1" x14ac:dyDescent="0.25">
      <c r="A917" s="344"/>
      <c r="B917" s="353"/>
      <c r="C917" s="344"/>
      <c r="D917" s="344"/>
      <c r="E917" s="344"/>
      <c r="F917" s="344"/>
      <c r="G917" s="344"/>
      <c r="H917" s="344"/>
      <c r="I917" s="344"/>
      <c r="J917" s="344"/>
      <c r="K917" s="344"/>
      <c r="L917" s="344"/>
      <c r="M917" s="344"/>
      <c r="N917" s="344"/>
      <c r="O917" s="344"/>
      <c r="P917" s="344"/>
      <c r="Q917" s="344"/>
      <c r="R917" s="344"/>
      <c r="S917" s="344"/>
      <c r="T917" s="344"/>
      <c r="U917" s="344"/>
      <c r="V917" s="344"/>
      <c r="W917" s="344"/>
      <c r="X917" s="344"/>
      <c r="Y917" s="344"/>
      <c r="Z917" s="344"/>
      <c r="AA917" s="344"/>
      <c r="AB917" s="344"/>
      <c r="AC917" s="344"/>
      <c r="AD917" s="344"/>
      <c r="AE917" s="344"/>
      <c r="AF917" s="344"/>
      <c r="AG917" s="344"/>
      <c r="AH917" s="344"/>
      <c r="AI917" s="344"/>
      <c r="AJ917" s="344"/>
      <c r="AK917" s="344"/>
      <c r="AL917" s="344"/>
      <c r="AM917" s="344"/>
      <c r="AN917" s="344"/>
      <c r="AO917" s="344"/>
    </row>
    <row r="918" spans="1:41" ht="15.75" customHeight="1" x14ac:dyDescent="0.25">
      <c r="A918" s="344"/>
      <c r="B918" s="353"/>
      <c r="C918" s="344"/>
      <c r="D918" s="344"/>
      <c r="E918" s="344"/>
      <c r="F918" s="344"/>
      <c r="G918" s="344"/>
      <c r="H918" s="344"/>
      <c r="I918" s="344"/>
      <c r="J918" s="344"/>
      <c r="K918" s="344"/>
      <c r="L918" s="344"/>
      <c r="M918" s="344"/>
      <c r="N918" s="344"/>
      <c r="O918" s="344"/>
      <c r="P918" s="344"/>
      <c r="Q918" s="344"/>
      <c r="R918" s="344"/>
      <c r="S918" s="344"/>
      <c r="T918" s="344"/>
      <c r="U918" s="344"/>
      <c r="V918" s="344"/>
      <c r="W918" s="344"/>
      <c r="X918" s="344"/>
      <c r="Y918" s="344"/>
      <c r="Z918" s="344"/>
      <c r="AA918" s="344"/>
      <c r="AB918" s="344"/>
      <c r="AC918" s="344"/>
      <c r="AD918" s="344"/>
      <c r="AE918" s="344"/>
      <c r="AF918" s="344"/>
      <c r="AG918" s="344"/>
      <c r="AH918" s="344"/>
      <c r="AI918" s="344"/>
      <c r="AJ918" s="344"/>
      <c r="AK918" s="344"/>
      <c r="AL918" s="344"/>
      <c r="AM918" s="344"/>
      <c r="AN918" s="344"/>
      <c r="AO918" s="344"/>
    </row>
    <row r="919" spans="1:41" ht="15.75" customHeight="1" x14ac:dyDescent="0.25">
      <c r="A919" s="344"/>
      <c r="B919" s="353"/>
      <c r="C919" s="344"/>
      <c r="D919" s="344"/>
      <c r="E919" s="344"/>
      <c r="F919" s="344"/>
      <c r="G919" s="344"/>
      <c r="H919" s="344"/>
      <c r="I919" s="344"/>
      <c r="J919" s="344"/>
      <c r="K919" s="344"/>
      <c r="L919" s="344"/>
      <c r="M919" s="344"/>
      <c r="N919" s="344"/>
      <c r="O919" s="344"/>
      <c r="P919" s="344"/>
      <c r="Q919" s="344"/>
      <c r="R919" s="344"/>
      <c r="S919" s="344"/>
      <c r="T919" s="344"/>
      <c r="U919" s="344"/>
      <c r="V919" s="344"/>
      <c r="W919" s="344"/>
      <c r="X919" s="344"/>
      <c r="Y919" s="344"/>
      <c r="Z919" s="344"/>
      <c r="AA919" s="344"/>
      <c r="AB919" s="344"/>
      <c r="AC919" s="344"/>
      <c r="AD919" s="344"/>
      <c r="AE919" s="344"/>
      <c r="AF919" s="344"/>
      <c r="AG919" s="344"/>
      <c r="AH919" s="344"/>
      <c r="AI919" s="344"/>
      <c r="AJ919" s="344"/>
      <c r="AK919" s="344"/>
      <c r="AL919" s="344"/>
      <c r="AM919" s="344"/>
      <c r="AN919" s="344"/>
      <c r="AO919" s="344"/>
    </row>
    <row r="920" spans="1:41" ht="15.75" customHeight="1" x14ac:dyDescent="0.25">
      <c r="A920" s="344"/>
      <c r="B920" s="353"/>
      <c r="C920" s="344"/>
      <c r="D920" s="344"/>
      <c r="E920" s="344"/>
      <c r="F920" s="344"/>
      <c r="G920" s="344"/>
      <c r="H920" s="344"/>
      <c r="I920" s="344"/>
      <c r="J920" s="344"/>
      <c r="K920" s="344"/>
      <c r="L920" s="344"/>
      <c r="M920" s="344"/>
      <c r="N920" s="344"/>
      <c r="O920" s="344"/>
      <c r="P920" s="344"/>
      <c r="Q920" s="344"/>
      <c r="R920" s="344"/>
      <c r="S920" s="344"/>
      <c r="T920" s="344"/>
      <c r="U920" s="344"/>
      <c r="V920" s="344"/>
      <c r="W920" s="344"/>
      <c r="X920" s="344"/>
      <c r="Y920" s="344"/>
      <c r="Z920" s="344"/>
      <c r="AA920" s="344"/>
      <c r="AB920" s="344"/>
      <c r="AC920" s="344"/>
      <c r="AD920" s="344"/>
      <c r="AE920" s="344"/>
      <c r="AF920" s="344"/>
      <c r="AG920" s="344"/>
      <c r="AH920" s="344"/>
      <c r="AI920" s="344"/>
      <c r="AJ920" s="344"/>
      <c r="AK920" s="344"/>
      <c r="AL920" s="344"/>
      <c r="AM920" s="344"/>
      <c r="AN920" s="344"/>
      <c r="AO920" s="344"/>
    </row>
    <row r="921" spans="1:41" ht="15.75" customHeight="1" x14ac:dyDescent="0.25">
      <c r="A921" s="344"/>
      <c r="B921" s="353"/>
      <c r="C921" s="344"/>
      <c r="D921" s="344"/>
      <c r="E921" s="344"/>
      <c r="F921" s="344"/>
      <c r="G921" s="344"/>
      <c r="H921" s="344"/>
      <c r="I921" s="344"/>
      <c r="J921" s="344"/>
      <c r="K921" s="344"/>
      <c r="L921" s="344"/>
      <c r="M921" s="344"/>
      <c r="N921" s="344"/>
      <c r="O921" s="344"/>
      <c r="P921" s="344"/>
      <c r="Q921" s="344"/>
      <c r="R921" s="344"/>
      <c r="S921" s="344"/>
      <c r="T921" s="344"/>
      <c r="U921" s="344"/>
      <c r="V921" s="344"/>
      <c r="W921" s="344"/>
      <c r="X921" s="344"/>
      <c r="Y921" s="344"/>
      <c r="Z921" s="344"/>
      <c r="AA921" s="344"/>
      <c r="AB921" s="344"/>
      <c r="AC921" s="344"/>
      <c r="AD921" s="344"/>
      <c r="AE921" s="344"/>
      <c r="AF921" s="344"/>
      <c r="AG921" s="344"/>
      <c r="AH921" s="344"/>
      <c r="AI921" s="344"/>
      <c r="AJ921" s="344"/>
      <c r="AK921" s="344"/>
      <c r="AL921" s="344"/>
      <c r="AM921" s="344"/>
      <c r="AN921" s="344"/>
      <c r="AO921" s="344"/>
    </row>
    <row r="922" spans="1:41" ht="15.75" customHeight="1" x14ac:dyDescent="0.25">
      <c r="A922" s="344"/>
      <c r="B922" s="353"/>
      <c r="C922" s="344"/>
      <c r="D922" s="344"/>
      <c r="E922" s="344"/>
      <c r="F922" s="344"/>
      <c r="G922" s="344"/>
      <c r="H922" s="344"/>
      <c r="I922" s="344"/>
      <c r="J922" s="344"/>
      <c r="K922" s="344"/>
      <c r="L922" s="344"/>
      <c r="M922" s="344"/>
      <c r="N922" s="344"/>
      <c r="O922" s="344"/>
      <c r="P922" s="344"/>
      <c r="Q922" s="344"/>
      <c r="R922" s="344"/>
      <c r="S922" s="344"/>
      <c r="T922" s="344"/>
      <c r="U922" s="344"/>
      <c r="V922" s="344"/>
      <c r="W922" s="344"/>
      <c r="X922" s="344"/>
      <c r="Y922" s="344"/>
      <c r="Z922" s="344"/>
      <c r="AA922" s="344"/>
      <c r="AB922" s="344"/>
      <c r="AC922" s="344"/>
      <c r="AD922" s="344"/>
      <c r="AE922" s="344"/>
      <c r="AF922" s="344"/>
      <c r="AG922" s="344"/>
      <c r="AH922" s="344"/>
      <c r="AI922" s="344"/>
      <c r="AJ922" s="344"/>
      <c r="AK922" s="344"/>
      <c r="AL922" s="344"/>
      <c r="AM922" s="344"/>
      <c r="AN922" s="344"/>
      <c r="AO922" s="344"/>
    </row>
    <row r="923" spans="1:41" ht="15.75" customHeight="1" x14ac:dyDescent="0.25">
      <c r="A923" s="344"/>
      <c r="B923" s="353"/>
      <c r="C923" s="344"/>
      <c r="D923" s="344"/>
      <c r="E923" s="344"/>
      <c r="F923" s="344"/>
      <c r="G923" s="344"/>
      <c r="H923" s="344"/>
      <c r="I923" s="344"/>
      <c r="J923" s="344"/>
      <c r="K923" s="344"/>
      <c r="L923" s="344"/>
      <c r="M923" s="344"/>
      <c r="N923" s="344"/>
      <c r="O923" s="344"/>
      <c r="P923" s="344"/>
      <c r="Q923" s="344"/>
      <c r="R923" s="344"/>
      <c r="S923" s="344"/>
      <c r="T923" s="344"/>
      <c r="U923" s="344"/>
      <c r="V923" s="344"/>
      <c r="W923" s="344"/>
      <c r="X923" s="344"/>
      <c r="Y923" s="344"/>
      <c r="Z923" s="344"/>
      <c r="AA923" s="344"/>
      <c r="AB923" s="344"/>
      <c r="AC923" s="344"/>
      <c r="AD923" s="344"/>
      <c r="AE923" s="344"/>
      <c r="AF923" s="344"/>
      <c r="AG923" s="344"/>
      <c r="AH923" s="344"/>
      <c r="AI923" s="344"/>
      <c r="AJ923" s="344"/>
      <c r="AK923" s="344"/>
      <c r="AL923" s="344"/>
      <c r="AM923" s="344"/>
      <c r="AN923" s="344"/>
      <c r="AO923" s="344"/>
    </row>
    <row r="924" spans="1:41" ht="15.75" customHeight="1" x14ac:dyDescent="0.25">
      <c r="A924" s="344"/>
      <c r="B924" s="353"/>
      <c r="C924" s="344"/>
      <c r="D924" s="344"/>
      <c r="E924" s="344"/>
      <c r="F924" s="344"/>
      <c r="G924" s="344"/>
      <c r="H924" s="344"/>
      <c r="I924" s="344"/>
      <c r="J924" s="344"/>
      <c r="K924" s="344"/>
      <c r="L924" s="344"/>
      <c r="M924" s="344"/>
      <c r="N924" s="344"/>
      <c r="O924" s="344"/>
      <c r="P924" s="344"/>
      <c r="Q924" s="344"/>
      <c r="R924" s="344"/>
      <c r="S924" s="344"/>
      <c r="T924" s="344"/>
      <c r="U924" s="344"/>
      <c r="V924" s="344"/>
      <c r="W924" s="344"/>
      <c r="X924" s="344"/>
      <c r="Y924" s="344"/>
      <c r="Z924" s="344"/>
      <c r="AA924" s="344"/>
      <c r="AB924" s="344"/>
      <c r="AC924" s="344"/>
      <c r="AD924" s="344"/>
      <c r="AE924" s="344"/>
      <c r="AF924" s="344"/>
      <c r="AG924" s="344"/>
      <c r="AH924" s="344"/>
      <c r="AI924" s="344"/>
      <c r="AJ924" s="344"/>
      <c r="AK924" s="344"/>
      <c r="AL924" s="344"/>
      <c r="AM924" s="344"/>
      <c r="AN924" s="344"/>
      <c r="AO924" s="344"/>
    </row>
    <row r="925" spans="1:41" ht="15.75" customHeight="1" x14ac:dyDescent="0.25">
      <c r="A925" s="344"/>
      <c r="B925" s="353"/>
      <c r="C925" s="344"/>
      <c r="D925" s="344"/>
      <c r="E925" s="344"/>
      <c r="F925" s="344"/>
      <c r="G925" s="344"/>
      <c r="H925" s="344"/>
      <c r="I925" s="344"/>
      <c r="J925" s="344"/>
      <c r="K925" s="344"/>
      <c r="L925" s="344"/>
      <c r="M925" s="344"/>
      <c r="N925" s="344"/>
      <c r="O925" s="344"/>
      <c r="P925" s="344"/>
      <c r="Q925" s="344"/>
      <c r="R925" s="344"/>
      <c r="S925" s="344"/>
      <c r="T925" s="344"/>
      <c r="U925" s="344"/>
      <c r="V925" s="344"/>
      <c r="W925" s="344"/>
      <c r="X925" s="344"/>
      <c r="Y925" s="344"/>
      <c r="Z925" s="344"/>
      <c r="AA925" s="344"/>
      <c r="AB925" s="344"/>
      <c r="AC925" s="344"/>
      <c r="AD925" s="344"/>
      <c r="AE925" s="344"/>
      <c r="AF925" s="344"/>
      <c r="AG925" s="344"/>
      <c r="AH925" s="344"/>
      <c r="AI925" s="344"/>
      <c r="AJ925" s="344"/>
      <c r="AK925" s="344"/>
      <c r="AL925" s="344"/>
      <c r="AM925" s="344"/>
      <c r="AN925" s="344"/>
      <c r="AO925" s="344"/>
    </row>
    <row r="926" spans="1:41" ht="15.75" customHeight="1" x14ac:dyDescent="0.25">
      <c r="A926" s="344"/>
      <c r="B926" s="353"/>
      <c r="C926" s="344"/>
      <c r="D926" s="344"/>
      <c r="E926" s="344"/>
      <c r="F926" s="344"/>
      <c r="G926" s="344"/>
      <c r="H926" s="344"/>
      <c r="I926" s="344"/>
      <c r="J926" s="344"/>
      <c r="K926" s="344"/>
      <c r="L926" s="344"/>
      <c r="M926" s="344"/>
      <c r="N926" s="344"/>
      <c r="O926" s="344"/>
      <c r="P926" s="344"/>
      <c r="Q926" s="344"/>
      <c r="R926" s="344"/>
      <c r="S926" s="344"/>
      <c r="T926" s="344"/>
      <c r="U926" s="344"/>
      <c r="V926" s="344"/>
      <c r="W926" s="344"/>
      <c r="X926" s="344"/>
      <c r="Y926" s="344"/>
      <c r="Z926" s="344"/>
      <c r="AA926" s="344"/>
      <c r="AB926" s="344"/>
      <c r="AC926" s="344"/>
      <c r="AD926" s="344"/>
      <c r="AE926" s="344"/>
      <c r="AF926" s="344"/>
      <c r="AG926" s="344"/>
      <c r="AH926" s="344"/>
      <c r="AI926" s="344"/>
      <c r="AJ926" s="344"/>
      <c r="AK926" s="344"/>
      <c r="AL926" s="344"/>
      <c r="AM926" s="344"/>
      <c r="AN926" s="344"/>
      <c r="AO926" s="344"/>
    </row>
    <row r="927" spans="1:41" ht="15.75" customHeight="1" x14ac:dyDescent="0.25">
      <c r="A927" s="344"/>
      <c r="B927" s="353"/>
      <c r="C927" s="344"/>
      <c r="D927" s="344"/>
      <c r="E927" s="344"/>
      <c r="F927" s="344"/>
      <c r="G927" s="344"/>
      <c r="H927" s="344"/>
      <c r="I927" s="344"/>
      <c r="J927" s="344"/>
      <c r="K927" s="344"/>
      <c r="L927" s="344"/>
      <c r="M927" s="344"/>
      <c r="N927" s="344"/>
      <c r="O927" s="344"/>
      <c r="P927" s="344"/>
      <c r="Q927" s="344"/>
      <c r="R927" s="344"/>
      <c r="S927" s="344"/>
      <c r="T927" s="344"/>
      <c r="U927" s="344"/>
      <c r="V927" s="344"/>
      <c r="W927" s="344"/>
      <c r="X927" s="344"/>
      <c r="Y927" s="344"/>
      <c r="Z927" s="344"/>
      <c r="AA927" s="344"/>
      <c r="AB927" s="344"/>
      <c r="AC927" s="344"/>
      <c r="AD927" s="344"/>
      <c r="AE927" s="344"/>
      <c r="AF927" s="344"/>
      <c r="AG927" s="344"/>
      <c r="AH927" s="344"/>
      <c r="AI927" s="344"/>
      <c r="AJ927" s="344"/>
      <c r="AK927" s="344"/>
      <c r="AL927" s="344"/>
      <c r="AM927" s="344"/>
      <c r="AN927" s="344"/>
      <c r="AO927" s="344"/>
    </row>
    <row r="928" spans="1:41" ht="15.75" customHeight="1" x14ac:dyDescent="0.25">
      <c r="A928" s="344"/>
      <c r="B928" s="353"/>
      <c r="C928" s="344"/>
      <c r="D928" s="344"/>
      <c r="E928" s="344"/>
      <c r="F928" s="344"/>
      <c r="G928" s="344"/>
      <c r="H928" s="344"/>
      <c r="I928" s="344"/>
      <c r="J928" s="344"/>
      <c r="K928" s="344"/>
      <c r="L928" s="344"/>
      <c r="M928" s="344"/>
      <c r="N928" s="344"/>
      <c r="O928" s="344"/>
      <c r="P928" s="344"/>
      <c r="Q928" s="344"/>
      <c r="R928" s="344"/>
      <c r="S928" s="344"/>
      <c r="T928" s="344"/>
      <c r="U928" s="344"/>
      <c r="V928" s="344"/>
      <c r="W928" s="344"/>
      <c r="X928" s="344"/>
      <c r="Y928" s="344"/>
      <c r="Z928" s="344"/>
      <c r="AA928" s="344"/>
      <c r="AB928" s="344"/>
      <c r="AC928" s="344"/>
      <c r="AD928" s="344"/>
      <c r="AE928" s="344"/>
      <c r="AF928" s="344"/>
      <c r="AG928" s="344"/>
      <c r="AH928" s="344"/>
      <c r="AI928" s="344"/>
      <c r="AJ928" s="344"/>
      <c r="AK928" s="344"/>
      <c r="AL928" s="344"/>
      <c r="AM928" s="344"/>
      <c r="AN928" s="344"/>
      <c r="AO928" s="344"/>
    </row>
    <row r="929" spans="1:41" ht="15.75" customHeight="1" x14ac:dyDescent="0.25">
      <c r="A929" s="344"/>
      <c r="B929" s="353"/>
      <c r="C929" s="344"/>
      <c r="D929" s="344"/>
      <c r="E929" s="344"/>
      <c r="F929" s="344"/>
      <c r="G929" s="344"/>
      <c r="H929" s="344"/>
      <c r="I929" s="344"/>
      <c r="J929" s="344"/>
      <c r="K929" s="344"/>
      <c r="L929" s="344"/>
      <c r="M929" s="344"/>
      <c r="N929" s="344"/>
      <c r="O929" s="344"/>
      <c r="P929" s="344"/>
      <c r="Q929" s="344"/>
      <c r="R929" s="344"/>
      <c r="S929" s="344"/>
      <c r="T929" s="344"/>
      <c r="U929" s="344"/>
      <c r="V929" s="344"/>
      <c r="W929" s="344"/>
      <c r="X929" s="344"/>
      <c r="Y929" s="344"/>
      <c r="Z929" s="344"/>
      <c r="AA929" s="344"/>
      <c r="AB929" s="344"/>
      <c r="AC929" s="344"/>
      <c r="AD929" s="344"/>
      <c r="AE929" s="344"/>
      <c r="AF929" s="344"/>
      <c r="AG929" s="344"/>
      <c r="AH929" s="344"/>
      <c r="AI929" s="344"/>
      <c r="AJ929" s="344"/>
      <c r="AK929" s="344"/>
      <c r="AL929" s="344"/>
      <c r="AM929" s="344"/>
      <c r="AN929" s="344"/>
      <c r="AO929" s="344"/>
    </row>
    <row r="930" spans="1:41" ht="15.75" customHeight="1" x14ac:dyDescent="0.25">
      <c r="A930" s="344"/>
      <c r="B930" s="353"/>
      <c r="C930" s="344"/>
      <c r="D930" s="344"/>
      <c r="E930" s="344"/>
      <c r="F930" s="344"/>
      <c r="G930" s="344"/>
      <c r="H930" s="344"/>
      <c r="I930" s="344"/>
      <c r="J930" s="344"/>
      <c r="K930" s="344"/>
      <c r="L930" s="344"/>
      <c r="M930" s="344"/>
      <c r="N930" s="344"/>
      <c r="O930" s="344"/>
      <c r="P930" s="344"/>
      <c r="Q930" s="344"/>
      <c r="R930" s="344"/>
      <c r="S930" s="344"/>
      <c r="T930" s="344"/>
      <c r="U930" s="344"/>
      <c r="V930" s="344"/>
      <c r="W930" s="344"/>
      <c r="X930" s="344"/>
      <c r="Y930" s="344"/>
      <c r="Z930" s="344"/>
      <c r="AA930" s="344"/>
      <c r="AB930" s="344"/>
      <c r="AC930" s="344"/>
      <c r="AD930" s="344"/>
      <c r="AE930" s="344"/>
      <c r="AF930" s="344"/>
      <c r="AG930" s="344"/>
      <c r="AH930" s="344"/>
      <c r="AI930" s="344"/>
      <c r="AJ930" s="344"/>
      <c r="AK930" s="344"/>
      <c r="AL930" s="344"/>
      <c r="AM930" s="344"/>
      <c r="AN930" s="344"/>
      <c r="AO930" s="344"/>
    </row>
    <row r="931" spans="1:41" ht="15.75" customHeight="1" x14ac:dyDescent="0.25">
      <c r="A931" s="344"/>
      <c r="B931" s="353"/>
      <c r="C931" s="344"/>
      <c r="D931" s="344"/>
      <c r="E931" s="344"/>
      <c r="F931" s="344"/>
      <c r="G931" s="344"/>
      <c r="H931" s="344"/>
      <c r="I931" s="344"/>
      <c r="J931" s="344"/>
      <c r="K931" s="344"/>
      <c r="L931" s="344"/>
      <c r="M931" s="344"/>
      <c r="N931" s="344"/>
      <c r="O931" s="344"/>
      <c r="P931" s="344"/>
      <c r="Q931" s="344"/>
      <c r="R931" s="344"/>
      <c r="S931" s="344"/>
      <c r="T931" s="344"/>
      <c r="U931" s="344"/>
      <c r="V931" s="344"/>
      <c r="W931" s="344"/>
      <c r="X931" s="344"/>
      <c r="Y931" s="344"/>
      <c r="Z931" s="344"/>
      <c r="AA931" s="344"/>
      <c r="AB931" s="344"/>
      <c r="AC931" s="344"/>
      <c r="AD931" s="344"/>
      <c r="AE931" s="344"/>
      <c r="AF931" s="344"/>
      <c r="AG931" s="344"/>
      <c r="AH931" s="344"/>
      <c r="AI931" s="344"/>
      <c r="AJ931" s="344"/>
      <c r="AK931" s="344"/>
      <c r="AL931" s="344"/>
      <c r="AM931" s="344"/>
      <c r="AN931" s="344"/>
      <c r="AO931" s="344"/>
    </row>
    <row r="932" spans="1:41" ht="15.75" customHeight="1" x14ac:dyDescent="0.25">
      <c r="A932" s="344"/>
      <c r="B932" s="353"/>
      <c r="C932" s="344"/>
      <c r="D932" s="344"/>
      <c r="E932" s="344"/>
      <c r="F932" s="344"/>
      <c r="G932" s="344"/>
      <c r="H932" s="344"/>
      <c r="I932" s="344"/>
      <c r="J932" s="344"/>
      <c r="K932" s="344"/>
      <c r="L932" s="344"/>
      <c r="M932" s="344"/>
      <c r="N932" s="344"/>
      <c r="O932" s="344"/>
      <c r="P932" s="344"/>
      <c r="Q932" s="344"/>
      <c r="R932" s="344"/>
      <c r="S932" s="344"/>
      <c r="T932" s="344"/>
      <c r="U932" s="344"/>
      <c r="V932" s="344"/>
      <c r="W932" s="344"/>
      <c r="X932" s="344"/>
      <c r="Y932" s="344"/>
      <c r="Z932" s="344"/>
      <c r="AA932" s="344"/>
      <c r="AB932" s="344"/>
      <c r="AC932" s="344"/>
      <c r="AD932" s="344"/>
      <c r="AE932" s="344"/>
      <c r="AF932" s="344"/>
      <c r="AG932" s="344"/>
      <c r="AH932" s="344"/>
      <c r="AI932" s="344"/>
      <c r="AJ932" s="344"/>
      <c r="AK932" s="344"/>
      <c r="AL932" s="344"/>
      <c r="AM932" s="344"/>
      <c r="AN932" s="344"/>
      <c r="AO932" s="344"/>
    </row>
    <row r="933" spans="1:41" ht="15.75" customHeight="1" x14ac:dyDescent="0.25">
      <c r="A933" s="344"/>
      <c r="B933" s="353"/>
      <c r="C933" s="344"/>
      <c r="D933" s="344"/>
      <c r="E933" s="344"/>
      <c r="F933" s="344"/>
      <c r="G933" s="344"/>
      <c r="H933" s="344"/>
      <c r="I933" s="344"/>
      <c r="J933" s="344"/>
      <c r="K933" s="344"/>
      <c r="L933" s="344"/>
      <c r="M933" s="344"/>
      <c r="N933" s="344"/>
      <c r="O933" s="344"/>
      <c r="P933" s="344"/>
      <c r="Q933" s="344"/>
      <c r="R933" s="344"/>
      <c r="S933" s="344"/>
      <c r="T933" s="344"/>
      <c r="U933" s="344"/>
      <c r="V933" s="344"/>
      <c r="W933" s="344"/>
      <c r="X933" s="344"/>
      <c r="Y933" s="344"/>
      <c r="Z933" s="344"/>
      <c r="AA933" s="344"/>
      <c r="AB933" s="344"/>
      <c r="AC933" s="344"/>
      <c r="AD933" s="344"/>
      <c r="AE933" s="344"/>
      <c r="AF933" s="344"/>
      <c r="AG933" s="344"/>
      <c r="AH933" s="344"/>
      <c r="AI933" s="344"/>
      <c r="AJ933" s="344"/>
      <c r="AK933" s="344"/>
      <c r="AL933" s="344"/>
      <c r="AM933" s="344"/>
      <c r="AN933" s="344"/>
      <c r="AO933" s="344"/>
    </row>
    <row r="934" spans="1:41" ht="15.75" customHeight="1" x14ac:dyDescent="0.25">
      <c r="A934" s="344"/>
      <c r="B934" s="353"/>
      <c r="C934" s="344"/>
      <c r="D934" s="344"/>
      <c r="E934" s="344"/>
      <c r="F934" s="344"/>
      <c r="G934" s="344"/>
      <c r="H934" s="344"/>
      <c r="I934" s="344"/>
      <c r="J934" s="344"/>
      <c r="K934" s="344"/>
      <c r="L934" s="344"/>
      <c r="M934" s="344"/>
      <c r="N934" s="344"/>
      <c r="O934" s="344"/>
      <c r="P934" s="344"/>
      <c r="Q934" s="344"/>
      <c r="R934" s="344"/>
      <c r="S934" s="344"/>
      <c r="T934" s="344"/>
      <c r="U934" s="344"/>
      <c r="V934" s="344"/>
      <c r="W934" s="344"/>
      <c r="X934" s="344"/>
      <c r="Y934" s="344"/>
      <c r="Z934" s="344"/>
      <c r="AA934" s="344"/>
      <c r="AB934" s="344"/>
      <c r="AC934" s="344"/>
      <c r="AD934" s="344"/>
      <c r="AE934" s="344"/>
      <c r="AF934" s="344"/>
      <c r="AG934" s="344"/>
      <c r="AH934" s="344"/>
      <c r="AI934" s="344"/>
      <c r="AJ934" s="344"/>
      <c r="AK934" s="344"/>
      <c r="AL934" s="344"/>
      <c r="AM934" s="344"/>
      <c r="AN934" s="344"/>
      <c r="AO934" s="344"/>
    </row>
    <row r="935" spans="1:41" ht="15.75" customHeight="1" x14ac:dyDescent="0.25">
      <c r="A935" s="344"/>
      <c r="B935" s="353"/>
      <c r="C935" s="344"/>
      <c r="D935" s="344"/>
      <c r="E935" s="344"/>
      <c r="F935" s="344"/>
      <c r="G935" s="344"/>
      <c r="H935" s="344"/>
      <c r="I935" s="344"/>
      <c r="J935" s="344"/>
      <c r="K935" s="344"/>
      <c r="L935" s="344"/>
      <c r="M935" s="344"/>
      <c r="N935" s="344"/>
      <c r="O935" s="344"/>
      <c r="P935" s="344"/>
      <c r="Q935" s="344"/>
      <c r="R935" s="344"/>
      <c r="S935" s="344"/>
      <c r="T935" s="344"/>
      <c r="U935" s="344"/>
      <c r="V935" s="344"/>
      <c r="W935" s="344"/>
      <c r="X935" s="344"/>
      <c r="Y935" s="344"/>
      <c r="Z935" s="344"/>
      <c r="AA935" s="344"/>
      <c r="AB935" s="344"/>
      <c r="AC935" s="344"/>
      <c r="AD935" s="344"/>
      <c r="AE935" s="344"/>
      <c r="AF935" s="344"/>
      <c r="AG935" s="344"/>
      <c r="AH935" s="344"/>
      <c r="AI935" s="344"/>
      <c r="AJ935" s="344"/>
      <c r="AK935" s="344"/>
      <c r="AL935" s="344"/>
      <c r="AM935" s="344"/>
      <c r="AN935" s="344"/>
      <c r="AO935" s="344"/>
    </row>
    <row r="936" spans="1:41" ht="15.75" customHeight="1" x14ac:dyDescent="0.25">
      <c r="A936" s="344"/>
      <c r="B936" s="353"/>
      <c r="C936" s="344"/>
      <c r="D936" s="344"/>
      <c r="E936" s="344"/>
      <c r="F936" s="344"/>
      <c r="G936" s="344"/>
      <c r="H936" s="344"/>
      <c r="I936" s="344"/>
      <c r="J936" s="344"/>
      <c r="K936" s="344"/>
      <c r="L936" s="344"/>
      <c r="M936" s="344"/>
      <c r="N936" s="344"/>
      <c r="O936" s="344"/>
      <c r="P936" s="344"/>
      <c r="Q936" s="344"/>
      <c r="R936" s="344"/>
      <c r="S936" s="344"/>
      <c r="T936" s="344"/>
      <c r="U936" s="344"/>
      <c r="V936" s="344"/>
      <c r="W936" s="344"/>
      <c r="X936" s="344"/>
      <c r="Y936" s="344"/>
      <c r="Z936" s="344"/>
      <c r="AA936" s="344"/>
      <c r="AB936" s="344"/>
      <c r="AC936" s="344"/>
      <c r="AD936" s="344"/>
      <c r="AE936" s="344"/>
      <c r="AF936" s="344"/>
      <c r="AG936" s="344"/>
      <c r="AH936" s="344"/>
      <c r="AI936" s="344"/>
      <c r="AJ936" s="344"/>
      <c r="AK936" s="344"/>
      <c r="AL936" s="344"/>
      <c r="AM936" s="344"/>
      <c r="AN936" s="344"/>
      <c r="AO936" s="344"/>
    </row>
    <row r="937" spans="1:41" ht="15.75" customHeight="1" x14ac:dyDescent="0.25">
      <c r="A937" s="344"/>
      <c r="B937" s="353"/>
      <c r="C937" s="344"/>
      <c r="D937" s="344"/>
      <c r="E937" s="344"/>
      <c r="F937" s="344"/>
      <c r="G937" s="344"/>
      <c r="H937" s="344"/>
      <c r="I937" s="344"/>
      <c r="J937" s="344"/>
      <c r="K937" s="344"/>
      <c r="L937" s="344"/>
      <c r="M937" s="344"/>
      <c r="N937" s="344"/>
      <c r="O937" s="344"/>
      <c r="P937" s="344"/>
      <c r="Q937" s="344"/>
      <c r="R937" s="344"/>
      <c r="S937" s="344"/>
      <c r="T937" s="344"/>
      <c r="U937" s="344"/>
      <c r="V937" s="344"/>
      <c r="W937" s="344"/>
      <c r="X937" s="344"/>
      <c r="Y937" s="344"/>
      <c r="Z937" s="344"/>
      <c r="AA937" s="344"/>
      <c r="AB937" s="344"/>
      <c r="AC937" s="344"/>
      <c r="AD937" s="344"/>
      <c r="AE937" s="344"/>
      <c r="AF937" s="344"/>
      <c r="AG937" s="344"/>
      <c r="AH937" s="344"/>
      <c r="AI937" s="344"/>
      <c r="AJ937" s="344"/>
      <c r="AK937" s="344"/>
      <c r="AL937" s="344"/>
      <c r="AM937" s="344"/>
      <c r="AN937" s="344"/>
      <c r="AO937" s="344"/>
    </row>
    <row r="938" spans="1:41" ht="15.75" customHeight="1" x14ac:dyDescent="0.25">
      <c r="A938" s="344"/>
      <c r="B938" s="353"/>
      <c r="C938" s="344"/>
      <c r="D938" s="344"/>
      <c r="E938" s="344"/>
      <c r="F938" s="344"/>
      <c r="G938" s="344"/>
      <c r="H938" s="344"/>
      <c r="I938" s="344"/>
      <c r="J938" s="344"/>
      <c r="K938" s="344"/>
      <c r="L938" s="344"/>
      <c r="M938" s="344"/>
      <c r="N938" s="344"/>
      <c r="O938" s="344"/>
      <c r="P938" s="344"/>
      <c r="Q938" s="344"/>
      <c r="R938" s="344"/>
      <c r="S938" s="344"/>
      <c r="T938" s="344"/>
      <c r="U938" s="344"/>
      <c r="V938" s="344"/>
      <c r="W938" s="344"/>
      <c r="X938" s="344"/>
      <c r="Y938" s="344"/>
      <c r="Z938" s="344"/>
      <c r="AA938" s="344"/>
      <c r="AB938" s="344"/>
      <c r="AC938" s="344"/>
      <c r="AD938" s="344"/>
      <c r="AE938" s="344"/>
      <c r="AF938" s="344"/>
      <c r="AG938" s="344"/>
      <c r="AH938" s="344"/>
      <c r="AI938" s="344"/>
      <c r="AJ938" s="344"/>
      <c r="AK938" s="344"/>
      <c r="AL938" s="344"/>
      <c r="AM938" s="344"/>
      <c r="AN938" s="344"/>
      <c r="AO938" s="344"/>
    </row>
    <row r="939" spans="1:41" ht="15.75" customHeight="1" x14ac:dyDescent="0.25">
      <c r="A939" s="344"/>
      <c r="B939" s="353"/>
      <c r="C939" s="344"/>
      <c r="D939" s="344"/>
      <c r="E939" s="344"/>
      <c r="F939" s="344"/>
      <c r="G939" s="344"/>
      <c r="H939" s="344"/>
      <c r="I939" s="344"/>
      <c r="J939" s="344"/>
      <c r="K939" s="344"/>
      <c r="L939" s="344"/>
      <c r="M939" s="344"/>
      <c r="N939" s="344"/>
      <c r="O939" s="344"/>
      <c r="P939" s="344"/>
      <c r="Q939" s="344"/>
      <c r="R939" s="344"/>
      <c r="S939" s="344"/>
      <c r="T939" s="344"/>
      <c r="U939" s="344"/>
      <c r="V939" s="344"/>
      <c r="W939" s="344"/>
      <c r="X939" s="344"/>
      <c r="Y939" s="344"/>
      <c r="Z939" s="344"/>
      <c r="AA939" s="344"/>
      <c r="AB939" s="344"/>
      <c r="AC939" s="344"/>
      <c r="AD939" s="344"/>
      <c r="AE939" s="344"/>
      <c r="AF939" s="344"/>
      <c r="AG939" s="344"/>
      <c r="AH939" s="344"/>
      <c r="AI939" s="344"/>
      <c r="AJ939" s="344"/>
      <c r="AK939" s="344"/>
      <c r="AL939" s="344"/>
      <c r="AM939" s="344"/>
      <c r="AN939" s="344"/>
      <c r="AO939" s="344"/>
    </row>
    <row r="940" spans="1:41" ht="15.75" customHeight="1" x14ac:dyDescent="0.25">
      <c r="A940" s="344"/>
      <c r="B940" s="353"/>
      <c r="C940" s="344"/>
      <c r="D940" s="344"/>
      <c r="E940" s="344"/>
      <c r="F940" s="344"/>
      <c r="G940" s="344"/>
      <c r="H940" s="344"/>
      <c r="I940" s="344"/>
      <c r="J940" s="344"/>
      <c r="K940" s="344"/>
      <c r="L940" s="344"/>
      <c r="M940" s="344"/>
      <c r="N940" s="344"/>
      <c r="O940" s="344"/>
      <c r="P940" s="344"/>
      <c r="Q940" s="344"/>
      <c r="R940" s="344"/>
      <c r="S940" s="344"/>
      <c r="T940" s="344"/>
      <c r="U940" s="344"/>
      <c r="V940" s="344"/>
      <c r="W940" s="344"/>
      <c r="X940" s="344"/>
      <c r="Y940" s="344"/>
      <c r="Z940" s="344"/>
      <c r="AA940" s="344"/>
      <c r="AB940" s="344"/>
      <c r="AC940" s="344"/>
      <c r="AD940" s="344"/>
      <c r="AE940" s="344"/>
      <c r="AF940" s="344"/>
      <c r="AG940" s="344"/>
      <c r="AH940" s="344"/>
      <c r="AI940" s="344"/>
      <c r="AJ940" s="344"/>
      <c r="AK940" s="344"/>
      <c r="AL940" s="344"/>
      <c r="AM940" s="344"/>
      <c r="AN940" s="344"/>
      <c r="AO940" s="344"/>
    </row>
    <row r="941" spans="1:41" ht="15.75" customHeight="1" x14ac:dyDescent="0.25">
      <c r="A941" s="344"/>
      <c r="B941" s="353"/>
      <c r="C941" s="344"/>
      <c r="D941" s="344"/>
      <c r="E941" s="344"/>
      <c r="F941" s="344"/>
      <c r="G941" s="344"/>
      <c r="H941" s="344"/>
      <c r="I941" s="344"/>
      <c r="J941" s="344"/>
      <c r="K941" s="344"/>
      <c r="L941" s="344"/>
      <c r="M941" s="344"/>
      <c r="N941" s="344"/>
      <c r="O941" s="344"/>
      <c r="P941" s="344"/>
      <c r="Q941" s="344"/>
      <c r="R941" s="344"/>
      <c r="S941" s="344"/>
      <c r="T941" s="344"/>
      <c r="U941" s="344"/>
      <c r="V941" s="344"/>
      <c r="W941" s="344"/>
      <c r="X941" s="344"/>
      <c r="Y941" s="344"/>
      <c r="Z941" s="344"/>
      <c r="AA941" s="344"/>
      <c r="AB941" s="344"/>
      <c r="AC941" s="344"/>
      <c r="AD941" s="344"/>
      <c r="AE941" s="344"/>
      <c r="AF941" s="344"/>
      <c r="AG941" s="344"/>
      <c r="AH941" s="344"/>
      <c r="AI941" s="344"/>
      <c r="AJ941" s="344"/>
      <c r="AK941" s="344"/>
      <c r="AL941" s="344"/>
      <c r="AM941" s="344"/>
      <c r="AN941" s="344"/>
      <c r="AO941" s="344"/>
    </row>
    <row r="942" spans="1:41" ht="15.75" customHeight="1" x14ac:dyDescent="0.25">
      <c r="A942" s="344"/>
      <c r="B942" s="353"/>
      <c r="C942" s="344"/>
      <c r="D942" s="344"/>
      <c r="E942" s="344"/>
      <c r="F942" s="344"/>
      <c r="G942" s="344"/>
      <c r="H942" s="344"/>
      <c r="I942" s="344"/>
      <c r="J942" s="344"/>
      <c r="K942" s="344"/>
      <c r="L942" s="344"/>
      <c r="M942" s="344"/>
      <c r="N942" s="344"/>
      <c r="O942" s="344"/>
      <c r="P942" s="344"/>
      <c r="Q942" s="344"/>
      <c r="R942" s="344"/>
      <c r="S942" s="344"/>
      <c r="T942" s="344"/>
      <c r="U942" s="344"/>
      <c r="V942" s="344"/>
      <c r="W942" s="344"/>
      <c r="X942" s="344"/>
      <c r="Y942" s="344"/>
      <c r="Z942" s="344"/>
      <c r="AA942" s="344"/>
      <c r="AB942" s="344"/>
      <c r="AC942" s="344"/>
      <c r="AD942" s="344"/>
      <c r="AE942" s="344"/>
      <c r="AF942" s="344"/>
      <c r="AG942" s="344"/>
      <c r="AH942" s="344"/>
      <c r="AI942" s="344"/>
      <c r="AJ942" s="344"/>
      <c r="AK942" s="344"/>
      <c r="AL942" s="344"/>
      <c r="AM942" s="344"/>
      <c r="AN942" s="344"/>
      <c r="AO942" s="344"/>
    </row>
    <row r="943" spans="1:41" ht="15.75" customHeight="1" x14ac:dyDescent="0.25">
      <c r="A943" s="344"/>
      <c r="B943" s="353"/>
      <c r="C943" s="344"/>
      <c r="D943" s="344"/>
      <c r="E943" s="344"/>
      <c r="F943" s="344"/>
      <c r="G943" s="344"/>
      <c r="H943" s="344"/>
      <c r="I943" s="344"/>
      <c r="J943" s="344"/>
      <c r="K943" s="344"/>
      <c r="L943" s="344"/>
      <c r="M943" s="344"/>
      <c r="N943" s="344"/>
      <c r="O943" s="344"/>
      <c r="P943" s="344"/>
      <c r="Q943" s="344"/>
      <c r="R943" s="344"/>
      <c r="S943" s="344"/>
      <c r="T943" s="344"/>
      <c r="U943" s="344"/>
      <c r="V943" s="344"/>
      <c r="W943" s="344"/>
      <c r="X943" s="344"/>
      <c r="Y943" s="344"/>
      <c r="Z943" s="344"/>
      <c r="AA943" s="344"/>
      <c r="AB943" s="344"/>
      <c r="AC943" s="344"/>
      <c r="AD943" s="344"/>
      <c r="AE943" s="344"/>
      <c r="AF943" s="344"/>
      <c r="AG943" s="344"/>
      <c r="AH943" s="344"/>
      <c r="AI943" s="344"/>
      <c r="AJ943" s="344"/>
      <c r="AK943" s="344"/>
      <c r="AL943" s="344"/>
      <c r="AM943" s="344"/>
      <c r="AN943" s="344"/>
      <c r="AO943" s="344"/>
    </row>
    <row r="944" spans="1:41" ht="15.75" customHeight="1" x14ac:dyDescent="0.25">
      <c r="A944" s="344"/>
      <c r="B944" s="353"/>
      <c r="C944" s="344"/>
      <c r="D944" s="344"/>
      <c r="E944" s="344"/>
      <c r="F944" s="344"/>
      <c r="G944" s="344"/>
      <c r="H944" s="344"/>
      <c r="I944" s="344"/>
      <c r="J944" s="344"/>
      <c r="K944" s="344"/>
      <c r="L944" s="344"/>
      <c r="M944" s="344"/>
      <c r="N944" s="344"/>
      <c r="O944" s="344"/>
      <c r="P944" s="344"/>
      <c r="Q944" s="344"/>
      <c r="R944" s="344"/>
      <c r="S944" s="344"/>
      <c r="T944" s="344"/>
      <c r="U944" s="344"/>
      <c r="V944" s="344"/>
      <c r="W944" s="344"/>
      <c r="X944" s="344"/>
      <c r="Y944" s="344"/>
      <c r="Z944" s="344"/>
      <c r="AA944" s="344"/>
      <c r="AB944" s="344"/>
      <c r="AC944" s="344"/>
      <c r="AD944" s="344"/>
      <c r="AE944" s="344"/>
      <c r="AF944" s="344"/>
      <c r="AG944" s="344"/>
      <c r="AH944" s="344"/>
      <c r="AI944" s="344"/>
      <c r="AJ944" s="344"/>
      <c r="AK944" s="344"/>
      <c r="AL944" s="344"/>
      <c r="AM944" s="344"/>
      <c r="AN944" s="344"/>
      <c r="AO944" s="344"/>
    </row>
    <row r="945" spans="1:41" ht="15.75" customHeight="1" x14ac:dyDescent="0.25">
      <c r="A945" s="344"/>
      <c r="B945" s="353"/>
      <c r="C945" s="344"/>
      <c r="D945" s="344"/>
      <c r="E945" s="344"/>
      <c r="F945" s="344"/>
      <c r="G945" s="344"/>
      <c r="H945" s="344"/>
      <c r="I945" s="344"/>
      <c r="J945" s="344"/>
      <c r="K945" s="344"/>
      <c r="L945" s="344"/>
      <c r="M945" s="344"/>
      <c r="N945" s="344"/>
      <c r="O945" s="344"/>
      <c r="P945" s="344"/>
      <c r="Q945" s="344"/>
      <c r="R945" s="344"/>
      <c r="S945" s="344"/>
      <c r="T945" s="344"/>
      <c r="U945" s="344"/>
      <c r="V945" s="344"/>
      <c r="W945" s="344"/>
      <c r="X945" s="344"/>
      <c r="Y945" s="344"/>
      <c r="Z945" s="344"/>
      <c r="AA945" s="344"/>
      <c r="AB945" s="344"/>
      <c r="AC945" s="344"/>
      <c r="AD945" s="344"/>
      <c r="AE945" s="344"/>
      <c r="AF945" s="344"/>
      <c r="AG945" s="344"/>
      <c r="AH945" s="344"/>
      <c r="AI945" s="344"/>
      <c r="AJ945" s="344"/>
      <c r="AK945" s="344"/>
      <c r="AL945" s="344"/>
      <c r="AM945" s="344"/>
      <c r="AN945" s="344"/>
      <c r="AO945" s="344"/>
    </row>
    <row r="946" spans="1:41" ht="15.75" customHeight="1" x14ac:dyDescent="0.25">
      <c r="A946" s="344"/>
      <c r="B946" s="353"/>
      <c r="C946" s="344"/>
      <c r="D946" s="344"/>
      <c r="E946" s="344"/>
      <c r="F946" s="344"/>
      <c r="G946" s="344"/>
      <c r="H946" s="344"/>
      <c r="I946" s="344"/>
      <c r="J946" s="344"/>
      <c r="K946" s="344"/>
      <c r="L946" s="344"/>
      <c r="M946" s="344"/>
      <c r="N946" s="344"/>
      <c r="O946" s="344"/>
      <c r="P946" s="344"/>
      <c r="Q946" s="344"/>
      <c r="R946" s="344"/>
      <c r="S946" s="344"/>
      <c r="T946" s="344"/>
      <c r="U946" s="344"/>
      <c r="V946" s="344"/>
      <c r="W946" s="344"/>
      <c r="X946" s="344"/>
      <c r="Y946" s="344"/>
      <c r="Z946" s="344"/>
      <c r="AA946" s="344"/>
      <c r="AB946" s="344"/>
      <c r="AC946" s="344"/>
      <c r="AD946" s="344"/>
      <c r="AE946" s="344"/>
      <c r="AF946" s="344"/>
      <c r="AG946" s="344"/>
      <c r="AH946" s="344"/>
      <c r="AI946" s="344"/>
      <c r="AJ946" s="344"/>
      <c r="AK946" s="344"/>
      <c r="AL946" s="344"/>
      <c r="AM946" s="344"/>
      <c r="AN946" s="344"/>
      <c r="AO946" s="344"/>
    </row>
    <row r="947" spans="1:41" ht="15.75" customHeight="1" x14ac:dyDescent="0.25">
      <c r="A947" s="344"/>
      <c r="B947" s="353"/>
      <c r="C947" s="344"/>
      <c r="D947" s="344"/>
      <c r="E947" s="344"/>
      <c r="F947" s="344"/>
      <c r="G947" s="344"/>
      <c r="H947" s="344"/>
      <c r="I947" s="344"/>
      <c r="J947" s="344"/>
      <c r="K947" s="344"/>
      <c r="L947" s="344"/>
      <c r="M947" s="344"/>
      <c r="N947" s="344"/>
      <c r="O947" s="344"/>
      <c r="P947" s="344"/>
      <c r="Q947" s="344"/>
      <c r="R947" s="344"/>
      <c r="S947" s="344"/>
      <c r="T947" s="344"/>
      <c r="U947" s="344"/>
      <c r="V947" s="344"/>
      <c r="W947" s="344"/>
      <c r="X947" s="344"/>
      <c r="Y947" s="344"/>
      <c r="Z947" s="344"/>
      <c r="AA947" s="344"/>
      <c r="AB947" s="344"/>
      <c r="AC947" s="344"/>
      <c r="AD947" s="344"/>
      <c r="AE947" s="344"/>
      <c r="AF947" s="344"/>
      <c r="AG947" s="344"/>
      <c r="AH947" s="344"/>
      <c r="AI947" s="344"/>
      <c r="AJ947" s="344"/>
      <c r="AK947" s="344"/>
      <c r="AL947" s="344"/>
      <c r="AM947" s="344"/>
      <c r="AN947" s="344"/>
      <c r="AO947" s="344"/>
    </row>
    <row r="948" spans="1:41" ht="15.75" customHeight="1" x14ac:dyDescent="0.25">
      <c r="A948" s="344"/>
      <c r="B948" s="353"/>
      <c r="C948" s="344"/>
      <c r="D948" s="344"/>
      <c r="E948" s="344"/>
      <c r="F948" s="344"/>
      <c r="G948" s="344"/>
      <c r="H948" s="344"/>
      <c r="I948" s="344"/>
      <c r="J948" s="344"/>
      <c r="K948" s="344"/>
      <c r="L948" s="344"/>
      <c r="M948" s="344"/>
      <c r="N948" s="344"/>
      <c r="O948" s="344"/>
      <c r="P948" s="344"/>
      <c r="Q948" s="344"/>
      <c r="R948" s="344"/>
      <c r="S948" s="344"/>
      <c r="T948" s="344"/>
      <c r="U948" s="344"/>
      <c r="V948" s="344"/>
      <c r="W948" s="344"/>
      <c r="X948" s="344"/>
      <c r="Y948" s="344"/>
      <c r="Z948" s="344"/>
      <c r="AA948" s="344"/>
      <c r="AB948" s="344"/>
      <c r="AC948" s="344"/>
      <c r="AD948" s="344"/>
      <c r="AE948" s="344"/>
      <c r="AF948" s="344"/>
      <c r="AG948" s="344"/>
      <c r="AH948" s="344"/>
      <c r="AI948" s="344"/>
      <c r="AJ948" s="344"/>
      <c r="AK948" s="344"/>
      <c r="AL948" s="344"/>
      <c r="AM948" s="344"/>
      <c r="AN948" s="344"/>
      <c r="AO948" s="344"/>
    </row>
    <row r="949" spans="1:41" ht="15.75" customHeight="1" x14ac:dyDescent="0.25">
      <c r="A949" s="344"/>
      <c r="B949" s="353"/>
      <c r="C949" s="344"/>
      <c r="D949" s="344"/>
      <c r="E949" s="344"/>
      <c r="F949" s="344"/>
      <c r="G949" s="344"/>
      <c r="H949" s="344"/>
      <c r="I949" s="344"/>
      <c r="J949" s="344"/>
      <c r="K949" s="344"/>
      <c r="L949" s="344"/>
      <c r="M949" s="344"/>
      <c r="N949" s="344"/>
      <c r="O949" s="344"/>
      <c r="P949" s="344"/>
      <c r="Q949" s="344"/>
      <c r="R949" s="344"/>
      <c r="S949" s="344"/>
      <c r="T949" s="344"/>
      <c r="U949" s="344"/>
      <c r="V949" s="344"/>
      <c r="W949" s="344"/>
      <c r="X949" s="344"/>
      <c r="Y949" s="344"/>
      <c r="Z949" s="344"/>
      <c r="AA949" s="344"/>
      <c r="AB949" s="344"/>
      <c r="AC949" s="344"/>
      <c r="AD949" s="344"/>
      <c r="AE949" s="344"/>
      <c r="AF949" s="344"/>
      <c r="AG949" s="344"/>
      <c r="AH949" s="344"/>
      <c r="AI949" s="344"/>
      <c r="AJ949" s="344"/>
      <c r="AK949" s="344"/>
      <c r="AL949" s="344"/>
      <c r="AM949" s="344"/>
      <c r="AN949" s="344"/>
      <c r="AO949" s="344"/>
    </row>
    <row r="950" spans="1:41" ht="15.75" customHeight="1" x14ac:dyDescent="0.25">
      <c r="A950" s="344"/>
      <c r="B950" s="353"/>
      <c r="C950" s="344"/>
      <c r="D950" s="344"/>
      <c r="E950" s="344"/>
      <c r="F950" s="344"/>
      <c r="G950" s="344"/>
      <c r="H950" s="344"/>
      <c r="I950" s="344"/>
      <c r="J950" s="344"/>
      <c r="K950" s="344"/>
      <c r="L950" s="344"/>
      <c r="M950" s="344"/>
      <c r="N950" s="344"/>
      <c r="O950" s="344"/>
      <c r="P950" s="344"/>
      <c r="Q950" s="344"/>
      <c r="R950" s="344"/>
      <c r="S950" s="344"/>
      <c r="T950" s="344"/>
      <c r="U950" s="344"/>
      <c r="V950" s="344"/>
      <c r="W950" s="344"/>
      <c r="X950" s="344"/>
      <c r="Y950" s="344"/>
      <c r="Z950" s="344"/>
      <c r="AA950" s="344"/>
      <c r="AB950" s="344"/>
      <c r="AC950" s="344"/>
      <c r="AD950" s="344"/>
      <c r="AE950" s="344"/>
      <c r="AF950" s="344"/>
      <c r="AG950" s="344"/>
      <c r="AH950" s="344"/>
      <c r="AI950" s="344"/>
      <c r="AJ950" s="344"/>
      <c r="AK950" s="344"/>
      <c r="AL950" s="344"/>
      <c r="AM950" s="344"/>
      <c r="AN950" s="344"/>
      <c r="AO950" s="344"/>
    </row>
    <row r="951" spans="1:41" ht="15.75" customHeight="1" x14ac:dyDescent="0.25">
      <c r="A951" s="344"/>
      <c r="B951" s="353"/>
      <c r="C951" s="344"/>
      <c r="D951" s="344"/>
      <c r="E951" s="344"/>
      <c r="F951" s="344"/>
      <c r="G951" s="344"/>
      <c r="H951" s="344"/>
      <c r="I951" s="344"/>
      <c r="J951" s="344"/>
      <c r="K951" s="344"/>
      <c r="L951" s="344"/>
      <c r="M951" s="344"/>
      <c r="N951" s="344"/>
      <c r="O951" s="344"/>
      <c r="P951" s="344"/>
      <c r="Q951" s="344"/>
      <c r="R951" s="344"/>
      <c r="S951" s="344"/>
      <c r="T951" s="344"/>
      <c r="U951" s="344"/>
      <c r="V951" s="344"/>
      <c r="W951" s="344"/>
      <c r="X951" s="344"/>
      <c r="Y951" s="344"/>
      <c r="Z951" s="344"/>
      <c r="AA951" s="344"/>
      <c r="AB951" s="344"/>
      <c r="AC951" s="344"/>
      <c r="AD951" s="344"/>
      <c r="AE951" s="344"/>
      <c r="AF951" s="344"/>
      <c r="AG951" s="344"/>
      <c r="AH951" s="344"/>
      <c r="AI951" s="344"/>
      <c r="AJ951" s="344"/>
      <c r="AK951" s="344"/>
      <c r="AL951" s="344"/>
      <c r="AM951" s="344"/>
      <c r="AN951" s="344"/>
      <c r="AO951" s="344"/>
    </row>
    <row r="952" spans="1:41" ht="15.75" customHeight="1" x14ac:dyDescent="0.25">
      <c r="A952" s="344"/>
      <c r="B952" s="353"/>
      <c r="C952" s="344"/>
      <c r="D952" s="344"/>
      <c r="E952" s="344"/>
      <c r="F952" s="344"/>
      <c r="G952" s="344"/>
      <c r="H952" s="344"/>
      <c r="I952" s="344"/>
      <c r="J952" s="344"/>
      <c r="K952" s="344"/>
      <c r="L952" s="344"/>
      <c r="M952" s="344"/>
      <c r="N952" s="344"/>
      <c r="O952" s="344"/>
      <c r="P952" s="344"/>
      <c r="Q952" s="344"/>
      <c r="R952" s="344"/>
      <c r="S952" s="344"/>
      <c r="T952" s="344"/>
      <c r="U952" s="344"/>
      <c r="V952" s="344"/>
      <c r="W952" s="344"/>
      <c r="X952" s="344"/>
      <c r="Y952" s="344"/>
      <c r="Z952" s="344"/>
      <c r="AA952" s="344"/>
      <c r="AB952" s="344"/>
      <c r="AC952" s="344"/>
      <c r="AD952" s="344"/>
      <c r="AE952" s="344"/>
      <c r="AF952" s="344"/>
      <c r="AG952" s="344"/>
      <c r="AH952" s="344"/>
      <c r="AI952" s="344"/>
      <c r="AJ952" s="344"/>
      <c r="AK952" s="344"/>
      <c r="AL952" s="344"/>
      <c r="AM952" s="344"/>
      <c r="AN952" s="344"/>
      <c r="AO952" s="344"/>
    </row>
    <row r="953" spans="1:41" ht="15.75" customHeight="1" x14ac:dyDescent="0.25">
      <c r="A953" s="344"/>
      <c r="B953" s="353"/>
      <c r="C953" s="344"/>
      <c r="D953" s="344"/>
      <c r="E953" s="344"/>
      <c r="F953" s="344"/>
      <c r="G953" s="344"/>
      <c r="H953" s="344"/>
      <c r="I953" s="344"/>
      <c r="J953" s="344"/>
      <c r="K953" s="344"/>
      <c r="L953" s="344"/>
      <c r="M953" s="344"/>
      <c r="N953" s="344"/>
      <c r="O953" s="344"/>
      <c r="P953" s="344"/>
      <c r="Q953" s="344"/>
      <c r="R953" s="344"/>
      <c r="S953" s="344"/>
      <c r="T953" s="344"/>
      <c r="U953" s="344"/>
      <c r="V953" s="344"/>
      <c r="W953" s="344"/>
      <c r="X953" s="344"/>
      <c r="Y953" s="344"/>
      <c r="Z953" s="344"/>
      <c r="AA953" s="344"/>
      <c r="AB953" s="344"/>
      <c r="AC953" s="344"/>
      <c r="AD953" s="344"/>
      <c r="AE953" s="344"/>
      <c r="AF953" s="344"/>
      <c r="AG953" s="344"/>
      <c r="AH953" s="344"/>
      <c r="AI953" s="344"/>
      <c r="AJ953" s="344"/>
      <c r="AK953" s="344"/>
      <c r="AL953" s="344"/>
      <c r="AM953" s="344"/>
      <c r="AN953" s="344"/>
      <c r="AO953" s="344"/>
    </row>
    <row r="954" spans="1:41" ht="15.75" customHeight="1" x14ac:dyDescent="0.25">
      <c r="A954" s="344"/>
      <c r="B954" s="353"/>
      <c r="C954" s="344"/>
      <c r="D954" s="344"/>
      <c r="E954" s="344"/>
      <c r="F954" s="344"/>
      <c r="G954" s="344"/>
      <c r="H954" s="344"/>
      <c r="I954" s="344"/>
      <c r="J954" s="344"/>
      <c r="K954" s="344"/>
      <c r="L954" s="344"/>
      <c r="M954" s="344"/>
      <c r="N954" s="344"/>
      <c r="O954" s="344"/>
      <c r="P954" s="344"/>
      <c r="Q954" s="344"/>
      <c r="R954" s="344"/>
      <c r="S954" s="344"/>
      <c r="T954" s="344"/>
      <c r="U954" s="344"/>
      <c r="V954" s="344"/>
      <c r="W954" s="344"/>
      <c r="X954" s="344"/>
      <c r="Y954" s="344"/>
      <c r="Z954" s="344"/>
      <c r="AA954" s="344"/>
      <c r="AB954" s="344"/>
      <c r="AC954" s="344"/>
      <c r="AD954" s="344"/>
      <c r="AE954" s="344"/>
      <c r="AF954" s="344"/>
      <c r="AG954" s="344"/>
      <c r="AH954" s="344"/>
      <c r="AI954" s="344"/>
      <c r="AJ954" s="344"/>
      <c r="AK954" s="344"/>
      <c r="AL954" s="344"/>
      <c r="AM954" s="344"/>
      <c r="AN954" s="344"/>
      <c r="AO954" s="344"/>
    </row>
    <row r="955" spans="1:41" ht="15.75" customHeight="1" x14ac:dyDescent="0.25">
      <c r="A955" s="344"/>
      <c r="B955" s="353"/>
      <c r="C955" s="344"/>
      <c r="D955" s="344"/>
      <c r="E955" s="344"/>
      <c r="F955" s="344"/>
      <c r="G955" s="344"/>
      <c r="H955" s="344"/>
      <c r="I955" s="344"/>
      <c r="J955" s="344"/>
      <c r="K955" s="344"/>
      <c r="L955" s="344"/>
      <c r="M955" s="344"/>
      <c r="N955" s="344"/>
      <c r="O955" s="344"/>
      <c r="P955" s="344"/>
      <c r="Q955" s="344"/>
      <c r="R955" s="344"/>
      <c r="S955" s="344"/>
      <c r="T955" s="344"/>
      <c r="U955" s="344"/>
      <c r="V955" s="344"/>
      <c r="W955" s="344"/>
      <c r="X955" s="344"/>
      <c r="Y955" s="344"/>
      <c r="Z955" s="344"/>
      <c r="AA955" s="344"/>
      <c r="AB955" s="344"/>
      <c r="AC955" s="344"/>
      <c r="AD955" s="344"/>
      <c r="AE955" s="344"/>
      <c r="AF955" s="344"/>
      <c r="AG955" s="344"/>
      <c r="AH955" s="344"/>
      <c r="AI955" s="344"/>
      <c r="AJ955" s="344"/>
      <c r="AK955" s="344"/>
      <c r="AL955" s="344"/>
      <c r="AM955" s="344"/>
      <c r="AN955" s="344"/>
      <c r="AO955" s="344"/>
    </row>
    <row r="956" spans="1:41" ht="15.75" customHeight="1" x14ac:dyDescent="0.25">
      <c r="A956" s="344"/>
      <c r="B956" s="353"/>
      <c r="C956" s="344"/>
      <c r="D956" s="344"/>
      <c r="E956" s="344"/>
      <c r="F956" s="344"/>
      <c r="G956" s="344"/>
      <c r="H956" s="344"/>
      <c r="I956" s="344"/>
      <c r="J956" s="344"/>
      <c r="K956" s="344"/>
      <c r="L956" s="344"/>
      <c r="M956" s="344"/>
      <c r="N956" s="344"/>
      <c r="O956" s="344"/>
      <c r="P956" s="344"/>
      <c r="Q956" s="344"/>
      <c r="R956" s="344"/>
      <c r="S956" s="344"/>
      <c r="T956" s="344"/>
      <c r="U956" s="344"/>
      <c r="V956" s="344"/>
      <c r="W956" s="344"/>
      <c r="X956" s="344"/>
      <c r="Y956" s="344"/>
      <c r="Z956" s="344"/>
      <c r="AA956" s="344"/>
      <c r="AB956" s="344"/>
      <c r="AC956" s="344"/>
      <c r="AD956" s="344"/>
      <c r="AE956" s="344"/>
      <c r="AF956" s="344"/>
      <c r="AG956" s="344"/>
      <c r="AH956" s="344"/>
      <c r="AI956" s="344"/>
      <c r="AJ956" s="344"/>
      <c r="AK956" s="344"/>
      <c r="AL956" s="344"/>
      <c r="AM956" s="344"/>
      <c r="AN956" s="344"/>
      <c r="AO956" s="344"/>
    </row>
    <row r="957" spans="1:41" ht="15.75" customHeight="1" x14ac:dyDescent="0.25">
      <c r="A957" s="344"/>
      <c r="B957" s="353"/>
      <c r="C957" s="344"/>
      <c r="D957" s="344"/>
      <c r="E957" s="344"/>
      <c r="F957" s="344"/>
      <c r="G957" s="344"/>
      <c r="H957" s="344"/>
      <c r="I957" s="344"/>
      <c r="J957" s="344"/>
      <c r="K957" s="344"/>
      <c r="L957" s="344"/>
      <c r="M957" s="344"/>
      <c r="N957" s="344"/>
      <c r="O957" s="344"/>
      <c r="P957" s="344"/>
      <c r="Q957" s="344"/>
      <c r="R957" s="344"/>
      <c r="S957" s="344"/>
      <c r="T957" s="344"/>
      <c r="U957" s="344"/>
      <c r="V957" s="344"/>
      <c r="W957" s="344"/>
      <c r="X957" s="344"/>
      <c r="Y957" s="344"/>
      <c r="Z957" s="344"/>
      <c r="AA957" s="344"/>
      <c r="AB957" s="344"/>
      <c r="AC957" s="344"/>
      <c r="AD957" s="344"/>
      <c r="AE957" s="344"/>
      <c r="AF957" s="344"/>
      <c r="AG957" s="344"/>
      <c r="AH957" s="344"/>
      <c r="AI957" s="344"/>
      <c r="AJ957" s="344"/>
      <c r="AK957" s="344"/>
      <c r="AL957" s="344"/>
      <c r="AM957" s="344"/>
      <c r="AN957" s="344"/>
      <c r="AO957" s="344"/>
    </row>
    <row r="958" spans="1:41" ht="15.75" customHeight="1" x14ac:dyDescent="0.25">
      <c r="A958" s="344"/>
      <c r="B958" s="353"/>
      <c r="C958" s="344"/>
      <c r="D958" s="344"/>
      <c r="E958" s="344"/>
      <c r="F958" s="344"/>
      <c r="G958" s="344"/>
      <c r="H958" s="344"/>
      <c r="I958" s="344"/>
      <c r="J958" s="344"/>
      <c r="K958" s="344"/>
      <c r="L958" s="344"/>
      <c r="M958" s="344"/>
      <c r="N958" s="344"/>
      <c r="O958" s="344"/>
      <c r="P958" s="344"/>
      <c r="Q958" s="344"/>
      <c r="R958" s="344"/>
      <c r="S958" s="344"/>
      <c r="T958" s="344"/>
      <c r="U958" s="344"/>
      <c r="V958" s="344"/>
      <c r="W958" s="344"/>
      <c r="X958" s="344"/>
      <c r="Y958" s="344"/>
      <c r="Z958" s="344"/>
      <c r="AA958" s="344"/>
      <c r="AB958" s="344"/>
      <c r="AC958" s="344"/>
      <c r="AD958" s="344"/>
      <c r="AE958" s="344"/>
      <c r="AF958" s="344"/>
      <c r="AG958" s="344"/>
      <c r="AH958" s="344"/>
      <c r="AI958" s="344"/>
      <c r="AJ958" s="344"/>
      <c r="AK958" s="344"/>
      <c r="AL958" s="344"/>
      <c r="AM958" s="344"/>
      <c r="AN958" s="344"/>
      <c r="AO958" s="344"/>
    </row>
    <row r="959" spans="1:41" ht="15.75" customHeight="1" x14ac:dyDescent="0.25">
      <c r="A959" s="344"/>
      <c r="B959" s="353"/>
      <c r="C959" s="344"/>
      <c r="D959" s="344"/>
      <c r="E959" s="344"/>
      <c r="F959" s="344"/>
      <c r="G959" s="344"/>
      <c r="H959" s="344"/>
      <c r="I959" s="344"/>
      <c r="J959" s="344"/>
      <c r="K959" s="344"/>
      <c r="L959" s="344"/>
      <c r="M959" s="344"/>
      <c r="N959" s="344"/>
      <c r="O959" s="344"/>
      <c r="P959" s="344"/>
      <c r="Q959" s="344"/>
      <c r="R959" s="344"/>
      <c r="S959" s="344"/>
      <c r="T959" s="344"/>
      <c r="U959" s="344"/>
      <c r="V959" s="344"/>
      <c r="W959" s="344"/>
      <c r="X959" s="344"/>
      <c r="Y959" s="344"/>
      <c r="Z959" s="344"/>
      <c r="AA959" s="344"/>
      <c r="AB959" s="344"/>
      <c r="AC959" s="344"/>
      <c r="AD959" s="344"/>
      <c r="AE959" s="344"/>
      <c r="AF959" s="344"/>
      <c r="AG959" s="344"/>
      <c r="AH959" s="344"/>
      <c r="AI959" s="344"/>
      <c r="AJ959" s="344"/>
      <c r="AK959" s="344"/>
      <c r="AL959" s="344"/>
      <c r="AM959" s="344"/>
      <c r="AN959" s="344"/>
      <c r="AO959" s="344"/>
    </row>
    <row r="960" spans="1:41" ht="15.75" customHeight="1" x14ac:dyDescent="0.25">
      <c r="A960" s="344"/>
      <c r="B960" s="353"/>
      <c r="C960" s="344"/>
      <c r="D960" s="344"/>
      <c r="E960" s="344"/>
      <c r="F960" s="344"/>
      <c r="G960" s="344"/>
      <c r="H960" s="344"/>
      <c r="I960" s="344"/>
      <c r="J960" s="344"/>
      <c r="K960" s="344"/>
      <c r="L960" s="344"/>
      <c r="M960" s="344"/>
      <c r="N960" s="344"/>
      <c r="O960" s="344"/>
      <c r="P960" s="344"/>
      <c r="Q960" s="344"/>
      <c r="R960" s="344"/>
      <c r="S960" s="344"/>
      <c r="T960" s="344"/>
      <c r="U960" s="344"/>
      <c r="V960" s="344"/>
      <c r="W960" s="344"/>
      <c r="X960" s="344"/>
      <c r="Y960" s="344"/>
      <c r="Z960" s="344"/>
      <c r="AA960" s="344"/>
      <c r="AB960" s="344"/>
      <c r="AC960" s="344"/>
      <c r="AD960" s="344"/>
      <c r="AE960" s="344"/>
      <c r="AF960" s="344"/>
      <c r="AG960" s="344"/>
      <c r="AH960" s="344"/>
      <c r="AI960" s="344"/>
      <c r="AJ960" s="344"/>
      <c r="AK960" s="344"/>
      <c r="AL960" s="344"/>
      <c r="AM960" s="344"/>
      <c r="AN960" s="344"/>
      <c r="AO960" s="344"/>
    </row>
    <row r="961" spans="1:41" ht="15.75" customHeight="1" x14ac:dyDescent="0.25">
      <c r="A961" s="344"/>
      <c r="B961" s="353"/>
      <c r="C961" s="344"/>
      <c r="D961" s="344"/>
      <c r="E961" s="344"/>
      <c r="F961" s="344"/>
      <c r="G961" s="344"/>
      <c r="H961" s="344"/>
      <c r="I961" s="344"/>
      <c r="J961" s="344"/>
      <c r="K961" s="344"/>
      <c r="L961" s="344"/>
      <c r="M961" s="344"/>
      <c r="N961" s="344"/>
      <c r="O961" s="344"/>
      <c r="P961" s="344"/>
      <c r="Q961" s="344"/>
      <c r="R961" s="344"/>
      <c r="S961" s="344"/>
      <c r="T961" s="344"/>
      <c r="U961" s="344"/>
      <c r="V961" s="344"/>
      <c r="W961" s="344"/>
      <c r="X961" s="344"/>
      <c r="Y961" s="344"/>
      <c r="Z961" s="344"/>
      <c r="AA961" s="344"/>
      <c r="AB961" s="344"/>
      <c r="AC961" s="344"/>
      <c r="AD961" s="344"/>
      <c r="AE961" s="344"/>
      <c r="AF961" s="344"/>
      <c r="AG961" s="344"/>
      <c r="AH961" s="344"/>
      <c r="AI961" s="344"/>
      <c r="AJ961" s="344"/>
      <c r="AK961" s="344"/>
      <c r="AL961" s="344"/>
      <c r="AM961" s="344"/>
      <c r="AN961" s="344"/>
      <c r="AO961" s="344"/>
    </row>
    <row r="962" spans="1:41" ht="15.75" customHeight="1" x14ac:dyDescent="0.25">
      <c r="A962" s="344"/>
      <c r="B962" s="353"/>
      <c r="C962" s="344"/>
      <c r="D962" s="344"/>
      <c r="E962" s="344"/>
      <c r="F962" s="344"/>
      <c r="G962" s="344"/>
      <c r="H962" s="344"/>
      <c r="I962" s="344"/>
      <c r="J962" s="344"/>
      <c r="K962" s="344"/>
      <c r="L962" s="344"/>
      <c r="M962" s="344"/>
      <c r="N962" s="344"/>
      <c r="O962" s="344"/>
      <c r="P962" s="344"/>
      <c r="Q962" s="344"/>
      <c r="R962" s="344"/>
      <c r="S962" s="344"/>
      <c r="T962" s="344"/>
      <c r="U962" s="344"/>
      <c r="V962" s="344"/>
      <c r="W962" s="344"/>
      <c r="X962" s="344"/>
      <c r="Y962" s="344"/>
      <c r="Z962" s="344"/>
      <c r="AA962" s="344"/>
      <c r="AB962" s="344"/>
      <c r="AC962" s="344"/>
      <c r="AD962" s="344"/>
      <c r="AE962" s="344"/>
      <c r="AF962" s="344"/>
      <c r="AG962" s="344"/>
      <c r="AH962" s="344"/>
      <c r="AI962" s="344"/>
      <c r="AJ962" s="344"/>
      <c r="AK962" s="344"/>
      <c r="AL962" s="344"/>
      <c r="AM962" s="344"/>
      <c r="AN962" s="344"/>
      <c r="AO962" s="344"/>
    </row>
    <row r="963" spans="1:41" ht="15.75" customHeight="1" x14ac:dyDescent="0.25">
      <c r="A963" s="344"/>
      <c r="B963" s="353"/>
      <c r="C963" s="344"/>
      <c r="D963" s="344"/>
      <c r="E963" s="344"/>
      <c r="F963" s="344"/>
      <c r="G963" s="344"/>
      <c r="H963" s="344"/>
      <c r="I963" s="344"/>
      <c r="J963" s="344"/>
      <c r="K963" s="344"/>
      <c r="L963" s="344"/>
      <c r="M963" s="344"/>
      <c r="N963" s="344"/>
      <c r="O963" s="344"/>
      <c r="P963" s="344"/>
      <c r="Q963" s="344"/>
      <c r="R963" s="344"/>
      <c r="S963" s="344"/>
      <c r="T963" s="344"/>
      <c r="U963" s="344"/>
      <c r="V963" s="344"/>
      <c r="W963" s="344"/>
      <c r="X963" s="344"/>
      <c r="Y963" s="344"/>
      <c r="Z963" s="344"/>
      <c r="AA963" s="344"/>
      <c r="AB963" s="344"/>
      <c r="AC963" s="344"/>
      <c r="AD963" s="344"/>
      <c r="AE963" s="344"/>
      <c r="AF963" s="344"/>
      <c r="AG963" s="344"/>
      <c r="AH963" s="344"/>
      <c r="AI963" s="344"/>
      <c r="AJ963" s="344"/>
      <c r="AK963" s="344"/>
      <c r="AL963" s="344"/>
      <c r="AM963" s="344"/>
      <c r="AN963" s="344"/>
      <c r="AO963" s="344"/>
    </row>
    <row r="964" spans="1:41" ht="15.75" customHeight="1" x14ac:dyDescent="0.25">
      <c r="A964" s="344"/>
      <c r="B964" s="353"/>
      <c r="C964" s="344"/>
      <c r="D964" s="344"/>
      <c r="E964" s="344"/>
      <c r="F964" s="344"/>
      <c r="G964" s="344"/>
      <c r="H964" s="344"/>
      <c r="I964" s="344"/>
      <c r="J964" s="344"/>
      <c r="K964" s="344"/>
      <c r="L964" s="344"/>
      <c r="M964" s="344"/>
      <c r="N964" s="344"/>
      <c r="O964" s="344"/>
      <c r="P964" s="344"/>
      <c r="Q964" s="344"/>
      <c r="R964" s="344"/>
      <c r="S964" s="344"/>
      <c r="T964" s="344"/>
      <c r="U964" s="344"/>
      <c r="V964" s="344"/>
      <c r="W964" s="344"/>
      <c r="X964" s="344"/>
      <c r="Y964" s="344"/>
      <c r="Z964" s="344"/>
      <c r="AA964" s="344"/>
      <c r="AB964" s="344"/>
      <c r="AC964" s="344"/>
      <c r="AD964" s="344"/>
      <c r="AE964" s="344"/>
      <c r="AF964" s="344"/>
      <c r="AG964" s="344"/>
      <c r="AH964" s="344"/>
      <c r="AI964" s="344"/>
      <c r="AJ964" s="344"/>
      <c r="AK964" s="344"/>
      <c r="AL964" s="344"/>
      <c r="AM964" s="344"/>
      <c r="AN964" s="344"/>
      <c r="AO964" s="344"/>
    </row>
    <row r="965" spans="1:41" ht="15.75" customHeight="1" x14ac:dyDescent="0.25">
      <c r="A965" s="344"/>
      <c r="B965" s="353"/>
      <c r="C965" s="344"/>
      <c r="D965" s="344"/>
      <c r="E965" s="344"/>
      <c r="F965" s="344"/>
      <c r="G965" s="344"/>
      <c r="H965" s="344"/>
      <c r="I965" s="344"/>
      <c r="J965" s="344"/>
      <c r="K965" s="344"/>
      <c r="L965" s="344"/>
      <c r="M965" s="344"/>
      <c r="N965" s="344"/>
      <c r="O965" s="344"/>
      <c r="P965" s="344"/>
      <c r="Q965" s="344"/>
      <c r="R965" s="344"/>
      <c r="S965" s="344"/>
      <c r="T965" s="344"/>
      <c r="U965" s="344"/>
      <c r="V965" s="344"/>
      <c r="W965" s="344"/>
      <c r="X965" s="344"/>
      <c r="Y965" s="344"/>
      <c r="Z965" s="344"/>
      <c r="AA965" s="344"/>
      <c r="AB965" s="344"/>
      <c r="AC965" s="344"/>
      <c r="AD965" s="344"/>
      <c r="AE965" s="344"/>
      <c r="AF965" s="344"/>
      <c r="AG965" s="344"/>
      <c r="AH965" s="344"/>
      <c r="AI965" s="344"/>
      <c r="AJ965" s="344"/>
      <c r="AK965" s="344"/>
      <c r="AL965" s="344"/>
      <c r="AM965" s="344"/>
      <c r="AN965" s="344"/>
      <c r="AO965" s="344"/>
    </row>
    <row r="966" spans="1:41" ht="15.75" customHeight="1" x14ac:dyDescent="0.25">
      <c r="A966" s="344"/>
      <c r="B966" s="353"/>
      <c r="C966" s="344"/>
      <c r="D966" s="344"/>
      <c r="E966" s="344"/>
      <c r="F966" s="344"/>
      <c r="G966" s="344"/>
      <c r="H966" s="344"/>
      <c r="I966" s="344"/>
      <c r="J966" s="344"/>
      <c r="K966" s="344"/>
      <c r="L966" s="344"/>
      <c r="M966" s="344"/>
      <c r="N966" s="344"/>
      <c r="O966" s="344"/>
      <c r="P966" s="344"/>
      <c r="Q966" s="344"/>
      <c r="R966" s="344"/>
      <c r="S966" s="344"/>
      <c r="T966" s="344"/>
      <c r="U966" s="344"/>
      <c r="V966" s="344"/>
      <c r="W966" s="344"/>
      <c r="X966" s="344"/>
      <c r="Y966" s="344"/>
      <c r="Z966" s="344"/>
      <c r="AA966" s="344"/>
      <c r="AB966" s="344"/>
      <c r="AC966" s="344"/>
      <c r="AD966" s="344"/>
      <c r="AE966" s="344"/>
      <c r="AF966" s="344"/>
      <c r="AG966" s="344"/>
      <c r="AH966" s="344"/>
      <c r="AI966" s="344"/>
      <c r="AJ966" s="344"/>
      <c r="AK966" s="344"/>
      <c r="AL966" s="344"/>
      <c r="AM966" s="344"/>
      <c r="AN966" s="344"/>
      <c r="AO966" s="344"/>
    </row>
    <row r="967" spans="1:41" ht="15.75" customHeight="1" x14ac:dyDescent="0.25">
      <c r="A967" s="344"/>
      <c r="B967" s="353"/>
      <c r="C967" s="344"/>
      <c r="D967" s="344"/>
      <c r="E967" s="344"/>
      <c r="F967" s="344"/>
      <c r="G967" s="344"/>
      <c r="H967" s="344"/>
      <c r="I967" s="344"/>
      <c r="J967" s="344"/>
      <c r="K967" s="344"/>
      <c r="L967" s="344"/>
      <c r="M967" s="344"/>
      <c r="N967" s="344"/>
      <c r="O967" s="344"/>
      <c r="P967" s="344"/>
      <c r="Q967" s="344"/>
      <c r="R967" s="344"/>
      <c r="S967" s="344"/>
      <c r="T967" s="344"/>
      <c r="U967" s="344"/>
      <c r="V967" s="344"/>
      <c r="W967" s="344"/>
      <c r="X967" s="344"/>
      <c r="Y967" s="344"/>
      <c r="Z967" s="344"/>
      <c r="AA967" s="344"/>
      <c r="AB967" s="344"/>
      <c r="AC967" s="344"/>
      <c r="AD967" s="344"/>
      <c r="AE967" s="344"/>
      <c r="AF967" s="344"/>
      <c r="AG967" s="344"/>
      <c r="AH967" s="344"/>
      <c r="AI967" s="344"/>
      <c r="AJ967" s="344"/>
      <c r="AK967" s="344"/>
      <c r="AL967" s="344"/>
      <c r="AM967" s="344"/>
      <c r="AN967" s="344"/>
      <c r="AO967" s="344"/>
    </row>
    <row r="968" spans="1:41" ht="15.75" customHeight="1" x14ac:dyDescent="0.25">
      <c r="A968" s="344"/>
      <c r="B968" s="353"/>
      <c r="C968" s="344"/>
      <c r="D968" s="344"/>
      <c r="E968" s="344"/>
      <c r="F968" s="344"/>
      <c r="G968" s="344"/>
      <c r="H968" s="344"/>
      <c r="I968" s="344"/>
      <c r="J968" s="344"/>
      <c r="K968" s="344"/>
      <c r="L968" s="344"/>
      <c r="M968" s="344"/>
      <c r="N968" s="344"/>
      <c r="O968" s="344"/>
      <c r="P968" s="344"/>
      <c r="Q968" s="344"/>
      <c r="R968" s="344"/>
      <c r="S968" s="344"/>
      <c r="T968" s="344"/>
      <c r="U968" s="344"/>
      <c r="V968" s="344"/>
      <c r="W968" s="344"/>
      <c r="X968" s="344"/>
      <c r="Y968" s="344"/>
      <c r="Z968" s="344"/>
      <c r="AA968" s="344"/>
      <c r="AB968" s="344"/>
      <c r="AC968" s="344"/>
      <c r="AD968" s="344"/>
      <c r="AE968" s="344"/>
      <c r="AF968" s="344"/>
      <c r="AG968" s="344"/>
      <c r="AH968" s="344"/>
      <c r="AI968" s="344"/>
      <c r="AJ968" s="344"/>
      <c r="AK968" s="344"/>
      <c r="AL968" s="344"/>
      <c r="AM968" s="344"/>
      <c r="AN968" s="344"/>
      <c r="AO968" s="344"/>
    </row>
    <row r="969" spans="1:41" ht="15.75" customHeight="1" x14ac:dyDescent="0.25">
      <c r="A969" s="344"/>
      <c r="B969" s="353"/>
      <c r="C969" s="344"/>
      <c r="D969" s="344"/>
      <c r="E969" s="344"/>
      <c r="F969" s="344"/>
      <c r="G969" s="344"/>
      <c r="H969" s="344"/>
      <c r="I969" s="344"/>
      <c r="J969" s="344"/>
      <c r="K969" s="344"/>
      <c r="L969" s="344"/>
      <c r="M969" s="344"/>
      <c r="N969" s="344"/>
      <c r="O969" s="344"/>
      <c r="P969" s="344"/>
      <c r="Q969" s="344"/>
      <c r="R969" s="344"/>
      <c r="S969" s="344"/>
      <c r="T969" s="344"/>
      <c r="U969" s="344"/>
      <c r="V969" s="344"/>
      <c r="W969" s="344"/>
      <c r="X969" s="344"/>
      <c r="Y969" s="344"/>
      <c r="Z969" s="344"/>
      <c r="AA969" s="344"/>
      <c r="AB969" s="344"/>
      <c r="AC969" s="344"/>
      <c r="AD969" s="344"/>
      <c r="AE969" s="344"/>
      <c r="AF969" s="344"/>
      <c r="AG969" s="344"/>
      <c r="AH969" s="344"/>
      <c r="AI969" s="344"/>
      <c r="AJ969" s="344"/>
      <c r="AK969" s="344"/>
      <c r="AL969" s="344"/>
      <c r="AM969" s="344"/>
      <c r="AN969" s="344"/>
      <c r="AO969" s="344"/>
    </row>
    <row r="970" spans="1:41" ht="15.75" customHeight="1" x14ac:dyDescent="0.25">
      <c r="A970" s="344"/>
      <c r="B970" s="353"/>
      <c r="C970" s="344"/>
      <c r="D970" s="344"/>
      <c r="E970" s="344"/>
      <c r="F970" s="344"/>
      <c r="G970" s="344"/>
      <c r="H970" s="344"/>
      <c r="I970" s="344"/>
      <c r="J970" s="344"/>
      <c r="K970" s="344"/>
      <c r="L970" s="344"/>
      <c r="M970" s="344"/>
      <c r="N970" s="344"/>
      <c r="O970" s="344"/>
      <c r="P970" s="344"/>
      <c r="Q970" s="344"/>
      <c r="R970" s="344"/>
      <c r="S970" s="344"/>
      <c r="T970" s="344"/>
      <c r="U970" s="344"/>
      <c r="V970" s="344"/>
      <c r="W970" s="344"/>
      <c r="X970" s="344"/>
      <c r="Y970" s="344"/>
      <c r="Z970" s="344"/>
      <c r="AA970" s="344"/>
      <c r="AB970" s="344"/>
      <c r="AC970" s="344"/>
      <c r="AD970" s="344"/>
      <c r="AE970" s="344"/>
      <c r="AF970" s="344"/>
      <c r="AG970" s="344"/>
      <c r="AH970" s="344"/>
      <c r="AI970" s="344"/>
      <c r="AJ970" s="344"/>
      <c r="AK970" s="344"/>
      <c r="AL970" s="344"/>
      <c r="AM970" s="344"/>
      <c r="AN970" s="344"/>
      <c r="AO970" s="344"/>
    </row>
    <row r="971" spans="1:41" ht="15.75" customHeight="1" x14ac:dyDescent="0.25">
      <c r="A971" s="344"/>
      <c r="B971" s="353"/>
      <c r="C971" s="344"/>
      <c r="D971" s="344"/>
      <c r="E971" s="344"/>
      <c r="F971" s="344"/>
      <c r="G971" s="344"/>
      <c r="H971" s="344"/>
      <c r="I971" s="344"/>
      <c r="J971" s="344"/>
      <c r="K971" s="344"/>
      <c r="L971" s="344"/>
      <c r="M971" s="344"/>
      <c r="N971" s="344"/>
      <c r="O971" s="344"/>
      <c r="P971" s="344"/>
      <c r="Q971" s="344"/>
      <c r="R971" s="344"/>
      <c r="S971" s="344"/>
      <c r="T971" s="344"/>
      <c r="U971" s="344"/>
      <c r="V971" s="344"/>
      <c r="W971" s="344"/>
      <c r="X971" s="344"/>
      <c r="Y971" s="344"/>
      <c r="Z971" s="344"/>
      <c r="AA971" s="344"/>
      <c r="AB971" s="344"/>
      <c r="AC971" s="344"/>
      <c r="AD971" s="344"/>
      <c r="AE971" s="344"/>
      <c r="AF971" s="344"/>
      <c r="AG971" s="344"/>
      <c r="AH971" s="344"/>
      <c r="AI971" s="344"/>
      <c r="AJ971" s="344"/>
      <c r="AK971" s="344"/>
      <c r="AL971" s="344"/>
      <c r="AM971" s="344"/>
      <c r="AN971" s="344"/>
      <c r="AO971" s="344"/>
    </row>
    <row r="972" spans="1:41" ht="15.75" customHeight="1" x14ac:dyDescent="0.25">
      <c r="A972" s="344"/>
      <c r="B972" s="353"/>
      <c r="C972" s="344"/>
      <c r="D972" s="344"/>
      <c r="E972" s="344"/>
      <c r="F972" s="344"/>
      <c r="G972" s="344"/>
      <c r="H972" s="344"/>
      <c r="I972" s="344"/>
      <c r="J972" s="344"/>
      <c r="K972" s="344"/>
      <c r="L972" s="344"/>
      <c r="M972" s="344"/>
      <c r="N972" s="344"/>
      <c r="O972" s="344"/>
      <c r="P972" s="344"/>
      <c r="Q972" s="344"/>
      <c r="R972" s="344"/>
      <c r="S972" s="344"/>
      <c r="T972" s="344"/>
      <c r="U972" s="344"/>
      <c r="V972" s="344"/>
      <c r="W972" s="344"/>
      <c r="X972" s="344"/>
      <c r="Y972" s="344"/>
      <c r="Z972" s="344"/>
      <c r="AA972" s="344"/>
      <c r="AB972" s="344"/>
      <c r="AC972" s="344"/>
      <c r="AD972" s="344"/>
      <c r="AE972" s="344"/>
      <c r="AF972" s="344"/>
      <c r="AG972" s="344"/>
      <c r="AH972" s="344"/>
      <c r="AI972" s="344"/>
      <c r="AJ972" s="344"/>
      <c r="AK972" s="344"/>
      <c r="AL972" s="344"/>
      <c r="AM972" s="344"/>
      <c r="AN972" s="344"/>
      <c r="AO972" s="344"/>
    </row>
    <row r="973" spans="1:41" ht="15.75" customHeight="1" x14ac:dyDescent="0.25">
      <c r="A973" s="344"/>
      <c r="B973" s="353"/>
      <c r="C973" s="344"/>
      <c r="D973" s="344"/>
      <c r="E973" s="344"/>
      <c r="F973" s="344"/>
      <c r="G973" s="344"/>
      <c r="H973" s="344"/>
      <c r="I973" s="344"/>
      <c r="J973" s="344"/>
      <c r="K973" s="344"/>
      <c r="L973" s="344"/>
      <c r="M973" s="344"/>
      <c r="N973" s="344"/>
      <c r="O973" s="344"/>
      <c r="P973" s="344"/>
      <c r="Q973" s="344"/>
      <c r="R973" s="344"/>
      <c r="S973" s="344"/>
      <c r="T973" s="344"/>
      <c r="U973" s="344"/>
      <c r="V973" s="344"/>
      <c r="W973" s="344"/>
      <c r="X973" s="344"/>
      <c r="Y973" s="344"/>
      <c r="Z973" s="344"/>
      <c r="AA973" s="344"/>
      <c r="AB973" s="344"/>
      <c r="AC973" s="344"/>
      <c r="AD973" s="344"/>
      <c r="AE973" s="344"/>
      <c r="AF973" s="344"/>
      <c r="AG973" s="344"/>
      <c r="AH973" s="344"/>
      <c r="AI973" s="344"/>
      <c r="AJ973" s="344"/>
      <c r="AK973" s="344"/>
      <c r="AL973" s="344"/>
      <c r="AM973" s="344"/>
      <c r="AN973" s="344"/>
      <c r="AO973" s="344"/>
    </row>
    <row r="974" spans="1:41" ht="15.75" customHeight="1" x14ac:dyDescent="0.25">
      <c r="A974" s="344"/>
      <c r="B974" s="353"/>
      <c r="C974" s="344"/>
      <c r="D974" s="344"/>
      <c r="E974" s="344"/>
      <c r="F974" s="344"/>
      <c r="G974" s="344"/>
      <c r="H974" s="344"/>
      <c r="I974" s="344"/>
      <c r="J974" s="344"/>
      <c r="K974" s="344"/>
      <c r="L974" s="344"/>
      <c r="M974" s="344"/>
      <c r="N974" s="344"/>
      <c r="O974" s="344"/>
      <c r="P974" s="344"/>
      <c r="Q974" s="344"/>
      <c r="R974" s="344"/>
      <c r="S974" s="344"/>
      <c r="T974" s="344"/>
      <c r="U974" s="344"/>
      <c r="V974" s="344"/>
      <c r="W974" s="344"/>
      <c r="X974" s="344"/>
      <c r="Y974" s="344"/>
      <c r="Z974" s="344"/>
      <c r="AA974" s="344"/>
      <c r="AB974" s="344"/>
      <c r="AC974" s="344"/>
      <c r="AD974" s="344"/>
      <c r="AE974" s="344"/>
      <c r="AF974" s="344"/>
      <c r="AG974" s="344"/>
      <c r="AH974" s="344"/>
      <c r="AI974" s="344"/>
      <c r="AJ974" s="344"/>
      <c r="AK974" s="344"/>
      <c r="AL974" s="344"/>
      <c r="AM974" s="344"/>
      <c r="AN974" s="344"/>
      <c r="AO974" s="344"/>
    </row>
    <row r="975" spans="1:41" ht="15.75" customHeight="1" x14ac:dyDescent="0.25">
      <c r="A975" s="344"/>
      <c r="B975" s="353"/>
      <c r="C975" s="344"/>
      <c r="D975" s="344"/>
      <c r="E975" s="344"/>
      <c r="F975" s="344"/>
      <c r="G975" s="344"/>
      <c r="H975" s="344"/>
      <c r="I975" s="344"/>
      <c r="J975" s="344"/>
      <c r="K975" s="344"/>
      <c r="L975" s="344"/>
      <c r="M975" s="344"/>
      <c r="N975" s="344"/>
      <c r="O975" s="344"/>
      <c r="P975" s="344"/>
      <c r="Q975" s="344"/>
      <c r="R975" s="344"/>
      <c r="S975" s="344"/>
      <c r="T975" s="344"/>
      <c r="U975" s="344"/>
      <c r="V975" s="344"/>
      <c r="W975" s="344"/>
      <c r="X975" s="344"/>
      <c r="Y975" s="344"/>
      <c r="Z975" s="344"/>
      <c r="AA975" s="344"/>
      <c r="AB975" s="344"/>
      <c r="AC975" s="344"/>
      <c r="AD975" s="344"/>
      <c r="AE975" s="344"/>
      <c r="AF975" s="344"/>
      <c r="AG975" s="344"/>
      <c r="AH975" s="344"/>
      <c r="AI975" s="344"/>
      <c r="AJ975" s="344"/>
      <c r="AK975" s="344"/>
      <c r="AL975" s="344"/>
      <c r="AM975" s="344"/>
      <c r="AN975" s="344"/>
      <c r="AO975" s="344"/>
    </row>
    <row r="976" spans="1:41" ht="15.75" customHeight="1" x14ac:dyDescent="0.25">
      <c r="A976" s="344"/>
      <c r="B976" s="353"/>
      <c r="C976" s="344"/>
      <c r="D976" s="344"/>
      <c r="E976" s="344"/>
      <c r="F976" s="344"/>
      <c r="G976" s="344"/>
      <c r="H976" s="344"/>
      <c r="I976" s="344"/>
      <c r="J976" s="344"/>
      <c r="K976" s="344"/>
      <c r="L976" s="344"/>
      <c r="M976" s="344"/>
      <c r="N976" s="344"/>
      <c r="O976" s="344"/>
      <c r="P976" s="344"/>
      <c r="Q976" s="344"/>
      <c r="R976" s="344"/>
      <c r="S976" s="344"/>
      <c r="T976" s="344"/>
      <c r="U976" s="344"/>
      <c r="V976" s="344"/>
      <c r="W976" s="344"/>
      <c r="X976" s="344"/>
      <c r="Y976" s="344"/>
      <c r="Z976" s="344"/>
      <c r="AA976" s="344"/>
      <c r="AB976" s="344"/>
      <c r="AC976" s="344"/>
      <c r="AD976" s="344"/>
      <c r="AE976" s="344"/>
      <c r="AF976" s="344"/>
      <c r="AG976" s="344"/>
      <c r="AH976" s="344"/>
      <c r="AI976" s="344"/>
      <c r="AJ976" s="344"/>
      <c r="AK976" s="344"/>
      <c r="AL976" s="344"/>
      <c r="AM976" s="344"/>
      <c r="AN976" s="344"/>
      <c r="AO976" s="344"/>
    </row>
    <row r="977" spans="1:41" ht="15.75" customHeight="1" x14ac:dyDescent="0.25">
      <c r="A977" s="344"/>
      <c r="B977" s="353"/>
      <c r="C977" s="344"/>
      <c r="D977" s="344"/>
      <c r="E977" s="344"/>
      <c r="F977" s="344"/>
      <c r="G977" s="344"/>
      <c r="H977" s="344"/>
      <c r="I977" s="344"/>
      <c r="J977" s="344"/>
      <c r="K977" s="344"/>
      <c r="L977" s="344"/>
      <c r="M977" s="344"/>
      <c r="N977" s="344"/>
      <c r="O977" s="344"/>
      <c r="P977" s="344"/>
      <c r="Q977" s="344"/>
      <c r="R977" s="344"/>
      <c r="S977" s="344"/>
      <c r="T977" s="344"/>
      <c r="U977" s="344"/>
      <c r="V977" s="344"/>
      <c r="W977" s="344"/>
      <c r="X977" s="344"/>
      <c r="Y977" s="344"/>
      <c r="Z977" s="344"/>
      <c r="AA977" s="344"/>
      <c r="AB977" s="344"/>
      <c r="AC977" s="344"/>
      <c r="AD977" s="344"/>
      <c r="AE977" s="344"/>
      <c r="AF977" s="344"/>
      <c r="AG977" s="344"/>
      <c r="AH977" s="344"/>
      <c r="AI977" s="344"/>
      <c r="AJ977" s="344"/>
      <c r="AK977" s="344"/>
      <c r="AL977" s="344"/>
      <c r="AM977" s="344"/>
      <c r="AN977" s="344"/>
      <c r="AO977" s="344"/>
    </row>
    <row r="978" spans="1:41" ht="15.75" customHeight="1" x14ac:dyDescent="0.25">
      <c r="A978" s="344"/>
      <c r="B978" s="353"/>
      <c r="C978" s="344"/>
      <c r="D978" s="344"/>
      <c r="E978" s="344"/>
      <c r="F978" s="344"/>
      <c r="G978" s="344"/>
      <c r="H978" s="344"/>
      <c r="I978" s="344"/>
      <c r="J978" s="344"/>
      <c r="K978" s="344"/>
      <c r="L978" s="344"/>
      <c r="M978" s="344"/>
      <c r="N978" s="344"/>
      <c r="O978" s="344"/>
      <c r="P978" s="344"/>
      <c r="Q978" s="344"/>
      <c r="R978" s="344"/>
      <c r="S978" s="344"/>
      <c r="T978" s="344"/>
      <c r="U978" s="344"/>
      <c r="V978" s="344"/>
      <c r="W978" s="344"/>
      <c r="X978" s="344"/>
      <c r="Y978" s="344"/>
      <c r="Z978" s="344"/>
      <c r="AA978" s="344"/>
      <c r="AB978" s="344"/>
      <c r="AC978" s="344"/>
      <c r="AD978" s="344"/>
      <c r="AE978" s="344"/>
      <c r="AF978" s="344"/>
      <c r="AG978" s="344"/>
      <c r="AH978" s="344"/>
      <c r="AI978" s="344"/>
      <c r="AJ978" s="344"/>
      <c r="AK978" s="344"/>
      <c r="AL978" s="344"/>
      <c r="AM978" s="344"/>
      <c r="AN978" s="344"/>
      <c r="AO978" s="344"/>
    </row>
    <row r="979" spans="1:41" ht="15.75" customHeight="1" x14ac:dyDescent="0.25">
      <c r="A979" s="344"/>
      <c r="B979" s="353"/>
      <c r="C979" s="344"/>
      <c r="D979" s="344"/>
      <c r="E979" s="344"/>
      <c r="F979" s="344"/>
      <c r="G979" s="344"/>
      <c r="H979" s="344"/>
      <c r="I979" s="344"/>
      <c r="J979" s="344"/>
      <c r="K979" s="344"/>
      <c r="L979" s="344"/>
      <c r="M979" s="344"/>
      <c r="N979" s="344"/>
      <c r="O979" s="344"/>
      <c r="P979" s="344"/>
      <c r="Q979" s="344"/>
      <c r="R979" s="344"/>
      <c r="S979" s="344"/>
      <c r="T979" s="344"/>
      <c r="U979" s="344"/>
      <c r="V979" s="344"/>
      <c r="W979" s="344"/>
      <c r="X979" s="344"/>
      <c r="Y979" s="344"/>
      <c r="Z979" s="344"/>
      <c r="AA979" s="344"/>
      <c r="AB979" s="344"/>
      <c r="AC979" s="344"/>
      <c r="AD979" s="344"/>
      <c r="AE979" s="344"/>
      <c r="AF979" s="344"/>
      <c r="AG979" s="344"/>
      <c r="AH979" s="344"/>
      <c r="AI979" s="344"/>
      <c r="AJ979" s="344"/>
      <c r="AK979" s="344"/>
      <c r="AL979" s="344"/>
      <c r="AM979" s="344"/>
      <c r="AN979" s="344"/>
      <c r="AO979" s="344"/>
    </row>
    <row r="980" spans="1:41" ht="15.75" customHeight="1" x14ac:dyDescent="0.25">
      <c r="A980" s="344"/>
      <c r="B980" s="353"/>
      <c r="C980" s="344"/>
      <c r="D980" s="344"/>
      <c r="E980" s="344"/>
      <c r="F980" s="344"/>
      <c r="G980" s="344"/>
      <c r="H980" s="344"/>
      <c r="I980" s="344"/>
      <c r="J980" s="344"/>
      <c r="K980" s="344"/>
      <c r="L980" s="344"/>
      <c r="M980" s="344"/>
      <c r="N980" s="344"/>
      <c r="O980" s="344"/>
      <c r="P980" s="344"/>
      <c r="Q980" s="344"/>
      <c r="R980" s="344"/>
      <c r="S980" s="344"/>
      <c r="T980" s="344"/>
      <c r="U980" s="344"/>
      <c r="V980" s="344"/>
      <c r="W980" s="344"/>
      <c r="X980" s="344"/>
      <c r="Y980" s="344"/>
      <c r="Z980" s="344"/>
      <c r="AA980" s="344"/>
      <c r="AB980" s="344"/>
      <c r="AC980" s="344"/>
      <c r="AD980" s="344"/>
      <c r="AE980" s="344"/>
      <c r="AF980" s="344"/>
      <c r="AG980" s="344"/>
      <c r="AH980" s="344"/>
      <c r="AI980" s="344"/>
      <c r="AJ980" s="344"/>
      <c r="AK980" s="344"/>
      <c r="AL980" s="344"/>
      <c r="AM980" s="344"/>
      <c r="AN980" s="344"/>
      <c r="AO980" s="344"/>
    </row>
    <row r="981" spans="1:41" ht="15.75" customHeight="1" x14ac:dyDescent="0.25">
      <c r="A981" s="344"/>
      <c r="B981" s="353"/>
      <c r="C981" s="344"/>
      <c r="D981" s="344"/>
      <c r="E981" s="344"/>
      <c r="F981" s="344"/>
      <c r="G981" s="344"/>
      <c r="H981" s="344"/>
      <c r="I981" s="344"/>
      <c r="J981" s="344"/>
      <c r="K981" s="344"/>
      <c r="L981" s="344"/>
      <c r="M981" s="344"/>
      <c r="N981" s="344"/>
      <c r="O981" s="344"/>
      <c r="P981" s="344"/>
      <c r="Q981" s="344"/>
      <c r="R981" s="344"/>
      <c r="S981" s="344"/>
      <c r="T981" s="344"/>
      <c r="U981" s="344"/>
      <c r="V981" s="344"/>
      <c r="W981" s="344"/>
      <c r="X981" s="344"/>
      <c r="Y981" s="344"/>
      <c r="Z981" s="344"/>
      <c r="AA981" s="344"/>
      <c r="AB981" s="344"/>
      <c r="AC981" s="344"/>
      <c r="AD981" s="344"/>
      <c r="AE981" s="344"/>
      <c r="AF981" s="344"/>
      <c r="AG981" s="344"/>
      <c r="AH981" s="344"/>
      <c r="AI981" s="344"/>
      <c r="AJ981" s="344"/>
      <c r="AK981" s="344"/>
      <c r="AL981" s="344"/>
      <c r="AM981" s="344"/>
      <c r="AN981" s="344"/>
      <c r="AO981" s="344"/>
    </row>
    <row r="982" spans="1:41" ht="15.75" customHeight="1" x14ac:dyDescent="0.25">
      <c r="A982" s="344"/>
      <c r="B982" s="353"/>
      <c r="C982" s="344"/>
      <c r="D982" s="344"/>
      <c r="E982" s="344"/>
      <c r="F982" s="344"/>
      <c r="G982" s="344"/>
      <c r="H982" s="344"/>
      <c r="I982" s="344"/>
      <c r="J982" s="344"/>
      <c r="K982" s="344"/>
      <c r="L982" s="344"/>
      <c r="M982" s="344"/>
      <c r="N982" s="344"/>
      <c r="O982" s="344"/>
      <c r="P982" s="344"/>
      <c r="Q982" s="344"/>
      <c r="R982" s="344"/>
      <c r="S982" s="344"/>
      <c r="T982" s="344"/>
      <c r="U982" s="344"/>
      <c r="V982" s="344"/>
      <c r="W982" s="344"/>
      <c r="X982" s="344"/>
      <c r="Y982" s="344"/>
      <c r="Z982" s="344"/>
      <c r="AA982" s="344"/>
      <c r="AB982" s="344"/>
      <c r="AC982" s="344"/>
      <c r="AD982" s="344"/>
      <c r="AE982" s="344"/>
      <c r="AF982" s="344"/>
      <c r="AG982" s="344"/>
      <c r="AH982" s="344"/>
      <c r="AI982" s="344"/>
      <c r="AJ982" s="344"/>
      <c r="AK982" s="344"/>
      <c r="AL982" s="344"/>
      <c r="AM982" s="344"/>
      <c r="AN982" s="344"/>
      <c r="AO982" s="344"/>
    </row>
    <row r="983" spans="1:41" ht="15.75" customHeight="1" x14ac:dyDescent="0.25">
      <c r="A983" s="344"/>
      <c r="B983" s="353"/>
      <c r="C983" s="344"/>
      <c r="D983" s="344"/>
      <c r="E983" s="344"/>
      <c r="F983" s="344"/>
      <c r="G983" s="344"/>
      <c r="H983" s="344"/>
      <c r="I983" s="344"/>
      <c r="J983" s="344"/>
      <c r="K983" s="344"/>
      <c r="L983" s="344"/>
      <c r="M983" s="344"/>
      <c r="N983" s="344"/>
      <c r="O983" s="344"/>
      <c r="P983" s="344"/>
      <c r="Q983" s="344"/>
      <c r="R983" s="344"/>
      <c r="S983" s="344"/>
      <c r="T983" s="344"/>
      <c r="U983" s="344"/>
      <c r="V983" s="344"/>
      <c r="W983" s="344"/>
      <c r="X983" s="344"/>
      <c r="Y983" s="344"/>
      <c r="Z983" s="344"/>
      <c r="AA983" s="344"/>
      <c r="AB983" s="344"/>
      <c r="AC983" s="344"/>
      <c r="AD983" s="344"/>
      <c r="AE983" s="344"/>
      <c r="AF983" s="344"/>
      <c r="AG983" s="344"/>
      <c r="AH983" s="344"/>
      <c r="AI983" s="344"/>
      <c r="AJ983" s="344"/>
      <c r="AK983" s="344"/>
      <c r="AL983" s="344"/>
      <c r="AM983" s="344"/>
      <c r="AN983" s="344"/>
      <c r="AO983" s="344"/>
    </row>
    <row r="984" spans="1:41" ht="15.75" customHeight="1" x14ac:dyDescent="0.25">
      <c r="A984" s="344"/>
      <c r="B984" s="353"/>
      <c r="C984" s="344"/>
      <c r="D984" s="344"/>
      <c r="E984" s="344"/>
      <c r="F984" s="344"/>
      <c r="G984" s="344"/>
      <c r="H984" s="344"/>
      <c r="I984" s="344"/>
      <c r="J984" s="344"/>
      <c r="K984" s="344"/>
      <c r="L984" s="344"/>
      <c r="M984" s="344"/>
      <c r="N984" s="344"/>
      <c r="O984" s="344"/>
      <c r="P984" s="344"/>
      <c r="Q984" s="344"/>
      <c r="R984" s="344"/>
      <c r="S984" s="344"/>
      <c r="T984" s="344"/>
      <c r="U984" s="344"/>
      <c r="V984" s="344"/>
      <c r="W984" s="344"/>
      <c r="X984" s="344"/>
      <c r="Y984" s="344"/>
      <c r="Z984" s="344"/>
      <c r="AA984" s="344"/>
      <c r="AB984" s="344"/>
      <c r="AC984" s="344"/>
      <c r="AD984" s="344"/>
      <c r="AE984" s="344"/>
      <c r="AF984" s="344"/>
      <c r="AG984" s="344"/>
      <c r="AH984" s="344"/>
      <c r="AI984" s="344"/>
      <c r="AJ984" s="344"/>
      <c r="AK984" s="344"/>
      <c r="AL984" s="344"/>
      <c r="AM984" s="344"/>
      <c r="AN984" s="344"/>
      <c r="AO984" s="344"/>
    </row>
    <row r="985" spans="1:41" ht="15.75" customHeight="1" x14ac:dyDescent="0.25">
      <c r="A985" s="344"/>
      <c r="B985" s="353"/>
      <c r="C985" s="344"/>
      <c r="D985" s="344"/>
      <c r="E985" s="344"/>
      <c r="F985" s="344"/>
      <c r="G985" s="344"/>
      <c r="H985" s="344"/>
      <c r="I985" s="344"/>
      <c r="J985" s="344"/>
      <c r="K985" s="344"/>
      <c r="L985" s="344"/>
      <c r="M985" s="344"/>
      <c r="N985" s="344"/>
      <c r="O985" s="344"/>
      <c r="P985" s="344"/>
      <c r="Q985" s="344"/>
      <c r="R985" s="344"/>
      <c r="S985" s="344"/>
      <c r="T985" s="344"/>
      <c r="U985" s="344"/>
      <c r="V985" s="344"/>
      <c r="W985" s="344"/>
      <c r="X985" s="344"/>
      <c r="Y985" s="344"/>
      <c r="Z985" s="344"/>
      <c r="AA985" s="344"/>
      <c r="AB985" s="344"/>
      <c r="AC985" s="344"/>
      <c r="AD985" s="344"/>
      <c r="AE985" s="344"/>
      <c r="AF985" s="344"/>
      <c r="AG985" s="344"/>
      <c r="AH985" s="344"/>
      <c r="AI985" s="344"/>
      <c r="AJ985" s="344"/>
      <c r="AK985" s="344"/>
      <c r="AL985" s="344"/>
      <c r="AM985" s="344"/>
      <c r="AN985" s="344"/>
      <c r="AO985" s="344"/>
    </row>
    <row r="986" spans="1:41" ht="15.75" customHeight="1" x14ac:dyDescent="0.25">
      <c r="A986" s="344"/>
      <c r="B986" s="353"/>
      <c r="C986" s="344"/>
      <c r="D986" s="344"/>
      <c r="E986" s="344"/>
      <c r="F986" s="344"/>
      <c r="G986" s="344"/>
      <c r="H986" s="344"/>
      <c r="I986" s="344"/>
      <c r="J986" s="344"/>
      <c r="K986" s="344"/>
      <c r="L986" s="344"/>
      <c r="M986" s="344"/>
      <c r="N986" s="344"/>
      <c r="O986" s="344"/>
      <c r="P986" s="344"/>
      <c r="Q986" s="344"/>
      <c r="R986" s="344"/>
      <c r="S986" s="344"/>
      <c r="T986" s="344"/>
      <c r="U986" s="344"/>
      <c r="V986" s="344"/>
      <c r="W986" s="344"/>
      <c r="X986" s="344"/>
      <c r="Y986" s="344"/>
      <c r="Z986" s="344"/>
      <c r="AA986" s="344"/>
      <c r="AB986" s="344"/>
      <c r="AC986" s="344"/>
      <c r="AD986" s="344"/>
      <c r="AE986" s="344"/>
      <c r="AF986" s="344"/>
      <c r="AG986" s="344"/>
      <c r="AH986" s="344"/>
      <c r="AI986" s="344"/>
      <c r="AJ986" s="344"/>
      <c r="AK986" s="344"/>
      <c r="AL986" s="344"/>
      <c r="AM986" s="344"/>
      <c r="AN986" s="344"/>
      <c r="AO986" s="344"/>
    </row>
    <row r="987" spans="1:41" ht="15.75" customHeight="1" x14ac:dyDescent="0.25">
      <c r="A987" s="344"/>
      <c r="B987" s="353"/>
      <c r="C987" s="344"/>
      <c r="D987" s="344"/>
      <c r="E987" s="344"/>
      <c r="F987" s="344"/>
      <c r="G987" s="344"/>
      <c r="H987" s="344"/>
      <c r="I987" s="344"/>
      <c r="J987" s="344"/>
      <c r="K987" s="344"/>
      <c r="L987" s="344"/>
      <c r="M987" s="344"/>
      <c r="N987" s="344"/>
      <c r="O987" s="344"/>
      <c r="P987" s="344"/>
      <c r="Q987" s="344"/>
      <c r="R987" s="344"/>
      <c r="S987" s="344"/>
      <c r="T987" s="344"/>
      <c r="U987" s="344"/>
      <c r="V987" s="344"/>
      <c r="W987" s="344"/>
      <c r="X987" s="344"/>
      <c r="Y987" s="344"/>
      <c r="Z987" s="344"/>
      <c r="AA987" s="344"/>
      <c r="AB987" s="344"/>
      <c r="AC987" s="344"/>
      <c r="AD987" s="344"/>
      <c r="AE987" s="344"/>
      <c r="AF987" s="344"/>
      <c r="AG987" s="344"/>
      <c r="AH987" s="344"/>
      <c r="AI987" s="344"/>
      <c r="AJ987" s="344"/>
      <c r="AK987" s="344"/>
      <c r="AL987" s="344"/>
      <c r="AM987" s="344"/>
      <c r="AN987" s="344"/>
      <c r="AO987" s="344"/>
    </row>
    <row r="988" spans="1:41" ht="15.75" customHeight="1" x14ac:dyDescent="0.25">
      <c r="A988" s="344"/>
      <c r="B988" s="353"/>
      <c r="C988" s="344"/>
      <c r="D988" s="344"/>
      <c r="E988" s="344"/>
      <c r="F988" s="344"/>
      <c r="G988" s="344"/>
      <c r="H988" s="344"/>
      <c r="I988" s="344"/>
      <c r="J988" s="344"/>
      <c r="K988" s="344"/>
      <c r="L988" s="344"/>
      <c r="M988" s="344"/>
      <c r="N988" s="344"/>
      <c r="O988" s="344"/>
      <c r="P988" s="344"/>
      <c r="Q988" s="344"/>
      <c r="R988" s="344"/>
      <c r="S988" s="344"/>
      <c r="T988" s="344"/>
      <c r="U988" s="344"/>
      <c r="V988" s="344"/>
      <c r="W988" s="344"/>
      <c r="X988" s="344"/>
      <c r="Y988" s="344"/>
      <c r="Z988" s="344"/>
      <c r="AA988" s="344"/>
      <c r="AB988" s="344"/>
      <c r="AC988" s="344"/>
      <c r="AD988" s="344"/>
      <c r="AE988" s="344"/>
      <c r="AF988" s="344"/>
      <c r="AG988" s="344"/>
      <c r="AH988" s="344"/>
      <c r="AI988" s="344"/>
      <c r="AJ988" s="344"/>
      <c r="AK988" s="344"/>
      <c r="AL988" s="344"/>
      <c r="AM988" s="344"/>
      <c r="AN988" s="344"/>
      <c r="AO988" s="344"/>
    </row>
    <row r="989" spans="1:41" ht="15.75" customHeight="1" x14ac:dyDescent="0.25">
      <c r="A989" s="344"/>
      <c r="B989" s="353"/>
      <c r="C989" s="344"/>
      <c r="D989" s="344"/>
      <c r="E989" s="344"/>
      <c r="F989" s="344"/>
      <c r="G989" s="344"/>
      <c r="H989" s="344"/>
      <c r="I989" s="344"/>
      <c r="J989" s="344"/>
      <c r="K989" s="344"/>
      <c r="L989" s="344"/>
      <c r="M989" s="344"/>
      <c r="N989" s="344"/>
      <c r="O989" s="344"/>
      <c r="P989" s="344"/>
      <c r="Q989" s="344"/>
      <c r="R989" s="344"/>
      <c r="S989" s="344"/>
      <c r="T989" s="344"/>
      <c r="U989" s="344"/>
      <c r="V989" s="344"/>
      <c r="W989" s="344"/>
      <c r="X989" s="344"/>
      <c r="Y989" s="344"/>
      <c r="Z989" s="344"/>
      <c r="AA989" s="344"/>
      <c r="AB989" s="344"/>
      <c r="AC989" s="344"/>
      <c r="AD989" s="344"/>
      <c r="AE989" s="344"/>
      <c r="AF989" s="344"/>
      <c r="AG989" s="344"/>
      <c r="AH989" s="344"/>
      <c r="AI989" s="344"/>
      <c r="AJ989" s="344"/>
      <c r="AK989" s="344"/>
      <c r="AL989" s="344"/>
      <c r="AM989" s="344"/>
      <c r="AN989" s="344"/>
      <c r="AO989" s="344"/>
    </row>
    <row r="990" spans="1:41" ht="15.75" customHeight="1" x14ac:dyDescent="0.25">
      <c r="A990" s="344"/>
      <c r="B990" s="353"/>
      <c r="C990" s="344"/>
      <c r="D990" s="344"/>
      <c r="E990" s="344"/>
      <c r="F990" s="344"/>
      <c r="G990" s="344"/>
      <c r="H990" s="344"/>
      <c r="I990" s="344"/>
      <c r="J990" s="344"/>
      <c r="K990" s="344"/>
      <c r="L990" s="344"/>
      <c r="M990" s="344"/>
      <c r="N990" s="344"/>
      <c r="O990" s="344"/>
      <c r="P990" s="344"/>
      <c r="Q990" s="344"/>
      <c r="R990" s="344"/>
      <c r="S990" s="344"/>
      <c r="T990" s="344"/>
      <c r="U990" s="344"/>
      <c r="V990" s="344"/>
      <c r="W990" s="344"/>
      <c r="X990" s="344"/>
      <c r="Y990" s="344"/>
      <c r="Z990" s="344"/>
      <c r="AA990" s="344"/>
      <c r="AB990" s="344"/>
      <c r="AC990" s="344"/>
      <c r="AD990" s="344"/>
      <c r="AE990" s="344"/>
      <c r="AF990" s="344"/>
      <c r="AG990" s="344"/>
      <c r="AH990" s="344"/>
      <c r="AI990" s="344"/>
      <c r="AJ990" s="344"/>
      <c r="AK990" s="344"/>
      <c r="AL990" s="344"/>
      <c r="AM990" s="344"/>
      <c r="AN990" s="344"/>
      <c r="AO990" s="344"/>
    </row>
    <row r="991" spans="1:41" ht="15.75" customHeight="1" x14ac:dyDescent="0.25">
      <c r="A991" s="344"/>
      <c r="B991" s="353"/>
      <c r="C991" s="344"/>
      <c r="D991" s="344"/>
      <c r="E991" s="344"/>
      <c r="F991" s="344"/>
      <c r="G991" s="344"/>
      <c r="H991" s="344"/>
      <c r="I991" s="344"/>
      <c r="J991" s="344"/>
      <c r="K991" s="344"/>
      <c r="L991" s="344"/>
      <c r="M991" s="344"/>
      <c r="N991" s="344"/>
      <c r="O991" s="344"/>
      <c r="P991" s="344"/>
      <c r="Q991" s="344"/>
      <c r="R991" s="344"/>
      <c r="S991" s="344"/>
      <c r="T991" s="344"/>
      <c r="U991" s="344"/>
      <c r="V991" s="344"/>
      <c r="W991" s="344"/>
      <c r="X991" s="344"/>
      <c r="Y991" s="344"/>
      <c r="Z991" s="344"/>
      <c r="AA991" s="344"/>
      <c r="AB991" s="344"/>
      <c r="AC991" s="344"/>
      <c r="AD991" s="344"/>
      <c r="AE991" s="344"/>
      <c r="AF991" s="344"/>
      <c r="AG991" s="344"/>
      <c r="AH991" s="344"/>
      <c r="AI991" s="344"/>
      <c r="AJ991" s="344"/>
      <c r="AK991" s="344"/>
      <c r="AL991" s="344"/>
      <c r="AM991" s="344"/>
      <c r="AN991" s="344"/>
      <c r="AO991" s="344"/>
    </row>
    <row r="992" spans="1:41" ht="15.75" customHeight="1" x14ac:dyDescent="0.25">
      <c r="A992" s="344"/>
      <c r="B992" s="353"/>
      <c r="C992" s="344"/>
      <c r="D992" s="344"/>
      <c r="E992" s="344"/>
      <c r="F992" s="344"/>
      <c r="G992" s="344"/>
      <c r="H992" s="344"/>
      <c r="I992" s="344"/>
      <c r="J992" s="344"/>
      <c r="K992" s="344"/>
      <c r="L992" s="344"/>
      <c r="M992" s="344"/>
      <c r="N992" s="344"/>
      <c r="O992" s="344"/>
      <c r="P992" s="344"/>
      <c r="Q992" s="344"/>
      <c r="R992" s="344"/>
      <c r="S992" s="344"/>
      <c r="T992" s="344"/>
      <c r="U992" s="344"/>
      <c r="V992" s="344"/>
      <c r="W992" s="344"/>
      <c r="X992" s="344"/>
      <c r="Y992" s="344"/>
      <c r="Z992" s="344"/>
      <c r="AA992" s="344"/>
      <c r="AB992" s="344"/>
      <c r="AC992" s="344"/>
      <c r="AD992" s="344"/>
      <c r="AE992" s="344"/>
      <c r="AF992" s="344"/>
      <c r="AG992" s="344"/>
      <c r="AH992" s="344"/>
      <c r="AI992" s="344"/>
      <c r="AJ992" s="344"/>
      <c r="AK992" s="344"/>
      <c r="AL992" s="344"/>
      <c r="AM992" s="344"/>
      <c r="AN992" s="344"/>
      <c r="AO992" s="344"/>
    </row>
    <row r="993" spans="1:41" ht="15.75" customHeight="1" x14ac:dyDescent="0.25">
      <c r="A993" s="344"/>
      <c r="B993" s="353"/>
      <c r="C993" s="344"/>
      <c r="D993" s="344"/>
      <c r="E993" s="344"/>
      <c r="F993" s="344"/>
      <c r="G993" s="344"/>
      <c r="H993" s="344"/>
      <c r="I993" s="344"/>
      <c r="J993" s="344"/>
      <c r="K993" s="344"/>
      <c r="L993" s="344"/>
      <c r="M993" s="344"/>
      <c r="N993" s="344"/>
      <c r="O993" s="344"/>
      <c r="P993" s="344"/>
      <c r="Q993" s="344"/>
      <c r="R993" s="344"/>
      <c r="S993" s="344"/>
      <c r="T993" s="344"/>
      <c r="U993" s="344"/>
      <c r="V993" s="344"/>
      <c r="W993" s="344"/>
      <c r="X993" s="344"/>
      <c r="Y993" s="344"/>
      <c r="Z993" s="344"/>
      <c r="AA993" s="344"/>
      <c r="AB993" s="344"/>
      <c r="AC993" s="344"/>
      <c r="AD993" s="344"/>
      <c r="AE993" s="344"/>
      <c r="AF993" s="344"/>
      <c r="AG993" s="344"/>
      <c r="AH993" s="344"/>
      <c r="AI993" s="344"/>
      <c r="AJ993" s="344"/>
      <c r="AK993" s="344"/>
      <c r="AL993" s="344"/>
      <c r="AM993" s="344"/>
      <c r="AN993" s="344"/>
      <c r="AO993" s="344"/>
    </row>
    <row r="994" spans="1:41" ht="15.75" customHeight="1" x14ac:dyDescent="0.25">
      <c r="A994" s="344"/>
      <c r="B994" s="353"/>
      <c r="C994" s="344"/>
      <c r="D994" s="344"/>
      <c r="E994" s="344"/>
      <c r="F994" s="344"/>
      <c r="G994" s="344"/>
      <c r="H994" s="344"/>
      <c r="I994" s="344"/>
      <c r="J994" s="344"/>
      <c r="K994" s="344"/>
      <c r="L994" s="344"/>
      <c r="M994" s="344"/>
      <c r="N994" s="344"/>
      <c r="O994" s="344"/>
      <c r="P994" s="344"/>
      <c r="Q994" s="344"/>
      <c r="R994" s="344"/>
      <c r="S994" s="344"/>
      <c r="T994" s="344"/>
      <c r="U994" s="344"/>
      <c r="V994" s="344"/>
      <c r="W994" s="344"/>
      <c r="X994" s="344"/>
      <c r="Y994" s="344"/>
      <c r="Z994" s="344"/>
      <c r="AA994" s="344"/>
      <c r="AB994" s="344"/>
      <c r="AC994" s="344"/>
      <c r="AD994" s="344"/>
      <c r="AE994" s="344"/>
      <c r="AF994" s="344"/>
      <c r="AG994" s="344"/>
      <c r="AH994" s="344"/>
      <c r="AI994" s="344"/>
      <c r="AJ994" s="344"/>
      <c r="AK994" s="344"/>
      <c r="AL994" s="344"/>
      <c r="AM994" s="344"/>
      <c r="AN994" s="344"/>
      <c r="AO994" s="344"/>
    </row>
    <row r="995" spans="1:41" ht="15.75" customHeight="1" x14ac:dyDescent="0.25">
      <c r="A995" s="344"/>
      <c r="B995" s="353"/>
      <c r="C995" s="344"/>
      <c r="D995" s="344"/>
      <c r="E995" s="344"/>
      <c r="F995" s="344"/>
      <c r="G995" s="344"/>
      <c r="H995" s="344"/>
      <c r="I995" s="344"/>
      <c r="J995" s="344"/>
      <c r="K995" s="344"/>
      <c r="L995" s="344"/>
      <c r="M995" s="344"/>
      <c r="N995" s="344"/>
      <c r="O995" s="344"/>
      <c r="P995" s="344"/>
      <c r="Q995" s="344"/>
      <c r="R995" s="344"/>
      <c r="S995" s="344"/>
      <c r="T995" s="344"/>
      <c r="U995" s="344"/>
      <c r="V995" s="344"/>
      <c r="W995" s="344"/>
      <c r="X995" s="344"/>
      <c r="Y995" s="344"/>
      <c r="Z995" s="344"/>
      <c r="AA995" s="344"/>
      <c r="AB995" s="344"/>
      <c r="AC995" s="344"/>
      <c r="AD995" s="344"/>
      <c r="AE995" s="344"/>
      <c r="AF995" s="344"/>
      <c r="AG995" s="344"/>
      <c r="AH995" s="344"/>
      <c r="AI995" s="344"/>
      <c r="AJ995" s="344"/>
      <c r="AK995" s="344"/>
      <c r="AL995" s="344"/>
      <c r="AM995" s="344"/>
      <c r="AN995" s="344"/>
      <c r="AO995" s="344"/>
    </row>
    <row r="996" spans="1:41" ht="15.75" customHeight="1" x14ac:dyDescent="0.25">
      <c r="A996" s="344"/>
      <c r="B996" s="353"/>
      <c r="C996" s="344"/>
      <c r="D996" s="344"/>
      <c r="E996" s="344"/>
      <c r="F996" s="344"/>
      <c r="G996" s="344"/>
      <c r="H996" s="344"/>
      <c r="I996" s="344"/>
      <c r="J996" s="344"/>
      <c r="K996" s="344"/>
      <c r="L996" s="344"/>
      <c r="M996" s="344"/>
      <c r="N996" s="344"/>
      <c r="O996" s="344"/>
      <c r="P996" s="344"/>
      <c r="Q996" s="344"/>
      <c r="R996" s="344"/>
      <c r="S996" s="344"/>
      <c r="T996" s="344"/>
      <c r="U996" s="344"/>
      <c r="V996" s="344"/>
      <c r="W996" s="344"/>
      <c r="X996" s="344"/>
      <c r="Y996" s="344"/>
      <c r="Z996" s="344"/>
      <c r="AA996" s="344"/>
      <c r="AB996" s="344"/>
      <c r="AC996" s="344"/>
      <c r="AD996" s="344"/>
      <c r="AE996" s="344"/>
      <c r="AF996" s="344"/>
      <c r="AG996" s="344"/>
      <c r="AH996" s="344"/>
      <c r="AI996" s="344"/>
      <c r="AJ996" s="344"/>
      <c r="AK996" s="344"/>
      <c r="AL996" s="344"/>
      <c r="AM996" s="344"/>
      <c r="AN996" s="344"/>
      <c r="AO996" s="344"/>
    </row>
    <row r="997" spans="1:41" ht="15.75" customHeight="1" x14ac:dyDescent="0.25">
      <c r="A997" s="344"/>
      <c r="B997" s="353"/>
      <c r="C997" s="344"/>
      <c r="D997" s="344"/>
      <c r="E997" s="344"/>
      <c r="F997" s="344"/>
      <c r="G997" s="344"/>
      <c r="H997" s="344"/>
      <c r="I997" s="344"/>
      <c r="J997" s="344"/>
      <c r="K997" s="344"/>
      <c r="L997" s="344"/>
      <c r="M997" s="344"/>
      <c r="N997" s="344"/>
      <c r="O997" s="344"/>
      <c r="P997" s="344"/>
      <c r="Q997" s="344"/>
      <c r="R997" s="344"/>
      <c r="S997" s="344"/>
      <c r="T997" s="344"/>
      <c r="U997" s="344"/>
      <c r="V997" s="344"/>
      <c r="W997" s="344"/>
      <c r="X997" s="344"/>
      <c r="Y997" s="344"/>
      <c r="Z997" s="344"/>
      <c r="AA997" s="344"/>
      <c r="AB997" s="344"/>
      <c r="AC997" s="344"/>
      <c r="AD997" s="344"/>
      <c r="AE997" s="344"/>
      <c r="AF997" s="344"/>
      <c r="AG997" s="344"/>
      <c r="AH997" s="344"/>
      <c r="AI997" s="344"/>
      <c r="AJ997" s="344"/>
      <c r="AK997" s="344"/>
      <c r="AL997" s="344"/>
      <c r="AM997" s="344"/>
      <c r="AN997" s="344"/>
      <c r="AO997" s="344"/>
    </row>
    <row r="998" spans="1:41" ht="15.75" customHeight="1" x14ac:dyDescent="0.25">
      <c r="A998" s="344"/>
      <c r="B998" s="353"/>
      <c r="C998" s="344"/>
      <c r="D998" s="344"/>
      <c r="E998" s="344"/>
      <c r="F998" s="344"/>
      <c r="G998" s="344"/>
      <c r="H998" s="344"/>
      <c r="I998" s="344"/>
      <c r="J998" s="344"/>
      <c r="K998" s="344"/>
      <c r="L998" s="344"/>
      <c r="M998" s="344"/>
      <c r="N998" s="344"/>
      <c r="O998" s="344"/>
      <c r="P998" s="344"/>
      <c r="Q998" s="344"/>
      <c r="R998" s="344"/>
      <c r="S998" s="344"/>
      <c r="T998" s="344"/>
      <c r="U998" s="344"/>
      <c r="V998" s="344"/>
      <c r="W998" s="344"/>
      <c r="X998" s="344"/>
      <c r="Y998" s="344"/>
      <c r="Z998" s="344"/>
      <c r="AA998" s="344"/>
      <c r="AB998" s="344"/>
      <c r="AC998" s="344"/>
      <c r="AD998" s="344"/>
      <c r="AE998" s="344"/>
      <c r="AF998" s="344"/>
      <c r="AG998" s="344"/>
      <c r="AH998" s="344"/>
      <c r="AI998" s="344"/>
      <c r="AJ998" s="344"/>
      <c r="AK998" s="344"/>
      <c r="AL998" s="344"/>
      <c r="AM998" s="344"/>
      <c r="AN998" s="344"/>
      <c r="AO998" s="344"/>
    </row>
    <row r="999" spans="1:41" ht="15.75" customHeight="1" x14ac:dyDescent="0.25">
      <c r="A999" s="344"/>
      <c r="B999" s="353"/>
      <c r="C999" s="344"/>
      <c r="D999" s="344"/>
      <c r="E999" s="344"/>
      <c r="F999" s="344"/>
      <c r="G999" s="344"/>
      <c r="H999" s="344"/>
      <c r="I999" s="344"/>
      <c r="J999" s="344"/>
      <c r="K999" s="344"/>
      <c r="L999" s="344"/>
      <c r="M999" s="344"/>
      <c r="N999" s="344"/>
      <c r="O999" s="344"/>
      <c r="P999" s="344"/>
      <c r="Q999" s="344"/>
      <c r="R999" s="344"/>
      <c r="S999" s="344"/>
      <c r="T999" s="344"/>
      <c r="U999" s="344"/>
      <c r="V999" s="344"/>
      <c r="W999" s="344"/>
      <c r="X999" s="344"/>
      <c r="Y999" s="344"/>
      <c r="Z999" s="344"/>
      <c r="AA999" s="344"/>
      <c r="AB999" s="344"/>
      <c r="AC999" s="344"/>
      <c r="AD999" s="344"/>
      <c r="AE999" s="344"/>
      <c r="AF999" s="344"/>
      <c r="AG999" s="344"/>
      <c r="AH999" s="344"/>
      <c r="AI999" s="344"/>
      <c r="AJ999" s="344"/>
      <c r="AK999" s="344"/>
      <c r="AL999" s="344"/>
      <c r="AM999" s="344"/>
      <c r="AN999" s="344"/>
      <c r="AO999" s="344"/>
    </row>
    <row r="1000" spans="1:41" ht="15.75" customHeight="1" x14ac:dyDescent="0.25">
      <c r="A1000" s="344"/>
      <c r="B1000" s="353"/>
      <c r="C1000" s="344"/>
      <c r="D1000" s="344"/>
      <c r="E1000" s="344"/>
      <c r="F1000" s="344"/>
      <c r="G1000" s="344"/>
      <c r="H1000" s="344"/>
      <c r="I1000" s="344"/>
      <c r="J1000" s="344"/>
      <c r="K1000" s="344"/>
      <c r="L1000" s="344"/>
      <c r="M1000" s="344"/>
      <c r="N1000" s="344"/>
      <c r="O1000" s="344"/>
      <c r="P1000" s="344"/>
      <c r="Q1000" s="344"/>
      <c r="R1000" s="344"/>
      <c r="S1000" s="344"/>
      <c r="T1000" s="344"/>
      <c r="U1000" s="344"/>
      <c r="V1000" s="344"/>
      <c r="W1000" s="344"/>
      <c r="X1000" s="344"/>
      <c r="Y1000" s="344"/>
      <c r="Z1000" s="344"/>
      <c r="AA1000" s="344"/>
      <c r="AB1000" s="344"/>
      <c r="AC1000" s="344"/>
      <c r="AD1000" s="344"/>
      <c r="AE1000" s="344"/>
      <c r="AF1000" s="344"/>
      <c r="AG1000" s="344"/>
      <c r="AH1000" s="344"/>
      <c r="AI1000" s="344"/>
      <c r="AJ1000" s="344"/>
      <c r="AK1000" s="344"/>
      <c r="AL1000" s="344"/>
      <c r="AM1000" s="344"/>
      <c r="AN1000" s="344"/>
      <c r="AO1000" s="344"/>
    </row>
  </sheetData>
  <mergeCells count="3">
    <mergeCell ref="J6:K6"/>
    <mergeCell ref="B1:U1"/>
    <mergeCell ref="B2:U2"/>
  </mergeCells>
  <pageMargins left="0.45" right="0.45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K362"/>
  <sheetViews>
    <sheetView showGridLines="0" topLeftCell="A90" zoomScale="70" zoomScaleNormal="70" workbookViewId="0">
      <selection activeCell="I125" sqref="I125"/>
    </sheetView>
  </sheetViews>
  <sheetFormatPr defaultColWidth="0" defaultRowHeight="15" customHeight="1" x14ac:dyDescent="0.25"/>
  <cols>
    <col min="1" max="1" width="9.5703125" customWidth="1"/>
    <col min="2" max="2" width="34.140625" customWidth="1"/>
    <col min="3" max="3" width="22.5703125" customWidth="1"/>
    <col min="4" max="5" width="27.28515625" customWidth="1"/>
    <col min="6" max="6" width="19.7109375" customWidth="1"/>
    <col min="7" max="7" width="29.5703125" customWidth="1"/>
    <col min="8" max="8" width="24.42578125" customWidth="1"/>
    <col min="9" max="9" width="18.28515625" customWidth="1"/>
    <col min="10" max="10" width="20.42578125" customWidth="1"/>
    <col min="11" max="140" width="20.7109375" customWidth="1"/>
    <col min="141" max="141" width="14.42578125" customWidth="1"/>
    <col min="142" max="16384" width="14.42578125" hidden="1"/>
  </cols>
  <sheetData>
    <row r="1" spans="1:140" ht="15.75" thickBot="1" x14ac:dyDescent="0.3">
      <c r="A1" s="579"/>
      <c r="B1" s="1257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G1" s="354"/>
      <c r="BH1" s="354"/>
      <c r="BI1" s="354"/>
      <c r="BJ1" s="354"/>
      <c r="BK1" s="354"/>
      <c r="BL1" s="354"/>
      <c r="BM1" s="354"/>
      <c r="BN1" s="354"/>
      <c r="BO1" s="354"/>
      <c r="BP1" s="354"/>
      <c r="BQ1" s="354"/>
      <c r="BR1" s="354"/>
      <c r="BS1" s="354"/>
      <c r="BT1" s="354"/>
      <c r="BU1" s="354"/>
      <c r="BV1" s="354"/>
      <c r="BW1" s="354"/>
      <c r="BX1" s="354"/>
      <c r="BY1" s="354"/>
      <c r="BZ1" s="354"/>
      <c r="CA1" s="354"/>
      <c r="CB1" s="354"/>
      <c r="CC1" s="354"/>
      <c r="CD1" s="354"/>
      <c r="CE1" s="354"/>
      <c r="CF1" s="354"/>
      <c r="CG1" s="354"/>
      <c r="CH1" s="354"/>
      <c r="CI1" s="354"/>
      <c r="CJ1" s="354"/>
      <c r="CK1" s="354"/>
      <c r="CL1" s="354"/>
      <c r="CM1" s="354"/>
      <c r="CN1" s="354"/>
      <c r="CO1" s="354"/>
      <c r="CP1" s="354"/>
      <c r="CQ1" s="354"/>
      <c r="CR1" s="354"/>
      <c r="CS1" s="354"/>
      <c r="CT1" s="354"/>
      <c r="CU1" s="354"/>
      <c r="CV1" s="354"/>
      <c r="CW1" s="354"/>
      <c r="CX1" s="354"/>
      <c r="CY1" s="354"/>
      <c r="CZ1" s="354"/>
      <c r="DA1" s="354"/>
      <c r="DB1" s="354"/>
      <c r="DC1" s="354"/>
      <c r="DD1" s="354"/>
      <c r="DE1" s="354"/>
      <c r="DF1" s="354"/>
      <c r="DG1" s="354"/>
      <c r="DH1" s="354"/>
      <c r="DI1" s="354"/>
      <c r="DJ1" s="354"/>
      <c r="DK1" s="354"/>
      <c r="DL1" s="354"/>
      <c r="DM1" s="354"/>
      <c r="DN1" s="354"/>
      <c r="DO1" s="354"/>
      <c r="DP1" s="354"/>
      <c r="DQ1" s="354"/>
      <c r="DR1" s="354"/>
      <c r="DS1" s="354"/>
      <c r="DT1" s="354"/>
      <c r="DU1" s="354"/>
      <c r="DV1" s="354"/>
      <c r="DW1" s="354"/>
      <c r="DX1" s="592"/>
      <c r="DY1" s="579"/>
      <c r="DZ1" s="579"/>
      <c r="EA1" s="579"/>
      <c r="EB1" s="579"/>
      <c r="EC1" s="579"/>
      <c r="ED1" s="579"/>
      <c r="EE1" s="579"/>
      <c r="EF1" s="579"/>
      <c r="EG1" s="579"/>
      <c r="EH1" s="579"/>
      <c r="EI1" s="579"/>
      <c r="EJ1" s="579"/>
    </row>
    <row r="2" spans="1:140" ht="30" customHeight="1" x14ac:dyDescent="0.25">
      <c r="A2" s="6"/>
      <c r="B2" s="1002" t="str">
        <f>CONCATENATE(Summary!D7," - Cash Flow Projection")</f>
        <v>Town Center - Cash Flow Projection</v>
      </c>
      <c r="C2" s="1003"/>
      <c r="D2" s="1003"/>
      <c r="E2" s="1003"/>
      <c r="F2" s="1003"/>
      <c r="G2" s="1003"/>
      <c r="H2" s="1094"/>
      <c r="I2" s="1003"/>
      <c r="J2" s="1003"/>
      <c r="K2" s="1003"/>
      <c r="L2" s="1003"/>
      <c r="M2" s="1095"/>
      <c r="N2" s="1095"/>
      <c r="O2" s="1095"/>
      <c r="P2" s="1095"/>
      <c r="Q2" s="1095"/>
      <c r="R2" s="1095"/>
      <c r="S2" s="1095"/>
      <c r="T2" s="1095"/>
      <c r="U2" s="1095"/>
      <c r="V2" s="1095"/>
      <c r="W2" s="1095"/>
      <c r="X2" s="1096"/>
      <c r="Y2" s="1095"/>
      <c r="Z2" s="1095"/>
      <c r="AA2" s="1095"/>
      <c r="AB2" s="1095"/>
      <c r="AC2" s="1095"/>
      <c r="AD2" s="1095"/>
      <c r="AE2" s="1095"/>
      <c r="AF2" s="1095"/>
      <c r="AG2" s="1095"/>
      <c r="AH2" s="1095"/>
      <c r="AI2" s="1095"/>
      <c r="AJ2" s="1095"/>
      <c r="AK2" s="1095"/>
      <c r="AL2" s="1095"/>
      <c r="AM2" s="1095"/>
      <c r="AN2" s="1095"/>
      <c r="AO2" s="1095"/>
      <c r="AP2" s="1095"/>
      <c r="AQ2" s="1095"/>
      <c r="AR2" s="1095"/>
      <c r="AS2" s="1095"/>
      <c r="AT2" s="1095"/>
      <c r="AU2" s="1095"/>
      <c r="AV2" s="1095"/>
      <c r="AW2" s="1095"/>
      <c r="AX2" s="1095"/>
      <c r="AY2" s="1095"/>
      <c r="AZ2" s="1095"/>
      <c r="BA2" s="1095"/>
      <c r="BB2" s="1095"/>
      <c r="BC2" s="1095"/>
      <c r="BD2" s="1095"/>
      <c r="BE2" s="1095"/>
      <c r="BF2" s="1095"/>
      <c r="BG2" s="1095"/>
      <c r="BH2" s="1095"/>
      <c r="BI2" s="1095"/>
      <c r="BJ2" s="1095"/>
      <c r="BK2" s="1095"/>
      <c r="BL2" s="1095"/>
      <c r="BM2" s="1095"/>
      <c r="BN2" s="1095"/>
      <c r="BO2" s="1095"/>
      <c r="BP2" s="1095"/>
      <c r="BQ2" s="1095"/>
      <c r="BR2" s="1095"/>
      <c r="BS2" s="1095"/>
      <c r="BT2" s="1095"/>
      <c r="BU2" s="1095"/>
      <c r="BV2" s="1095"/>
      <c r="BW2" s="1095"/>
      <c r="BX2" s="1095"/>
      <c r="BY2" s="1095"/>
      <c r="BZ2" s="1095"/>
      <c r="CA2" s="1095"/>
      <c r="CB2" s="1095"/>
      <c r="CC2" s="1095"/>
      <c r="CD2" s="1095"/>
      <c r="CE2" s="1095"/>
      <c r="CF2" s="1095"/>
      <c r="CG2" s="1095"/>
      <c r="CH2" s="1095"/>
      <c r="CI2" s="1095"/>
      <c r="CJ2" s="1095"/>
      <c r="CK2" s="1095"/>
      <c r="CL2" s="1095"/>
      <c r="CM2" s="1095"/>
      <c r="CN2" s="1095"/>
      <c r="CO2" s="1095"/>
      <c r="CP2" s="1095"/>
      <c r="CQ2" s="1095"/>
      <c r="CR2" s="1095"/>
      <c r="CS2" s="1095"/>
      <c r="CT2" s="1095"/>
      <c r="CU2" s="1095"/>
      <c r="CV2" s="1095"/>
      <c r="CW2" s="1095"/>
      <c r="CX2" s="1095"/>
      <c r="CY2" s="1095"/>
      <c r="CZ2" s="1095"/>
      <c r="DA2" s="1095"/>
      <c r="DB2" s="1095"/>
      <c r="DC2" s="1095"/>
      <c r="DD2" s="1095"/>
      <c r="DE2" s="1095"/>
      <c r="DF2" s="1095"/>
      <c r="DG2" s="1095"/>
      <c r="DH2" s="1095"/>
      <c r="DI2" s="1095"/>
      <c r="DJ2" s="1095"/>
      <c r="DK2" s="1095"/>
      <c r="DL2" s="1095"/>
      <c r="DM2" s="1095"/>
      <c r="DN2" s="1095"/>
      <c r="DO2" s="1095"/>
      <c r="DP2" s="1095"/>
      <c r="DQ2" s="1095"/>
      <c r="DR2" s="1095"/>
      <c r="DS2" s="1095"/>
      <c r="DT2" s="1095"/>
      <c r="DU2" s="1095"/>
      <c r="DV2" s="1095"/>
      <c r="DW2" s="1095"/>
      <c r="DX2" s="1095"/>
      <c r="DY2" s="1095"/>
      <c r="DZ2" s="1095"/>
      <c r="EA2" s="1095"/>
      <c r="EB2" s="1095"/>
      <c r="EC2" s="1095"/>
      <c r="ED2" s="1095"/>
      <c r="EE2" s="1095"/>
      <c r="EF2" s="1095"/>
      <c r="EG2" s="1095"/>
      <c r="EH2" s="1095"/>
      <c r="EI2" s="1095"/>
      <c r="EJ2" s="1097"/>
    </row>
    <row r="3" spans="1:140" x14ac:dyDescent="0.25">
      <c r="A3" s="6"/>
      <c r="B3" s="1004"/>
      <c r="C3" s="1005" t="s">
        <v>279</v>
      </c>
      <c r="D3" s="1005" t="s">
        <v>43</v>
      </c>
      <c r="E3" s="1005" t="s">
        <v>280</v>
      </c>
      <c r="F3" s="1005" t="s">
        <v>281</v>
      </c>
      <c r="G3" s="1068" t="s">
        <v>23</v>
      </c>
      <c r="H3" s="1098">
        <f>EOMONTH(I3,-1)</f>
        <v>46387</v>
      </c>
      <c r="I3" s="1099">
        <f>EOMONTH(D81,0)</f>
        <v>46418</v>
      </c>
      <c r="J3" s="1099">
        <f t="shared" ref="J3:DX3" si="0">EOMONTH(I3,1)</f>
        <v>46446</v>
      </c>
      <c r="K3" s="1099">
        <f t="shared" si="0"/>
        <v>46477</v>
      </c>
      <c r="L3" s="1099">
        <f t="shared" si="0"/>
        <v>46507</v>
      </c>
      <c r="M3" s="1099">
        <f t="shared" si="0"/>
        <v>46538</v>
      </c>
      <c r="N3" s="1099">
        <f t="shared" si="0"/>
        <v>46568</v>
      </c>
      <c r="O3" s="1099">
        <f t="shared" si="0"/>
        <v>46599</v>
      </c>
      <c r="P3" s="1099">
        <f t="shared" si="0"/>
        <v>46630</v>
      </c>
      <c r="Q3" s="1099">
        <f t="shared" si="0"/>
        <v>46660</v>
      </c>
      <c r="R3" s="1099">
        <f t="shared" si="0"/>
        <v>46691</v>
      </c>
      <c r="S3" s="1099">
        <f t="shared" si="0"/>
        <v>46721</v>
      </c>
      <c r="T3" s="1099">
        <f t="shared" si="0"/>
        <v>46752</v>
      </c>
      <c r="U3" s="1099">
        <f t="shared" si="0"/>
        <v>46783</v>
      </c>
      <c r="V3" s="1099">
        <f t="shared" si="0"/>
        <v>46812</v>
      </c>
      <c r="W3" s="1099">
        <f t="shared" si="0"/>
        <v>46843</v>
      </c>
      <c r="X3" s="1099">
        <f t="shared" si="0"/>
        <v>46873</v>
      </c>
      <c r="Y3" s="1099">
        <f t="shared" si="0"/>
        <v>46904</v>
      </c>
      <c r="Z3" s="1099">
        <f t="shared" si="0"/>
        <v>46934</v>
      </c>
      <c r="AA3" s="1099">
        <f t="shared" si="0"/>
        <v>46965</v>
      </c>
      <c r="AB3" s="1099">
        <f t="shared" si="0"/>
        <v>46996</v>
      </c>
      <c r="AC3" s="1099">
        <f t="shared" si="0"/>
        <v>47026</v>
      </c>
      <c r="AD3" s="1099">
        <f t="shared" si="0"/>
        <v>47057</v>
      </c>
      <c r="AE3" s="1099">
        <f t="shared" si="0"/>
        <v>47087</v>
      </c>
      <c r="AF3" s="1099">
        <f t="shared" si="0"/>
        <v>47118</v>
      </c>
      <c r="AG3" s="1099">
        <f t="shared" si="0"/>
        <v>47149</v>
      </c>
      <c r="AH3" s="1099">
        <f t="shared" si="0"/>
        <v>47177</v>
      </c>
      <c r="AI3" s="1099">
        <f t="shared" si="0"/>
        <v>47208</v>
      </c>
      <c r="AJ3" s="1099">
        <f t="shared" si="0"/>
        <v>47238</v>
      </c>
      <c r="AK3" s="1099">
        <f t="shared" si="0"/>
        <v>47269</v>
      </c>
      <c r="AL3" s="1099">
        <f t="shared" si="0"/>
        <v>47299</v>
      </c>
      <c r="AM3" s="1099">
        <f t="shared" si="0"/>
        <v>47330</v>
      </c>
      <c r="AN3" s="1099">
        <f t="shared" si="0"/>
        <v>47361</v>
      </c>
      <c r="AO3" s="1099">
        <f t="shared" si="0"/>
        <v>47391</v>
      </c>
      <c r="AP3" s="1099">
        <f t="shared" si="0"/>
        <v>47422</v>
      </c>
      <c r="AQ3" s="1099">
        <f t="shared" si="0"/>
        <v>47452</v>
      </c>
      <c r="AR3" s="1099">
        <f t="shared" si="0"/>
        <v>47483</v>
      </c>
      <c r="AS3" s="1099">
        <f t="shared" si="0"/>
        <v>47514</v>
      </c>
      <c r="AT3" s="1099">
        <f t="shared" si="0"/>
        <v>47542</v>
      </c>
      <c r="AU3" s="1099">
        <f t="shared" si="0"/>
        <v>47573</v>
      </c>
      <c r="AV3" s="1099">
        <f t="shared" si="0"/>
        <v>47603</v>
      </c>
      <c r="AW3" s="1099">
        <f t="shared" si="0"/>
        <v>47634</v>
      </c>
      <c r="AX3" s="1099">
        <f t="shared" si="0"/>
        <v>47664</v>
      </c>
      <c r="AY3" s="1099">
        <f t="shared" si="0"/>
        <v>47695</v>
      </c>
      <c r="AZ3" s="1099">
        <f t="shared" si="0"/>
        <v>47726</v>
      </c>
      <c r="BA3" s="1099">
        <f t="shared" si="0"/>
        <v>47756</v>
      </c>
      <c r="BB3" s="1099">
        <f t="shared" si="0"/>
        <v>47787</v>
      </c>
      <c r="BC3" s="1099">
        <f t="shared" si="0"/>
        <v>47817</v>
      </c>
      <c r="BD3" s="1099">
        <f t="shared" si="0"/>
        <v>47848</v>
      </c>
      <c r="BE3" s="1099">
        <f t="shared" si="0"/>
        <v>47879</v>
      </c>
      <c r="BF3" s="1099">
        <f t="shared" si="0"/>
        <v>47907</v>
      </c>
      <c r="BG3" s="1099">
        <f t="shared" si="0"/>
        <v>47938</v>
      </c>
      <c r="BH3" s="1099">
        <f t="shared" si="0"/>
        <v>47968</v>
      </c>
      <c r="BI3" s="1099">
        <f t="shared" si="0"/>
        <v>47999</v>
      </c>
      <c r="BJ3" s="1099">
        <f t="shared" si="0"/>
        <v>48029</v>
      </c>
      <c r="BK3" s="1099">
        <f t="shared" si="0"/>
        <v>48060</v>
      </c>
      <c r="BL3" s="1099">
        <f t="shared" si="0"/>
        <v>48091</v>
      </c>
      <c r="BM3" s="1099">
        <f t="shared" si="0"/>
        <v>48121</v>
      </c>
      <c r="BN3" s="1099">
        <f t="shared" si="0"/>
        <v>48152</v>
      </c>
      <c r="BO3" s="1099">
        <f t="shared" si="0"/>
        <v>48182</v>
      </c>
      <c r="BP3" s="1099">
        <f t="shared" si="0"/>
        <v>48213</v>
      </c>
      <c r="BQ3" s="1099">
        <f t="shared" si="0"/>
        <v>48244</v>
      </c>
      <c r="BR3" s="1099">
        <f t="shared" si="0"/>
        <v>48273</v>
      </c>
      <c r="BS3" s="1099">
        <f t="shared" si="0"/>
        <v>48304</v>
      </c>
      <c r="BT3" s="1099">
        <f t="shared" si="0"/>
        <v>48334</v>
      </c>
      <c r="BU3" s="1099">
        <f t="shared" si="0"/>
        <v>48365</v>
      </c>
      <c r="BV3" s="1099">
        <f t="shared" si="0"/>
        <v>48395</v>
      </c>
      <c r="BW3" s="1099">
        <f t="shared" si="0"/>
        <v>48426</v>
      </c>
      <c r="BX3" s="1099">
        <f t="shared" si="0"/>
        <v>48457</v>
      </c>
      <c r="BY3" s="1099">
        <f t="shared" si="0"/>
        <v>48487</v>
      </c>
      <c r="BZ3" s="1099">
        <f t="shared" si="0"/>
        <v>48518</v>
      </c>
      <c r="CA3" s="1099">
        <f t="shared" si="0"/>
        <v>48548</v>
      </c>
      <c r="CB3" s="1099">
        <f t="shared" si="0"/>
        <v>48579</v>
      </c>
      <c r="CC3" s="1099">
        <f t="shared" si="0"/>
        <v>48610</v>
      </c>
      <c r="CD3" s="1099">
        <f t="shared" si="0"/>
        <v>48638</v>
      </c>
      <c r="CE3" s="1099">
        <f t="shared" si="0"/>
        <v>48669</v>
      </c>
      <c r="CF3" s="1099">
        <f t="shared" si="0"/>
        <v>48699</v>
      </c>
      <c r="CG3" s="1099">
        <f t="shared" si="0"/>
        <v>48730</v>
      </c>
      <c r="CH3" s="1099">
        <f t="shared" si="0"/>
        <v>48760</v>
      </c>
      <c r="CI3" s="1099">
        <f t="shared" si="0"/>
        <v>48791</v>
      </c>
      <c r="CJ3" s="1099">
        <f t="shared" si="0"/>
        <v>48822</v>
      </c>
      <c r="CK3" s="1099">
        <f t="shared" si="0"/>
        <v>48852</v>
      </c>
      <c r="CL3" s="1099">
        <f t="shared" si="0"/>
        <v>48883</v>
      </c>
      <c r="CM3" s="1099">
        <f t="shared" si="0"/>
        <v>48913</v>
      </c>
      <c r="CN3" s="1099">
        <f t="shared" si="0"/>
        <v>48944</v>
      </c>
      <c r="CO3" s="1099">
        <f t="shared" si="0"/>
        <v>48975</v>
      </c>
      <c r="CP3" s="1099">
        <f t="shared" si="0"/>
        <v>49003</v>
      </c>
      <c r="CQ3" s="1099">
        <f t="shared" si="0"/>
        <v>49034</v>
      </c>
      <c r="CR3" s="1099">
        <f t="shared" si="0"/>
        <v>49064</v>
      </c>
      <c r="CS3" s="1099">
        <f t="shared" si="0"/>
        <v>49095</v>
      </c>
      <c r="CT3" s="1099">
        <f t="shared" si="0"/>
        <v>49125</v>
      </c>
      <c r="CU3" s="1099">
        <f t="shared" si="0"/>
        <v>49156</v>
      </c>
      <c r="CV3" s="1099">
        <f t="shared" si="0"/>
        <v>49187</v>
      </c>
      <c r="CW3" s="1099">
        <f t="shared" si="0"/>
        <v>49217</v>
      </c>
      <c r="CX3" s="1099">
        <f t="shared" si="0"/>
        <v>49248</v>
      </c>
      <c r="CY3" s="1099">
        <f t="shared" si="0"/>
        <v>49278</v>
      </c>
      <c r="CZ3" s="1099">
        <f t="shared" si="0"/>
        <v>49309</v>
      </c>
      <c r="DA3" s="1099">
        <f t="shared" si="0"/>
        <v>49340</v>
      </c>
      <c r="DB3" s="1099">
        <f t="shared" si="0"/>
        <v>49368</v>
      </c>
      <c r="DC3" s="1099">
        <f t="shared" si="0"/>
        <v>49399</v>
      </c>
      <c r="DD3" s="1099">
        <f t="shared" si="0"/>
        <v>49429</v>
      </c>
      <c r="DE3" s="1099">
        <f t="shared" si="0"/>
        <v>49460</v>
      </c>
      <c r="DF3" s="1099">
        <f t="shared" si="0"/>
        <v>49490</v>
      </c>
      <c r="DG3" s="1099">
        <f t="shared" si="0"/>
        <v>49521</v>
      </c>
      <c r="DH3" s="1099">
        <f t="shared" si="0"/>
        <v>49552</v>
      </c>
      <c r="DI3" s="1099">
        <f t="shared" si="0"/>
        <v>49582</v>
      </c>
      <c r="DJ3" s="1099">
        <f t="shared" si="0"/>
        <v>49613</v>
      </c>
      <c r="DK3" s="1099">
        <f t="shared" si="0"/>
        <v>49643</v>
      </c>
      <c r="DL3" s="1099">
        <f t="shared" si="0"/>
        <v>49674</v>
      </c>
      <c r="DM3" s="1099">
        <f t="shared" si="0"/>
        <v>49705</v>
      </c>
      <c r="DN3" s="1099">
        <f t="shared" si="0"/>
        <v>49734</v>
      </c>
      <c r="DO3" s="1099">
        <f t="shared" si="0"/>
        <v>49765</v>
      </c>
      <c r="DP3" s="1099">
        <f t="shared" si="0"/>
        <v>49795</v>
      </c>
      <c r="DQ3" s="1099">
        <f t="shared" si="0"/>
        <v>49826</v>
      </c>
      <c r="DR3" s="1099">
        <f t="shared" si="0"/>
        <v>49856</v>
      </c>
      <c r="DS3" s="1099">
        <f t="shared" si="0"/>
        <v>49887</v>
      </c>
      <c r="DT3" s="1099">
        <f t="shared" si="0"/>
        <v>49918</v>
      </c>
      <c r="DU3" s="1099">
        <f t="shared" si="0"/>
        <v>49948</v>
      </c>
      <c r="DV3" s="1099">
        <f t="shared" si="0"/>
        <v>49979</v>
      </c>
      <c r="DW3" s="1099">
        <f t="shared" si="0"/>
        <v>50009</v>
      </c>
      <c r="DX3" s="1099">
        <f t="shared" si="0"/>
        <v>50040</v>
      </c>
      <c r="DY3" s="1099">
        <f t="shared" ref="DY3" si="1">EOMONTH(DX3,1)</f>
        <v>50071</v>
      </c>
      <c r="DZ3" s="1099">
        <f t="shared" ref="DZ3" si="2">EOMONTH(DY3,1)</f>
        <v>50099</v>
      </c>
      <c r="EA3" s="1099">
        <f t="shared" ref="EA3" si="3">EOMONTH(DZ3,1)</f>
        <v>50130</v>
      </c>
      <c r="EB3" s="1099">
        <f t="shared" ref="EB3" si="4">EOMONTH(EA3,1)</f>
        <v>50160</v>
      </c>
      <c r="EC3" s="1099">
        <f t="shared" ref="EC3" si="5">EOMONTH(EB3,1)</f>
        <v>50191</v>
      </c>
      <c r="ED3" s="1099">
        <f t="shared" ref="ED3" si="6">EOMONTH(EC3,1)</f>
        <v>50221</v>
      </c>
      <c r="EE3" s="1099">
        <f t="shared" ref="EE3" si="7">EOMONTH(ED3,1)</f>
        <v>50252</v>
      </c>
      <c r="EF3" s="1099">
        <f t="shared" ref="EF3" si="8">EOMONTH(EE3,1)</f>
        <v>50283</v>
      </c>
      <c r="EG3" s="1099">
        <f t="shared" ref="EG3" si="9">EOMONTH(EF3,1)</f>
        <v>50313</v>
      </c>
      <c r="EH3" s="1099">
        <f t="shared" ref="EH3" si="10">EOMONTH(EG3,1)</f>
        <v>50344</v>
      </c>
      <c r="EI3" s="1099">
        <f t="shared" ref="EI3" si="11">EOMONTH(EH3,1)</f>
        <v>50374</v>
      </c>
      <c r="EJ3" s="1100">
        <f t="shared" ref="EJ3" si="12">EOMONTH(EI3,1)</f>
        <v>50405</v>
      </c>
    </row>
    <row r="4" spans="1:140" x14ac:dyDescent="0.25">
      <c r="A4" s="6"/>
      <c r="B4" s="1004"/>
      <c r="C4" s="1006">
        <f>Summary!F18</f>
        <v>47149</v>
      </c>
      <c r="D4" s="1006">
        <f>Summary!F20</f>
        <v>48213</v>
      </c>
      <c r="E4" s="1007">
        <f>DATEDIF(H3,D4, "m")</f>
        <v>60</v>
      </c>
      <c r="F4" s="1008">
        <f>ROUNDUP(E4/12,0.1)</f>
        <v>5</v>
      </c>
      <c r="G4" s="1068" t="s">
        <v>282</v>
      </c>
      <c r="H4" s="1101">
        <v>0</v>
      </c>
      <c r="I4" s="1102">
        <f t="shared" ref="I4:AV4" si="13">ROUNDUP(I5/12,0)</f>
        <v>1</v>
      </c>
      <c r="J4" s="1102">
        <f t="shared" si="13"/>
        <v>1</v>
      </c>
      <c r="K4" s="1102">
        <f t="shared" si="13"/>
        <v>1</v>
      </c>
      <c r="L4" s="1102">
        <f t="shared" si="13"/>
        <v>1</v>
      </c>
      <c r="M4" s="1102">
        <f t="shared" si="13"/>
        <v>1</v>
      </c>
      <c r="N4" s="1102">
        <f t="shared" si="13"/>
        <v>1</v>
      </c>
      <c r="O4" s="1102">
        <f t="shared" si="13"/>
        <v>1</v>
      </c>
      <c r="P4" s="1102">
        <f t="shared" si="13"/>
        <v>1</v>
      </c>
      <c r="Q4" s="1102">
        <f t="shared" si="13"/>
        <v>1</v>
      </c>
      <c r="R4" s="1102">
        <f t="shared" si="13"/>
        <v>1</v>
      </c>
      <c r="S4" s="1102">
        <f t="shared" si="13"/>
        <v>1</v>
      </c>
      <c r="T4" s="1102">
        <f t="shared" si="13"/>
        <v>1</v>
      </c>
      <c r="U4" s="1102">
        <f t="shared" si="13"/>
        <v>2</v>
      </c>
      <c r="V4" s="1102">
        <f t="shared" si="13"/>
        <v>2</v>
      </c>
      <c r="W4" s="1102">
        <f t="shared" si="13"/>
        <v>2</v>
      </c>
      <c r="X4" s="1102">
        <f t="shared" si="13"/>
        <v>2</v>
      </c>
      <c r="Y4" s="1102">
        <f t="shared" si="13"/>
        <v>2</v>
      </c>
      <c r="Z4" s="1102">
        <f t="shared" si="13"/>
        <v>2</v>
      </c>
      <c r="AA4" s="1102">
        <f t="shared" si="13"/>
        <v>2</v>
      </c>
      <c r="AB4" s="1102">
        <f t="shared" si="13"/>
        <v>2</v>
      </c>
      <c r="AC4" s="1102">
        <f t="shared" si="13"/>
        <v>2</v>
      </c>
      <c r="AD4" s="1102">
        <f t="shared" si="13"/>
        <v>2</v>
      </c>
      <c r="AE4" s="1102">
        <f t="shared" si="13"/>
        <v>2</v>
      </c>
      <c r="AF4" s="1102">
        <f t="shared" si="13"/>
        <v>2</v>
      </c>
      <c r="AG4" s="1102">
        <f t="shared" si="13"/>
        <v>3</v>
      </c>
      <c r="AH4" s="1102">
        <f t="shared" si="13"/>
        <v>3</v>
      </c>
      <c r="AI4" s="1102">
        <f t="shared" si="13"/>
        <v>3</v>
      </c>
      <c r="AJ4" s="1102">
        <f t="shared" si="13"/>
        <v>3</v>
      </c>
      <c r="AK4" s="1102">
        <f t="shared" si="13"/>
        <v>3</v>
      </c>
      <c r="AL4" s="1102">
        <f t="shared" si="13"/>
        <v>3</v>
      </c>
      <c r="AM4" s="1102">
        <f t="shared" si="13"/>
        <v>3</v>
      </c>
      <c r="AN4" s="1102">
        <f t="shared" si="13"/>
        <v>3</v>
      </c>
      <c r="AO4" s="1102">
        <f t="shared" si="13"/>
        <v>3</v>
      </c>
      <c r="AP4" s="1102">
        <f t="shared" si="13"/>
        <v>3</v>
      </c>
      <c r="AQ4" s="1102">
        <f t="shared" si="13"/>
        <v>3</v>
      </c>
      <c r="AR4" s="1102">
        <f t="shared" si="13"/>
        <v>3</v>
      </c>
      <c r="AS4" s="1102">
        <f t="shared" si="13"/>
        <v>4</v>
      </c>
      <c r="AT4" s="1102">
        <f t="shared" si="13"/>
        <v>4</v>
      </c>
      <c r="AU4" s="1102">
        <f t="shared" si="13"/>
        <v>4</v>
      </c>
      <c r="AV4" s="1102">
        <f t="shared" si="13"/>
        <v>4</v>
      </c>
      <c r="AW4" s="1102">
        <v>4</v>
      </c>
      <c r="AX4" s="1102">
        <f t="shared" ref="AX4:DY4" si="14">ROUNDUP(AX5/12,0)</f>
        <v>4</v>
      </c>
      <c r="AY4" s="1102">
        <f t="shared" si="14"/>
        <v>4</v>
      </c>
      <c r="AZ4" s="1102">
        <f t="shared" si="14"/>
        <v>4</v>
      </c>
      <c r="BA4" s="1102">
        <f t="shared" si="14"/>
        <v>4</v>
      </c>
      <c r="BB4" s="1102">
        <f t="shared" si="14"/>
        <v>4</v>
      </c>
      <c r="BC4" s="1102">
        <f t="shared" si="14"/>
        <v>4</v>
      </c>
      <c r="BD4" s="1102">
        <f t="shared" si="14"/>
        <v>4</v>
      </c>
      <c r="BE4" s="1102">
        <f t="shared" si="14"/>
        <v>5</v>
      </c>
      <c r="BF4" s="1102">
        <f t="shared" si="14"/>
        <v>5</v>
      </c>
      <c r="BG4" s="1102">
        <f t="shared" si="14"/>
        <v>5</v>
      </c>
      <c r="BH4" s="1102">
        <f t="shared" si="14"/>
        <v>5</v>
      </c>
      <c r="BI4" s="1102">
        <f t="shared" si="14"/>
        <v>5</v>
      </c>
      <c r="BJ4" s="1102">
        <f t="shared" si="14"/>
        <v>5</v>
      </c>
      <c r="BK4" s="1102">
        <f t="shared" si="14"/>
        <v>5</v>
      </c>
      <c r="BL4" s="1102">
        <f t="shared" si="14"/>
        <v>5</v>
      </c>
      <c r="BM4" s="1102">
        <f t="shared" si="14"/>
        <v>5</v>
      </c>
      <c r="BN4" s="1102">
        <f t="shared" si="14"/>
        <v>5</v>
      </c>
      <c r="BO4" s="1102">
        <f t="shared" si="14"/>
        <v>5</v>
      </c>
      <c r="BP4" s="1102">
        <f t="shared" si="14"/>
        <v>5</v>
      </c>
      <c r="BQ4" s="1102">
        <f>ROUNDUP(BQ5/12,0)</f>
        <v>6</v>
      </c>
      <c r="BR4" s="1102">
        <f t="shared" si="14"/>
        <v>6</v>
      </c>
      <c r="BS4" s="1102">
        <f t="shared" si="14"/>
        <v>6</v>
      </c>
      <c r="BT4" s="1102">
        <f t="shared" si="14"/>
        <v>6</v>
      </c>
      <c r="BU4" s="1102">
        <f t="shared" si="14"/>
        <v>6</v>
      </c>
      <c r="BV4" s="1102">
        <f t="shared" si="14"/>
        <v>6</v>
      </c>
      <c r="BW4" s="1102">
        <f t="shared" si="14"/>
        <v>6</v>
      </c>
      <c r="BX4" s="1102">
        <f t="shared" si="14"/>
        <v>6</v>
      </c>
      <c r="BY4" s="1102">
        <f t="shared" si="14"/>
        <v>6</v>
      </c>
      <c r="BZ4" s="1102">
        <f t="shared" si="14"/>
        <v>6</v>
      </c>
      <c r="CA4" s="1102">
        <f t="shared" si="14"/>
        <v>6</v>
      </c>
      <c r="CB4" s="1102">
        <f t="shared" si="14"/>
        <v>6</v>
      </c>
      <c r="CC4" s="1102">
        <f t="shared" si="14"/>
        <v>7</v>
      </c>
      <c r="CD4" s="1102">
        <f t="shared" si="14"/>
        <v>7</v>
      </c>
      <c r="CE4" s="1102">
        <f t="shared" si="14"/>
        <v>7</v>
      </c>
      <c r="CF4" s="1102">
        <f t="shared" si="14"/>
        <v>7</v>
      </c>
      <c r="CG4" s="1102">
        <f t="shared" si="14"/>
        <v>7</v>
      </c>
      <c r="CH4" s="1102">
        <f t="shared" si="14"/>
        <v>7</v>
      </c>
      <c r="CI4" s="1102">
        <f t="shared" si="14"/>
        <v>7</v>
      </c>
      <c r="CJ4" s="1102">
        <f t="shared" si="14"/>
        <v>7</v>
      </c>
      <c r="CK4" s="1102">
        <f t="shared" si="14"/>
        <v>7</v>
      </c>
      <c r="CL4" s="1102">
        <f t="shared" si="14"/>
        <v>7</v>
      </c>
      <c r="CM4" s="1102">
        <f t="shared" si="14"/>
        <v>7</v>
      </c>
      <c r="CN4" s="1102">
        <f t="shared" si="14"/>
        <v>7</v>
      </c>
      <c r="CO4" s="1102">
        <f t="shared" si="14"/>
        <v>8</v>
      </c>
      <c r="CP4" s="1102">
        <f t="shared" si="14"/>
        <v>8</v>
      </c>
      <c r="CQ4" s="1102">
        <f t="shared" si="14"/>
        <v>8</v>
      </c>
      <c r="CR4" s="1102">
        <f t="shared" si="14"/>
        <v>8</v>
      </c>
      <c r="CS4" s="1102">
        <f t="shared" si="14"/>
        <v>8</v>
      </c>
      <c r="CT4" s="1102">
        <f t="shared" si="14"/>
        <v>8</v>
      </c>
      <c r="CU4" s="1102">
        <f t="shared" si="14"/>
        <v>8</v>
      </c>
      <c r="CV4" s="1102">
        <f t="shared" si="14"/>
        <v>8</v>
      </c>
      <c r="CW4" s="1102">
        <f t="shared" si="14"/>
        <v>8</v>
      </c>
      <c r="CX4" s="1102">
        <f t="shared" si="14"/>
        <v>8</v>
      </c>
      <c r="CY4" s="1102">
        <f t="shared" si="14"/>
        <v>8</v>
      </c>
      <c r="CZ4" s="1102">
        <f t="shared" si="14"/>
        <v>8</v>
      </c>
      <c r="DA4" s="1102">
        <f t="shared" si="14"/>
        <v>9</v>
      </c>
      <c r="DB4" s="1102">
        <f t="shared" si="14"/>
        <v>9</v>
      </c>
      <c r="DC4" s="1102">
        <f t="shared" si="14"/>
        <v>9</v>
      </c>
      <c r="DD4" s="1102">
        <f t="shared" si="14"/>
        <v>9</v>
      </c>
      <c r="DE4" s="1102">
        <f t="shared" si="14"/>
        <v>9</v>
      </c>
      <c r="DF4" s="1102">
        <f t="shared" si="14"/>
        <v>9</v>
      </c>
      <c r="DG4" s="1102">
        <f t="shared" si="14"/>
        <v>9</v>
      </c>
      <c r="DH4" s="1102">
        <f t="shared" si="14"/>
        <v>9</v>
      </c>
      <c r="DI4" s="1102">
        <f t="shared" si="14"/>
        <v>9</v>
      </c>
      <c r="DJ4" s="1102">
        <f t="shared" si="14"/>
        <v>9</v>
      </c>
      <c r="DK4" s="1102">
        <f t="shared" si="14"/>
        <v>9</v>
      </c>
      <c r="DL4" s="1102">
        <f t="shared" si="14"/>
        <v>9</v>
      </c>
      <c r="DM4" s="1102">
        <f t="shared" si="14"/>
        <v>10</v>
      </c>
      <c r="DN4" s="1102">
        <f t="shared" si="14"/>
        <v>10</v>
      </c>
      <c r="DO4" s="1102">
        <f t="shared" si="14"/>
        <v>10</v>
      </c>
      <c r="DP4" s="1102">
        <f t="shared" si="14"/>
        <v>10</v>
      </c>
      <c r="DQ4" s="1102">
        <f t="shared" si="14"/>
        <v>10</v>
      </c>
      <c r="DR4" s="1102">
        <f t="shared" si="14"/>
        <v>10</v>
      </c>
      <c r="DS4" s="1102">
        <f t="shared" si="14"/>
        <v>10</v>
      </c>
      <c r="DT4" s="1102">
        <f t="shared" si="14"/>
        <v>10</v>
      </c>
      <c r="DU4" s="1102">
        <f t="shared" si="14"/>
        <v>10</v>
      </c>
      <c r="DV4" s="1102">
        <f t="shared" si="14"/>
        <v>10</v>
      </c>
      <c r="DW4" s="1102">
        <f t="shared" si="14"/>
        <v>10</v>
      </c>
      <c r="DX4" s="1102">
        <f t="shared" si="14"/>
        <v>10</v>
      </c>
      <c r="DY4" s="1102">
        <f t="shared" si="14"/>
        <v>11</v>
      </c>
      <c r="DZ4" s="1102">
        <f t="shared" ref="DZ4:EJ4" si="15">ROUNDUP(DZ5/12,0)</f>
        <v>11</v>
      </c>
      <c r="EA4" s="1102">
        <f t="shared" si="15"/>
        <v>11</v>
      </c>
      <c r="EB4" s="1102">
        <f t="shared" si="15"/>
        <v>11</v>
      </c>
      <c r="EC4" s="1102">
        <f t="shared" si="15"/>
        <v>11</v>
      </c>
      <c r="ED4" s="1102">
        <f t="shared" si="15"/>
        <v>11</v>
      </c>
      <c r="EE4" s="1102">
        <f t="shared" si="15"/>
        <v>11</v>
      </c>
      <c r="EF4" s="1102">
        <f t="shared" si="15"/>
        <v>11</v>
      </c>
      <c r="EG4" s="1102">
        <f t="shared" si="15"/>
        <v>11</v>
      </c>
      <c r="EH4" s="1102">
        <f t="shared" si="15"/>
        <v>11</v>
      </c>
      <c r="EI4" s="1102">
        <f t="shared" si="15"/>
        <v>11</v>
      </c>
      <c r="EJ4" s="1103">
        <f t="shared" si="15"/>
        <v>11</v>
      </c>
    </row>
    <row r="5" spans="1:140" x14ac:dyDescent="0.25">
      <c r="A5" s="6"/>
      <c r="B5" s="1004"/>
      <c r="C5" s="1009"/>
      <c r="D5" s="1009"/>
      <c r="E5" s="1009"/>
      <c r="F5" s="1009"/>
      <c r="G5" s="1068" t="s">
        <v>283</v>
      </c>
      <c r="H5" s="1104">
        <v>0</v>
      </c>
      <c r="I5" s="1105">
        <f t="shared" ref="I5:DX5" si="16">H5+1</f>
        <v>1</v>
      </c>
      <c r="J5" s="1105">
        <f t="shared" si="16"/>
        <v>2</v>
      </c>
      <c r="K5" s="1105">
        <f t="shared" si="16"/>
        <v>3</v>
      </c>
      <c r="L5" s="1105">
        <f t="shared" si="16"/>
        <v>4</v>
      </c>
      <c r="M5" s="1105">
        <f t="shared" si="16"/>
        <v>5</v>
      </c>
      <c r="N5" s="1105">
        <f t="shared" si="16"/>
        <v>6</v>
      </c>
      <c r="O5" s="1105">
        <f t="shared" si="16"/>
        <v>7</v>
      </c>
      <c r="P5" s="1105">
        <f t="shared" si="16"/>
        <v>8</v>
      </c>
      <c r="Q5" s="1105">
        <f t="shared" si="16"/>
        <v>9</v>
      </c>
      <c r="R5" s="1105">
        <f t="shared" si="16"/>
        <v>10</v>
      </c>
      <c r="S5" s="1105">
        <f t="shared" si="16"/>
        <v>11</v>
      </c>
      <c r="T5" s="1105">
        <f t="shared" si="16"/>
        <v>12</v>
      </c>
      <c r="U5" s="1105">
        <f t="shared" si="16"/>
        <v>13</v>
      </c>
      <c r="V5" s="1105">
        <f t="shared" si="16"/>
        <v>14</v>
      </c>
      <c r="W5" s="1105">
        <f t="shared" si="16"/>
        <v>15</v>
      </c>
      <c r="X5" s="1105">
        <f t="shared" si="16"/>
        <v>16</v>
      </c>
      <c r="Y5" s="1105">
        <f t="shared" si="16"/>
        <v>17</v>
      </c>
      <c r="Z5" s="1105">
        <f t="shared" si="16"/>
        <v>18</v>
      </c>
      <c r="AA5" s="1105">
        <f t="shared" si="16"/>
        <v>19</v>
      </c>
      <c r="AB5" s="1105">
        <f t="shared" si="16"/>
        <v>20</v>
      </c>
      <c r="AC5" s="1105">
        <f t="shared" si="16"/>
        <v>21</v>
      </c>
      <c r="AD5" s="1105">
        <f t="shared" si="16"/>
        <v>22</v>
      </c>
      <c r="AE5" s="1105">
        <f t="shared" si="16"/>
        <v>23</v>
      </c>
      <c r="AF5" s="1105">
        <f t="shared" si="16"/>
        <v>24</v>
      </c>
      <c r="AG5" s="1105">
        <f t="shared" si="16"/>
        <v>25</v>
      </c>
      <c r="AH5" s="1105">
        <f t="shared" si="16"/>
        <v>26</v>
      </c>
      <c r="AI5" s="1105">
        <f t="shared" si="16"/>
        <v>27</v>
      </c>
      <c r="AJ5" s="1105">
        <f t="shared" si="16"/>
        <v>28</v>
      </c>
      <c r="AK5" s="1105">
        <f t="shared" si="16"/>
        <v>29</v>
      </c>
      <c r="AL5" s="1105">
        <f t="shared" si="16"/>
        <v>30</v>
      </c>
      <c r="AM5" s="1105">
        <f t="shared" si="16"/>
        <v>31</v>
      </c>
      <c r="AN5" s="1105">
        <f t="shared" si="16"/>
        <v>32</v>
      </c>
      <c r="AO5" s="1105">
        <f t="shared" si="16"/>
        <v>33</v>
      </c>
      <c r="AP5" s="1105">
        <f t="shared" si="16"/>
        <v>34</v>
      </c>
      <c r="AQ5" s="1105">
        <f t="shared" si="16"/>
        <v>35</v>
      </c>
      <c r="AR5" s="1105">
        <f t="shared" si="16"/>
        <v>36</v>
      </c>
      <c r="AS5" s="1105">
        <f t="shared" si="16"/>
        <v>37</v>
      </c>
      <c r="AT5" s="1105">
        <f t="shared" si="16"/>
        <v>38</v>
      </c>
      <c r="AU5" s="1105">
        <f t="shared" si="16"/>
        <v>39</v>
      </c>
      <c r="AV5" s="1105">
        <f t="shared" si="16"/>
        <v>40</v>
      </c>
      <c r="AW5" s="1105">
        <f t="shared" si="16"/>
        <v>41</v>
      </c>
      <c r="AX5" s="1105">
        <f t="shared" si="16"/>
        <v>42</v>
      </c>
      <c r="AY5" s="1105">
        <f t="shared" si="16"/>
        <v>43</v>
      </c>
      <c r="AZ5" s="1105">
        <f t="shared" si="16"/>
        <v>44</v>
      </c>
      <c r="BA5" s="1105">
        <f t="shared" si="16"/>
        <v>45</v>
      </c>
      <c r="BB5" s="1105">
        <f t="shared" si="16"/>
        <v>46</v>
      </c>
      <c r="BC5" s="1105">
        <f t="shared" si="16"/>
        <v>47</v>
      </c>
      <c r="BD5" s="1105">
        <f t="shared" si="16"/>
        <v>48</v>
      </c>
      <c r="BE5" s="1105">
        <f t="shared" si="16"/>
        <v>49</v>
      </c>
      <c r="BF5" s="1105">
        <f t="shared" si="16"/>
        <v>50</v>
      </c>
      <c r="BG5" s="1105">
        <f t="shared" si="16"/>
        <v>51</v>
      </c>
      <c r="BH5" s="1105">
        <f t="shared" si="16"/>
        <v>52</v>
      </c>
      <c r="BI5" s="1105">
        <f t="shared" si="16"/>
        <v>53</v>
      </c>
      <c r="BJ5" s="1105">
        <f t="shared" si="16"/>
        <v>54</v>
      </c>
      <c r="BK5" s="1105">
        <f t="shared" si="16"/>
        <v>55</v>
      </c>
      <c r="BL5" s="1105">
        <f t="shared" si="16"/>
        <v>56</v>
      </c>
      <c r="BM5" s="1105">
        <f t="shared" si="16"/>
        <v>57</v>
      </c>
      <c r="BN5" s="1105">
        <f t="shared" si="16"/>
        <v>58</v>
      </c>
      <c r="BO5" s="1105">
        <f t="shared" si="16"/>
        <v>59</v>
      </c>
      <c r="BP5" s="1105">
        <f t="shared" si="16"/>
        <v>60</v>
      </c>
      <c r="BQ5" s="1105">
        <f t="shared" si="16"/>
        <v>61</v>
      </c>
      <c r="BR5" s="1105">
        <f t="shared" si="16"/>
        <v>62</v>
      </c>
      <c r="BS5" s="1105">
        <f t="shared" si="16"/>
        <v>63</v>
      </c>
      <c r="BT5" s="1105">
        <f t="shared" si="16"/>
        <v>64</v>
      </c>
      <c r="BU5" s="1105">
        <f t="shared" si="16"/>
        <v>65</v>
      </c>
      <c r="BV5" s="1105">
        <f t="shared" si="16"/>
        <v>66</v>
      </c>
      <c r="BW5" s="1105">
        <f t="shared" si="16"/>
        <v>67</v>
      </c>
      <c r="BX5" s="1105">
        <f t="shared" si="16"/>
        <v>68</v>
      </c>
      <c r="BY5" s="1105">
        <f t="shared" si="16"/>
        <v>69</v>
      </c>
      <c r="BZ5" s="1105">
        <f t="shared" si="16"/>
        <v>70</v>
      </c>
      <c r="CA5" s="1105">
        <f t="shared" si="16"/>
        <v>71</v>
      </c>
      <c r="CB5" s="1105">
        <f t="shared" si="16"/>
        <v>72</v>
      </c>
      <c r="CC5" s="1105">
        <f t="shared" si="16"/>
        <v>73</v>
      </c>
      <c r="CD5" s="1105">
        <f t="shared" si="16"/>
        <v>74</v>
      </c>
      <c r="CE5" s="1105">
        <f t="shared" si="16"/>
        <v>75</v>
      </c>
      <c r="CF5" s="1105">
        <f t="shared" si="16"/>
        <v>76</v>
      </c>
      <c r="CG5" s="1105">
        <f t="shared" si="16"/>
        <v>77</v>
      </c>
      <c r="CH5" s="1105">
        <f t="shared" si="16"/>
        <v>78</v>
      </c>
      <c r="CI5" s="1105">
        <f t="shared" si="16"/>
        <v>79</v>
      </c>
      <c r="CJ5" s="1105">
        <f t="shared" si="16"/>
        <v>80</v>
      </c>
      <c r="CK5" s="1105">
        <f t="shared" si="16"/>
        <v>81</v>
      </c>
      <c r="CL5" s="1105">
        <f t="shared" si="16"/>
        <v>82</v>
      </c>
      <c r="CM5" s="1105">
        <f t="shared" si="16"/>
        <v>83</v>
      </c>
      <c r="CN5" s="1105">
        <f t="shared" si="16"/>
        <v>84</v>
      </c>
      <c r="CO5" s="1105">
        <f t="shared" si="16"/>
        <v>85</v>
      </c>
      <c r="CP5" s="1105">
        <f t="shared" si="16"/>
        <v>86</v>
      </c>
      <c r="CQ5" s="1105">
        <f t="shared" si="16"/>
        <v>87</v>
      </c>
      <c r="CR5" s="1105">
        <f t="shared" si="16"/>
        <v>88</v>
      </c>
      <c r="CS5" s="1105">
        <f t="shared" si="16"/>
        <v>89</v>
      </c>
      <c r="CT5" s="1105">
        <f t="shared" si="16"/>
        <v>90</v>
      </c>
      <c r="CU5" s="1105">
        <f t="shared" si="16"/>
        <v>91</v>
      </c>
      <c r="CV5" s="1105">
        <f t="shared" si="16"/>
        <v>92</v>
      </c>
      <c r="CW5" s="1105">
        <f t="shared" si="16"/>
        <v>93</v>
      </c>
      <c r="CX5" s="1105">
        <f t="shared" si="16"/>
        <v>94</v>
      </c>
      <c r="CY5" s="1105">
        <f t="shared" si="16"/>
        <v>95</v>
      </c>
      <c r="CZ5" s="1105">
        <f t="shared" si="16"/>
        <v>96</v>
      </c>
      <c r="DA5" s="1105">
        <f t="shared" si="16"/>
        <v>97</v>
      </c>
      <c r="DB5" s="1105">
        <f t="shared" si="16"/>
        <v>98</v>
      </c>
      <c r="DC5" s="1105">
        <f t="shared" si="16"/>
        <v>99</v>
      </c>
      <c r="DD5" s="1105">
        <f t="shared" si="16"/>
        <v>100</v>
      </c>
      <c r="DE5" s="1105">
        <f t="shared" si="16"/>
        <v>101</v>
      </c>
      <c r="DF5" s="1105">
        <f t="shared" si="16"/>
        <v>102</v>
      </c>
      <c r="DG5" s="1105">
        <f t="shared" si="16"/>
        <v>103</v>
      </c>
      <c r="DH5" s="1105">
        <f t="shared" si="16"/>
        <v>104</v>
      </c>
      <c r="DI5" s="1105">
        <f t="shared" si="16"/>
        <v>105</v>
      </c>
      <c r="DJ5" s="1105">
        <f t="shared" si="16"/>
        <v>106</v>
      </c>
      <c r="DK5" s="1105">
        <f t="shared" si="16"/>
        <v>107</v>
      </c>
      <c r="DL5" s="1105">
        <f t="shared" si="16"/>
        <v>108</v>
      </c>
      <c r="DM5" s="1105">
        <f t="shared" si="16"/>
        <v>109</v>
      </c>
      <c r="DN5" s="1105">
        <f t="shared" si="16"/>
        <v>110</v>
      </c>
      <c r="DO5" s="1105">
        <f t="shared" si="16"/>
        <v>111</v>
      </c>
      <c r="DP5" s="1105">
        <f t="shared" si="16"/>
        <v>112</v>
      </c>
      <c r="DQ5" s="1105">
        <f t="shared" si="16"/>
        <v>113</v>
      </c>
      <c r="DR5" s="1105">
        <f t="shared" si="16"/>
        <v>114</v>
      </c>
      <c r="DS5" s="1105">
        <f t="shared" si="16"/>
        <v>115</v>
      </c>
      <c r="DT5" s="1105">
        <f t="shared" si="16"/>
        <v>116</v>
      </c>
      <c r="DU5" s="1105">
        <f t="shared" si="16"/>
        <v>117</v>
      </c>
      <c r="DV5" s="1105">
        <f t="shared" si="16"/>
        <v>118</v>
      </c>
      <c r="DW5" s="1105">
        <f t="shared" si="16"/>
        <v>119</v>
      </c>
      <c r="DX5" s="1105">
        <f t="shared" si="16"/>
        <v>120</v>
      </c>
      <c r="DY5" s="1105">
        <f t="shared" ref="DY5" si="17">DX5+1</f>
        <v>121</v>
      </c>
      <c r="DZ5" s="1105">
        <f t="shared" ref="DZ5" si="18">DY5+1</f>
        <v>122</v>
      </c>
      <c r="EA5" s="1105">
        <f t="shared" ref="EA5" si="19">DZ5+1</f>
        <v>123</v>
      </c>
      <c r="EB5" s="1105">
        <f t="shared" ref="EB5" si="20">EA5+1</f>
        <v>124</v>
      </c>
      <c r="EC5" s="1105">
        <f t="shared" ref="EC5" si="21">EB5+1</f>
        <v>125</v>
      </c>
      <c r="ED5" s="1105">
        <f t="shared" ref="ED5" si="22">EC5+1</f>
        <v>126</v>
      </c>
      <c r="EE5" s="1105">
        <f t="shared" ref="EE5" si="23">ED5+1</f>
        <v>127</v>
      </c>
      <c r="EF5" s="1105">
        <f t="shared" ref="EF5" si="24">EE5+1</f>
        <v>128</v>
      </c>
      <c r="EG5" s="1105">
        <f t="shared" ref="EG5" si="25">EF5+1</f>
        <v>129</v>
      </c>
      <c r="EH5" s="1105">
        <f t="shared" ref="EH5" si="26">EG5+1</f>
        <v>130</v>
      </c>
      <c r="EI5" s="1105">
        <f t="shared" ref="EI5" si="27">EH5+1</f>
        <v>131</v>
      </c>
      <c r="EJ5" s="1106">
        <f t="shared" ref="EJ5" si="28">EI5+1</f>
        <v>132</v>
      </c>
    </row>
    <row r="6" spans="1:140" x14ac:dyDescent="0.25">
      <c r="A6" s="6"/>
      <c r="B6" s="1010"/>
      <c r="C6" s="1011"/>
      <c r="D6" s="1011"/>
      <c r="E6" s="1011"/>
      <c r="F6" s="1011"/>
      <c r="G6" s="1069" t="s">
        <v>284</v>
      </c>
      <c r="H6" s="1107" t="str">
        <f t="shared" ref="H6:DY6" si="29">IFERROR(H7/$C$39,"")</f>
        <v/>
      </c>
      <c r="I6" s="1108" t="str">
        <f t="shared" si="29"/>
        <v/>
      </c>
      <c r="J6" s="1108" t="str">
        <f t="shared" si="29"/>
        <v/>
      </c>
      <c r="K6" s="1108" t="str">
        <f t="shared" si="29"/>
        <v/>
      </c>
      <c r="L6" s="1108" t="str">
        <f t="shared" si="29"/>
        <v/>
      </c>
      <c r="M6" s="1108" t="str">
        <f t="shared" si="29"/>
        <v/>
      </c>
      <c r="N6" s="1108" t="str">
        <f t="shared" si="29"/>
        <v/>
      </c>
      <c r="O6" s="1108" t="str">
        <f t="shared" si="29"/>
        <v/>
      </c>
      <c r="P6" s="1108" t="str">
        <f t="shared" si="29"/>
        <v/>
      </c>
      <c r="Q6" s="1108" t="str">
        <f t="shared" si="29"/>
        <v/>
      </c>
      <c r="R6" s="1108" t="str">
        <f t="shared" si="29"/>
        <v/>
      </c>
      <c r="S6" s="1108" t="str">
        <f t="shared" si="29"/>
        <v/>
      </c>
      <c r="T6" s="1108" t="str">
        <f t="shared" si="29"/>
        <v/>
      </c>
      <c r="U6" s="1108" t="str">
        <f t="shared" si="29"/>
        <v/>
      </c>
      <c r="V6" s="1108" t="str">
        <f t="shared" si="29"/>
        <v/>
      </c>
      <c r="W6" s="1108" t="str">
        <f t="shared" si="29"/>
        <v/>
      </c>
      <c r="X6" s="1108" t="str">
        <f t="shared" si="29"/>
        <v/>
      </c>
      <c r="Y6" s="1108" t="str">
        <f t="shared" si="29"/>
        <v/>
      </c>
      <c r="Z6" s="1108" t="str">
        <f t="shared" si="29"/>
        <v/>
      </c>
      <c r="AA6" s="1108" t="str">
        <f t="shared" si="29"/>
        <v/>
      </c>
      <c r="AB6" s="1108" t="str">
        <f t="shared" si="29"/>
        <v/>
      </c>
      <c r="AC6" s="1108" t="str">
        <f t="shared" si="29"/>
        <v/>
      </c>
      <c r="AD6" s="1108" t="str">
        <f t="shared" si="29"/>
        <v/>
      </c>
      <c r="AE6" s="1108" t="str">
        <f t="shared" si="29"/>
        <v/>
      </c>
      <c r="AF6" s="1108" t="str">
        <f t="shared" si="29"/>
        <v/>
      </c>
      <c r="AG6" s="1108">
        <f t="shared" si="29"/>
        <v>9.7560975609756101E-2</v>
      </c>
      <c r="AH6" s="1108">
        <f t="shared" si="29"/>
        <v>0.1951219512195122</v>
      </c>
      <c r="AI6" s="1108">
        <f t="shared" si="29"/>
        <v>0.29268292682926828</v>
      </c>
      <c r="AJ6" s="1108">
        <f t="shared" si="29"/>
        <v>0.3902439024390244</v>
      </c>
      <c r="AK6" s="1108">
        <f t="shared" si="29"/>
        <v>0.48780487804878048</v>
      </c>
      <c r="AL6" s="1108">
        <f t="shared" si="29"/>
        <v>0.58536585365853655</v>
      </c>
      <c r="AM6" s="1108">
        <f t="shared" si="29"/>
        <v>0.68292682926829273</v>
      </c>
      <c r="AN6" s="1108">
        <f t="shared" si="29"/>
        <v>0.78048780487804881</v>
      </c>
      <c r="AO6" s="1108">
        <f t="shared" si="29"/>
        <v>0.87804878048780488</v>
      </c>
      <c r="AP6" s="1108">
        <f t="shared" si="29"/>
        <v>0.97560975609756095</v>
      </c>
      <c r="AQ6" s="1108">
        <f t="shared" si="29"/>
        <v>1</v>
      </c>
      <c r="AR6" s="1108">
        <f t="shared" si="29"/>
        <v>1</v>
      </c>
      <c r="AS6" s="1108">
        <f t="shared" si="29"/>
        <v>1</v>
      </c>
      <c r="AT6" s="1108">
        <f t="shared" si="29"/>
        <v>1</v>
      </c>
      <c r="AU6" s="1108">
        <f t="shared" si="29"/>
        <v>1</v>
      </c>
      <c r="AV6" s="1108">
        <f t="shared" si="29"/>
        <v>1</v>
      </c>
      <c r="AW6" s="1108">
        <f t="shared" si="29"/>
        <v>1</v>
      </c>
      <c r="AX6" s="1108">
        <f t="shared" si="29"/>
        <v>1</v>
      </c>
      <c r="AY6" s="1108">
        <f t="shared" si="29"/>
        <v>1</v>
      </c>
      <c r="AZ6" s="1108">
        <f t="shared" si="29"/>
        <v>1</v>
      </c>
      <c r="BA6" s="1108">
        <f t="shared" si="29"/>
        <v>1</v>
      </c>
      <c r="BB6" s="1108">
        <f t="shared" si="29"/>
        <v>1</v>
      </c>
      <c r="BC6" s="1108">
        <f t="shared" si="29"/>
        <v>1</v>
      </c>
      <c r="BD6" s="1108">
        <f t="shared" si="29"/>
        <v>1</v>
      </c>
      <c r="BE6" s="1108">
        <f t="shared" si="29"/>
        <v>1</v>
      </c>
      <c r="BF6" s="1108">
        <f t="shared" si="29"/>
        <v>1</v>
      </c>
      <c r="BG6" s="1108">
        <f t="shared" si="29"/>
        <v>1</v>
      </c>
      <c r="BH6" s="1108">
        <f t="shared" si="29"/>
        <v>1</v>
      </c>
      <c r="BI6" s="1108">
        <f t="shared" si="29"/>
        <v>1</v>
      </c>
      <c r="BJ6" s="1108">
        <f t="shared" si="29"/>
        <v>1</v>
      </c>
      <c r="BK6" s="1108">
        <f t="shared" si="29"/>
        <v>1</v>
      </c>
      <c r="BL6" s="1108">
        <f t="shared" si="29"/>
        <v>1</v>
      </c>
      <c r="BM6" s="1108">
        <f t="shared" si="29"/>
        <v>1</v>
      </c>
      <c r="BN6" s="1108">
        <f t="shared" si="29"/>
        <v>1</v>
      </c>
      <c r="BO6" s="1108">
        <f t="shared" si="29"/>
        <v>1</v>
      </c>
      <c r="BP6" s="1108">
        <f t="shared" si="29"/>
        <v>1</v>
      </c>
      <c r="BQ6" s="1108">
        <f t="shared" si="29"/>
        <v>1</v>
      </c>
      <c r="BR6" s="1108">
        <f t="shared" si="29"/>
        <v>1</v>
      </c>
      <c r="BS6" s="1108">
        <f t="shared" si="29"/>
        <v>1</v>
      </c>
      <c r="BT6" s="1108">
        <f t="shared" si="29"/>
        <v>1</v>
      </c>
      <c r="BU6" s="1108">
        <f t="shared" si="29"/>
        <v>1</v>
      </c>
      <c r="BV6" s="1108">
        <f t="shared" si="29"/>
        <v>1</v>
      </c>
      <c r="BW6" s="1108">
        <f t="shared" si="29"/>
        <v>1</v>
      </c>
      <c r="BX6" s="1108">
        <f t="shared" si="29"/>
        <v>1</v>
      </c>
      <c r="BY6" s="1108">
        <f t="shared" si="29"/>
        <v>1</v>
      </c>
      <c r="BZ6" s="1108">
        <f t="shared" si="29"/>
        <v>1</v>
      </c>
      <c r="CA6" s="1108">
        <f t="shared" si="29"/>
        <v>1</v>
      </c>
      <c r="CB6" s="1108">
        <f t="shared" si="29"/>
        <v>1</v>
      </c>
      <c r="CC6" s="1108">
        <f t="shared" si="29"/>
        <v>1</v>
      </c>
      <c r="CD6" s="1108">
        <f t="shared" si="29"/>
        <v>1</v>
      </c>
      <c r="CE6" s="1108">
        <f t="shared" si="29"/>
        <v>1</v>
      </c>
      <c r="CF6" s="1108">
        <f t="shared" si="29"/>
        <v>1</v>
      </c>
      <c r="CG6" s="1108">
        <f t="shared" si="29"/>
        <v>1</v>
      </c>
      <c r="CH6" s="1108">
        <f t="shared" si="29"/>
        <v>1</v>
      </c>
      <c r="CI6" s="1108">
        <f t="shared" si="29"/>
        <v>1</v>
      </c>
      <c r="CJ6" s="1108">
        <f t="shared" si="29"/>
        <v>1</v>
      </c>
      <c r="CK6" s="1108">
        <f t="shared" si="29"/>
        <v>1</v>
      </c>
      <c r="CL6" s="1108">
        <f t="shared" si="29"/>
        <v>1</v>
      </c>
      <c r="CM6" s="1108">
        <f t="shared" si="29"/>
        <v>1</v>
      </c>
      <c r="CN6" s="1108">
        <f t="shared" si="29"/>
        <v>1</v>
      </c>
      <c r="CO6" s="1108">
        <f t="shared" si="29"/>
        <v>1</v>
      </c>
      <c r="CP6" s="1108">
        <f t="shared" si="29"/>
        <v>1</v>
      </c>
      <c r="CQ6" s="1108">
        <f t="shared" si="29"/>
        <v>1</v>
      </c>
      <c r="CR6" s="1108">
        <f t="shared" si="29"/>
        <v>1</v>
      </c>
      <c r="CS6" s="1108">
        <f t="shared" si="29"/>
        <v>1</v>
      </c>
      <c r="CT6" s="1108">
        <f t="shared" si="29"/>
        <v>1</v>
      </c>
      <c r="CU6" s="1108">
        <f t="shared" si="29"/>
        <v>1</v>
      </c>
      <c r="CV6" s="1108">
        <f t="shared" si="29"/>
        <v>1</v>
      </c>
      <c r="CW6" s="1108">
        <f t="shared" si="29"/>
        <v>1</v>
      </c>
      <c r="CX6" s="1108">
        <f t="shared" si="29"/>
        <v>1</v>
      </c>
      <c r="CY6" s="1108">
        <f t="shared" si="29"/>
        <v>1</v>
      </c>
      <c r="CZ6" s="1108">
        <f t="shared" si="29"/>
        <v>1</v>
      </c>
      <c r="DA6" s="1108">
        <f t="shared" si="29"/>
        <v>1</v>
      </c>
      <c r="DB6" s="1108">
        <f t="shared" si="29"/>
        <v>1</v>
      </c>
      <c r="DC6" s="1108">
        <f t="shared" si="29"/>
        <v>1</v>
      </c>
      <c r="DD6" s="1108">
        <f t="shared" si="29"/>
        <v>1</v>
      </c>
      <c r="DE6" s="1108">
        <f t="shared" si="29"/>
        <v>1</v>
      </c>
      <c r="DF6" s="1108">
        <f t="shared" si="29"/>
        <v>1</v>
      </c>
      <c r="DG6" s="1108">
        <f t="shared" si="29"/>
        <v>1</v>
      </c>
      <c r="DH6" s="1108">
        <f t="shared" si="29"/>
        <v>1</v>
      </c>
      <c r="DI6" s="1108">
        <f t="shared" si="29"/>
        <v>1</v>
      </c>
      <c r="DJ6" s="1108">
        <f t="shared" si="29"/>
        <v>1</v>
      </c>
      <c r="DK6" s="1108">
        <f t="shared" si="29"/>
        <v>1</v>
      </c>
      <c r="DL6" s="1108">
        <f t="shared" si="29"/>
        <v>1</v>
      </c>
      <c r="DM6" s="1108">
        <f t="shared" si="29"/>
        <v>1</v>
      </c>
      <c r="DN6" s="1108">
        <f t="shared" si="29"/>
        <v>1</v>
      </c>
      <c r="DO6" s="1108">
        <f t="shared" si="29"/>
        <v>1</v>
      </c>
      <c r="DP6" s="1108">
        <f t="shared" si="29"/>
        <v>1</v>
      </c>
      <c r="DQ6" s="1108">
        <f t="shared" si="29"/>
        <v>1</v>
      </c>
      <c r="DR6" s="1108">
        <f t="shared" si="29"/>
        <v>1</v>
      </c>
      <c r="DS6" s="1108">
        <f t="shared" si="29"/>
        <v>1</v>
      </c>
      <c r="DT6" s="1108">
        <f t="shared" si="29"/>
        <v>1</v>
      </c>
      <c r="DU6" s="1108">
        <f t="shared" si="29"/>
        <v>1</v>
      </c>
      <c r="DV6" s="1108">
        <f t="shared" si="29"/>
        <v>1</v>
      </c>
      <c r="DW6" s="1108">
        <f t="shared" si="29"/>
        <v>1</v>
      </c>
      <c r="DX6" s="1108">
        <f t="shared" si="29"/>
        <v>1</v>
      </c>
      <c r="DY6" s="1108">
        <f t="shared" si="29"/>
        <v>1</v>
      </c>
      <c r="DZ6" s="1108">
        <f t="shared" ref="DZ6:EJ6" si="30">IFERROR(DZ7/$C$39,"")</f>
        <v>1</v>
      </c>
      <c r="EA6" s="1108">
        <f t="shared" si="30"/>
        <v>1</v>
      </c>
      <c r="EB6" s="1108">
        <f t="shared" si="30"/>
        <v>1</v>
      </c>
      <c r="EC6" s="1108">
        <f t="shared" si="30"/>
        <v>1</v>
      </c>
      <c r="ED6" s="1108">
        <f t="shared" si="30"/>
        <v>1</v>
      </c>
      <c r="EE6" s="1108">
        <f t="shared" si="30"/>
        <v>1</v>
      </c>
      <c r="EF6" s="1108">
        <f t="shared" si="30"/>
        <v>1</v>
      </c>
      <c r="EG6" s="1108">
        <f t="shared" si="30"/>
        <v>1</v>
      </c>
      <c r="EH6" s="1108">
        <f t="shared" si="30"/>
        <v>1</v>
      </c>
      <c r="EI6" s="1108">
        <f t="shared" si="30"/>
        <v>1</v>
      </c>
      <c r="EJ6" s="1109">
        <f t="shared" si="30"/>
        <v>1</v>
      </c>
    </row>
    <row r="7" spans="1:140" x14ac:dyDescent="0.25">
      <c r="A7" s="6"/>
      <c r="B7" s="1012" t="s">
        <v>234</v>
      </c>
      <c r="C7" s="999"/>
      <c r="D7" s="999"/>
      <c r="E7" s="999"/>
      <c r="F7" s="999"/>
      <c r="G7" s="1069" t="s">
        <v>285</v>
      </c>
      <c r="H7" s="1110" t="str">
        <f t="array" ref="H7">IF(H3&gt;=$C$4,INDEX(Absorption!$C$11:$Q$17,4,MATCH('Monthly DCF'!H3,Absorption!$C$11:$Q$11,1)),"")</f>
        <v/>
      </c>
      <c r="I7" s="579" t="str">
        <f t="array" ref="I7">IF(I3&gt;=$C$4,INDEX(Absorption!$C$11:$Q$17,4,MATCH('Monthly DCF'!I3,Absorption!$C$11:$Q$11,1)),"")</f>
        <v/>
      </c>
      <c r="J7" s="579" t="str">
        <f t="array" ref="J7">IF(J3&gt;=$C$4,INDEX(Absorption!$C$11:$Q$17,4,MATCH('Monthly DCF'!J3,Absorption!$C$11:$Q$11,1)),"")</f>
        <v/>
      </c>
      <c r="K7" s="579" t="str">
        <f t="array" ref="K7">IF(K3&gt;=$C$4,INDEX(Absorption!$C$11:$Q$17,4,MATCH('Monthly DCF'!K3,Absorption!$C$11:$Q$11,1)),"")</f>
        <v/>
      </c>
      <c r="L7" s="579" t="str">
        <f t="array" ref="L7">IF(L3&gt;=$C$4,INDEX(Absorption!$C$11:$Q$17,4,MATCH('Monthly DCF'!L3,Absorption!$C$11:$Q$11,1)),"")</f>
        <v/>
      </c>
      <c r="M7" s="579" t="str">
        <f t="array" ref="M7">IF(M3&gt;=$C$4,INDEX(Absorption!$C$11:$Q$17,4,MATCH('Monthly DCF'!M3,Absorption!$C$11:$Q$11,1)),"")</f>
        <v/>
      </c>
      <c r="N7" s="579" t="str">
        <f t="array" ref="N7">IF(N3&gt;=$C$4,INDEX(Absorption!$C$11:$Q$17,4,MATCH('Monthly DCF'!N3,Absorption!$C$11:$Q$11,1)),"")</f>
        <v/>
      </c>
      <c r="O7" s="579" t="str">
        <f t="array" ref="O7">IF(O3&gt;=$C$4,INDEX(Absorption!$C$11:$Q$17,4,MATCH('Monthly DCF'!O3,Absorption!$C$11:$Q$11,1)),"")</f>
        <v/>
      </c>
      <c r="P7" s="579" t="str">
        <f t="array" ref="P7">IF(P3&gt;=$C$4,INDEX(Absorption!$C$11:$Q$17,4,MATCH('Monthly DCF'!P3,Absorption!$C$11:$Q$11,1)),"")</f>
        <v/>
      </c>
      <c r="Q7" s="579" t="str">
        <f t="array" ref="Q7">IF(Q3&gt;=$C$4,INDEX(Absorption!$C$11:$Q$17,4,MATCH('Monthly DCF'!Q3,Absorption!$C$11:$Q$11,1)),"")</f>
        <v/>
      </c>
      <c r="R7" s="579" t="str">
        <f t="array" ref="R7">IF(R3&gt;=$C$4,INDEX(Absorption!$C$11:$Q$17,4,MATCH('Monthly DCF'!R3,Absorption!$C$11:$Q$11,1)),"")</f>
        <v/>
      </c>
      <c r="S7" s="579" t="str">
        <f t="array" ref="S7">IF(S3&gt;=$C$4,INDEX(Absorption!$C$11:$Q$17,4,MATCH('Monthly DCF'!S3,Absorption!$C$11:$Q$11,1)),"")</f>
        <v/>
      </c>
      <c r="T7" s="579" t="str">
        <f t="array" ref="T7">IF(T3&gt;=$C$4,INDEX(Absorption!$C$11:$Q$17,4,MATCH('Monthly DCF'!T3,Absorption!$C$11:$Q$11,1)),"")</f>
        <v/>
      </c>
      <c r="U7" s="579" t="str">
        <f t="array" ref="U7">IF(U3&gt;=$C$4,INDEX(Absorption!$C$11:$Q$17,4,MATCH('Monthly DCF'!U3,Absorption!$C$11:$Q$11,1)),"")</f>
        <v/>
      </c>
      <c r="V7" s="579" t="str">
        <f t="array" ref="V7">IF(V3&gt;=$C$4,INDEX(Absorption!$C$11:$Q$17,4,MATCH('Monthly DCF'!V3,Absorption!$C$11:$Q$11,1)),"")</f>
        <v/>
      </c>
      <c r="W7" s="579" t="str">
        <f t="array" ref="W7">IF(W3&gt;=$C$4,INDEX(Absorption!$C$11:$Q$17,4,MATCH('Monthly DCF'!W3,Absorption!$C$11:$Q$11,1)),"")</f>
        <v/>
      </c>
      <c r="X7" s="579" t="str">
        <f t="array" ref="X7">IF(X3&gt;=$C$4,INDEX(Absorption!$C$11:$Q$17,4,MATCH('Monthly DCF'!X3,Absorption!$C$11:$Q$11,1)),"")</f>
        <v/>
      </c>
      <c r="Y7" s="579" t="str">
        <f t="array" ref="Y7">IF(Y3&gt;=$C$4,INDEX(Absorption!$C$11:$U$17,4,MATCH('Monthly DCF'!Y3,Absorption!$C$11:$U$11,1)),"")</f>
        <v/>
      </c>
      <c r="Z7" s="579" t="str">
        <f t="array" ref="Z7">IF(Z3&gt;=$C$4,INDEX(Absorption!$C$11:$U$17,4,MATCH('Monthly DCF'!Z3,Absorption!$C$11:$U$11,1)),"")</f>
        <v/>
      </c>
      <c r="AA7" s="579" t="str">
        <f t="array" ref="AA7">IF(AA3&gt;=$C$4,INDEX(Absorption!$C$11:$U$17,4,MATCH('Monthly DCF'!AA3,Absorption!$C$11:$U$11,1)),"")</f>
        <v/>
      </c>
      <c r="AB7" s="579" t="str">
        <f t="array" ref="AB7">IF(AB3&gt;=$C$4,INDEX(Absorption!$C$11:$U$17,4,MATCH('Monthly DCF'!AB3,Absorption!$C$11:$U$11,1)),"")</f>
        <v/>
      </c>
      <c r="AC7" s="579" t="str">
        <f t="array" ref="AC7">IF(AC3&gt;=$C$4,INDEX(Absorption!$C$11:$U$17,4,MATCH('Monthly DCF'!AC3,Absorption!$C$11:$U$11,1)),"")</f>
        <v/>
      </c>
      <c r="AD7" s="579" t="str">
        <f t="array" ref="AD7">IF(AD3&gt;=$C$4,INDEX(Absorption!$C$11:$U$17,4,MATCH('Monthly DCF'!AD3,Absorption!$C$11:$U$11,1)),"")</f>
        <v/>
      </c>
      <c r="AE7" s="579" t="str">
        <f t="array" ref="AE7">IF(AE3&gt;=$C$4,INDEX(Absorption!$C$11:$U$17,4,MATCH('Monthly DCF'!AE3,Absorption!$C$11:$U$11,1)),"")</f>
        <v/>
      </c>
      <c r="AF7" s="1111" t="str">
        <f t="array" ref="AF7">IF(AF3&gt;=$C$4,INDEX(Absorption!$C$11:$U$17,4,MATCH('Monthly DCF'!AF3,Absorption!$C$11:$U$11,1)),"")</f>
        <v/>
      </c>
      <c r="AG7" s="1112">
        <f t="array" ref="AG7">IF(AG3&gt;=$C$4,INDEX(Absorption!$C$11:$U$17,4,MATCH('Monthly DCF'!AG3,Absorption!$C$11:$U$11,1)),"")</f>
        <v>8</v>
      </c>
      <c r="AH7" s="1112">
        <f t="array" ref="AH7">IF(AH3&gt;=$C$4,INDEX(Absorption!$C$11:$U$17,4,MATCH('Monthly DCF'!AH3,Absorption!$C$11:$U$11,1)),"")</f>
        <v>16</v>
      </c>
      <c r="AI7" s="1112">
        <f t="array" ref="AI7">IF(AI3&gt;=$C$4,INDEX(Absorption!$C$11:$U$17,4,MATCH('Monthly DCF'!AI3,Absorption!$C$11:$U$11,1)),"")</f>
        <v>24</v>
      </c>
      <c r="AJ7" s="1112">
        <f t="array" ref="AJ7">IF(AJ3&gt;=$C$4,INDEX(Absorption!$C$11:$U$17,4,MATCH('Monthly DCF'!AJ3,Absorption!$C$11:$U$11,1)),"")</f>
        <v>32</v>
      </c>
      <c r="AK7" s="1112">
        <f t="array" ref="AK7">IF(AK3&gt;=$C$4,INDEX(Absorption!$C$11:$U$17,4,MATCH('Monthly DCF'!AK3,Absorption!$C$11:$U$11,1)),"")</f>
        <v>40</v>
      </c>
      <c r="AL7" s="1112">
        <f t="array" ref="AL7">IF(AL3&gt;=$C$4,INDEX(Absorption!$C$11:$U$17,4,MATCH('Monthly DCF'!AL3,Absorption!$C$11:$U$11,1)),"")</f>
        <v>48</v>
      </c>
      <c r="AM7" s="1112">
        <f t="array" ref="AM7">IF(AM3&gt;=$C$4,INDEX(Absorption!$C$11:$U$17,4,MATCH('Monthly DCF'!AM3,Absorption!$C$11:$U$11,1)),"")</f>
        <v>56</v>
      </c>
      <c r="AN7" s="1112">
        <f t="array" ref="AN7">IF(AN3&gt;=$C$4,INDEX(Absorption!$C$11:$U$17,4,MATCH('Monthly DCF'!AN3,Absorption!$C$11:$U$11,1)),"")</f>
        <v>64</v>
      </c>
      <c r="AO7" s="1112">
        <f t="array" ref="AO7">IF(AO3&gt;=$C$4,INDEX(Absorption!$C$11:$U$17,4,MATCH('Monthly DCF'!AO3,Absorption!$C$11:$U$11,1)),"")</f>
        <v>72</v>
      </c>
      <c r="AP7" s="1112">
        <f t="array" ref="AP7">IF(AP3&gt;=$C$4,INDEX(Absorption!$C$11:$U$17,4,MATCH('Monthly DCF'!AP3,Absorption!$C$11:$U$11,1)),"")</f>
        <v>80</v>
      </c>
      <c r="AQ7" s="1112">
        <f t="array" ref="AQ7">IF(AQ3&gt;=$C$4,INDEX(Absorption!$C$11:$U$17,4,MATCH('Monthly DCF'!AQ3,Absorption!$C$11:$U$11,1)),"")</f>
        <v>82</v>
      </c>
      <c r="AR7" s="1112">
        <f t="array" ref="AR7">IF(AR3&gt;=$C$4,INDEX(Absorption!$C$11:$U$17,4,MATCH('Monthly DCF'!AR3,Absorption!$C$11:$U$11,1)),"")</f>
        <v>82</v>
      </c>
      <c r="AS7" s="1112">
        <f t="array" ref="AS7">IF(AS3&gt;=$C$4,INDEX(Absorption!$C$11:$U$17,4,MATCH('Monthly DCF'!AS3,Absorption!$C$11:$U$11,1)),"")</f>
        <v>82</v>
      </c>
      <c r="AT7" s="1112">
        <f t="array" ref="AT7">IF(AT3&gt;=$C$4,INDEX(Absorption!$C$11:$U$17,4,MATCH('Monthly DCF'!AT3,Absorption!$C$11:$U$11,1)),"")</f>
        <v>82</v>
      </c>
      <c r="AU7" s="1112">
        <f t="array" ref="AU7">IF(AU3&gt;=$C$4,INDEX(Absorption!$C$11:$U$17,4,MATCH('Monthly DCF'!AU3,Absorption!$C$11:$U$11,1)),"")</f>
        <v>82</v>
      </c>
      <c r="AV7" s="1112">
        <f t="array" ref="AV7">IF(AV3&gt;=$C$4,INDEX(Absorption!$C$11:$U$17,4,MATCH('Monthly DCF'!AV3,Absorption!$C$11:$U$11,1)),"")</f>
        <v>82</v>
      </c>
      <c r="AW7" s="1112">
        <f t="array" ref="AW7">IF(AW3&gt;=$C$4,INDEX(Absorption!$C$11:$U$17,4,MATCH('Monthly DCF'!AW3,Absorption!$C$11:$U$11,1)),"")</f>
        <v>82</v>
      </c>
      <c r="AX7" s="1112">
        <f t="array" ref="AX7">IF(AX3&gt;=$C$4,INDEX(Absorption!$C$11:$U$17,4,MATCH('Monthly DCF'!AX3,Absorption!$C$11:$U$11,1)),"")</f>
        <v>82</v>
      </c>
      <c r="AY7" s="1112">
        <f t="array" ref="AY7">IF(AY3&gt;=$C$4,INDEX(Absorption!$C$11:$U$17,4,MATCH('Monthly DCF'!AY3,Absorption!$C$11:$U$11,1)),"")</f>
        <v>82</v>
      </c>
      <c r="AZ7" s="1112">
        <f t="array" ref="AZ7">IF(AZ3&gt;=$C$4,INDEX(Absorption!$C$11:$U$17,4,MATCH('Monthly DCF'!AZ3,Absorption!$C$11:$U$11,1)),"")</f>
        <v>82</v>
      </c>
      <c r="BA7" s="1112">
        <f t="array" ref="BA7">IF(BA3&gt;=$C$4,INDEX(Absorption!$C$11:$U$17,4,MATCH('Monthly DCF'!BA3,Absorption!$C$11:$U$11,1)),"")</f>
        <v>82</v>
      </c>
      <c r="BB7" s="1112">
        <f t="array" ref="BB7">IF(BB3&gt;=$C$4,INDEX(Absorption!$C$11:$U$17,4,MATCH('Monthly DCF'!BB3,Absorption!$C$11:$U$11,1)),"")</f>
        <v>82</v>
      </c>
      <c r="BC7" s="1112">
        <f t="array" ref="BC7">IF(BC3&gt;=$C$4,INDEX(Absorption!$C$11:$U$17,4,MATCH('Monthly DCF'!BC3,Absorption!$C$11:$U$11,1)),"")</f>
        <v>82</v>
      </c>
      <c r="BD7" s="1112">
        <f t="array" ref="BD7">IF(BD3&gt;=$C$4,INDEX(Absorption!$C$11:$U$17,4,MATCH('Monthly DCF'!BD3,Absorption!$C$11:$U$11,1)),"")</f>
        <v>82</v>
      </c>
      <c r="BE7" s="1112">
        <f t="array" ref="BE7">IF(BE3&gt;=$C$4,INDEX(Absorption!$C$11:$U$17,4,MATCH('Monthly DCF'!BE3,Absorption!$C$11:$U$11,1)),"")</f>
        <v>82</v>
      </c>
      <c r="BF7" s="1112">
        <f t="array" ref="BF7">IF(BF3&gt;=$C$4,INDEX(Absorption!$C$11:$U$17,4,MATCH('Monthly DCF'!BF3,Absorption!$C$11:$U$11,1)),"")</f>
        <v>82</v>
      </c>
      <c r="BG7" s="1112">
        <f t="array" ref="BG7">IF(BG3&gt;=$C$4,INDEX(Absorption!$C$11:$U$17,4,MATCH('Monthly DCF'!BG3,Absorption!$C$11:$U$11,1)),"")</f>
        <v>82</v>
      </c>
      <c r="BH7" s="1112">
        <f t="array" ref="BH7">IF(BH3&gt;=$C$4,INDEX(Absorption!$C$11:$U$17,4,MATCH('Monthly DCF'!BH3,Absorption!$C$11:$U$11,1)),"")</f>
        <v>82</v>
      </c>
      <c r="BI7" s="1112">
        <f t="array" ref="BI7">IF(BI3&gt;=$C$4,INDEX(Absorption!$C$11:$U$17,4,MATCH('Monthly DCF'!BI3,Absorption!$C$11:$U$11,1)),"")</f>
        <v>82</v>
      </c>
      <c r="BJ7" s="1112">
        <f t="array" ref="BJ7">IF(BJ3&gt;=$C$4,INDEX(Absorption!$C$11:$U$17,4,MATCH('Monthly DCF'!BJ3,Absorption!$C$11:$U$11,1)),"")</f>
        <v>82</v>
      </c>
      <c r="BK7" s="1112">
        <f t="array" ref="BK7">IF(BK3&gt;=$C$4,INDEX(Absorption!$C$11:$U$17,4,MATCH('Monthly DCF'!BK3,Absorption!$C$11:$U$11,1)),"")</f>
        <v>82</v>
      </c>
      <c r="BL7" s="1112">
        <f t="array" ref="BL7">IF(BL3&gt;=$C$4,INDEX(Absorption!$C$11:$U$17,4,MATCH('Monthly DCF'!BL3,Absorption!$C$11:$U$11,1)),"")</f>
        <v>82</v>
      </c>
      <c r="BM7" s="1112">
        <f t="array" ref="BM7">IF(BM3&gt;=$C$4,INDEX(Absorption!$C$11:$U$17,4,MATCH('Monthly DCF'!BM3,Absorption!$C$11:$U$11,1)),"")</f>
        <v>82</v>
      </c>
      <c r="BN7" s="1112">
        <f t="array" ref="BN7">IF(BN3&gt;=$C$4,INDEX(Absorption!$C$11:$U$17,4,MATCH('Monthly DCF'!BN3,Absorption!$C$11:$U$11,1)),"")</f>
        <v>82</v>
      </c>
      <c r="BO7" s="1112">
        <f t="array" ref="BO7">IF(BO3&gt;=$C$4,INDEX(Absorption!$C$11:$U$17,4,MATCH('Monthly DCF'!BO3,Absorption!$C$11:$U$11,1)),"")</f>
        <v>82</v>
      </c>
      <c r="BP7" s="1112">
        <f t="array" ref="BP7">IF(BP3&gt;=$C$4,INDEX(Absorption!$C$11:$U$17,4,MATCH('Monthly DCF'!BP3,Absorption!$C$11:$U$11,1)),"")</f>
        <v>82</v>
      </c>
      <c r="BQ7" s="1112">
        <f t="array" ref="BQ7">IF(BQ3&gt;=$C$4,INDEX(Absorption!$C$11:$U$17,4,MATCH('Monthly DCF'!BQ3,Absorption!$C$11:$U$11,1)),"")</f>
        <v>82</v>
      </c>
      <c r="BR7" s="1112">
        <f t="array" ref="BR7">IF(BR3&gt;=$C$4,INDEX(Absorption!$C$11:$U$17,4,MATCH('Monthly DCF'!BR3,Absorption!$C$11:$U$11,1)),"")</f>
        <v>82</v>
      </c>
      <c r="BS7" s="1112">
        <f t="array" ref="BS7">IF(BS3&gt;=$C$4,INDEX(Absorption!$C$11:$U$17,4,MATCH('Monthly DCF'!BS3,Absorption!$C$11:$U$11,1)),"")</f>
        <v>82</v>
      </c>
      <c r="BT7" s="1112">
        <f t="array" ref="BT7">IF(BT3&gt;=$C$4,INDEX(Absorption!$C$11:$U$17,4,MATCH('Monthly DCF'!BT3,Absorption!$C$11:$U$11,1)),"")</f>
        <v>82</v>
      </c>
      <c r="BU7" s="1112">
        <f t="array" ref="BU7">IF(BU3&gt;=$C$4,INDEX(Absorption!$C$11:$U$17,4,MATCH('Monthly DCF'!BU3,Absorption!$C$11:$U$11,1)),"")</f>
        <v>82</v>
      </c>
      <c r="BV7" s="1112">
        <f t="array" ref="BV7">IF(BV3&gt;=$C$4,INDEX(Absorption!$C$11:$U$17,4,MATCH('Monthly DCF'!BV3,Absorption!$C$11:$U$11,1)),"")</f>
        <v>82</v>
      </c>
      <c r="BW7" s="1112">
        <f t="array" ref="BW7">IF(BW3&gt;=$C$4,INDEX(Absorption!$C$11:$U$17,4,MATCH('Monthly DCF'!BW3,Absorption!$C$11:$U$11,1)),"")</f>
        <v>82</v>
      </c>
      <c r="BX7" s="1112">
        <f t="array" ref="BX7">IF(BX3&gt;=$C$4,INDEX(Absorption!$C$11:$U$17,4,MATCH('Monthly DCF'!BX3,Absorption!$C$11:$U$11,1)),"")</f>
        <v>82</v>
      </c>
      <c r="BY7" s="1112">
        <f t="array" ref="BY7">IF(BY3&gt;=$C$4,INDEX(Absorption!$C$11:$U$17,4,MATCH('Monthly DCF'!BY3,Absorption!$C$11:$U$11,1)),"")</f>
        <v>82</v>
      </c>
      <c r="BZ7" s="1112">
        <f t="array" ref="BZ7">IF(BZ3&gt;=$C$4,INDEX(Absorption!$C$11:$U$17,4,MATCH('Monthly DCF'!BZ3,Absorption!$C$11:$U$11,1)),"")</f>
        <v>82</v>
      </c>
      <c r="CA7" s="1112">
        <f t="array" ref="CA7">IF(CA3&gt;=$C$4,INDEX(Absorption!$C$11:$U$17,4,MATCH('Monthly DCF'!CA3,Absorption!$C$11:$U$11,1)),"")</f>
        <v>82</v>
      </c>
      <c r="CB7" s="1112">
        <f t="array" ref="CB7">IF(CB3&gt;=$C$4,INDEX(Absorption!$C$11:$U$17,4,MATCH('Monthly DCF'!CB3,Absorption!$C$11:$U$11,1)),"")</f>
        <v>82</v>
      </c>
      <c r="CC7" s="1112">
        <f t="array" ref="CC7">IF(CC3&gt;=$C$4,INDEX(Absorption!$C$11:$U$17,4,MATCH('Monthly DCF'!CC3,Absorption!$C$11:$U$11,1)),"")</f>
        <v>82</v>
      </c>
      <c r="CD7" s="1112">
        <f t="array" ref="CD7">IF(CD3&gt;=$C$4,INDEX(Absorption!$C$11:$U$17,4,MATCH('Monthly DCF'!CD3,Absorption!$C$11:$U$11,1)),"")</f>
        <v>82</v>
      </c>
      <c r="CE7" s="1112">
        <f t="array" ref="CE7">IF(CE3&gt;=$C$4,INDEX(Absorption!$C$11:$U$17,4,MATCH('Monthly DCF'!CE3,Absorption!$C$11:$U$11,1)),"")</f>
        <v>82</v>
      </c>
      <c r="CF7" s="1112">
        <f t="array" ref="CF7">IF(CF3&gt;=$C$4,INDEX(Absorption!$C$11:$U$17,4,MATCH('Monthly DCF'!CF3,Absorption!$C$11:$U$11,1)),"")</f>
        <v>82</v>
      </c>
      <c r="CG7" s="1112">
        <f t="array" ref="CG7">IF(CG3&gt;=$C$4,INDEX(Absorption!$C$11:$U$17,4,MATCH('Monthly DCF'!CG3,Absorption!$C$11:$U$11,1)),"")</f>
        <v>82</v>
      </c>
      <c r="CH7" s="1112">
        <f t="array" ref="CH7">IF(CH3&gt;=$C$4,INDEX(Absorption!$C$11:$U$17,4,MATCH('Monthly DCF'!CH3,Absorption!$C$11:$U$11,1)),"")</f>
        <v>82</v>
      </c>
      <c r="CI7" s="1112">
        <f t="array" ref="CI7">IF(CI3&gt;=$C$4,INDEX(Absorption!$C$11:$U$17,4,MATCH('Monthly DCF'!CI3,Absorption!$C$11:$U$11,1)),"")</f>
        <v>82</v>
      </c>
      <c r="CJ7" s="1112">
        <f t="array" ref="CJ7">IF(CJ3&gt;=$C$4,INDEX(Absorption!$C$11:$U$17,4,MATCH('Monthly DCF'!CJ3,Absorption!$C$11:$U$11,1)),"")</f>
        <v>82</v>
      </c>
      <c r="CK7" s="1112">
        <f t="array" ref="CK7">IF(CK3&gt;=$C$4,INDEX(Absorption!$C$11:$U$17,4,MATCH('Monthly DCF'!CK3,Absorption!$C$11:$U$11,1)),"")</f>
        <v>82</v>
      </c>
      <c r="CL7" s="1112">
        <f t="array" ref="CL7">IF(CL3&gt;=$C$4,INDEX(Absorption!$C$11:$U$17,4,MATCH('Monthly DCF'!CL3,Absorption!$C$11:$U$11,1)),"")</f>
        <v>82</v>
      </c>
      <c r="CM7" s="1112">
        <f t="array" ref="CM7">IF(CM3&gt;=$C$4,INDEX(Absorption!$C$11:$U$17,4,MATCH('Monthly DCF'!CM3,Absorption!$C$11:$U$11,1)),"")</f>
        <v>82</v>
      </c>
      <c r="CN7" s="1112">
        <f t="array" ref="CN7">IF(CN3&gt;=$C$4,INDEX(Absorption!$C$11:$U$17,4,MATCH('Monthly DCF'!CN3,Absorption!$C$11:$U$11,1)),"")</f>
        <v>82</v>
      </c>
      <c r="CO7" s="1112">
        <f t="array" ref="CO7">IF(CO3&gt;=$C$4,INDEX(Absorption!$C$11:$U$17,4,MATCH('Monthly DCF'!CO3,Absorption!$C$11:$U$11,1)),"")</f>
        <v>82</v>
      </c>
      <c r="CP7" s="1112">
        <f t="array" ref="CP7">IF(CP3&gt;=$C$4,INDEX(Absorption!$C$11:$U$17,4,MATCH('Monthly DCF'!CP3,Absorption!$C$11:$U$11,1)),"")</f>
        <v>82</v>
      </c>
      <c r="CQ7" s="1112">
        <f t="array" ref="CQ7">IF(CQ3&gt;=$C$4,INDEX(Absorption!$C$11:$U$17,4,MATCH('Monthly DCF'!CQ3,Absorption!$C$11:$U$11,1)),"")</f>
        <v>82</v>
      </c>
      <c r="CR7" s="1112">
        <f t="array" ref="CR7">IF(CR3&gt;=$C$4,INDEX(Absorption!$C$11:$U$17,4,MATCH('Monthly DCF'!CR3,Absorption!$C$11:$U$11,1)),"")</f>
        <v>82</v>
      </c>
      <c r="CS7" s="1112">
        <f t="array" ref="CS7">IF(CS3&gt;=$C$4,INDEX(Absorption!$C$11:$U$17,4,MATCH('Monthly DCF'!CS3,Absorption!$C$11:$U$11,1)),"")</f>
        <v>82</v>
      </c>
      <c r="CT7" s="1112">
        <f t="array" ref="CT7">IF(CT3&gt;=$C$4,INDEX(Absorption!$C$11:$U$17,4,MATCH('Monthly DCF'!CT3,Absorption!$C$11:$U$11,1)),"")</f>
        <v>82</v>
      </c>
      <c r="CU7" s="1112">
        <f t="array" ref="CU7">IF(CU3&gt;=$C$4,INDEX(Absorption!$C$11:$U$17,4,MATCH('Monthly DCF'!CU3,Absorption!$C$11:$U$11,1)),"")</f>
        <v>82</v>
      </c>
      <c r="CV7" s="1112">
        <f t="array" ref="CV7">IF(CV3&gt;=$C$4,INDEX(Absorption!$C$11:$U$17,4,MATCH('Monthly DCF'!CV3,Absorption!$C$11:$U$11,1)),"")</f>
        <v>82</v>
      </c>
      <c r="CW7" s="1112">
        <f t="array" ref="CW7">IF(CW3&gt;=$C$4,INDEX(Absorption!$C$11:$U$17,4,MATCH('Monthly DCF'!CW3,Absorption!$C$11:$U$11,1)),"")</f>
        <v>82</v>
      </c>
      <c r="CX7" s="1112">
        <f t="array" ref="CX7">IF(CX3&gt;=$C$4,INDEX(Absorption!$C$11:$U$17,4,MATCH('Monthly DCF'!CX3,Absorption!$C$11:$U$11,1)),"")</f>
        <v>82</v>
      </c>
      <c r="CY7" s="1112">
        <f t="array" ref="CY7">IF(CY3&gt;=$C$4,INDEX(Absorption!$C$11:$U$17,4,MATCH('Monthly DCF'!CY3,Absorption!$C$11:$U$11,1)),"")</f>
        <v>82</v>
      </c>
      <c r="CZ7" s="1112">
        <f t="array" ref="CZ7">IF(CZ3&gt;=$C$4,INDEX(Absorption!$C$11:$U$17,4,MATCH('Monthly DCF'!CZ3,Absorption!$C$11:$U$11,1)),"")</f>
        <v>82</v>
      </c>
      <c r="DA7" s="1112">
        <f t="array" ref="DA7">IF(DA3&gt;=$C$4,INDEX(Absorption!$C$11:$U$17,4,MATCH('Monthly DCF'!DA3,Absorption!$C$11:$U$11,1)),"")</f>
        <v>82</v>
      </c>
      <c r="DB7" s="1112">
        <f t="array" ref="DB7">IF(DB3&gt;=$C$4,INDEX(Absorption!$C$11:$U$17,4,MATCH('Monthly DCF'!DB3,Absorption!$C$11:$U$11,1)),"")</f>
        <v>82</v>
      </c>
      <c r="DC7" s="1112">
        <f t="array" ref="DC7">IF(DC3&gt;=$C$4,INDEX(Absorption!$C$11:$U$17,4,MATCH('Monthly DCF'!DC3,Absorption!$C$11:$U$11,1)),"")</f>
        <v>82</v>
      </c>
      <c r="DD7" s="1112">
        <f t="array" ref="DD7">IF(DD3&gt;=$C$4,INDEX(Absorption!$C$11:$U$17,4,MATCH('Monthly DCF'!DD3,Absorption!$C$11:$U$11,1)),"")</f>
        <v>82</v>
      </c>
      <c r="DE7" s="1112">
        <f t="array" ref="DE7">IF(DE3&gt;=$C$4,INDEX(Absorption!$C$11:$U$17,4,MATCH('Monthly DCF'!DE3,Absorption!$C$11:$U$11,1)),"")</f>
        <v>82</v>
      </c>
      <c r="DF7" s="1112">
        <f t="array" ref="DF7">IF(DF3&gt;=$C$4,INDEX(Absorption!$C$11:$U$17,4,MATCH('Monthly DCF'!DF3,Absorption!$C$11:$U$11,1)),"")</f>
        <v>82</v>
      </c>
      <c r="DG7" s="1112">
        <f t="array" ref="DG7">IF(DG3&gt;=$C$4,INDEX(Absorption!$C$11:$U$17,4,MATCH('Monthly DCF'!DG3,Absorption!$C$11:$U$11,1)),"")</f>
        <v>82</v>
      </c>
      <c r="DH7" s="1112">
        <f t="array" ref="DH7">IF(DH3&gt;=$C$4,INDEX(Absorption!$C$11:$U$17,4,MATCH('Monthly DCF'!DH3,Absorption!$C$11:$U$11,1)),"")</f>
        <v>82</v>
      </c>
      <c r="DI7" s="1112">
        <f t="array" ref="DI7">IF(DI3&gt;=$C$4,INDEX(Absorption!$C$11:$U$17,4,MATCH('Monthly DCF'!DI3,Absorption!$C$11:$U$11,1)),"")</f>
        <v>82</v>
      </c>
      <c r="DJ7" s="1112">
        <f t="array" ref="DJ7">IF(DJ3&gt;=$C$4,INDEX(Absorption!$C$11:$U$17,4,MATCH('Monthly DCF'!DJ3,Absorption!$C$11:$U$11,1)),"")</f>
        <v>82</v>
      </c>
      <c r="DK7" s="1112">
        <f t="array" ref="DK7">IF(DK3&gt;=$C$4,INDEX(Absorption!$C$11:$U$17,4,MATCH('Monthly DCF'!DK3,Absorption!$C$11:$U$11,1)),"")</f>
        <v>82</v>
      </c>
      <c r="DL7" s="1112">
        <f t="array" ref="DL7">IF(DL3&gt;=$C$4,INDEX(Absorption!$C$11:$U$17,4,MATCH('Monthly DCF'!DL3,Absorption!$C$11:$U$11,1)),"")</f>
        <v>82</v>
      </c>
      <c r="DM7" s="1112">
        <f t="array" ref="DM7">IF(DM3&gt;=$C$4,INDEX(Absorption!$C$11:$U$17,4,MATCH('Monthly DCF'!DM3,Absorption!$C$11:$U$11,1)),"")</f>
        <v>82</v>
      </c>
      <c r="DN7" s="1112">
        <f t="array" ref="DN7">IF(DN3&gt;=$C$4,INDEX(Absorption!$C$11:$U$17,4,MATCH('Monthly DCF'!DN3,Absorption!$C$11:$U$11,1)),"")</f>
        <v>82</v>
      </c>
      <c r="DO7" s="1112">
        <f t="array" ref="DO7">IF(DO3&gt;=$C$4,INDEX(Absorption!$C$11:$U$17,4,MATCH('Monthly DCF'!DO3,Absorption!$C$11:$U$11,1)),"")</f>
        <v>82</v>
      </c>
      <c r="DP7" s="1112">
        <f t="array" ref="DP7">IF(DP3&gt;=$C$4,INDEX(Absorption!$C$11:$U$17,4,MATCH('Monthly DCF'!DP3,Absorption!$C$11:$U$11,1)),"")</f>
        <v>82</v>
      </c>
      <c r="DQ7" s="1112">
        <f t="array" ref="DQ7">IF(DQ3&gt;=$C$4,INDEX(Absorption!$C$11:$U$17,4,MATCH('Monthly DCF'!DQ3,Absorption!$C$11:$U$11,1)),"")</f>
        <v>82</v>
      </c>
      <c r="DR7" s="1112">
        <f t="array" ref="DR7">IF(DR3&gt;=$C$4,INDEX(Absorption!$C$11:$U$17,4,MATCH('Monthly DCF'!DR3,Absorption!$C$11:$U$11,1)),"")</f>
        <v>82</v>
      </c>
      <c r="DS7" s="1112">
        <f t="array" ref="DS7">IF(DS3&gt;=$C$4,INDEX(Absorption!$C$11:$U$17,4,MATCH('Monthly DCF'!DS3,Absorption!$C$11:$U$11,1)),"")</f>
        <v>82</v>
      </c>
      <c r="DT7" s="1112">
        <f t="array" ref="DT7">IF(DT3&gt;=$C$4,INDEX(Absorption!$C$11:$U$17,4,MATCH('Monthly DCF'!DT3,Absorption!$C$11:$U$11,1)),"")</f>
        <v>82</v>
      </c>
      <c r="DU7" s="1112">
        <f t="array" ref="DU7">IF(DU3&gt;=$C$4,INDEX(Absorption!$C$11:$U$17,4,MATCH('Monthly DCF'!DU3,Absorption!$C$11:$U$11,1)),"")</f>
        <v>82</v>
      </c>
      <c r="DV7" s="1112">
        <f t="array" ref="DV7">IF(DV3&gt;=$C$4,INDEX(Absorption!$C$11:$U$17,4,MATCH('Monthly DCF'!DV3,Absorption!$C$11:$U$11,1)),"")</f>
        <v>82</v>
      </c>
      <c r="DW7" s="1112">
        <f t="array" ref="DW7">IF(DW3&gt;=$C$4,INDEX(Absorption!$C$11:$U$17,4,MATCH('Monthly DCF'!DW3,Absorption!$C$11:$U$11,1)),"")</f>
        <v>82</v>
      </c>
      <c r="DX7" s="1112">
        <f t="array" ref="DX7">IF(DX3&gt;=$C$4,INDEX(Absorption!$C$11:$U$17,4,MATCH('Monthly DCF'!DX3,Absorption!$C$11:$U$11,1)),"")</f>
        <v>82</v>
      </c>
      <c r="DY7" s="1112">
        <f t="array" ref="DY7">IF(DY3&gt;=$C$4,INDEX(Absorption!$C$11:$U$17,4,MATCH('Monthly DCF'!DY3,Absorption!$C$11:$U$11,1)),"")</f>
        <v>82</v>
      </c>
      <c r="DZ7" s="1112">
        <f t="array" ref="DZ7">IF(DZ3&gt;=$C$4,INDEX(Absorption!$C$11:$U$17,4,MATCH('Monthly DCF'!DZ3,Absorption!$C$11:$U$11,1)),"")</f>
        <v>82</v>
      </c>
      <c r="EA7" s="1112">
        <f t="array" ref="EA7">IF(EA3&gt;=$C$4,INDEX(Absorption!$C$11:$U$17,4,MATCH('Monthly DCF'!EA3,Absorption!$C$11:$U$11,1)),"")</f>
        <v>82</v>
      </c>
      <c r="EB7" s="1112">
        <f t="array" ref="EB7">IF(EB3&gt;=$C$4,INDEX(Absorption!$C$11:$U$17,4,MATCH('Monthly DCF'!EB3,Absorption!$C$11:$U$11,1)),"")</f>
        <v>82</v>
      </c>
      <c r="EC7" s="1112">
        <f t="array" ref="EC7">IF(EC3&gt;=$C$4,INDEX(Absorption!$C$11:$U$17,4,MATCH('Monthly DCF'!EC3,Absorption!$C$11:$U$11,1)),"")</f>
        <v>82</v>
      </c>
      <c r="ED7" s="1112">
        <f t="array" ref="ED7">IF(ED3&gt;=$C$4,INDEX(Absorption!$C$11:$U$17,4,MATCH('Monthly DCF'!ED3,Absorption!$C$11:$U$11,1)),"")</f>
        <v>82</v>
      </c>
      <c r="EE7" s="1112">
        <f t="array" ref="EE7">IF(EE3&gt;=$C$4,INDEX(Absorption!$C$11:$U$17,4,MATCH('Monthly DCF'!EE3,Absorption!$C$11:$U$11,1)),"")</f>
        <v>82</v>
      </c>
      <c r="EF7" s="1112">
        <f t="array" ref="EF7">IF(EF3&gt;=$C$4,INDEX(Absorption!$C$11:$U$17,4,MATCH('Monthly DCF'!EF3,Absorption!$C$11:$U$11,1)),"")</f>
        <v>82</v>
      </c>
      <c r="EG7" s="1112">
        <f t="array" ref="EG7">IF(EG3&gt;=$C$4,INDEX(Absorption!$C$11:$U$17,4,MATCH('Monthly DCF'!EG3,Absorption!$C$11:$U$11,1)),"")</f>
        <v>82</v>
      </c>
      <c r="EH7" s="1112">
        <f t="array" ref="EH7">IF(EH3&gt;=$C$4,INDEX(Absorption!$C$11:$U$17,4,MATCH('Monthly DCF'!EH3,Absorption!$C$11:$U$11,1)),"")</f>
        <v>82</v>
      </c>
      <c r="EI7" s="1112">
        <f t="array" ref="EI7">IF(EI3&gt;=$C$4,INDEX(Absorption!$C$11:$U$17,4,MATCH('Monthly DCF'!EI3,Absorption!$C$11:$U$11,1)),"")</f>
        <v>82</v>
      </c>
      <c r="EJ7" s="1113">
        <f t="array" ref="EJ7">IF(EJ3&gt;=$C$4,INDEX(Absorption!$C$11:$U$17,4,MATCH('Monthly DCF'!EJ3,Absorption!$C$11:$U$11,1)),"")</f>
        <v>82</v>
      </c>
    </row>
    <row r="8" spans="1:140" x14ac:dyDescent="0.25">
      <c r="A8" s="6"/>
      <c r="B8" s="1013"/>
      <c r="C8" s="1005"/>
      <c r="D8" s="999"/>
      <c r="E8" s="999"/>
      <c r="F8" s="1014"/>
      <c r="G8" s="999"/>
      <c r="H8" s="1110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  <c r="AA8" s="579"/>
      <c r="AB8" s="579"/>
      <c r="AC8" s="579"/>
      <c r="AD8" s="579"/>
      <c r="AE8" s="579"/>
      <c r="AF8" s="579"/>
      <c r="AG8" s="579"/>
      <c r="AH8" s="579"/>
      <c r="AI8" s="579"/>
      <c r="AJ8" s="579"/>
      <c r="AK8" s="579"/>
      <c r="AL8" s="579"/>
      <c r="AM8" s="579"/>
      <c r="AN8" s="579"/>
      <c r="AO8" s="579"/>
      <c r="AP8" s="579"/>
      <c r="AQ8" s="579"/>
      <c r="AR8" s="579"/>
      <c r="AS8" s="579"/>
      <c r="AT8" s="579"/>
      <c r="AU8" s="579"/>
      <c r="AV8" s="579"/>
      <c r="AW8" s="579"/>
      <c r="AX8" s="579"/>
      <c r="AY8" s="579"/>
      <c r="AZ8" s="579"/>
      <c r="BA8" s="579"/>
      <c r="BB8" s="579"/>
      <c r="BC8" s="579"/>
      <c r="BD8" s="579"/>
      <c r="BE8" s="579"/>
      <c r="BF8" s="579"/>
      <c r="BG8" s="579"/>
      <c r="BH8" s="579"/>
      <c r="BI8" s="579"/>
      <c r="BJ8" s="579"/>
      <c r="BK8" s="579"/>
      <c r="BL8" s="579"/>
      <c r="BM8" s="579"/>
      <c r="BN8" s="579"/>
      <c r="BO8" s="579"/>
      <c r="BP8" s="579"/>
      <c r="BQ8" s="579"/>
      <c r="BR8" s="579"/>
      <c r="BS8" s="579"/>
      <c r="BT8" s="579"/>
      <c r="BU8" s="579"/>
      <c r="BV8" s="579"/>
      <c r="BW8" s="579"/>
      <c r="BX8" s="579"/>
      <c r="BY8" s="579"/>
      <c r="BZ8" s="579"/>
      <c r="CA8" s="579"/>
      <c r="CB8" s="579"/>
      <c r="CC8" s="579"/>
      <c r="CD8" s="579"/>
      <c r="CE8" s="579"/>
      <c r="CF8" s="579"/>
      <c r="CG8" s="579"/>
      <c r="CH8" s="579"/>
      <c r="CI8" s="579"/>
      <c r="CJ8" s="579"/>
      <c r="CK8" s="579"/>
      <c r="CL8" s="579"/>
      <c r="CM8" s="579"/>
      <c r="CN8" s="579"/>
      <c r="CO8" s="579"/>
      <c r="CP8" s="579"/>
      <c r="CQ8" s="579"/>
      <c r="CR8" s="579"/>
      <c r="CS8" s="579"/>
      <c r="CT8" s="579"/>
      <c r="CU8" s="579"/>
      <c r="CV8" s="579"/>
      <c r="CW8" s="579"/>
      <c r="CX8" s="579"/>
      <c r="CY8" s="579"/>
      <c r="CZ8" s="579"/>
      <c r="DA8" s="579"/>
      <c r="DB8" s="579"/>
      <c r="DC8" s="579"/>
      <c r="DD8" s="579"/>
      <c r="DE8" s="579"/>
      <c r="DF8" s="579"/>
      <c r="DG8" s="579"/>
      <c r="DH8" s="579"/>
      <c r="DI8" s="579"/>
      <c r="DJ8" s="579"/>
      <c r="DK8" s="579"/>
      <c r="DL8" s="579"/>
      <c r="DM8" s="579"/>
      <c r="DN8" s="579"/>
      <c r="DO8" s="579"/>
      <c r="DP8" s="579"/>
      <c r="DQ8" s="579"/>
      <c r="DR8" s="579"/>
      <c r="DS8" s="579"/>
      <c r="DT8" s="579"/>
      <c r="DU8" s="579"/>
      <c r="DV8" s="579"/>
      <c r="DW8" s="579"/>
      <c r="DX8" s="579"/>
      <c r="DY8" s="579"/>
      <c r="DZ8" s="579"/>
      <c r="EA8" s="579"/>
      <c r="EB8" s="579"/>
      <c r="EC8" s="579"/>
      <c r="ED8" s="579"/>
      <c r="EE8" s="579"/>
      <c r="EF8" s="579"/>
      <c r="EG8" s="579"/>
      <c r="EH8" s="579"/>
      <c r="EI8" s="579"/>
      <c r="EJ8" s="1114"/>
    </row>
    <row r="9" spans="1:140" x14ac:dyDescent="0.25">
      <c r="A9" s="6"/>
      <c r="B9" s="1010" t="s">
        <v>286</v>
      </c>
      <c r="C9" s="1005" t="s">
        <v>287</v>
      </c>
      <c r="D9" s="1005" t="s">
        <v>288</v>
      </c>
      <c r="E9" s="1005" t="s">
        <v>289</v>
      </c>
      <c r="F9" s="1005" t="s">
        <v>290</v>
      </c>
      <c r="G9" s="1070" t="s">
        <v>291</v>
      </c>
      <c r="H9" s="1115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599"/>
      <c r="AC9" s="599"/>
      <c r="AD9" s="599"/>
      <c r="AE9" s="599"/>
      <c r="AF9" s="599"/>
      <c r="AG9" s="599"/>
      <c r="AH9" s="599"/>
      <c r="AI9" s="599"/>
      <c r="AJ9" s="599"/>
      <c r="AK9" s="599"/>
      <c r="AL9" s="1116"/>
      <c r="AM9" s="599"/>
      <c r="AN9" s="599"/>
      <c r="AO9" s="599"/>
      <c r="AP9" s="599"/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599"/>
      <c r="BB9" s="599"/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599"/>
      <c r="BO9" s="599"/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599"/>
      <c r="CA9" s="599"/>
      <c r="CB9" s="599"/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599"/>
      <c r="CN9" s="599"/>
      <c r="CO9" s="599"/>
      <c r="CP9" s="599"/>
      <c r="CQ9" s="599"/>
      <c r="CR9" s="599"/>
      <c r="CS9" s="599"/>
      <c r="CT9" s="599"/>
      <c r="CU9" s="599"/>
      <c r="CV9" s="599"/>
      <c r="CW9" s="599"/>
      <c r="CX9" s="599"/>
      <c r="CY9" s="599"/>
      <c r="CZ9" s="599"/>
      <c r="DA9" s="599"/>
      <c r="DB9" s="599"/>
      <c r="DC9" s="599"/>
      <c r="DD9" s="599"/>
      <c r="DE9" s="599"/>
      <c r="DF9" s="599"/>
      <c r="DG9" s="599"/>
      <c r="DH9" s="599"/>
      <c r="DI9" s="599"/>
      <c r="DJ9" s="599"/>
      <c r="DK9" s="599"/>
      <c r="DL9" s="599"/>
      <c r="DM9" s="599"/>
      <c r="DN9" s="599"/>
      <c r="DO9" s="599"/>
      <c r="DP9" s="599"/>
      <c r="DQ9" s="599"/>
      <c r="DR9" s="599"/>
      <c r="DS9" s="599"/>
      <c r="DT9" s="599"/>
      <c r="DU9" s="599"/>
      <c r="DV9" s="599"/>
      <c r="DW9" s="599"/>
      <c r="DX9" s="599"/>
      <c r="DY9" s="599"/>
      <c r="DZ9" s="599"/>
      <c r="EA9" s="599"/>
      <c r="EB9" s="599"/>
      <c r="EC9" s="599"/>
      <c r="ED9" s="599"/>
      <c r="EE9" s="599"/>
      <c r="EF9" s="599"/>
      <c r="EG9" s="599"/>
      <c r="EH9" s="599"/>
      <c r="EI9" s="599"/>
      <c r="EJ9" s="1117"/>
    </row>
    <row r="10" spans="1:140" x14ac:dyDescent="0.25">
      <c r="A10" s="361"/>
      <c r="B10" s="1015" t="str">
        <f>'Unit Mix'!C7</f>
        <v>Studio</v>
      </c>
      <c r="C10" s="1016">
        <f>'Unit Mix'!D7</f>
        <v>5</v>
      </c>
      <c r="D10" s="1017">
        <f>'Unit Mix'!E7</f>
        <v>516</v>
      </c>
      <c r="E10" s="1018">
        <f>'Unit Mix'!H7</f>
        <v>3.8468992248062017</v>
      </c>
      <c r="F10" s="996">
        <f>'Unit Mix'!G7</f>
        <v>1985</v>
      </c>
      <c r="G10" s="1071">
        <f>Summary!D19</f>
        <v>0.03</v>
      </c>
      <c r="H10" s="1115">
        <f>IF(H$5&gt;$E$4+12,0,IF(H$3&lt;$C$4,0,ROUNDUP(H$6*$C10,1)*$F10*(1+$G$10)^(H$4)))</f>
        <v>0</v>
      </c>
      <c r="I10" s="599">
        <f t="shared" ref="I10:BT11" si="31">IF(I$5&gt;$E$4+12,0,IF(I$3&lt;$C$4,0,ROUNDUP(I$6*$C10,1)*$F10*(1+$G$10)^(I$4)))</f>
        <v>0</v>
      </c>
      <c r="J10" s="599">
        <f t="shared" si="31"/>
        <v>0</v>
      </c>
      <c r="K10" s="599">
        <f t="shared" si="31"/>
        <v>0</v>
      </c>
      <c r="L10" s="599">
        <f t="shared" si="31"/>
        <v>0</v>
      </c>
      <c r="M10" s="599">
        <f t="shared" si="31"/>
        <v>0</v>
      </c>
      <c r="N10" s="599">
        <f t="shared" si="31"/>
        <v>0</v>
      </c>
      <c r="O10" s="599">
        <f t="shared" si="31"/>
        <v>0</v>
      </c>
      <c r="P10" s="599">
        <f t="shared" si="31"/>
        <v>0</v>
      </c>
      <c r="Q10" s="599">
        <f t="shared" si="31"/>
        <v>0</v>
      </c>
      <c r="R10" s="599">
        <f t="shared" si="31"/>
        <v>0</v>
      </c>
      <c r="S10" s="599">
        <f t="shared" si="31"/>
        <v>0</v>
      </c>
      <c r="T10" s="599">
        <f t="shared" si="31"/>
        <v>0</v>
      </c>
      <c r="U10" s="599">
        <f t="shared" si="31"/>
        <v>0</v>
      </c>
      <c r="V10" s="599">
        <f t="shared" si="31"/>
        <v>0</v>
      </c>
      <c r="W10" s="599">
        <f t="shared" si="31"/>
        <v>0</v>
      </c>
      <c r="X10" s="599">
        <f t="shared" si="31"/>
        <v>0</v>
      </c>
      <c r="Y10" s="599">
        <f t="shared" si="31"/>
        <v>0</v>
      </c>
      <c r="Z10" s="599">
        <f t="shared" si="31"/>
        <v>0</v>
      </c>
      <c r="AA10" s="599">
        <f t="shared" si="31"/>
        <v>0</v>
      </c>
      <c r="AB10" s="599">
        <f t="shared" si="31"/>
        <v>0</v>
      </c>
      <c r="AC10" s="599">
        <f t="shared" si="31"/>
        <v>0</v>
      </c>
      <c r="AD10" s="599">
        <f t="shared" si="31"/>
        <v>0</v>
      </c>
      <c r="AE10" s="599">
        <f t="shared" si="31"/>
        <v>0</v>
      </c>
      <c r="AF10" s="599">
        <f t="shared" si="31"/>
        <v>0</v>
      </c>
      <c r="AG10" s="599">
        <f t="shared" si="31"/>
        <v>1084.5315475</v>
      </c>
      <c r="AH10" s="599">
        <f t="shared" si="31"/>
        <v>2169.063095</v>
      </c>
      <c r="AI10" s="599">
        <f t="shared" si="31"/>
        <v>3253.5946425000002</v>
      </c>
      <c r="AJ10" s="599">
        <f t="shared" si="31"/>
        <v>4338.12619</v>
      </c>
      <c r="AK10" s="599">
        <f t="shared" si="31"/>
        <v>5422.6577374999997</v>
      </c>
      <c r="AL10" s="599">
        <f t="shared" si="31"/>
        <v>6507.1892850000004</v>
      </c>
      <c r="AM10" s="599">
        <f t="shared" si="31"/>
        <v>7591.7208325000001</v>
      </c>
      <c r="AN10" s="599">
        <f t="shared" si="31"/>
        <v>8676.2523799999999</v>
      </c>
      <c r="AO10" s="599">
        <f t="shared" si="31"/>
        <v>9543.8776179999986</v>
      </c>
      <c r="AP10" s="599">
        <f t="shared" si="31"/>
        <v>10628.409165499997</v>
      </c>
      <c r="AQ10" s="599">
        <f t="shared" si="31"/>
        <v>10845.315474999999</v>
      </c>
      <c r="AR10" s="599">
        <f t="shared" si="31"/>
        <v>10845.315474999999</v>
      </c>
      <c r="AS10" s="599">
        <f t="shared" si="31"/>
        <v>11170.674939249999</v>
      </c>
      <c r="AT10" s="599">
        <f t="shared" si="31"/>
        <v>11170.674939249999</v>
      </c>
      <c r="AU10" s="599">
        <f t="shared" si="31"/>
        <v>11170.674939249999</v>
      </c>
      <c r="AV10" s="599">
        <f t="shared" si="31"/>
        <v>11170.674939249999</v>
      </c>
      <c r="AW10" s="599">
        <f t="shared" si="31"/>
        <v>11170.674939249999</v>
      </c>
      <c r="AX10" s="599">
        <f t="shared" si="31"/>
        <v>11170.674939249999</v>
      </c>
      <c r="AY10" s="599">
        <f t="shared" si="31"/>
        <v>11170.674939249999</v>
      </c>
      <c r="AZ10" s="599">
        <f t="shared" si="31"/>
        <v>11170.674939249999</v>
      </c>
      <c r="BA10" s="599">
        <f t="shared" si="31"/>
        <v>11170.674939249999</v>
      </c>
      <c r="BB10" s="599">
        <f t="shared" si="31"/>
        <v>11170.674939249999</v>
      </c>
      <c r="BC10" s="599">
        <f t="shared" si="31"/>
        <v>11170.674939249999</v>
      </c>
      <c r="BD10" s="599">
        <f t="shared" si="31"/>
        <v>11170.674939249999</v>
      </c>
      <c r="BE10" s="599">
        <f t="shared" si="31"/>
        <v>11505.795187427499</v>
      </c>
      <c r="BF10" s="599">
        <f t="shared" si="31"/>
        <v>11505.795187427499</v>
      </c>
      <c r="BG10" s="599">
        <f t="shared" si="31"/>
        <v>11505.795187427499</v>
      </c>
      <c r="BH10" s="599">
        <f t="shared" si="31"/>
        <v>11505.795187427499</v>
      </c>
      <c r="BI10" s="599">
        <f t="shared" si="31"/>
        <v>11505.795187427499</v>
      </c>
      <c r="BJ10" s="599">
        <f t="shared" si="31"/>
        <v>11505.795187427499</v>
      </c>
      <c r="BK10" s="599">
        <f t="shared" si="31"/>
        <v>11505.795187427499</v>
      </c>
      <c r="BL10" s="599">
        <f t="shared" si="31"/>
        <v>11505.795187427499</v>
      </c>
      <c r="BM10" s="599">
        <f t="shared" si="31"/>
        <v>11505.795187427499</v>
      </c>
      <c r="BN10" s="599">
        <f t="shared" si="31"/>
        <v>11505.795187427499</v>
      </c>
      <c r="BO10" s="599">
        <f t="shared" si="31"/>
        <v>11505.795187427499</v>
      </c>
      <c r="BP10" s="599">
        <f t="shared" si="31"/>
        <v>11505.795187427499</v>
      </c>
      <c r="BQ10" s="599">
        <f t="shared" si="31"/>
        <v>11850.969043050323</v>
      </c>
      <c r="BR10" s="599">
        <f t="shared" si="31"/>
        <v>11850.969043050323</v>
      </c>
      <c r="BS10" s="599">
        <f t="shared" si="31"/>
        <v>11850.969043050323</v>
      </c>
      <c r="BT10" s="599">
        <f t="shared" si="31"/>
        <v>11850.969043050323</v>
      </c>
      <c r="BU10" s="599">
        <f t="shared" ref="BU10:EF11" si="32">IF(BU$5&gt;$E$4+12,0,IF(BU$3&lt;$C$4,0,ROUNDUP(BU$6*$C10,1)*$F10*(1+$G$10)^(BU$4)))</f>
        <v>11850.969043050323</v>
      </c>
      <c r="BV10" s="599">
        <f t="shared" si="32"/>
        <v>11850.969043050323</v>
      </c>
      <c r="BW10" s="599">
        <f t="shared" si="32"/>
        <v>11850.969043050323</v>
      </c>
      <c r="BX10" s="599">
        <f t="shared" si="32"/>
        <v>11850.969043050323</v>
      </c>
      <c r="BY10" s="599">
        <f t="shared" si="32"/>
        <v>11850.969043050323</v>
      </c>
      <c r="BZ10" s="599">
        <f t="shared" si="32"/>
        <v>11850.969043050323</v>
      </c>
      <c r="CA10" s="599">
        <f t="shared" si="32"/>
        <v>11850.969043050323</v>
      </c>
      <c r="CB10" s="599">
        <f t="shared" si="32"/>
        <v>11850.969043050323</v>
      </c>
      <c r="CC10" s="599">
        <f t="shared" si="32"/>
        <v>0</v>
      </c>
      <c r="CD10" s="599">
        <f t="shared" si="32"/>
        <v>0</v>
      </c>
      <c r="CE10" s="599">
        <f t="shared" si="32"/>
        <v>0</v>
      </c>
      <c r="CF10" s="599">
        <f t="shared" si="32"/>
        <v>0</v>
      </c>
      <c r="CG10" s="599">
        <f t="shared" si="32"/>
        <v>0</v>
      </c>
      <c r="CH10" s="599">
        <f t="shared" si="32"/>
        <v>0</v>
      </c>
      <c r="CI10" s="599">
        <f t="shared" si="32"/>
        <v>0</v>
      </c>
      <c r="CJ10" s="599">
        <f t="shared" si="32"/>
        <v>0</v>
      </c>
      <c r="CK10" s="599">
        <f t="shared" si="32"/>
        <v>0</v>
      </c>
      <c r="CL10" s="599">
        <f t="shared" si="32"/>
        <v>0</v>
      </c>
      <c r="CM10" s="599">
        <f t="shared" si="32"/>
        <v>0</v>
      </c>
      <c r="CN10" s="599">
        <f t="shared" si="32"/>
        <v>0</v>
      </c>
      <c r="CO10" s="599">
        <f t="shared" si="32"/>
        <v>0</v>
      </c>
      <c r="CP10" s="599">
        <f t="shared" si="32"/>
        <v>0</v>
      </c>
      <c r="CQ10" s="599">
        <f t="shared" si="32"/>
        <v>0</v>
      </c>
      <c r="CR10" s="599">
        <f t="shared" si="32"/>
        <v>0</v>
      </c>
      <c r="CS10" s="599">
        <f t="shared" si="32"/>
        <v>0</v>
      </c>
      <c r="CT10" s="599">
        <f t="shared" si="32"/>
        <v>0</v>
      </c>
      <c r="CU10" s="599">
        <f t="shared" si="32"/>
        <v>0</v>
      </c>
      <c r="CV10" s="599">
        <f t="shared" si="32"/>
        <v>0</v>
      </c>
      <c r="CW10" s="599">
        <f t="shared" si="32"/>
        <v>0</v>
      </c>
      <c r="CX10" s="599">
        <f t="shared" si="32"/>
        <v>0</v>
      </c>
      <c r="CY10" s="599">
        <f t="shared" si="32"/>
        <v>0</v>
      </c>
      <c r="CZ10" s="599">
        <f t="shared" si="32"/>
        <v>0</v>
      </c>
      <c r="DA10" s="599">
        <f t="shared" si="32"/>
        <v>0</v>
      </c>
      <c r="DB10" s="599">
        <f t="shared" si="32"/>
        <v>0</v>
      </c>
      <c r="DC10" s="599">
        <f t="shared" si="32"/>
        <v>0</v>
      </c>
      <c r="DD10" s="599">
        <f t="shared" si="32"/>
        <v>0</v>
      </c>
      <c r="DE10" s="599">
        <f t="shared" si="32"/>
        <v>0</v>
      </c>
      <c r="DF10" s="599">
        <f t="shared" si="32"/>
        <v>0</v>
      </c>
      <c r="DG10" s="599">
        <f t="shared" si="32"/>
        <v>0</v>
      </c>
      <c r="DH10" s="599">
        <f t="shared" si="32"/>
        <v>0</v>
      </c>
      <c r="DI10" s="599">
        <f t="shared" si="32"/>
        <v>0</v>
      </c>
      <c r="DJ10" s="599">
        <f t="shared" si="32"/>
        <v>0</v>
      </c>
      <c r="DK10" s="599">
        <f t="shared" si="32"/>
        <v>0</v>
      </c>
      <c r="DL10" s="599">
        <f t="shared" si="32"/>
        <v>0</v>
      </c>
      <c r="DM10" s="599">
        <f t="shared" si="32"/>
        <v>0</v>
      </c>
      <c r="DN10" s="599">
        <f t="shared" si="32"/>
        <v>0</v>
      </c>
      <c r="DO10" s="599">
        <f t="shared" si="32"/>
        <v>0</v>
      </c>
      <c r="DP10" s="599">
        <f t="shared" si="32"/>
        <v>0</v>
      </c>
      <c r="DQ10" s="599">
        <f t="shared" si="32"/>
        <v>0</v>
      </c>
      <c r="DR10" s="599">
        <f t="shared" si="32"/>
        <v>0</v>
      </c>
      <c r="DS10" s="599">
        <f t="shared" si="32"/>
        <v>0</v>
      </c>
      <c r="DT10" s="599">
        <f t="shared" si="32"/>
        <v>0</v>
      </c>
      <c r="DU10" s="599">
        <f t="shared" si="32"/>
        <v>0</v>
      </c>
      <c r="DV10" s="599">
        <f t="shared" si="32"/>
        <v>0</v>
      </c>
      <c r="DW10" s="599">
        <f t="shared" si="32"/>
        <v>0</v>
      </c>
      <c r="DX10" s="599">
        <f t="shared" si="32"/>
        <v>0</v>
      </c>
      <c r="DY10" s="599">
        <f t="shared" si="32"/>
        <v>0</v>
      </c>
      <c r="DZ10" s="599">
        <f t="shared" si="32"/>
        <v>0</v>
      </c>
      <c r="EA10" s="599">
        <f t="shared" si="32"/>
        <v>0</v>
      </c>
      <c r="EB10" s="599">
        <f t="shared" si="32"/>
        <v>0</v>
      </c>
      <c r="EC10" s="599">
        <f t="shared" si="32"/>
        <v>0</v>
      </c>
      <c r="ED10" s="599">
        <f t="shared" si="32"/>
        <v>0</v>
      </c>
      <c r="EE10" s="599">
        <f t="shared" si="32"/>
        <v>0</v>
      </c>
      <c r="EF10" s="599">
        <f t="shared" si="32"/>
        <v>0</v>
      </c>
      <c r="EG10" s="599">
        <f t="shared" ref="EG10:EJ11" si="33">IF(EG$5&gt;$E$4+12,0,IF(EG$3&lt;$C$4,0,ROUNDUP(EG$6*$C10,1)*$F10*(1+$G$10)^(EG$4)))</f>
        <v>0</v>
      </c>
      <c r="EH10" s="599">
        <f t="shared" si="33"/>
        <v>0</v>
      </c>
      <c r="EI10" s="599">
        <f t="shared" si="33"/>
        <v>0</v>
      </c>
      <c r="EJ10" s="1117">
        <f t="shared" si="33"/>
        <v>0</v>
      </c>
    </row>
    <row r="11" spans="1:140" x14ac:dyDescent="0.25">
      <c r="A11" s="6"/>
      <c r="B11" s="1015" t="str">
        <f>'Unit Mix'!C8</f>
        <v>1 Bed 1 Bath</v>
      </c>
      <c r="C11" s="1016">
        <f>'Unit Mix'!D8</f>
        <v>67</v>
      </c>
      <c r="D11" s="1017">
        <f>'Unit Mix'!E8</f>
        <v>594.37</v>
      </c>
      <c r="E11" s="1018">
        <f>'Unit Mix'!H8</f>
        <v>4.1977219577031146</v>
      </c>
      <c r="F11" s="996">
        <f>'Unit Mix'!G8</f>
        <v>2495</v>
      </c>
      <c r="G11" s="1072"/>
      <c r="H11" s="1115">
        <f>IF(H$5&gt;$E$4+12,0,IF(H$3&lt;$C$4,0,ROUNDUP(H$6*$C11,1)*$F11*(1+$G$10)^(H$4)))</f>
        <v>0</v>
      </c>
      <c r="I11" s="599">
        <f t="shared" si="31"/>
        <v>0</v>
      </c>
      <c r="J11" s="599">
        <f t="shared" si="31"/>
        <v>0</v>
      </c>
      <c r="K11" s="599">
        <f t="shared" si="31"/>
        <v>0</v>
      </c>
      <c r="L11" s="599">
        <f t="shared" si="31"/>
        <v>0</v>
      </c>
      <c r="M11" s="599">
        <f t="shared" si="31"/>
        <v>0</v>
      </c>
      <c r="N11" s="599">
        <f t="shared" si="31"/>
        <v>0</v>
      </c>
      <c r="O11" s="599">
        <f t="shared" si="31"/>
        <v>0</v>
      </c>
      <c r="P11" s="599">
        <f t="shared" si="31"/>
        <v>0</v>
      </c>
      <c r="Q11" s="599">
        <f t="shared" si="31"/>
        <v>0</v>
      </c>
      <c r="R11" s="599">
        <f t="shared" si="31"/>
        <v>0</v>
      </c>
      <c r="S11" s="599">
        <f t="shared" si="31"/>
        <v>0</v>
      </c>
      <c r="T11" s="599">
        <f t="shared" si="31"/>
        <v>0</v>
      </c>
      <c r="U11" s="599">
        <f t="shared" si="31"/>
        <v>0</v>
      </c>
      <c r="V11" s="599">
        <f t="shared" si="31"/>
        <v>0</v>
      </c>
      <c r="W11" s="599">
        <f t="shared" si="31"/>
        <v>0</v>
      </c>
      <c r="X11" s="599">
        <f t="shared" si="31"/>
        <v>0</v>
      </c>
      <c r="Y11" s="599">
        <f t="shared" si="31"/>
        <v>0</v>
      </c>
      <c r="Z11" s="599">
        <f t="shared" si="31"/>
        <v>0</v>
      </c>
      <c r="AA11" s="599">
        <f t="shared" si="31"/>
        <v>0</v>
      </c>
      <c r="AB11" s="599">
        <f t="shared" si="31"/>
        <v>0</v>
      </c>
      <c r="AC11" s="599">
        <f t="shared" si="31"/>
        <v>0</v>
      </c>
      <c r="AD11" s="599">
        <f t="shared" si="31"/>
        <v>0</v>
      </c>
      <c r="AE11" s="599">
        <f t="shared" si="31"/>
        <v>0</v>
      </c>
      <c r="AF11" s="599">
        <f t="shared" si="31"/>
        <v>0</v>
      </c>
      <c r="AG11" s="599">
        <f t="shared" si="31"/>
        <v>17993.935508999999</v>
      </c>
      <c r="AH11" s="599">
        <f t="shared" si="31"/>
        <v>35715.2356315</v>
      </c>
      <c r="AI11" s="599">
        <f t="shared" si="31"/>
        <v>53709.17114050001</v>
      </c>
      <c r="AJ11" s="599">
        <f t="shared" si="31"/>
        <v>71430.471263000014</v>
      </c>
      <c r="AK11" s="599">
        <f t="shared" si="31"/>
        <v>89151.771385500004</v>
      </c>
      <c r="AL11" s="599">
        <f t="shared" si="31"/>
        <v>107145.70689450002</v>
      </c>
      <c r="AM11" s="599">
        <f t="shared" si="31"/>
        <v>124867.00701700001</v>
      </c>
      <c r="AN11" s="599">
        <f t="shared" si="31"/>
        <v>142588.30713950002</v>
      </c>
      <c r="AO11" s="599">
        <f t="shared" si="31"/>
        <v>160582.24264849999</v>
      </c>
      <c r="AP11" s="599">
        <f t="shared" si="31"/>
        <v>178303.54277099998</v>
      </c>
      <c r="AQ11" s="599">
        <f t="shared" si="31"/>
        <v>182665.70895500001</v>
      </c>
      <c r="AR11" s="599">
        <f t="shared" si="31"/>
        <v>182665.70895500001</v>
      </c>
      <c r="AS11" s="599">
        <f t="shared" si="31"/>
        <v>188145.68022364998</v>
      </c>
      <c r="AT11" s="599">
        <f t="shared" si="31"/>
        <v>188145.68022364998</v>
      </c>
      <c r="AU11" s="599">
        <f t="shared" si="31"/>
        <v>188145.68022364998</v>
      </c>
      <c r="AV11" s="599">
        <f t="shared" si="31"/>
        <v>188145.68022364998</v>
      </c>
      <c r="AW11" s="599">
        <f t="shared" si="31"/>
        <v>188145.68022364998</v>
      </c>
      <c r="AX11" s="599">
        <f t="shared" si="31"/>
        <v>188145.68022364998</v>
      </c>
      <c r="AY11" s="599">
        <f t="shared" si="31"/>
        <v>188145.68022364998</v>
      </c>
      <c r="AZ11" s="599">
        <f t="shared" si="31"/>
        <v>188145.68022364998</v>
      </c>
      <c r="BA11" s="599">
        <f t="shared" si="31"/>
        <v>188145.68022364998</v>
      </c>
      <c r="BB11" s="599">
        <f t="shared" si="31"/>
        <v>188145.68022364998</v>
      </c>
      <c r="BC11" s="599">
        <f t="shared" si="31"/>
        <v>188145.68022364998</v>
      </c>
      <c r="BD11" s="599">
        <f t="shared" si="31"/>
        <v>188145.68022364998</v>
      </c>
      <c r="BE11" s="599">
        <f t="shared" si="31"/>
        <v>193790.05063035947</v>
      </c>
      <c r="BF11" s="599">
        <f t="shared" si="31"/>
        <v>193790.05063035947</v>
      </c>
      <c r="BG11" s="599">
        <f t="shared" si="31"/>
        <v>193790.05063035947</v>
      </c>
      <c r="BH11" s="599">
        <f t="shared" si="31"/>
        <v>193790.05063035947</v>
      </c>
      <c r="BI11" s="599">
        <f t="shared" si="31"/>
        <v>193790.05063035947</v>
      </c>
      <c r="BJ11" s="599">
        <f t="shared" si="31"/>
        <v>193790.05063035947</v>
      </c>
      <c r="BK11" s="599">
        <f t="shared" si="31"/>
        <v>193790.05063035947</v>
      </c>
      <c r="BL11" s="599">
        <f t="shared" si="31"/>
        <v>193790.05063035947</v>
      </c>
      <c r="BM11" s="599">
        <f t="shared" si="31"/>
        <v>193790.05063035947</v>
      </c>
      <c r="BN11" s="599">
        <f t="shared" si="31"/>
        <v>193790.05063035947</v>
      </c>
      <c r="BO11" s="599">
        <f t="shared" si="31"/>
        <v>193790.05063035947</v>
      </c>
      <c r="BP11" s="599">
        <f t="shared" si="31"/>
        <v>193790.05063035947</v>
      </c>
      <c r="BQ11" s="599">
        <f t="shared" si="31"/>
        <v>199603.75214927027</v>
      </c>
      <c r="BR11" s="599">
        <f t="shared" si="31"/>
        <v>199603.75214927027</v>
      </c>
      <c r="BS11" s="599">
        <f t="shared" si="31"/>
        <v>199603.75214927027</v>
      </c>
      <c r="BT11" s="599">
        <f t="shared" si="31"/>
        <v>199603.75214927027</v>
      </c>
      <c r="BU11" s="599">
        <f t="shared" si="32"/>
        <v>199603.75214927027</v>
      </c>
      <c r="BV11" s="599">
        <f t="shared" si="32"/>
        <v>199603.75214927027</v>
      </c>
      <c r="BW11" s="599">
        <f t="shared" si="32"/>
        <v>199603.75214927027</v>
      </c>
      <c r="BX11" s="599">
        <f t="shared" si="32"/>
        <v>199603.75214927027</v>
      </c>
      <c r="BY11" s="599">
        <f t="shared" si="32"/>
        <v>199603.75214927027</v>
      </c>
      <c r="BZ11" s="599">
        <f t="shared" si="32"/>
        <v>199603.75214927027</v>
      </c>
      <c r="CA11" s="599">
        <f t="shared" si="32"/>
        <v>199603.75214927027</v>
      </c>
      <c r="CB11" s="599">
        <f t="shared" si="32"/>
        <v>199603.75214927027</v>
      </c>
      <c r="CC11" s="599">
        <f t="shared" si="32"/>
        <v>0</v>
      </c>
      <c r="CD11" s="599">
        <f t="shared" si="32"/>
        <v>0</v>
      </c>
      <c r="CE11" s="599">
        <f t="shared" si="32"/>
        <v>0</v>
      </c>
      <c r="CF11" s="599">
        <f t="shared" si="32"/>
        <v>0</v>
      </c>
      <c r="CG11" s="599">
        <f t="shared" si="32"/>
        <v>0</v>
      </c>
      <c r="CH11" s="599">
        <f t="shared" si="32"/>
        <v>0</v>
      </c>
      <c r="CI11" s="599">
        <f t="shared" si="32"/>
        <v>0</v>
      </c>
      <c r="CJ11" s="599">
        <f t="shared" si="32"/>
        <v>0</v>
      </c>
      <c r="CK11" s="599">
        <f t="shared" si="32"/>
        <v>0</v>
      </c>
      <c r="CL11" s="599">
        <f t="shared" si="32"/>
        <v>0</v>
      </c>
      <c r="CM11" s="599">
        <f t="shared" si="32"/>
        <v>0</v>
      </c>
      <c r="CN11" s="599">
        <f t="shared" si="32"/>
        <v>0</v>
      </c>
      <c r="CO11" s="599">
        <f t="shared" si="32"/>
        <v>0</v>
      </c>
      <c r="CP11" s="599">
        <f t="shared" si="32"/>
        <v>0</v>
      </c>
      <c r="CQ11" s="599">
        <f t="shared" si="32"/>
        <v>0</v>
      </c>
      <c r="CR11" s="599">
        <f t="shared" si="32"/>
        <v>0</v>
      </c>
      <c r="CS11" s="599">
        <f t="shared" si="32"/>
        <v>0</v>
      </c>
      <c r="CT11" s="599">
        <f t="shared" si="32"/>
        <v>0</v>
      </c>
      <c r="CU11" s="599">
        <f t="shared" si="32"/>
        <v>0</v>
      </c>
      <c r="CV11" s="599">
        <f t="shared" si="32"/>
        <v>0</v>
      </c>
      <c r="CW11" s="599">
        <f t="shared" si="32"/>
        <v>0</v>
      </c>
      <c r="CX11" s="599">
        <f t="shared" si="32"/>
        <v>0</v>
      </c>
      <c r="CY11" s="599">
        <f t="shared" si="32"/>
        <v>0</v>
      </c>
      <c r="CZ11" s="599">
        <f t="shared" si="32"/>
        <v>0</v>
      </c>
      <c r="DA11" s="599">
        <f t="shared" si="32"/>
        <v>0</v>
      </c>
      <c r="DB11" s="599">
        <f t="shared" si="32"/>
        <v>0</v>
      </c>
      <c r="DC11" s="599">
        <f t="shared" si="32"/>
        <v>0</v>
      </c>
      <c r="DD11" s="599">
        <f t="shared" si="32"/>
        <v>0</v>
      </c>
      <c r="DE11" s="599">
        <f t="shared" si="32"/>
        <v>0</v>
      </c>
      <c r="DF11" s="599">
        <f t="shared" si="32"/>
        <v>0</v>
      </c>
      <c r="DG11" s="599">
        <f t="shared" si="32"/>
        <v>0</v>
      </c>
      <c r="DH11" s="599">
        <f t="shared" si="32"/>
        <v>0</v>
      </c>
      <c r="DI11" s="599">
        <f t="shared" si="32"/>
        <v>0</v>
      </c>
      <c r="DJ11" s="599">
        <f t="shared" si="32"/>
        <v>0</v>
      </c>
      <c r="DK11" s="599">
        <f t="shared" si="32"/>
        <v>0</v>
      </c>
      <c r="DL11" s="599">
        <f t="shared" si="32"/>
        <v>0</v>
      </c>
      <c r="DM11" s="599">
        <f t="shared" si="32"/>
        <v>0</v>
      </c>
      <c r="DN11" s="599">
        <f t="shared" si="32"/>
        <v>0</v>
      </c>
      <c r="DO11" s="599">
        <f t="shared" si="32"/>
        <v>0</v>
      </c>
      <c r="DP11" s="599">
        <f t="shared" si="32"/>
        <v>0</v>
      </c>
      <c r="DQ11" s="599">
        <f t="shared" si="32"/>
        <v>0</v>
      </c>
      <c r="DR11" s="599">
        <f t="shared" si="32"/>
        <v>0</v>
      </c>
      <c r="DS11" s="599">
        <f t="shared" si="32"/>
        <v>0</v>
      </c>
      <c r="DT11" s="599">
        <f t="shared" si="32"/>
        <v>0</v>
      </c>
      <c r="DU11" s="599">
        <f t="shared" si="32"/>
        <v>0</v>
      </c>
      <c r="DV11" s="599">
        <f t="shared" si="32"/>
        <v>0</v>
      </c>
      <c r="DW11" s="599">
        <f t="shared" si="32"/>
        <v>0</v>
      </c>
      <c r="DX11" s="599">
        <f t="shared" si="32"/>
        <v>0</v>
      </c>
      <c r="DY11" s="599">
        <f t="shared" si="32"/>
        <v>0</v>
      </c>
      <c r="DZ11" s="599">
        <f t="shared" si="32"/>
        <v>0</v>
      </c>
      <c r="EA11" s="599">
        <f t="shared" si="32"/>
        <v>0</v>
      </c>
      <c r="EB11" s="599">
        <f t="shared" si="32"/>
        <v>0</v>
      </c>
      <c r="EC11" s="599">
        <f t="shared" si="32"/>
        <v>0</v>
      </c>
      <c r="ED11" s="599">
        <f t="shared" si="32"/>
        <v>0</v>
      </c>
      <c r="EE11" s="599">
        <f t="shared" si="32"/>
        <v>0</v>
      </c>
      <c r="EF11" s="599">
        <f t="shared" si="32"/>
        <v>0</v>
      </c>
      <c r="EG11" s="599">
        <f t="shared" si="33"/>
        <v>0</v>
      </c>
      <c r="EH11" s="599">
        <f t="shared" si="33"/>
        <v>0</v>
      </c>
      <c r="EI11" s="599">
        <f t="shared" si="33"/>
        <v>0</v>
      </c>
      <c r="EJ11" s="1117">
        <f t="shared" si="33"/>
        <v>0</v>
      </c>
    </row>
    <row r="12" spans="1:140" x14ac:dyDescent="0.25">
      <c r="A12" s="6"/>
      <c r="B12" s="1015" t="str">
        <f>'Unit Mix'!C9</f>
        <v>2 Bed 2 Bath</v>
      </c>
      <c r="C12" s="1016">
        <f>'Unit Mix'!D9</f>
        <v>10</v>
      </c>
      <c r="D12" s="1017">
        <f>'Unit Mix'!E9</f>
        <v>948.5</v>
      </c>
      <c r="E12" s="1018">
        <f>'Unit Mix'!H9</f>
        <v>3.4739061676331051</v>
      </c>
      <c r="F12" s="996">
        <f>'Unit Mix'!G9</f>
        <v>3295</v>
      </c>
      <c r="G12" s="1072"/>
      <c r="H12" s="1115">
        <f t="shared" ref="H12:DY12" si="34">IF(H$5&gt;$E$4+12,0,IF(H$3&lt;$C$4,0,ROUNDUP(H$6*$C12,1)*$F12*(1+$G$10)^(H$4-1)))</f>
        <v>0</v>
      </c>
      <c r="I12" s="599">
        <f t="shared" si="34"/>
        <v>0</v>
      </c>
      <c r="J12" s="599">
        <f t="shared" si="34"/>
        <v>0</v>
      </c>
      <c r="K12" s="599">
        <f t="shared" si="34"/>
        <v>0</v>
      </c>
      <c r="L12" s="599">
        <f t="shared" si="34"/>
        <v>0</v>
      </c>
      <c r="M12" s="599">
        <f t="shared" si="34"/>
        <v>0</v>
      </c>
      <c r="N12" s="599">
        <f t="shared" si="34"/>
        <v>0</v>
      </c>
      <c r="O12" s="599">
        <f t="shared" si="34"/>
        <v>0</v>
      </c>
      <c r="P12" s="599">
        <f t="shared" si="34"/>
        <v>0</v>
      </c>
      <c r="Q12" s="599">
        <f t="shared" si="34"/>
        <v>0</v>
      </c>
      <c r="R12" s="599">
        <f t="shared" si="34"/>
        <v>0</v>
      </c>
      <c r="S12" s="599">
        <f t="shared" si="34"/>
        <v>0</v>
      </c>
      <c r="T12" s="599">
        <f t="shared" si="34"/>
        <v>0</v>
      </c>
      <c r="U12" s="599">
        <f t="shared" si="34"/>
        <v>0</v>
      </c>
      <c r="V12" s="599">
        <f t="shared" si="34"/>
        <v>0</v>
      </c>
      <c r="W12" s="599">
        <f t="shared" si="34"/>
        <v>0</v>
      </c>
      <c r="X12" s="599">
        <f t="shared" si="34"/>
        <v>0</v>
      </c>
      <c r="Y12" s="599">
        <f t="shared" si="34"/>
        <v>0</v>
      </c>
      <c r="Z12" s="599">
        <f t="shared" si="34"/>
        <v>0</v>
      </c>
      <c r="AA12" s="599">
        <f t="shared" si="34"/>
        <v>0</v>
      </c>
      <c r="AB12" s="599">
        <f t="shared" si="34"/>
        <v>0</v>
      </c>
      <c r="AC12" s="599">
        <f t="shared" si="34"/>
        <v>0</v>
      </c>
      <c r="AD12" s="599">
        <f t="shared" si="34"/>
        <v>0</v>
      </c>
      <c r="AE12" s="599">
        <f t="shared" si="34"/>
        <v>0</v>
      </c>
      <c r="AF12" s="599">
        <f t="shared" si="34"/>
        <v>0</v>
      </c>
      <c r="AG12" s="599">
        <f t="shared" si="34"/>
        <v>3495.6655000000001</v>
      </c>
      <c r="AH12" s="599">
        <f t="shared" si="34"/>
        <v>6991.3310000000001</v>
      </c>
      <c r="AI12" s="599">
        <f t="shared" si="34"/>
        <v>10486.996499999999</v>
      </c>
      <c r="AJ12" s="599">
        <f t="shared" si="34"/>
        <v>13982.662</v>
      </c>
      <c r="AK12" s="599">
        <f t="shared" si="34"/>
        <v>17128.760949999996</v>
      </c>
      <c r="AL12" s="599">
        <f t="shared" si="34"/>
        <v>20624.426449999999</v>
      </c>
      <c r="AM12" s="599">
        <f t="shared" si="34"/>
        <v>24120.091949999998</v>
      </c>
      <c r="AN12" s="599">
        <f t="shared" si="34"/>
        <v>27615.757449999997</v>
      </c>
      <c r="AO12" s="599">
        <f t="shared" si="34"/>
        <v>30761.856399999993</v>
      </c>
      <c r="AP12" s="599">
        <f t="shared" si="34"/>
        <v>34257.521899999992</v>
      </c>
      <c r="AQ12" s="599">
        <f t="shared" si="34"/>
        <v>34956.654999999999</v>
      </c>
      <c r="AR12" s="599">
        <f t="shared" si="34"/>
        <v>34956.654999999999</v>
      </c>
      <c r="AS12" s="599">
        <f t="shared" si="34"/>
        <v>36005.354650000001</v>
      </c>
      <c r="AT12" s="599">
        <f t="shared" si="34"/>
        <v>36005.354650000001</v>
      </c>
      <c r="AU12" s="599">
        <f t="shared" si="34"/>
        <v>36005.354650000001</v>
      </c>
      <c r="AV12" s="599">
        <f t="shared" si="34"/>
        <v>36005.354650000001</v>
      </c>
      <c r="AW12" s="599">
        <f t="shared" si="34"/>
        <v>36005.354650000001</v>
      </c>
      <c r="AX12" s="599">
        <f t="shared" si="34"/>
        <v>36005.354650000001</v>
      </c>
      <c r="AY12" s="599">
        <f t="shared" si="34"/>
        <v>36005.354650000001</v>
      </c>
      <c r="AZ12" s="599">
        <f t="shared" si="34"/>
        <v>36005.354650000001</v>
      </c>
      <c r="BA12" s="599">
        <f t="shared" si="34"/>
        <v>36005.354650000001</v>
      </c>
      <c r="BB12" s="599">
        <f t="shared" si="34"/>
        <v>36005.354650000001</v>
      </c>
      <c r="BC12" s="599">
        <f t="shared" si="34"/>
        <v>36005.354650000001</v>
      </c>
      <c r="BD12" s="599">
        <f t="shared" si="34"/>
        <v>36005.354650000001</v>
      </c>
      <c r="BE12" s="599">
        <f t="shared" si="34"/>
        <v>37085.515289499999</v>
      </c>
      <c r="BF12" s="599">
        <f t="shared" si="34"/>
        <v>37085.515289499999</v>
      </c>
      <c r="BG12" s="599">
        <f t="shared" si="34"/>
        <v>37085.515289499999</v>
      </c>
      <c r="BH12" s="599">
        <f t="shared" si="34"/>
        <v>37085.515289499999</v>
      </c>
      <c r="BI12" s="599">
        <f t="shared" si="34"/>
        <v>37085.515289499999</v>
      </c>
      <c r="BJ12" s="599">
        <f t="shared" si="34"/>
        <v>37085.515289499999</v>
      </c>
      <c r="BK12" s="599">
        <f t="shared" si="34"/>
        <v>37085.515289499999</v>
      </c>
      <c r="BL12" s="599">
        <f t="shared" si="34"/>
        <v>37085.515289499999</v>
      </c>
      <c r="BM12" s="599">
        <f t="shared" si="34"/>
        <v>37085.515289499999</v>
      </c>
      <c r="BN12" s="599">
        <f t="shared" si="34"/>
        <v>37085.515289499999</v>
      </c>
      <c r="BO12" s="599">
        <f t="shared" si="34"/>
        <v>37085.515289499999</v>
      </c>
      <c r="BP12" s="599">
        <f t="shared" si="34"/>
        <v>37085.515289499999</v>
      </c>
      <c r="BQ12" s="599">
        <f t="shared" si="34"/>
        <v>38198.080748184992</v>
      </c>
      <c r="BR12" s="599">
        <f t="shared" si="34"/>
        <v>38198.080748184992</v>
      </c>
      <c r="BS12" s="599">
        <f t="shared" si="34"/>
        <v>38198.080748184992</v>
      </c>
      <c r="BT12" s="599">
        <f t="shared" si="34"/>
        <v>38198.080748184992</v>
      </c>
      <c r="BU12" s="599">
        <f t="shared" si="34"/>
        <v>38198.080748184992</v>
      </c>
      <c r="BV12" s="599">
        <f t="shared" si="34"/>
        <v>38198.080748184992</v>
      </c>
      <c r="BW12" s="599">
        <f t="shared" si="34"/>
        <v>38198.080748184992</v>
      </c>
      <c r="BX12" s="599">
        <f t="shared" si="34"/>
        <v>38198.080748184992</v>
      </c>
      <c r="BY12" s="599">
        <f t="shared" si="34"/>
        <v>38198.080748184992</v>
      </c>
      <c r="BZ12" s="599">
        <f t="shared" si="34"/>
        <v>38198.080748184992</v>
      </c>
      <c r="CA12" s="599">
        <f t="shared" si="34"/>
        <v>38198.080748184992</v>
      </c>
      <c r="CB12" s="599">
        <f t="shared" si="34"/>
        <v>38198.080748184992</v>
      </c>
      <c r="CC12" s="599">
        <f t="shared" si="34"/>
        <v>0</v>
      </c>
      <c r="CD12" s="599">
        <f t="shared" si="34"/>
        <v>0</v>
      </c>
      <c r="CE12" s="599">
        <f t="shared" si="34"/>
        <v>0</v>
      </c>
      <c r="CF12" s="599">
        <f t="shared" si="34"/>
        <v>0</v>
      </c>
      <c r="CG12" s="599">
        <f t="shared" si="34"/>
        <v>0</v>
      </c>
      <c r="CH12" s="599">
        <f t="shared" si="34"/>
        <v>0</v>
      </c>
      <c r="CI12" s="599">
        <f t="shared" si="34"/>
        <v>0</v>
      </c>
      <c r="CJ12" s="599">
        <f t="shared" si="34"/>
        <v>0</v>
      </c>
      <c r="CK12" s="599">
        <f t="shared" si="34"/>
        <v>0</v>
      </c>
      <c r="CL12" s="599">
        <f t="shared" si="34"/>
        <v>0</v>
      </c>
      <c r="CM12" s="599">
        <f t="shared" si="34"/>
        <v>0</v>
      </c>
      <c r="CN12" s="599">
        <f t="shared" si="34"/>
        <v>0</v>
      </c>
      <c r="CO12" s="599">
        <f t="shared" si="34"/>
        <v>0</v>
      </c>
      <c r="CP12" s="599">
        <f t="shared" si="34"/>
        <v>0</v>
      </c>
      <c r="CQ12" s="599">
        <f t="shared" si="34"/>
        <v>0</v>
      </c>
      <c r="CR12" s="599">
        <f t="shared" si="34"/>
        <v>0</v>
      </c>
      <c r="CS12" s="599">
        <f t="shared" si="34"/>
        <v>0</v>
      </c>
      <c r="CT12" s="599">
        <f t="shared" si="34"/>
        <v>0</v>
      </c>
      <c r="CU12" s="599">
        <f t="shared" si="34"/>
        <v>0</v>
      </c>
      <c r="CV12" s="599">
        <f t="shared" si="34"/>
        <v>0</v>
      </c>
      <c r="CW12" s="599">
        <f t="shared" si="34"/>
        <v>0</v>
      </c>
      <c r="CX12" s="599">
        <f t="shared" si="34"/>
        <v>0</v>
      </c>
      <c r="CY12" s="599">
        <f t="shared" si="34"/>
        <v>0</v>
      </c>
      <c r="CZ12" s="599">
        <f t="shared" si="34"/>
        <v>0</v>
      </c>
      <c r="DA12" s="599">
        <f t="shared" si="34"/>
        <v>0</v>
      </c>
      <c r="DB12" s="599">
        <f t="shared" si="34"/>
        <v>0</v>
      </c>
      <c r="DC12" s="599">
        <f t="shared" si="34"/>
        <v>0</v>
      </c>
      <c r="DD12" s="599">
        <f t="shared" si="34"/>
        <v>0</v>
      </c>
      <c r="DE12" s="599">
        <f t="shared" si="34"/>
        <v>0</v>
      </c>
      <c r="DF12" s="599">
        <f t="shared" si="34"/>
        <v>0</v>
      </c>
      <c r="DG12" s="599">
        <f t="shared" si="34"/>
        <v>0</v>
      </c>
      <c r="DH12" s="599">
        <f t="shared" si="34"/>
        <v>0</v>
      </c>
      <c r="DI12" s="599">
        <f t="shared" si="34"/>
        <v>0</v>
      </c>
      <c r="DJ12" s="599">
        <f t="shared" si="34"/>
        <v>0</v>
      </c>
      <c r="DK12" s="599">
        <f t="shared" si="34"/>
        <v>0</v>
      </c>
      <c r="DL12" s="599">
        <f t="shared" si="34"/>
        <v>0</v>
      </c>
      <c r="DM12" s="599">
        <f t="shared" si="34"/>
        <v>0</v>
      </c>
      <c r="DN12" s="599">
        <f t="shared" si="34"/>
        <v>0</v>
      </c>
      <c r="DO12" s="599">
        <f t="shared" si="34"/>
        <v>0</v>
      </c>
      <c r="DP12" s="599">
        <f t="shared" si="34"/>
        <v>0</v>
      </c>
      <c r="DQ12" s="599">
        <f t="shared" si="34"/>
        <v>0</v>
      </c>
      <c r="DR12" s="599">
        <f t="shared" si="34"/>
        <v>0</v>
      </c>
      <c r="DS12" s="599">
        <f t="shared" si="34"/>
        <v>0</v>
      </c>
      <c r="DT12" s="599">
        <f t="shared" si="34"/>
        <v>0</v>
      </c>
      <c r="DU12" s="599">
        <f t="shared" si="34"/>
        <v>0</v>
      </c>
      <c r="DV12" s="599">
        <f t="shared" si="34"/>
        <v>0</v>
      </c>
      <c r="DW12" s="599">
        <f t="shared" si="34"/>
        <v>0</v>
      </c>
      <c r="DX12" s="599">
        <f t="shared" si="34"/>
        <v>0</v>
      </c>
      <c r="DY12" s="599">
        <f t="shared" si="34"/>
        <v>0</v>
      </c>
      <c r="DZ12" s="599">
        <f t="shared" ref="DZ12:EJ20" si="35">IF(DZ$5&gt;$E$4+12,0,IF(DZ$3&lt;$C$4,0,ROUNDUP(DZ$6*$C12,1)*$F12*(1+$G$10)^(DZ$4-1)))</f>
        <v>0</v>
      </c>
      <c r="EA12" s="599">
        <f t="shared" si="35"/>
        <v>0</v>
      </c>
      <c r="EB12" s="599">
        <f t="shared" si="35"/>
        <v>0</v>
      </c>
      <c r="EC12" s="599">
        <f t="shared" si="35"/>
        <v>0</v>
      </c>
      <c r="ED12" s="599">
        <f t="shared" si="35"/>
        <v>0</v>
      </c>
      <c r="EE12" s="599">
        <f t="shared" si="35"/>
        <v>0</v>
      </c>
      <c r="EF12" s="599">
        <f t="shared" si="35"/>
        <v>0</v>
      </c>
      <c r="EG12" s="599">
        <f t="shared" si="35"/>
        <v>0</v>
      </c>
      <c r="EH12" s="599">
        <f t="shared" si="35"/>
        <v>0</v>
      </c>
      <c r="EI12" s="599">
        <f t="shared" si="35"/>
        <v>0</v>
      </c>
      <c r="EJ12" s="1117">
        <f t="shared" si="35"/>
        <v>0</v>
      </c>
    </row>
    <row r="13" spans="1:140" hidden="1" x14ac:dyDescent="0.25">
      <c r="A13" s="6"/>
      <c r="B13" s="1015">
        <f>'Unit Mix'!C10</f>
        <v>0</v>
      </c>
      <c r="C13" s="1016">
        <f>'Unit Mix'!D10</f>
        <v>0</v>
      </c>
      <c r="D13" s="1017">
        <f>'Unit Mix'!E10</f>
        <v>0</v>
      </c>
      <c r="E13" s="1018">
        <f>'Unit Mix'!H10</f>
        <v>0</v>
      </c>
      <c r="F13" s="996">
        <f>'Unit Mix'!G10</f>
        <v>0</v>
      </c>
      <c r="G13" s="1072"/>
      <c r="H13" s="1115">
        <f t="shared" ref="H13:DY13" si="36">IF(H$5&gt;$E$4+12,0,IF(H$3&lt;$C$4,0,ROUNDUP(H$6*$C13,1)*$F13*(1+$G$10)^(H$4-1)))</f>
        <v>0</v>
      </c>
      <c r="I13" s="599">
        <f t="shared" si="36"/>
        <v>0</v>
      </c>
      <c r="J13" s="599">
        <f t="shared" si="36"/>
        <v>0</v>
      </c>
      <c r="K13" s="599">
        <f t="shared" si="36"/>
        <v>0</v>
      </c>
      <c r="L13" s="599">
        <f t="shared" si="36"/>
        <v>0</v>
      </c>
      <c r="M13" s="599">
        <f t="shared" si="36"/>
        <v>0</v>
      </c>
      <c r="N13" s="599">
        <f t="shared" si="36"/>
        <v>0</v>
      </c>
      <c r="O13" s="599">
        <f t="shared" si="36"/>
        <v>0</v>
      </c>
      <c r="P13" s="599">
        <f t="shared" si="36"/>
        <v>0</v>
      </c>
      <c r="Q13" s="599">
        <f t="shared" si="36"/>
        <v>0</v>
      </c>
      <c r="R13" s="599">
        <f t="shared" si="36"/>
        <v>0</v>
      </c>
      <c r="S13" s="599">
        <f t="shared" si="36"/>
        <v>0</v>
      </c>
      <c r="T13" s="599">
        <f t="shared" si="36"/>
        <v>0</v>
      </c>
      <c r="U13" s="599">
        <f t="shared" si="36"/>
        <v>0</v>
      </c>
      <c r="V13" s="599">
        <f t="shared" si="36"/>
        <v>0</v>
      </c>
      <c r="W13" s="599">
        <f t="shared" si="36"/>
        <v>0</v>
      </c>
      <c r="X13" s="599">
        <f t="shared" si="36"/>
        <v>0</v>
      </c>
      <c r="Y13" s="599">
        <f t="shared" si="36"/>
        <v>0</v>
      </c>
      <c r="Z13" s="599">
        <f t="shared" si="36"/>
        <v>0</v>
      </c>
      <c r="AA13" s="599">
        <f t="shared" si="36"/>
        <v>0</v>
      </c>
      <c r="AB13" s="599">
        <f t="shared" si="36"/>
        <v>0</v>
      </c>
      <c r="AC13" s="599">
        <f t="shared" si="36"/>
        <v>0</v>
      </c>
      <c r="AD13" s="599">
        <f t="shared" si="36"/>
        <v>0</v>
      </c>
      <c r="AE13" s="599">
        <f t="shared" si="36"/>
        <v>0</v>
      </c>
      <c r="AF13" s="599">
        <f t="shared" si="36"/>
        <v>0</v>
      </c>
      <c r="AG13" s="599">
        <f t="shared" si="36"/>
        <v>0</v>
      </c>
      <c r="AH13" s="599">
        <f t="shared" si="36"/>
        <v>0</v>
      </c>
      <c r="AI13" s="599">
        <f t="shared" si="36"/>
        <v>0</v>
      </c>
      <c r="AJ13" s="599">
        <f t="shared" si="36"/>
        <v>0</v>
      </c>
      <c r="AK13" s="599">
        <f t="shared" si="36"/>
        <v>0</v>
      </c>
      <c r="AL13" s="599">
        <f t="shared" si="36"/>
        <v>0</v>
      </c>
      <c r="AM13" s="599">
        <f t="shared" si="36"/>
        <v>0</v>
      </c>
      <c r="AN13" s="599">
        <f t="shared" si="36"/>
        <v>0</v>
      </c>
      <c r="AO13" s="599">
        <f t="shared" si="36"/>
        <v>0</v>
      </c>
      <c r="AP13" s="599">
        <f t="shared" si="36"/>
        <v>0</v>
      </c>
      <c r="AQ13" s="599">
        <f t="shared" si="36"/>
        <v>0</v>
      </c>
      <c r="AR13" s="599">
        <f t="shared" si="36"/>
        <v>0</v>
      </c>
      <c r="AS13" s="599">
        <f t="shared" si="36"/>
        <v>0</v>
      </c>
      <c r="AT13" s="599">
        <f t="shared" si="36"/>
        <v>0</v>
      </c>
      <c r="AU13" s="599">
        <f t="shared" si="36"/>
        <v>0</v>
      </c>
      <c r="AV13" s="599">
        <f t="shared" si="36"/>
        <v>0</v>
      </c>
      <c r="AW13" s="599">
        <f t="shared" si="36"/>
        <v>0</v>
      </c>
      <c r="AX13" s="599">
        <f t="shared" si="36"/>
        <v>0</v>
      </c>
      <c r="AY13" s="599">
        <f t="shared" si="36"/>
        <v>0</v>
      </c>
      <c r="AZ13" s="599">
        <f t="shared" si="36"/>
        <v>0</v>
      </c>
      <c r="BA13" s="599">
        <f t="shared" si="36"/>
        <v>0</v>
      </c>
      <c r="BB13" s="599">
        <f t="shared" si="36"/>
        <v>0</v>
      </c>
      <c r="BC13" s="599">
        <f t="shared" si="36"/>
        <v>0</v>
      </c>
      <c r="BD13" s="599">
        <f t="shared" si="36"/>
        <v>0</v>
      </c>
      <c r="BE13" s="599">
        <f t="shared" si="36"/>
        <v>0</v>
      </c>
      <c r="BF13" s="599">
        <f t="shared" si="36"/>
        <v>0</v>
      </c>
      <c r="BG13" s="599">
        <f t="shared" si="36"/>
        <v>0</v>
      </c>
      <c r="BH13" s="599">
        <f t="shared" si="36"/>
        <v>0</v>
      </c>
      <c r="BI13" s="599">
        <f t="shared" si="36"/>
        <v>0</v>
      </c>
      <c r="BJ13" s="599">
        <f t="shared" si="36"/>
        <v>0</v>
      </c>
      <c r="BK13" s="599">
        <f t="shared" si="36"/>
        <v>0</v>
      </c>
      <c r="BL13" s="599">
        <f t="shared" si="36"/>
        <v>0</v>
      </c>
      <c r="BM13" s="599">
        <f t="shared" si="36"/>
        <v>0</v>
      </c>
      <c r="BN13" s="599">
        <f t="shared" si="36"/>
        <v>0</v>
      </c>
      <c r="BO13" s="599">
        <f t="shared" si="36"/>
        <v>0</v>
      </c>
      <c r="BP13" s="599">
        <f t="shared" si="36"/>
        <v>0</v>
      </c>
      <c r="BQ13" s="599">
        <f t="shared" si="36"/>
        <v>0</v>
      </c>
      <c r="BR13" s="599">
        <f t="shared" si="36"/>
        <v>0</v>
      </c>
      <c r="BS13" s="599">
        <f t="shared" si="36"/>
        <v>0</v>
      </c>
      <c r="BT13" s="599">
        <f t="shared" si="36"/>
        <v>0</v>
      </c>
      <c r="BU13" s="599">
        <f t="shared" si="36"/>
        <v>0</v>
      </c>
      <c r="BV13" s="599">
        <f t="shared" si="36"/>
        <v>0</v>
      </c>
      <c r="BW13" s="599">
        <f t="shared" si="36"/>
        <v>0</v>
      </c>
      <c r="BX13" s="599">
        <f t="shared" si="36"/>
        <v>0</v>
      </c>
      <c r="BY13" s="599">
        <f t="shared" si="36"/>
        <v>0</v>
      </c>
      <c r="BZ13" s="599">
        <f t="shared" si="36"/>
        <v>0</v>
      </c>
      <c r="CA13" s="599">
        <f t="shared" si="36"/>
        <v>0</v>
      </c>
      <c r="CB13" s="599">
        <f t="shared" si="36"/>
        <v>0</v>
      </c>
      <c r="CC13" s="599">
        <f t="shared" si="36"/>
        <v>0</v>
      </c>
      <c r="CD13" s="599">
        <f t="shared" si="36"/>
        <v>0</v>
      </c>
      <c r="CE13" s="599">
        <f t="shared" si="36"/>
        <v>0</v>
      </c>
      <c r="CF13" s="599">
        <f t="shared" si="36"/>
        <v>0</v>
      </c>
      <c r="CG13" s="599">
        <f t="shared" si="36"/>
        <v>0</v>
      </c>
      <c r="CH13" s="599">
        <f t="shared" si="36"/>
        <v>0</v>
      </c>
      <c r="CI13" s="599">
        <f t="shared" si="36"/>
        <v>0</v>
      </c>
      <c r="CJ13" s="599">
        <f t="shared" si="36"/>
        <v>0</v>
      </c>
      <c r="CK13" s="599">
        <f t="shared" si="36"/>
        <v>0</v>
      </c>
      <c r="CL13" s="599">
        <f t="shared" si="36"/>
        <v>0</v>
      </c>
      <c r="CM13" s="599">
        <f t="shared" si="36"/>
        <v>0</v>
      </c>
      <c r="CN13" s="599">
        <f t="shared" si="36"/>
        <v>0</v>
      </c>
      <c r="CO13" s="599">
        <f t="shared" si="36"/>
        <v>0</v>
      </c>
      <c r="CP13" s="599">
        <f t="shared" si="36"/>
        <v>0</v>
      </c>
      <c r="CQ13" s="599">
        <f t="shared" si="36"/>
        <v>0</v>
      </c>
      <c r="CR13" s="599">
        <f t="shared" si="36"/>
        <v>0</v>
      </c>
      <c r="CS13" s="599">
        <f t="shared" si="36"/>
        <v>0</v>
      </c>
      <c r="CT13" s="599">
        <f t="shared" si="36"/>
        <v>0</v>
      </c>
      <c r="CU13" s="599">
        <f t="shared" si="36"/>
        <v>0</v>
      </c>
      <c r="CV13" s="599">
        <f t="shared" si="36"/>
        <v>0</v>
      </c>
      <c r="CW13" s="599">
        <f t="shared" si="36"/>
        <v>0</v>
      </c>
      <c r="CX13" s="599">
        <f t="shared" si="36"/>
        <v>0</v>
      </c>
      <c r="CY13" s="599">
        <f t="shared" si="36"/>
        <v>0</v>
      </c>
      <c r="CZ13" s="599">
        <f t="shared" si="36"/>
        <v>0</v>
      </c>
      <c r="DA13" s="599">
        <f t="shared" si="36"/>
        <v>0</v>
      </c>
      <c r="DB13" s="599">
        <f t="shared" si="36"/>
        <v>0</v>
      </c>
      <c r="DC13" s="599">
        <f t="shared" si="36"/>
        <v>0</v>
      </c>
      <c r="DD13" s="599">
        <f t="shared" si="36"/>
        <v>0</v>
      </c>
      <c r="DE13" s="599">
        <f t="shared" si="36"/>
        <v>0</v>
      </c>
      <c r="DF13" s="599">
        <f t="shared" si="36"/>
        <v>0</v>
      </c>
      <c r="DG13" s="599">
        <f t="shared" si="36"/>
        <v>0</v>
      </c>
      <c r="DH13" s="599">
        <f t="shared" si="36"/>
        <v>0</v>
      </c>
      <c r="DI13" s="599">
        <f t="shared" si="36"/>
        <v>0</v>
      </c>
      <c r="DJ13" s="599">
        <f t="shared" si="36"/>
        <v>0</v>
      </c>
      <c r="DK13" s="599">
        <f t="shared" si="36"/>
        <v>0</v>
      </c>
      <c r="DL13" s="599">
        <f t="shared" si="36"/>
        <v>0</v>
      </c>
      <c r="DM13" s="599">
        <f t="shared" si="36"/>
        <v>0</v>
      </c>
      <c r="DN13" s="599">
        <f t="shared" si="36"/>
        <v>0</v>
      </c>
      <c r="DO13" s="599">
        <f t="shared" si="36"/>
        <v>0</v>
      </c>
      <c r="DP13" s="599">
        <f t="shared" si="36"/>
        <v>0</v>
      </c>
      <c r="DQ13" s="599">
        <f t="shared" si="36"/>
        <v>0</v>
      </c>
      <c r="DR13" s="599">
        <f t="shared" si="36"/>
        <v>0</v>
      </c>
      <c r="DS13" s="599">
        <f t="shared" si="36"/>
        <v>0</v>
      </c>
      <c r="DT13" s="599">
        <f t="shared" si="36"/>
        <v>0</v>
      </c>
      <c r="DU13" s="599">
        <f t="shared" si="36"/>
        <v>0</v>
      </c>
      <c r="DV13" s="599">
        <f t="shared" si="36"/>
        <v>0</v>
      </c>
      <c r="DW13" s="599">
        <f t="shared" si="36"/>
        <v>0</v>
      </c>
      <c r="DX13" s="599">
        <f t="shared" si="36"/>
        <v>0</v>
      </c>
      <c r="DY13" s="599">
        <f t="shared" si="36"/>
        <v>0</v>
      </c>
      <c r="DZ13" s="599">
        <f t="shared" si="35"/>
        <v>0</v>
      </c>
      <c r="EA13" s="599">
        <f t="shared" si="35"/>
        <v>0</v>
      </c>
      <c r="EB13" s="599">
        <f t="shared" si="35"/>
        <v>0</v>
      </c>
      <c r="EC13" s="599">
        <f t="shared" si="35"/>
        <v>0</v>
      </c>
      <c r="ED13" s="599">
        <f t="shared" si="35"/>
        <v>0</v>
      </c>
      <c r="EE13" s="599">
        <f t="shared" si="35"/>
        <v>0</v>
      </c>
      <c r="EF13" s="599">
        <f t="shared" si="35"/>
        <v>0</v>
      </c>
      <c r="EG13" s="599">
        <f t="shared" si="35"/>
        <v>0</v>
      </c>
      <c r="EH13" s="599">
        <f t="shared" si="35"/>
        <v>0</v>
      </c>
      <c r="EI13" s="599">
        <f t="shared" si="35"/>
        <v>0</v>
      </c>
      <c r="EJ13" s="1117">
        <f t="shared" si="35"/>
        <v>0</v>
      </c>
    </row>
    <row r="14" spans="1:140" hidden="1" x14ac:dyDescent="0.25">
      <c r="A14" s="6"/>
      <c r="B14" s="1015" t="str">
        <f>'Unit Mix'!C11</f>
        <v>Type (#BD/#BA)</v>
      </c>
      <c r="C14" s="1016">
        <f>'Unit Mix'!D11</f>
        <v>0</v>
      </c>
      <c r="D14" s="1017">
        <f>'Unit Mix'!E11</f>
        <v>0</v>
      </c>
      <c r="E14" s="1018">
        <f>'Unit Mix'!H11</f>
        <v>0</v>
      </c>
      <c r="F14" s="996">
        <f>'Unit Mix'!G11</f>
        <v>0</v>
      </c>
      <c r="G14" s="1072"/>
      <c r="H14" s="1115">
        <f t="shared" ref="H14:DY14" si="37">IF(H$5&gt;$E$4+12,0,IF(H$3&lt;$C$4,0,ROUNDUP(H$6*$C14,1)*$F14*(1+$G$10)^(H$4-1)))</f>
        <v>0</v>
      </c>
      <c r="I14" s="599">
        <f t="shared" si="37"/>
        <v>0</v>
      </c>
      <c r="J14" s="599">
        <f t="shared" si="37"/>
        <v>0</v>
      </c>
      <c r="K14" s="599">
        <f t="shared" si="37"/>
        <v>0</v>
      </c>
      <c r="L14" s="599">
        <f t="shared" si="37"/>
        <v>0</v>
      </c>
      <c r="M14" s="599">
        <f t="shared" si="37"/>
        <v>0</v>
      </c>
      <c r="N14" s="599">
        <f t="shared" si="37"/>
        <v>0</v>
      </c>
      <c r="O14" s="599">
        <f t="shared" si="37"/>
        <v>0</v>
      </c>
      <c r="P14" s="599">
        <f t="shared" si="37"/>
        <v>0</v>
      </c>
      <c r="Q14" s="599">
        <f t="shared" si="37"/>
        <v>0</v>
      </c>
      <c r="R14" s="599">
        <f t="shared" si="37"/>
        <v>0</v>
      </c>
      <c r="S14" s="599">
        <f t="shared" si="37"/>
        <v>0</v>
      </c>
      <c r="T14" s="599">
        <f t="shared" si="37"/>
        <v>0</v>
      </c>
      <c r="U14" s="599">
        <f t="shared" si="37"/>
        <v>0</v>
      </c>
      <c r="V14" s="599">
        <f t="shared" si="37"/>
        <v>0</v>
      </c>
      <c r="W14" s="599">
        <f t="shared" si="37"/>
        <v>0</v>
      </c>
      <c r="X14" s="599">
        <f t="shared" si="37"/>
        <v>0</v>
      </c>
      <c r="Y14" s="599">
        <f t="shared" si="37"/>
        <v>0</v>
      </c>
      <c r="Z14" s="599">
        <f t="shared" si="37"/>
        <v>0</v>
      </c>
      <c r="AA14" s="599">
        <f t="shared" si="37"/>
        <v>0</v>
      </c>
      <c r="AB14" s="599">
        <f t="shared" si="37"/>
        <v>0</v>
      </c>
      <c r="AC14" s="599">
        <f t="shared" si="37"/>
        <v>0</v>
      </c>
      <c r="AD14" s="599">
        <f t="shared" si="37"/>
        <v>0</v>
      </c>
      <c r="AE14" s="599">
        <f t="shared" si="37"/>
        <v>0</v>
      </c>
      <c r="AF14" s="599">
        <f t="shared" si="37"/>
        <v>0</v>
      </c>
      <c r="AG14" s="599">
        <f t="shared" si="37"/>
        <v>0</v>
      </c>
      <c r="AH14" s="599">
        <f t="shared" si="37"/>
        <v>0</v>
      </c>
      <c r="AI14" s="599">
        <f t="shared" si="37"/>
        <v>0</v>
      </c>
      <c r="AJ14" s="599">
        <f t="shared" si="37"/>
        <v>0</v>
      </c>
      <c r="AK14" s="599">
        <f t="shared" si="37"/>
        <v>0</v>
      </c>
      <c r="AL14" s="599">
        <f t="shared" si="37"/>
        <v>0</v>
      </c>
      <c r="AM14" s="599">
        <f t="shared" si="37"/>
        <v>0</v>
      </c>
      <c r="AN14" s="599">
        <f t="shared" si="37"/>
        <v>0</v>
      </c>
      <c r="AO14" s="599">
        <f t="shared" si="37"/>
        <v>0</v>
      </c>
      <c r="AP14" s="599">
        <f t="shared" si="37"/>
        <v>0</v>
      </c>
      <c r="AQ14" s="599">
        <f t="shared" si="37"/>
        <v>0</v>
      </c>
      <c r="AR14" s="599">
        <f t="shared" si="37"/>
        <v>0</v>
      </c>
      <c r="AS14" s="599">
        <f t="shared" si="37"/>
        <v>0</v>
      </c>
      <c r="AT14" s="599">
        <f t="shared" si="37"/>
        <v>0</v>
      </c>
      <c r="AU14" s="599">
        <f t="shared" si="37"/>
        <v>0</v>
      </c>
      <c r="AV14" s="599">
        <f t="shared" si="37"/>
        <v>0</v>
      </c>
      <c r="AW14" s="599">
        <f t="shared" si="37"/>
        <v>0</v>
      </c>
      <c r="AX14" s="599">
        <f t="shared" si="37"/>
        <v>0</v>
      </c>
      <c r="AY14" s="599">
        <f t="shared" si="37"/>
        <v>0</v>
      </c>
      <c r="AZ14" s="599">
        <f t="shared" si="37"/>
        <v>0</v>
      </c>
      <c r="BA14" s="599">
        <f t="shared" si="37"/>
        <v>0</v>
      </c>
      <c r="BB14" s="599">
        <f t="shared" si="37"/>
        <v>0</v>
      </c>
      <c r="BC14" s="599">
        <f t="shared" si="37"/>
        <v>0</v>
      </c>
      <c r="BD14" s="599">
        <f t="shared" si="37"/>
        <v>0</v>
      </c>
      <c r="BE14" s="599">
        <f t="shared" si="37"/>
        <v>0</v>
      </c>
      <c r="BF14" s="599">
        <f t="shared" si="37"/>
        <v>0</v>
      </c>
      <c r="BG14" s="599">
        <f t="shared" si="37"/>
        <v>0</v>
      </c>
      <c r="BH14" s="599">
        <f t="shared" si="37"/>
        <v>0</v>
      </c>
      <c r="BI14" s="599">
        <f t="shared" si="37"/>
        <v>0</v>
      </c>
      <c r="BJ14" s="599">
        <f t="shared" si="37"/>
        <v>0</v>
      </c>
      <c r="BK14" s="599">
        <f t="shared" si="37"/>
        <v>0</v>
      </c>
      <c r="BL14" s="599">
        <f t="shared" si="37"/>
        <v>0</v>
      </c>
      <c r="BM14" s="599">
        <f t="shared" si="37"/>
        <v>0</v>
      </c>
      <c r="BN14" s="599">
        <f t="shared" si="37"/>
        <v>0</v>
      </c>
      <c r="BO14" s="599">
        <f t="shared" si="37"/>
        <v>0</v>
      </c>
      <c r="BP14" s="599">
        <f t="shared" si="37"/>
        <v>0</v>
      </c>
      <c r="BQ14" s="599">
        <f t="shared" si="37"/>
        <v>0</v>
      </c>
      <c r="BR14" s="599">
        <f t="shared" si="37"/>
        <v>0</v>
      </c>
      <c r="BS14" s="599">
        <f t="shared" si="37"/>
        <v>0</v>
      </c>
      <c r="BT14" s="599">
        <f t="shared" si="37"/>
        <v>0</v>
      </c>
      <c r="BU14" s="599">
        <f t="shared" si="37"/>
        <v>0</v>
      </c>
      <c r="BV14" s="599">
        <f t="shared" si="37"/>
        <v>0</v>
      </c>
      <c r="BW14" s="599">
        <f t="shared" si="37"/>
        <v>0</v>
      </c>
      <c r="BX14" s="599">
        <f t="shared" si="37"/>
        <v>0</v>
      </c>
      <c r="BY14" s="599">
        <f t="shared" si="37"/>
        <v>0</v>
      </c>
      <c r="BZ14" s="599">
        <f t="shared" si="37"/>
        <v>0</v>
      </c>
      <c r="CA14" s="599">
        <f t="shared" si="37"/>
        <v>0</v>
      </c>
      <c r="CB14" s="599">
        <f t="shared" si="37"/>
        <v>0</v>
      </c>
      <c r="CC14" s="599">
        <f t="shared" si="37"/>
        <v>0</v>
      </c>
      <c r="CD14" s="599">
        <f t="shared" si="37"/>
        <v>0</v>
      </c>
      <c r="CE14" s="599">
        <f t="shared" si="37"/>
        <v>0</v>
      </c>
      <c r="CF14" s="599">
        <f t="shared" si="37"/>
        <v>0</v>
      </c>
      <c r="CG14" s="599">
        <f t="shared" si="37"/>
        <v>0</v>
      </c>
      <c r="CH14" s="599">
        <f t="shared" si="37"/>
        <v>0</v>
      </c>
      <c r="CI14" s="599">
        <f t="shared" si="37"/>
        <v>0</v>
      </c>
      <c r="CJ14" s="599">
        <f t="shared" si="37"/>
        <v>0</v>
      </c>
      <c r="CK14" s="599">
        <f t="shared" si="37"/>
        <v>0</v>
      </c>
      <c r="CL14" s="599">
        <f t="shared" si="37"/>
        <v>0</v>
      </c>
      <c r="CM14" s="599">
        <f t="shared" si="37"/>
        <v>0</v>
      </c>
      <c r="CN14" s="599">
        <f t="shared" si="37"/>
        <v>0</v>
      </c>
      <c r="CO14" s="599">
        <f t="shared" si="37"/>
        <v>0</v>
      </c>
      <c r="CP14" s="599">
        <f t="shared" si="37"/>
        <v>0</v>
      </c>
      <c r="CQ14" s="599">
        <f t="shared" si="37"/>
        <v>0</v>
      </c>
      <c r="CR14" s="599">
        <f t="shared" si="37"/>
        <v>0</v>
      </c>
      <c r="CS14" s="599">
        <f t="shared" si="37"/>
        <v>0</v>
      </c>
      <c r="CT14" s="599">
        <f t="shared" si="37"/>
        <v>0</v>
      </c>
      <c r="CU14" s="599">
        <f t="shared" si="37"/>
        <v>0</v>
      </c>
      <c r="CV14" s="599">
        <f t="shared" si="37"/>
        <v>0</v>
      </c>
      <c r="CW14" s="599">
        <f t="shared" si="37"/>
        <v>0</v>
      </c>
      <c r="CX14" s="599">
        <f t="shared" si="37"/>
        <v>0</v>
      </c>
      <c r="CY14" s="599">
        <f t="shared" si="37"/>
        <v>0</v>
      </c>
      <c r="CZ14" s="599">
        <f t="shared" si="37"/>
        <v>0</v>
      </c>
      <c r="DA14" s="599">
        <f t="shared" si="37"/>
        <v>0</v>
      </c>
      <c r="DB14" s="599">
        <f t="shared" si="37"/>
        <v>0</v>
      </c>
      <c r="DC14" s="599">
        <f t="shared" si="37"/>
        <v>0</v>
      </c>
      <c r="DD14" s="599">
        <f t="shared" si="37"/>
        <v>0</v>
      </c>
      <c r="DE14" s="599">
        <f t="shared" si="37"/>
        <v>0</v>
      </c>
      <c r="DF14" s="599">
        <f t="shared" si="37"/>
        <v>0</v>
      </c>
      <c r="DG14" s="599">
        <f t="shared" si="37"/>
        <v>0</v>
      </c>
      <c r="DH14" s="599">
        <f t="shared" si="37"/>
        <v>0</v>
      </c>
      <c r="DI14" s="599">
        <f t="shared" si="37"/>
        <v>0</v>
      </c>
      <c r="DJ14" s="599">
        <f t="shared" si="37"/>
        <v>0</v>
      </c>
      <c r="DK14" s="599">
        <f t="shared" si="37"/>
        <v>0</v>
      </c>
      <c r="DL14" s="599">
        <f t="shared" si="37"/>
        <v>0</v>
      </c>
      <c r="DM14" s="599">
        <f t="shared" si="37"/>
        <v>0</v>
      </c>
      <c r="DN14" s="599">
        <f t="shared" si="37"/>
        <v>0</v>
      </c>
      <c r="DO14" s="599">
        <f t="shared" si="37"/>
        <v>0</v>
      </c>
      <c r="DP14" s="599">
        <f t="shared" si="37"/>
        <v>0</v>
      </c>
      <c r="DQ14" s="599">
        <f t="shared" si="37"/>
        <v>0</v>
      </c>
      <c r="DR14" s="599">
        <f t="shared" si="37"/>
        <v>0</v>
      </c>
      <c r="DS14" s="599">
        <f t="shared" si="37"/>
        <v>0</v>
      </c>
      <c r="DT14" s="599">
        <f t="shared" si="37"/>
        <v>0</v>
      </c>
      <c r="DU14" s="599">
        <f t="shared" si="37"/>
        <v>0</v>
      </c>
      <c r="DV14" s="599">
        <f t="shared" si="37"/>
        <v>0</v>
      </c>
      <c r="DW14" s="599">
        <f t="shared" si="37"/>
        <v>0</v>
      </c>
      <c r="DX14" s="599">
        <f t="shared" si="37"/>
        <v>0</v>
      </c>
      <c r="DY14" s="599">
        <f t="shared" si="37"/>
        <v>0</v>
      </c>
      <c r="DZ14" s="599">
        <f t="shared" si="35"/>
        <v>0</v>
      </c>
      <c r="EA14" s="599">
        <f t="shared" si="35"/>
        <v>0</v>
      </c>
      <c r="EB14" s="599">
        <f t="shared" si="35"/>
        <v>0</v>
      </c>
      <c r="EC14" s="599">
        <f t="shared" si="35"/>
        <v>0</v>
      </c>
      <c r="ED14" s="599">
        <f t="shared" si="35"/>
        <v>0</v>
      </c>
      <c r="EE14" s="599">
        <f t="shared" si="35"/>
        <v>0</v>
      </c>
      <c r="EF14" s="599">
        <f t="shared" si="35"/>
        <v>0</v>
      </c>
      <c r="EG14" s="599">
        <f t="shared" si="35"/>
        <v>0</v>
      </c>
      <c r="EH14" s="599">
        <f t="shared" si="35"/>
        <v>0</v>
      </c>
      <c r="EI14" s="599">
        <f t="shared" si="35"/>
        <v>0</v>
      </c>
      <c r="EJ14" s="1117">
        <f t="shared" si="35"/>
        <v>0</v>
      </c>
    </row>
    <row r="15" spans="1:140" hidden="1" x14ac:dyDescent="0.25">
      <c r="A15" s="6"/>
      <c r="B15" s="1015" t="str">
        <f>'Unit Mix'!C12</f>
        <v>Type (#BD/#BA)</v>
      </c>
      <c r="C15" s="1016">
        <f>'Unit Mix'!D12</f>
        <v>0</v>
      </c>
      <c r="D15" s="1017">
        <f>'Unit Mix'!E12</f>
        <v>0</v>
      </c>
      <c r="E15" s="1018">
        <f>'Unit Mix'!H12</f>
        <v>0</v>
      </c>
      <c r="F15" s="996">
        <f>'Unit Mix'!G12</f>
        <v>0</v>
      </c>
      <c r="G15" s="1072"/>
      <c r="H15" s="1115">
        <f t="shared" ref="H15:DY15" si="38">IF(H$5&gt;$E$4+12,0,IF(H$3&lt;$C$4,0,ROUNDUP(H$6*$C15,1)*$F15*(1+$G$10)^(H$4-1)))</f>
        <v>0</v>
      </c>
      <c r="I15" s="599">
        <f t="shared" si="38"/>
        <v>0</v>
      </c>
      <c r="J15" s="599">
        <f t="shared" si="38"/>
        <v>0</v>
      </c>
      <c r="K15" s="599">
        <f t="shared" si="38"/>
        <v>0</v>
      </c>
      <c r="L15" s="599">
        <f t="shared" si="38"/>
        <v>0</v>
      </c>
      <c r="M15" s="599">
        <f t="shared" si="38"/>
        <v>0</v>
      </c>
      <c r="N15" s="599">
        <f t="shared" si="38"/>
        <v>0</v>
      </c>
      <c r="O15" s="599">
        <f t="shared" si="38"/>
        <v>0</v>
      </c>
      <c r="P15" s="599">
        <f t="shared" si="38"/>
        <v>0</v>
      </c>
      <c r="Q15" s="599">
        <f t="shared" si="38"/>
        <v>0</v>
      </c>
      <c r="R15" s="599">
        <f t="shared" si="38"/>
        <v>0</v>
      </c>
      <c r="S15" s="599">
        <f t="shared" si="38"/>
        <v>0</v>
      </c>
      <c r="T15" s="599">
        <f t="shared" si="38"/>
        <v>0</v>
      </c>
      <c r="U15" s="599">
        <f t="shared" si="38"/>
        <v>0</v>
      </c>
      <c r="V15" s="599">
        <f t="shared" si="38"/>
        <v>0</v>
      </c>
      <c r="W15" s="599">
        <f t="shared" si="38"/>
        <v>0</v>
      </c>
      <c r="X15" s="599">
        <f t="shared" si="38"/>
        <v>0</v>
      </c>
      <c r="Y15" s="599">
        <f t="shared" si="38"/>
        <v>0</v>
      </c>
      <c r="Z15" s="599">
        <f t="shared" si="38"/>
        <v>0</v>
      </c>
      <c r="AA15" s="599">
        <f t="shared" si="38"/>
        <v>0</v>
      </c>
      <c r="AB15" s="599">
        <f t="shared" si="38"/>
        <v>0</v>
      </c>
      <c r="AC15" s="599">
        <f t="shared" si="38"/>
        <v>0</v>
      </c>
      <c r="AD15" s="599">
        <f t="shared" si="38"/>
        <v>0</v>
      </c>
      <c r="AE15" s="599">
        <f t="shared" si="38"/>
        <v>0</v>
      </c>
      <c r="AF15" s="599">
        <f t="shared" si="38"/>
        <v>0</v>
      </c>
      <c r="AG15" s="599">
        <f t="shared" si="38"/>
        <v>0</v>
      </c>
      <c r="AH15" s="599">
        <f t="shared" si="38"/>
        <v>0</v>
      </c>
      <c r="AI15" s="599">
        <f t="shared" si="38"/>
        <v>0</v>
      </c>
      <c r="AJ15" s="599">
        <f t="shared" si="38"/>
        <v>0</v>
      </c>
      <c r="AK15" s="599">
        <f t="shared" si="38"/>
        <v>0</v>
      </c>
      <c r="AL15" s="599">
        <f t="shared" si="38"/>
        <v>0</v>
      </c>
      <c r="AM15" s="599">
        <f t="shared" si="38"/>
        <v>0</v>
      </c>
      <c r="AN15" s="599">
        <f t="shared" si="38"/>
        <v>0</v>
      </c>
      <c r="AO15" s="599">
        <f t="shared" si="38"/>
        <v>0</v>
      </c>
      <c r="AP15" s="599">
        <f t="shared" si="38"/>
        <v>0</v>
      </c>
      <c r="AQ15" s="599">
        <f t="shared" si="38"/>
        <v>0</v>
      </c>
      <c r="AR15" s="599">
        <f t="shared" si="38"/>
        <v>0</v>
      </c>
      <c r="AS15" s="599">
        <f t="shared" si="38"/>
        <v>0</v>
      </c>
      <c r="AT15" s="599">
        <f t="shared" si="38"/>
        <v>0</v>
      </c>
      <c r="AU15" s="599">
        <f t="shared" si="38"/>
        <v>0</v>
      </c>
      <c r="AV15" s="599">
        <f t="shared" si="38"/>
        <v>0</v>
      </c>
      <c r="AW15" s="599">
        <f t="shared" si="38"/>
        <v>0</v>
      </c>
      <c r="AX15" s="599">
        <f t="shared" si="38"/>
        <v>0</v>
      </c>
      <c r="AY15" s="599">
        <f t="shared" si="38"/>
        <v>0</v>
      </c>
      <c r="AZ15" s="599">
        <f t="shared" si="38"/>
        <v>0</v>
      </c>
      <c r="BA15" s="599">
        <f t="shared" si="38"/>
        <v>0</v>
      </c>
      <c r="BB15" s="599">
        <f t="shared" si="38"/>
        <v>0</v>
      </c>
      <c r="BC15" s="599">
        <f t="shared" si="38"/>
        <v>0</v>
      </c>
      <c r="BD15" s="599">
        <f t="shared" si="38"/>
        <v>0</v>
      </c>
      <c r="BE15" s="599">
        <f t="shared" si="38"/>
        <v>0</v>
      </c>
      <c r="BF15" s="599">
        <f t="shared" si="38"/>
        <v>0</v>
      </c>
      <c r="BG15" s="599">
        <f t="shared" si="38"/>
        <v>0</v>
      </c>
      <c r="BH15" s="599">
        <f t="shared" si="38"/>
        <v>0</v>
      </c>
      <c r="BI15" s="599">
        <f t="shared" si="38"/>
        <v>0</v>
      </c>
      <c r="BJ15" s="599">
        <f t="shared" si="38"/>
        <v>0</v>
      </c>
      <c r="BK15" s="599">
        <f t="shared" si="38"/>
        <v>0</v>
      </c>
      <c r="BL15" s="599">
        <f t="shared" si="38"/>
        <v>0</v>
      </c>
      <c r="BM15" s="599">
        <f t="shared" si="38"/>
        <v>0</v>
      </c>
      <c r="BN15" s="599">
        <f t="shared" si="38"/>
        <v>0</v>
      </c>
      <c r="BO15" s="599">
        <f t="shared" si="38"/>
        <v>0</v>
      </c>
      <c r="BP15" s="599">
        <f t="shared" si="38"/>
        <v>0</v>
      </c>
      <c r="BQ15" s="599">
        <f t="shared" si="38"/>
        <v>0</v>
      </c>
      <c r="BR15" s="599">
        <f t="shared" si="38"/>
        <v>0</v>
      </c>
      <c r="BS15" s="599">
        <f t="shared" si="38"/>
        <v>0</v>
      </c>
      <c r="BT15" s="599">
        <f t="shared" si="38"/>
        <v>0</v>
      </c>
      <c r="BU15" s="599">
        <f t="shared" si="38"/>
        <v>0</v>
      </c>
      <c r="BV15" s="599">
        <f t="shared" si="38"/>
        <v>0</v>
      </c>
      <c r="BW15" s="599">
        <f t="shared" si="38"/>
        <v>0</v>
      </c>
      <c r="BX15" s="599">
        <f t="shared" si="38"/>
        <v>0</v>
      </c>
      <c r="BY15" s="599">
        <f t="shared" si="38"/>
        <v>0</v>
      </c>
      <c r="BZ15" s="599">
        <f t="shared" si="38"/>
        <v>0</v>
      </c>
      <c r="CA15" s="599">
        <f t="shared" si="38"/>
        <v>0</v>
      </c>
      <c r="CB15" s="599">
        <f t="shared" si="38"/>
        <v>0</v>
      </c>
      <c r="CC15" s="599">
        <f t="shared" si="38"/>
        <v>0</v>
      </c>
      <c r="CD15" s="599">
        <f t="shared" si="38"/>
        <v>0</v>
      </c>
      <c r="CE15" s="599">
        <f t="shared" si="38"/>
        <v>0</v>
      </c>
      <c r="CF15" s="599">
        <f t="shared" si="38"/>
        <v>0</v>
      </c>
      <c r="CG15" s="599">
        <f t="shared" si="38"/>
        <v>0</v>
      </c>
      <c r="CH15" s="599">
        <f t="shared" si="38"/>
        <v>0</v>
      </c>
      <c r="CI15" s="599">
        <f t="shared" si="38"/>
        <v>0</v>
      </c>
      <c r="CJ15" s="599">
        <f t="shared" si="38"/>
        <v>0</v>
      </c>
      <c r="CK15" s="599">
        <f t="shared" si="38"/>
        <v>0</v>
      </c>
      <c r="CL15" s="599">
        <f t="shared" si="38"/>
        <v>0</v>
      </c>
      <c r="CM15" s="599">
        <f t="shared" si="38"/>
        <v>0</v>
      </c>
      <c r="CN15" s="599">
        <f t="shared" si="38"/>
        <v>0</v>
      </c>
      <c r="CO15" s="599">
        <f t="shared" si="38"/>
        <v>0</v>
      </c>
      <c r="CP15" s="599">
        <f t="shared" si="38"/>
        <v>0</v>
      </c>
      <c r="CQ15" s="599">
        <f t="shared" si="38"/>
        <v>0</v>
      </c>
      <c r="CR15" s="599">
        <f t="shared" si="38"/>
        <v>0</v>
      </c>
      <c r="CS15" s="599">
        <f t="shared" si="38"/>
        <v>0</v>
      </c>
      <c r="CT15" s="599">
        <f t="shared" si="38"/>
        <v>0</v>
      </c>
      <c r="CU15" s="599">
        <f t="shared" si="38"/>
        <v>0</v>
      </c>
      <c r="CV15" s="599">
        <f t="shared" si="38"/>
        <v>0</v>
      </c>
      <c r="CW15" s="599">
        <f t="shared" si="38"/>
        <v>0</v>
      </c>
      <c r="CX15" s="599">
        <f t="shared" si="38"/>
        <v>0</v>
      </c>
      <c r="CY15" s="599">
        <f t="shared" si="38"/>
        <v>0</v>
      </c>
      <c r="CZ15" s="599">
        <f t="shared" si="38"/>
        <v>0</v>
      </c>
      <c r="DA15" s="599">
        <f t="shared" si="38"/>
        <v>0</v>
      </c>
      <c r="DB15" s="599">
        <f t="shared" si="38"/>
        <v>0</v>
      </c>
      <c r="DC15" s="599">
        <f t="shared" si="38"/>
        <v>0</v>
      </c>
      <c r="DD15" s="599">
        <f t="shared" si="38"/>
        <v>0</v>
      </c>
      <c r="DE15" s="599">
        <f t="shared" si="38"/>
        <v>0</v>
      </c>
      <c r="DF15" s="599">
        <f t="shared" si="38"/>
        <v>0</v>
      </c>
      <c r="DG15" s="599">
        <f t="shared" si="38"/>
        <v>0</v>
      </c>
      <c r="DH15" s="599">
        <f t="shared" si="38"/>
        <v>0</v>
      </c>
      <c r="DI15" s="599">
        <f t="shared" si="38"/>
        <v>0</v>
      </c>
      <c r="DJ15" s="599">
        <f t="shared" si="38"/>
        <v>0</v>
      </c>
      <c r="DK15" s="599">
        <f t="shared" si="38"/>
        <v>0</v>
      </c>
      <c r="DL15" s="599">
        <f t="shared" si="38"/>
        <v>0</v>
      </c>
      <c r="DM15" s="599">
        <f t="shared" si="38"/>
        <v>0</v>
      </c>
      <c r="DN15" s="599">
        <f t="shared" si="38"/>
        <v>0</v>
      </c>
      <c r="DO15" s="599">
        <f t="shared" si="38"/>
        <v>0</v>
      </c>
      <c r="DP15" s="599">
        <f t="shared" si="38"/>
        <v>0</v>
      </c>
      <c r="DQ15" s="599">
        <f t="shared" si="38"/>
        <v>0</v>
      </c>
      <c r="DR15" s="599">
        <f t="shared" si="38"/>
        <v>0</v>
      </c>
      <c r="DS15" s="599">
        <f t="shared" si="38"/>
        <v>0</v>
      </c>
      <c r="DT15" s="599">
        <f t="shared" si="38"/>
        <v>0</v>
      </c>
      <c r="DU15" s="599">
        <f t="shared" si="38"/>
        <v>0</v>
      </c>
      <c r="DV15" s="599">
        <f t="shared" si="38"/>
        <v>0</v>
      </c>
      <c r="DW15" s="599">
        <f t="shared" si="38"/>
        <v>0</v>
      </c>
      <c r="DX15" s="599">
        <f t="shared" si="38"/>
        <v>0</v>
      </c>
      <c r="DY15" s="599">
        <f t="shared" si="38"/>
        <v>0</v>
      </c>
      <c r="DZ15" s="599">
        <f t="shared" si="35"/>
        <v>0</v>
      </c>
      <c r="EA15" s="599">
        <f t="shared" si="35"/>
        <v>0</v>
      </c>
      <c r="EB15" s="599">
        <f t="shared" si="35"/>
        <v>0</v>
      </c>
      <c r="EC15" s="599">
        <f t="shared" si="35"/>
        <v>0</v>
      </c>
      <c r="ED15" s="599">
        <f t="shared" si="35"/>
        <v>0</v>
      </c>
      <c r="EE15" s="599">
        <f t="shared" si="35"/>
        <v>0</v>
      </c>
      <c r="EF15" s="599">
        <f t="shared" si="35"/>
        <v>0</v>
      </c>
      <c r="EG15" s="599">
        <f t="shared" si="35"/>
        <v>0</v>
      </c>
      <c r="EH15" s="599">
        <f t="shared" si="35"/>
        <v>0</v>
      </c>
      <c r="EI15" s="599">
        <f t="shared" si="35"/>
        <v>0</v>
      </c>
      <c r="EJ15" s="1117">
        <f t="shared" si="35"/>
        <v>0</v>
      </c>
    </row>
    <row r="16" spans="1:140" hidden="1" x14ac:dyDescent="0.25">
      <c r="A16" s="6"/>
      <c r="B16" s="1015" t="str">
        <f>'Unit Mix'!C13</f>
        <v>Type (#BD/#BA)</v>
      </c>
      <c r="C16" s="1016">
        <f>'Unit Mix'!D13</f>
        <v>0</v>
      </c>
      <c r="D16" s="1017">
        <f>'Unit Mix'!E13</f>
        <v>0</v>
      </c>
      <c r="E16" s="1018">
        <f>'Unit Mix'!H13</f>
        <v>0</v>
      </c>
      <c r="F16" s="996">
        <f>'Unit Mix'!G13</f>
        <v>0</v>
      </c>
      <c r="G16" s="1072"/>
      <c r="H16" s="1115">
        <f t="shared" ref="H16:DY16" si="39">IF(H$5&gt;$E$4+12,0,IF(H$3&lt;$C$4,0,ROUNDUP(H$6*$C16,1)*$F16*(1+$G$10)^(H$4-1)))</f>
        <v>0</v>
      </c>
      <c r="I16" s="599">
        <f t="shared" si="39"/>
        <v>0</v>
      </c>
      <c r="J16" s="599">
        <f t="shared" si="39"/>
        <v>0</v>
      </c>
      <c r="K16" s="599">
        <f t="shared" si="39"/>
        <v>0</v>
      </c>
      <c r="L16" s="599">
        <f t="shared" si="39"/>
        <v>0</v>
      </c>
      <c r="M16" s="599">
        <f t="shared" si="39"/>
        <v>0</v>
      </c>
      <c r="N16" s="599">
        <f t="shared" si="39"/>
        <v>0</v>
      </c>
      <c r="O16" s="599">
        <f t="shared" si="39"/>
        <v>0</v>
      </c>
      <c r="P16" s="599">
        <f t="shared" si="39"/>
        <v>0</v>
      </c>
      <c r="Q16" s="599">
        <f t="shared" si="39"/>
        <v>0</v>
      </c>
      <c r="R16" s="599">
        <f t="shared" si="39"/>
        <v>0</v>
      </c>
      <c r="S16" s="599">
        <f t="shared" si="39"/>
        <v>0</v>
      </c>
      <c r="T16" s="599">
        <f t="shared" si="39"/>
        <v>0</v>
      </c>
      <c r="U16" s="599">
        <f t="shared" si="39"/>
        <v>0</v>
      </c>
      <c r="V16" s="599">
        <f t="shared" si="39"/>
        <v>0</v>
      </c>
      <c r="W16" s="599">
        <f t="shared" si="39"/>
        <v>0</v>
      </c>
      <c r="X16" s="599">
        <f t="shared" si="39"/>
        <v>0</v>
      </c>
      <c r="Y16" s="599">
        <f t="shared" si="39"/>
        <v>0</v>
      </c>
      <c r="Z16" s="599">
        <f t="shared" si="39"/>
        <v>0</v>
      </c>
      <c r="AA16" s="599">
        <f t="shared" si="39"/>
        <v>0</v>
      </c>
      <c r="AB16" s="599">
        <f t="shared" si="39"/>
        <v>0</v>
      </c>
      <c r="AC16" s="599">
        <f t="shared" si="39"/>
        <v>0</v>
      </c>
      <c r="AD16" s="599">
        <f t="shared" si="39"/>
        <v>0</v>
      </c>
      <c r="AE16" s="599">
        <f t="shared" si="39"/>
        <v>0</v>
      </c>
      <c r="AF16" s="599">
        <f t="shared" si="39"/>
        <v>0</v>
      </c>
      <c r="AG16" s="599">
        <f t="shared" si="39"/>
        <v>0</v>
      </c>
      <c r="AH16" s="599">
        <f t="shared" si="39"/>
        <v>0</v>
      </c>
      <c r="AI16" s="599">
        <f t="shared" si="39"/>
        <v>0</v>
      </c>
      <c r="AJ16" s="599">
        <f t="shared" si="39"/>
        <v>0</v>
      </c>
      <c r="AK16" s="599">
        <f t="shared" si="39"/>
        <v>0</v>
      </c>
      <c r="AL16" s="599">
        <f t="shared" si="39"/>
        <v>0</v>
      </c>
      <c r="AM16" s="599">
        <f t="shared" si="39"/>
        <v>0</v>
      </c>
      <c r="AN16" s="599">
        <f t="shared" si="39"/>
        <v>0</v>
      </c>
      <c r="AO16" s="599">
        <f t="shared" si="39"/>
        <v>0</v>
      </c>
      <c r="AP16" s="599">
        <f t="shared" si="39"/>
        <v>0</v>
      </c>
      <c r="AQ16" s="599">
        <f t="shared" si="39"/>
        <v>0</v>
      </c>
      <c r="AR16" s="599">
        <f t="shared" si="39"/>
        <v>0</v>
      </c>
      <c r="AS16" s="599">
        <f t="shared" si="39"/>
        <v>0</v>
      </c>
      <c r="AT16" s="599">
        <f t="shared" si="39"/>
        <v>0</v>
      </c>
      <c r="AU16" s="599">
        <f t="shared" si="39"/>
        <v>0</v>
      </c>
      <c r="AV16" s="599">
        <f t="shared" si="39"/>
        <v>0</v>
      </c>
      <c r="AW16" s="599">
        <f t="shared" si="39"/>
        <v>0</v>
      </c>
      <c r="AX16" s="599">
        <f t="shared" si="39"/>
        <v>0</v>
      </c>
      <c r="AY16" s="599">
        <f t="shared" si="39"/>
        <v>0</v>
      </c>
      <c r="AZ16" s="599">
        <f t="shared" si="39"/>
        <v>0</v>
      </c>
      <c r="BA16" s="599">
        <f t="shared" si="39"/>
        <v>0</v>
      </c>
      <c r="BB16" s="599">
        <f t="shared" si="39"/>
        <v>0</v>
      </c>
      <c r="BC16" s="599">
        <f t="shared" si="39"/>
        <v>0</v>
      </c>
      <c r="BD16" s="599">
        <f t="shared" si="39"/>
        <v>0</v>
      </c>
      <c r="BE16" s="599">
        <f t="shared" si="39"/>
        <v>0</v>
      </c>
      <c r="BF16" s="599">
        <f t="shared" si="39"/>
        <v>0</v>
      </c>
      <c r="BG16" s="599">
        <f t="shared" si="39"/>
        <v>0</v>
      </c>
      <c r="BH16" s="599">
        <f t="shared" si="39"/>
        <v>0</v>
      </c>
      <c r="BI16" s="599">
        <f t="shared" si="39"/>
        <v>0</v>
      </c>
      <c r="BJ16" s="599">
        <f t="shared" si="39"/>
        <v>0</v>
      </c>
      <c r="BK16" s="599">
        <f t="shared" si="39"/>
        <v>0</v>
      </c>
      <c r="BL16" s="599">
        <f t="shared" si="39"/>
        <v>0</v>
      </c>
      <c r="BM16" s="599">
        <f t="shared" si="39"/>
        <v>0</v>
      </c>
      <c r="BN16" s="599">
        <f t="shared" si="39"/>
        <v>0</v>
      </c>
      <c r="BO16" s="599">
        <f t="shared" si="39"/>
        <v>0</v>
      </c>
      <c r="BP16" s="599">
        <f t="shared" si="39"/>
        <v>0</v>
      </c>
      <c r="BQ16" s="599">
        <f t="shared" si="39"/>
        <v>0</v>
      </c>
      <c r="BR16" s="599">
        <f t="shared" si="39"/>
        <v>0</v>
      </c>
      <c r="BS16" s="599">
        <f t="shared" si="39"/>
        <v>0</v>
      </c>
      <c r="BT16" s="599">
        <f t="shared" si="39"/>
        <v>0</v>
      </c>
      <c r="BU16" s="599">
        <f t="shared" si="39"/>
        <v>0</v>
      </c>
      <c r="BV16" s="599">
        <f t="shared" si="39"/>
        <v>0</v>
      </c>
      <c r="BW16" s="599">
        <f t="shared" si="39"/>
        <v>0</v>
      </c>
      <c r="BX16" s="599">
        <f t="shared" si="39"/>
        <v>0</v>
      </c>
      <c r="BY16" s="599">
        <f t="shared" si="39"/>
        <v>0</v>
      </c>
      <c r="BZ16" s="599">
        <f t="shared" si="39"/>
        <v>0</v>
      </c>
      <c r="CA16" s="599">
        <f t="shared" si="39"/>
        <v>0</v>
      </c>
      <c r="CB16" s="599">
        <f t="shared" si="39"/>
        <v>0</v>
      </c>
      <c r="CC16" s="599">
        <f t="shared" si="39"/>
        <v>0</v>
      </c>
      <c r="CD16" s="599">
        <f t="shared" si="39"/>
        <v>0</v>
      </c>
      <c r="CE16" s="599">
        <f t="shared" si="39"/>
        <v>0</v>
      </c>
      <c r="CF16" s="599">
        <f t="shared" si="39"/>
        <v>0</v>
      </c>
      <c r="CG16" s="599">
        <f t="shared" si="39"/>
        <v>0</v>
      </c>
      <c r="CH16" s="599">
        <f t="shared" si="39"/>
        <v>0</v>
      </c>
      <c r="CI16" s="599">
        <f t="shared" si="39"/>
        <v>0</v>
      </c>
      <c r="CJ16" s="599">
        <f t="shared" si="39"/>
        <v>0</v>
      </c>
      <c r="CK16" s="599">
        <f t="shared" si="39"/>
        <v>0</v>
      </c>
      <c r="CL16" s="599">
        <f t="shared" si="39"/>
        <v>0</v>
      </c>
      <c r="CM16" s="599">
        <f t="shared" si="39"/>
        <v>0</v>
      </c>
      <c r="CN16" s="599">
        <f t="shared" si="39"/>
        <v>0</v>
      </c>
      <c r="CO16" s="599">
        <f t="shared" si="39"/>
        <v>0</v>
      </c>
      <c r="CP16" s="599">
        <f t="shared" si="39"/>
        <v>0</v>
      </c>
      <c r="CQ16" s="599">
        <f t="shared" si="39"/>
        <v>0</v>
      </c>
      <c r="CR16" s="599">
        <f t="shared" si="39"/>
        <v>0</v>
      </c>
      <c r="CS16" s="599">
        <f t="shared" si="39"/>
        <v>0</v>
      </c>
      <c r="CT16" s="599">
        <f t="shared" si="39"/>
        <v>0</v>
      </c>
      <c r="CU16" s="599">
        <f t="shared" si="39"/>
        <v>0</v>
      </c>
      <c r="CV16" s="599">
        <f t="shared" si="39"/>
        <v>0</v>
      </c>
      <c r="CW16" s="599">
        <f t="shared" si="39"/>
        <v>0</v>
      </c>
      <c r="CX16" s="599">
        <f t="shared" si="39"/>
        <v>0</v>
      </c>
      <c r="CY16" s="599">
        <f t="shared" si="39"/>
        <v>0</v>
      </c>
      <c r="CZ16" s="599">
        <f t="shared" si="39"/>
        <v>0</v>
      </c>
      <c r="DA16" s="599">
        <f t="shared" si="39"/>
        <v>0</v>
      </c>
      <c r="DB16" s="599">
        <f t="shared" si="39"/>
        <v>0</v>
      </c>
      <c r="DC16" s="599">
        <f t="shared" si="39"/>
        <v>0</v>
      </c>
      <c r="DD16" s="599">
        <f t="shared" si="39"/>
        <v>0</v>
      </c>
      <c r="DE16" s="599">
        <f t="shared" si="39"/>
        <v>0</v>
      </c>
      <c r="DF16" s="599">
        <f t="shared" si="39"/>
        <v>0</v>
      </c>
      <c r="DG16" s="599">
        <f t="shared" si="39"/>
        <v>0</v>
      </c>
      <c r="DH16" s="599">
        <f t="shared" si="39"/>
        <v>0</v>
      </c>
      <c r="DI16" s="599">
        <f t="shared" si="39"/>
        <v>0</v>
      </c>
      <c r="DJ16" s="599">
        <f t="shared" si="39"/>
        <v>0</v>
      </c>
      <c r="DK16" s="599">
        <f t="shared" si="39"/>
        <v>0</v>
      </c>
      <c r="DL16" s="599">
        <f t="shared" si="39"/>
        <v>0</v>
      </c>
      <c r="DM16" s="599">
        <f t="shared" si="39"/>
        <v>0</v>
      </c>
      <c r="DN16" s="599">
        <f t="shared" si="39"/>
        <v>0</v>
      </c>
      <c r="DO16" s="599">
        <f t="shared" si="39"/>
        <v>0</v>
      </c>
      <c r="DP16" s="599">
        <f t="shared" si="39"/>
        <v>0</v>
      </c>
      <c r="DQ16" s="599">
        <f t="shared" si="39"/>
        <v>0</v>
      </c>
      <c r="DR16" s="599">
        <f t="shared" si="39"/>
        <v>0</v>
      </c>
      <c r="DS16" s="599">
        <f t="shared" si="39"/>
        <v>0</v>
      </c>
      <c r="DT16" s="599">
        <f t="shared" si="39"/>
        <v>0</v>
      </c>
      <c r="DU16" s="599">
        <f t="shared" si="39"/>
        <v>0</v>
      </c>
      <c r="DV16" s="599">
        <f t="shared" si="39"/>
        <v>0</v>
      </c>
      <c r="DW16" s="599">
        <f t="shared" si="39"/>
        <v>0</v>
      </c>
      <c r="DX16" s="599">
        <f t="shared" si="39"/>
        <v>0</v>
      </c>
      <c r="DY16" s="599">
        <f t="shared" si="39"/>
        <v>0</v>
      </c>
      <c r="DZ16" s="599">
        <f t="shared" si="35"/>
        <v>0</v>
      </c>
      <c r="EA16" s="599">
        <f t="shared" si="35"/>
        <v>0</v>
      </c>
      <c r="EB16" s="599">
        <f t="shared" si="35"/>
        <v>0</v>
      </c>
      <c r="EC16" s="599">
        <f t="shared" si="35"/>
        <v>0</v>
      </c>
      <c r="ED16" s="599">
        <f t="shared" si="35"/>
        <v>0</v>
      </c>
      <c r="EE16" s="599">
        <f t="shared" si="35"/>
        <v>0</v>
      </c>
      <c r="EF16" s="599">
        <f t="shared" si="35"/>
        <v>0</v>
      </c>
      <c r="EG16" s="599">
        <f t="shared" si="35"/>
        <v>0</v>
      </c>
      <c r="EH16" s="599">
        <f t="shared" si="35"/>
        <v>0</v>
      </c>
      <c r="EI16" s="599">
        <f t="shared" si="35"/>
        <v>0</v>
      </c>
      <c r="EJ16" s="1117">
        <f t="shared" si="35"/>
        <v>0</v>
      </c>
    </row>
    <row r="17" spans="1:140" hidden="1" x14ac:dyDescent="0.25">
      <c r="A17" s="6"/>
      <c r="B17" s="1015" t="str">
        <f>'Unit Mix'!C14</f>
        <v>Type (#BD/#BA)</v>
      </c>
      <c r="C17" s="1016">
        <f>'Unit Mix'!D14</f>
        <v>0</v>
      </c>
      <c r="D17" s="1017">
        <f>'Unit Mix'!E14</f>
        <v>0</v>
      </c>
      <c r="E17" s="1018">
        <f>'Unit Mix'!H14</f>
        <v>0</v>
      </c>
      <c r="F17" s="996">
        <f>'Unit Mix'!G14</f>
        <v>0</v>
      </c>
      <c r="G17" s="1072"/>
      <c r="H17" s="1115">
        <f t="shared" ref="H17:DY17" si="40">IF(H$5&gt;$E$4+12,0,IF(H$3&lt;$C$4,0,ROUNDUP(H$6*$C17,1)*$F17*(1+$G$10)^(H$4-1)))</f>
        <v>0</v>
      </c>
      <c r="I17" s="599">
        <f t="shared" si="40"/>
        <v>0</v>
      </c>
      <c r="J17" s="599">
        <f t="shared" si="40"/>
        <v>0</v>
      </c>
      <c r="K17" s="599">
        <f t="shared" si="40"/>
        <v>0</v>
      </c>
      <c r="L17" s="599">
        <f t="shared" si="40"/>
        <v>0</v>
      </c>
      <c r="M17" s="599">
        <f t="shared" si="40"/>
        <v>0</v>
      </c>
      <c r="N17" s="599">
        <f t="shared" si="40"/>
        <v>0</v>
      </c>
      <c r="O17" s="599">
        <f t="shared" si="40"/>
        <v>0</v>
      </c>
      <c r="P17" s="599">
        <f t="shared" si="40"/>
        <v>0</v>
      </c>
      <c r="Q17" s="599">
        <f t="shared" si="40"/>
        <v>0</v>
      </c>
      <c r="R17" s="599">
        <f t="shared" si="40"/>
        <v>0</v>
      </c>
      <c r="S17" s="599">
        <f t="shared" si="40"/>
        <v>0</v>
      </c>
      <c r="T17" s="599">
        <f t="shared" si="40"/>
        <v>0</v>
      </c>
      <c r="U17" s="599">
        <f t="shared" si="40"/>
        <v>0</v>
      </c>
      <c r="V17" s="599">
        <f t="shared" si="40"/>
        <v>0</v>
      </c>
      <c r="W17" s="599">
        <f t="shared" si="40"/>
        <v>0</v>
      </c>
      <c r="X17" s="599">
        <f t="shared" si="40"/>
        <v>0</v>
      </c>
      <c r="Y17" s="599">
        <f t="shared" si="40"/>
        <v>0</v>
      </c>
      <c r="Z17" s="599">
        <f t="shared" si="40"/>
        <v>0</v>
      </c>
      <c r="AA17" s="599">
        <f t="shared" si="40"/>
        <v>0</v>
      </c>
      <c r="AB17" s="599">
        <f t="shared" si="40"/>
        <v>0</v>
      </c>
      <c r="AC17" s="599">
        <f t="shared" si="40"/>
        <v>0</v>
      </c>
      <c r="AD17" s="599">
        <f t="shared" si="40"/>
        <v>0</v>
      </c>
      <c r="AE17" s="599">
        <f t="shared" si="40"/>
        <v>0</v>
      </c>
      <c r="AF17" s="599">
        <f t="shared" si="40"/>
        <v>0</v>
      </c>
      <c r="AG17" s="599">
        <f t="shared" si="40"/>
        <v>0</v>
      </c>
      <c r="AH17" s="599">
        <f t="shared" si="40"/>
        <v>0</v>
      </c>
      <c r="AI17" s="599">
        <f t="shared" si="40"/>
        <v>0</v>
      </c>
      <c r="AJ17" s="599">
        <f t="shared" si="40"/>
        <v>0</v>
      </c>
      <c r="AK17" s="599">
        <f t="shared" si="40"/>
        <v>0</v>
      </c>
      <c r="AL17" s="599">
        <f t="shared" si="40"/>
        <v>0</v>
      </c>
      <c r="AM17" s="599">
        <f t="shared" si="40"/>
        <v>0</v>
      </c>
      <c r="AN17" s="599">
        <f t="shared" si="40"/>
        <v>0</v>
      </c>
      <c r="AO17" s="599">
        <f t="shared" si="40"/>
        <v>0</v>
      </c>
      <c r="AP17" s="599">
        <f t="shared" si="40"/>
        <v>0</v>
      </c>
      <c r="AQ17" s="599">
        <f t="shared" si="40"/>
        <v>0</v>
      </c>
      <c r="AR17" s="599">
        <f t="shared" si="40"/>
        <v>0</v>
      </c>
      <c r="AS17" s="599">
        <f t="shared" si="40"/>
        <v>0</v>
      </c>
      <c r="AT17" s="599">
        <f t="shared" si="40"/>
        <v>0</v>
      </c>
      <c r="AU17" s="599">
        <f t="shared" si="40"/>
        <v>0</v>
      </c>
      <c r="AV17" s="599">
        <f t="shared" si="40"/>
        <v>0</v>
      </c>
      <c r="AW17" s="599">
        <f t="shared" si="40"/>
        <v>0</v>
      </c>
      <c r="AX17" s="599">
        <f t="shared" si="40"/>
        <v>0</v>
      </c>
      <c r="AY17" s="599">
        <f t="shared" si="40"/>
        <v>0</v>
      </c>
      <c r="AZ17" s="599">
        <f t="shared" si="40"/>
        <v>0</v>
      </c>
      <c r="BA17" s="599">
        <f t="shared" si="40"/>
        <v>0</v>
      </c>
      <c r="BB17" s="599">
        <f t="shared" si="40"/>
        <v>0</v>
      </c>
      <c r="BC17" s="599">
        <f t="shared" si="40"/>
        <v>0</v>
      </c>
      <c r="BD17" s="599">
        <f t="shared" si="40"/>
        <v>0</v>
      </c>
      <c r="BE17" s="599">
        <f t="shared" si="40"/>
        <v>0</v>
      </c>
      <c r="BF17" s="599">
        <f t="shared" si="40"/>
        <v>0</v>
      </c>
      <c r="BG17" s="599">
        <f t="shared" si="40"/>
        <v>0</v>
      </c>
      <c r="BH17" s="599">
        <f t="shared" si="40"/>
        <v>0</v>
      </c>
      <c r="BI17" s="599">
        <f t="shared" si="40"/>
        <v>0</v>
      </c>
      <c r="BJ17" s="599">
        <f t="shared" si="40"/>
        <v>0</v>
      </c>
      <c r="BK17" s="599">
        <f t="shared" si="40"/>
        <v>0</v>
      </c>
      <c r="BL17" s="599">
        <f t="shared" si="40"/>
        <v>0</v>
      </c>
      <c r="BM17" s="599">
        <f t="shared" si="40"/>
        <v>0</v>
      </c>
      <c r="BN17" s="599">
        <f t="shared" si="40"/>
        <v>0</v>
      </c>
      <c r="BO17" s="599">
        <f t="shared" si="40"/>
        <v>0</v>
      </c>
      <c r="BP17" s="599">
        <f t="shared" si="40"/>
        <v>0</v>
      </c>
      <c r="BQ17" s="599">
        <f t="shared" si="40"/>
        <v>0</v>
      </c>
      <c r="BR17" s="599">
        <f t="shared" si="40"/>
        <v>0</v>
      </c>
      <c r="BS17" s="599">
        <f t="shared" si="40"/>
        <v>0</v>
      </c>
      <c r="BT17" s="599">
        <f t="shared" si="40"/>
        <v>0</v>
      </c>
      <c r="BU17" s="599">
        <f t="shared" si="40"/>
        <v>0</v>
      </c>
      <c r="BV17" s="599">
        <f t="shared" si="40"/>
        <v>0</v>
      </c>
      <c r="BW17" s="599">
        <f t="shared" si="40"/>
        <v>0</v>
      </c>
      <c r="BX17" s="599">
        <f t="shared" si="40"/>
        <v>0</v>
      </c>
      <c r="BY17" s="599">
        <f t="shared" si="40"/>
        <v>0</v>
      </c>
      <c r="BZ17" s="599">
        <f t="shared" si="40"/>
        <v>0</v>
      </c>
      <c r="CA17" s="599">
        <f t="shared" si="40"/>
        <v>0</v>
      </c>
      <c r="CB17" s="599">
        <f t="shared" si="40"/>
        <v>0</v>
      </c>
      <c r="CC17" s="599">
        <f t="shared" si="40"/>
        <v>0</v>
      </c>
      <c r="CD17" s="599">
        <f t="shared" si="40"/>
        <v>0</v>
      </c>
      <c r="CE17" s="599">
        <f t="shared" si="40"/>
        <v>0</v>
      </c>
      <c r="CF17" s="599">
        <f t="shared" si="40"/>
        <v>0</v>
      </c>
      <c r="CG17" s="599">
        <f t="shared" si="40"/>
        <v>0</v>
      </c>
      <c r="CH17" s="599">
        <f t="shared" si="40"/>
        <v>0</v>
      </c>
      <c r="CI17" s="599">
        <f t="shared" si="40"/>
        <v>0</v>
      </c>
      <c r="CJ17" s="599">
        <f t="shared" si="40"/>
        <v>0</v>
      </c>
      <c r="CK17" s="599">
        <f t="shared" si="40"/>
        <v>0</v>
      </c>
      <c r="CL17" s="599">
        <f t="shared" si="40"/>
        <v>0</v>
      </c>
      <c r="CM17" s="599">
        <f t="shared" si="40"/>
        <v>0</v>
      </c>
      <c r="CN17" s="599">
        <f t="shared" si="40"/>
        <v>0</v>
      </c>
      <c r="CO17" s="599">
        <f t="shared" si="40"/>
        <v>0</v>
      </c>
      <c r="CP17" s="599">
        <f t="shared" si="40"/>
        <v>0</v>
      </c>
      <c r="CQ17" s="599">
        <f t="shared" si="40"/>
        <v>0</v>
      </c>
      <c r="CR17" s="599">
        <f t="shared" si="40"/>
        <v>0</v>
      </c>
      <c r="CS17" s="599">
        <f t="shared" si="40"/>
        <v>0</v>
      </c>
      <c r="CT17" s="599">
        <f t="shared" si="40"/>
        <v>0</v>
      </c>
      <c r="CU17" s="599">
        <f t="shared" si="40"/>
        <v>0</v>
      </c>
      <c r="CV17" s="599">
        <f t="shared" si="40"/>
        <v>0</v>
      </c>
      <c r="CW17" s="599">
        <f t="shared" si="40"/>
        <v>0</v>
      </c>
      <c r="CX17" s="599">
        <f t="shared" si="40"/>
        <v>0</v>
      </c>
      <c r="CY17" s="599">
        <f t="shared" si="40"/>
        <v>0</v>
      </c>
      <c r="CZ17" s="599">
        <f t="shared" si="40"/>
        <v>0</v>
      </c>
      <c r="DA17" s="599">
        <f t="shared" si="40"/>
        <v>0</v>
      </c>
      <c r="DB17" s="599">
        <f t="shared" si="40"/>
        <v>0</v>
      </c>
      <c r="DC17" s="599">
        <f t="shared" si="40"/>
        <v>0</v>
      </c>
      <c r="DD17" s="599">
        <f t="shared" si="40"/>
        <v>0</v>
      </c>
      <c r="DE17" s="599">
        <f t="shared" si="40"/>
        <v>0</v>
      </c>
      <c r="DF17" s="599">
        <f t="shared" si="40"/>
        <v>0</v>
      </c>
      <c r="DG17" s="599">
        <f t="shared" si="40"/>
        <v>0</v>
      </c>
      <c r="DH17" s="599">
        <f t="shared" si="40"/>
        <v>0</v>
      </c>
      <c r="DI17" s="599">
        <f t="shared" si="40"/>
        <v>0</v>
      </c>
      <c r="DJ17" s="599">
        <f t="shared" si="40"/>
        <v>0</v>
      </c>
      <c r="DK17" s="599">
        <f t="shared" si="40"/>
        <v>0</v>
      </c>
      <c r="DL17" s="599">
        <f t="shared" si="40"/>
        <v>0</v>
      </c>
      <c r="DM17" s="599">
        <f t="shared" si="40"/>
        <v>0</v>
      </c>
      <c r="DN17" s="599">
        <f t="shared" si="40"/>
        <v>0</v>
      </c>
      <c r="DO17" s="599">
        <f t="shared" si="40"/>
        <v>0</v>
      </c>
      <c r="DP17" s="599">
        <f t="shared" si="40"/>
        <v>0</v>
      </c>
      <c r="DQ17" s="599">
        <f t="shared" si="40"/>
        <v>0</v>
      </c>
      <c r="DR17" s="599">
        <f t="shared" si="40"/>
        <v>0</v>
      </c>
      <c r="DS17" s="599">
        <f t="shared" si="40"/>
        <v>0</v>
      </c>
      <c r="DT17" s="599">
        <f t="shared" si="40"/>
        <v>0</v>
      </c>
      <c r="DU17" s="599">
        <f t="shared" si="40"/>
        <v>0</v>
      </c>
      <c r="DV17" s="599">
        <f t="shared" si="40"/>
        <v>0</v>
      </c>
      <c r="DW17" s="599">
        <f t="shared" si="40"/>
        <v>0</v>
      </c>
      <c r="DX17" s="599">
        <f t="shared" si="40"/>
        <v>0</v>
      </c>
      <c r="DY17" s="599">
        <f t="shared" si="40"/>
        <v>0</v>
      </c>
      <c r="DZ17" s="599">
        <f t="shared" si="35"/>
        <v>0</v>
      </c>
      <c r="EA17" s="599">
        <f t="shared" si="35"/>
        <v>0</v>
      </c>
      <c r="EB17" s="599">
        <f t="shared" si="35"/>
        <v>0</v>
      </c>
      <c r="EC17" s="599">
        <f t="shared" si="35"/>
        <v>0</v>
      </c>
      <c r="ED17" s="599">
        <f t="shared" si="35"/>
        <v>0</v>
      </c>
      <c r="EE17" s="599">
        <f t="shared" si="35"/>
        <v>0</v>
      </c>
      <c r="EF17" s="599">
        <f t="shared" si="35"/>
        <v>0</v>
      </c>
      <c r="EG17" s="599">
        <f t="shared" si="35"/>
        <v>0</v>
      </c>
      <c r="EH17" s="599">
        <f t="shared" si="35"/>
        <v>0</v>
      </c>
      <c r="EI17" s="599">
        <f t="shared" si="35"/>
        <v>0</v>
      </c>
      <c r="EJ17" s="1117">
        <f t="shared" si="35"/>
        <v>0</v>
      </c>
    </row>
    <row r="18" spans="1:140" hidden="1" x14ac:dyDescent="0.25">
      <c r="A18" s="6"/>
      <c r="B18" s="1015" t="str">
        <f>'Unit Mix'!C15</f>
        <v>Type (#BD/#BA)</v>
      </c>
      <c r="C18" s="1016">
        <f>'Unit Mix'!D15</f>
        <v>0</v>
      </c>
      <c r="D18" s="1017">
        <f>'Unit Mix'!E15</f>
        <v>0</v>
      </c>
      <c r="E18" s="1018">
        <f>'Unit Mix'!H15</f>
        <v>0</v>
      </c>
      <c r="F18" s="996">
        <f>'Unit Mix'!G15</f>
        <v>0</v>
      </c>
      <c r="G18" s="1072"/>
      <c r="H18" s="1115">
        <f t="shared" ref="H18:DY18" si="41">IF(H$5&gt;$E$4+12,0,IF(H$3&lt;$C$4,0,ROUNDUP(H$6*$C18,1)*$F18*(1+$G$10)^(H$4-1)))</f>
        <v>0</v>
      </c>
      <c r="I18" s="599">
        <f t="shared" si="41"/>
        <v>0</v>
      </c>
      <c r="J18" s="599">
        <f t="shared" si="41"/>
        <v>0</v>
      </c>
      <c r="K18" s="599">
        <f t="shared" si="41"/>
        <v>0</v>
      </c>
      <c r="L18" s="599">
        <f t="shared" si="41"/>
        <v>0</v>
      </c>
      <c r="M18" s="599">
        <f t="shared" si="41"/>
        <v>0</v>
      </c>
      <c r="N18" s="599">
        <f t="shared" si="41"/>
        <v>0</v>
      </c>
      <c r="O18" s="599">
        <f t="shared" si="41"/>
        <v>0</v>
      </c>
      <c r="P18" s="599">
        <f t="shared" si="41"/>
        <v>0</v>
      </c>
      <c r="Q18" s="599">
        <f t="shared" si="41"/>
        <v>0</v>
      </c>
      <c r="R18" s="599">
        <f t="shared" si="41"/>
        <v>0</v>
      </c>
      <c r="S18" s="599">
        <f t="shared" si="41"/>
        <v>0</v>
      </c>
      <c r="T18" s="599">
        <f t="shared" si="41"/>
        <v>0</v>
      </c>
      <c r="U18" s="599">
        <f t="shared" si="41"/>
        <v>0</v>
      </c>
      <c r="V18" s="599">
        <f t="shared" si="41"/>
        <v>0</v>
      </c>
      <c r="W18" s="599">
        <f t="shared" si="41"/>
        <v>0</v>
      </c>
      <c r="X18" s="599">
        <f t="shared" si="41"/>
        <v>0</v>
      </c>
      <c r="Y18" s="599">
        <f t="shared" si="41"/>
        <v>0</v>
      </c>
      <c r="Z18" s="599">
        <f t="shared" si="41"/>
        <v>0</v>
      </c>
      <c r="AA18" s="599">
        <f t="shared" si="41"/>
        <v>0</v>
      </c>
      <c r="AB18" s="599">
        <f t="shared" si="41"/>
        <v>0</v>
      </c>
      <c r="AC18" s="599">
        <f t="shared" si="41"/>
        <v>0</v>
      </c>
      <c r="AD18" s="599">
        <f t="shared" si="41"/>
        <v>0</v>
      </c>
      <c r="AE18" s="599">
        <f t="shared" si="41"/>
        <v>0</v>
      </c>
      <c r="AF18" s="599">
        <f t="shared" si="41"/>
        <v>0</v>
      </c>
      <c r="AG18" s="599">
        <f t="shared" si="41"/>
        <v>0</v>
      </c>
      <c r="AH18" s="599">
        <f t="shared" si="41"/>
        <v>0</v>
      </c>
      <c r="AI18" s="599">
        <f t="shared" si="41"/>
        <v>0</v>
      </c>
      <c r="AJ18" s="599">
        <f t="shared" si="41"/>
        <v>0</v>
      </c>
      <c r="AK18" s="599">
        <f t="shared" si="41"/>
        <v>0</v>
      </c>
      <c r="AL18" s="599">
        <f t="shared" si="41"/>
        <v>0</v>
      </c>
      <c r="AM18" s="599">
        <f t="shared" si="41"/>
        <v>0</v>
      </c>
      <c r="AN18" s="599">
        <f t="shared" si="41"/>
        <v>0</v>
      </c>
      <c r="AO18" s="599">
        <f t="shared" si="41"/>
        <v>0</v>
      </c>
      <c r="AP18" s="599">
        <f t="shared" si="41"/>
        <v>0</v>
      </c>
      <c r="AQ18" s="599">
        <f t="shared" si="41"/>
        <v>0</v>
      </c>
      <c r="AR18" s="599">
        <f t="shared" si="41"/>
        <v>0</v>
      </c>
      <c r="AS18" s="599">
        <f t="shared" si="41"/>
        <v>0</v>
      </c>
      <c r="AT18" s="599">
        <f t="shared" si="41"/>
        <v>0</v>
      </c>
      <c r="AU18" s="599">
        <f t="shared" si="41"/>
        <v>0</v>
      </c>
      <c r="AV18" s="599">
        <f t="shared" si="41"/>
        <v>0</v>
      </c>
      <c r="AW18" s="599">
        <f t="shared" si="41"/>
        <v>0</v>
      </c>
      <c r="AX18" s="599">
        <f t="shared" si="41"/>
        <v>0</v>
      </c>
      <c r="AY18" s="599">
        <f t="shared" si="41"/>
        <v>0</v>
      </c>
      <c r="AZ18" s="599">
        <f t="shared" si="41"/>
        <v>0</v>
      </c>
      <c r="BA18" s="599">
        <f t="shared" si="41"/>
        <v>0</v>
      </c>
      <c r="BB18" s="599">
        <f t="shared" si="41"/>
        <v>0</v>
      </c>
      <c r="BC18" s="599">
        <f t="shared" si="41"/>
        <v>0</v>
      </c>
      <c r="BD18" s="599">
        <f t="shared" si="41"/>
        <v>0</v>
      </c>
      <c r="BE18" s="599">
        <f t="shared" si="41"/>
        <v>0</v>
      </c>
      <c r="BF18" s="599">
        <f t="shared" si="41"/>
        <v>0</v>
      </c>
      <c r="BG18" s="599">
        <f t="shared" si="41"/>
        <v>0</v>
      </c>
      <c r="BH18" s="599">
        <f t="shared" si="41"/>
        <v>0</v>
      </c>
      <c r="BI18" s="599">
        <f t="shared" si="41"/>
        <v>0</v>
      </c>
      <c r="BJ18" s="599">
        <f t="shared" si="41"/>
        <v>0</v>
      </c>
      <c r="BK18" s="599">
        <f t="shared" si="41"/>
        <v>0</v>
      </c>
      <c r="BL18" s="599">
        <f t="shared" si="41"/>
        <v>0</v>
      </c>
      <c r="BM18" s="599">
        <f t="shared" si="41"/>
        <v>0</v>
      </c>
      <c r="BN18" s="599">
        <f t="shared" si="41"/>
        <v>0</v>
      </c>
      <c r="BO18" s="599">
        <f t="shared" si="41"/>
        <v>0</v>
      </c>
      <c r="BP18" s="599">
        <f t="shared" si="41"/>
        <v>0</v>
      </c>
      <c r="BQ18" s="599">
        <f t="shared" si="41"/>
        <v>0</v>
      </c>
      <c r="BR18" s="599">
        <f t="shared" si="41"/>
        <v>0</v>
      </c>
      <c r="BS18" s="599">
        <f t="shared" si="41"/>
        <v>0</v>
      </c>
      <c r="BT18" s="599">
        <f t="shared" si="41"/>
        <v>0</v>
      </c>
      <c r="BU18" s="599">
        <f t="shared" si="41"/>
        <v>0</v>
      </c>
      <c r="BV18" s="599">
        <f t="shared" si="41"/>
        <v>0</v>
      </c>
      <c r="BW18" s="599">
        <f t="shared" si="41"/>
        <v>0</v>
      </c>
      <c r="BX18" s="599">
        <f t="shared" si="41"/>
        <v>0</v>
      </c>
      <c r="BY18" s="599">
        <f t="shared" si="41"/>
        <v>0</v>
      </c>
      <c r="BZ18" s="599">
        <f t="shared" si="41"/>
        <v>0</v>
      </c>
      <c r="CA18" s="599">
        <f t="shared" si="41"/>
        <v>0</v>
      </c>
      <c r="CB18" s="599">
        <f t="shared" si="41"/>
        <v>0</v>
      </c>
      <c r="CC18" s="599">
        <f t="shared" si="41"/>
        <v>0</v>
      </c>
      <c r="CD18" s="599">
        <f t="shared" si="41"/>
        <v>0</v>
      </c>
      <c r="CE18" s="599">
        <f t="shared" si="41"/>
        <v>0</v>
      </c>
      <c r="CF18" s="599">
        <f t="shared" si="41"/>
        <v>0</v>
      </c>
      <c r="CG18" s="599">
        <f t="shared" si="41"/>
        <v>0</v>
      </c>
      <c r="CH18" s="599">
        <f t="shared" si="41"/>
        <v>0</v>
      </c>
      <c r="CI18" s="599">
        <f t="shared" si="41"/>
        <v>0</v>
      </c>
      <c r="CJ18" s="599">
        <f t="shared" si="41"/>
        <v>0</v>
      </c>
      <c r="CK18" s="599">
        <f t="shared" si="41"/>
        <v>0</v>
      </c>
      <c r="CL18" s="599">
        <f t="shared" si="41"/>
        <v>0</v>
      </c>
      <c r="CM18" s="599">
        <f t="shared" si="41"/>
        <v>0</v>
      </c>
      <c r="CN18" s="599">
        <f t="shared" si="41"/>
        <v>0</v>
      </c>
      <c r="CO18" s="599">
        <f t="shared" si="41"/>
        <v>0</v>
      </c>
      <c r="CP18" s="599">
        <f t="shared" si="41"/>
        <v>0</v>
      </c>
      <c r="CQ18" s="599">
        <f t="shared" si="41"/>
        <v>0</v>
      </c>
      <c r="CR18" s="599">
        <f t="shared" si="41"/>
        <v>0</v>
      </c>
      <c r="CS18" s="599">
        <f t="shared" si="41"/>
        <v>0</v>
      </c>
      <c r="CT18" s="599">
        <f t="shared" si="41"/>
        <v>0</v>
      </c>
      <c r="CU18" s="599">
        <f t="shared" si="41"/>
        <v>0</v>
      </c>
      <c r="CV18" s="599">
        <f t="shared" si="41"/>
        <v>0</v>
      </c>
      <c r="CW18" s="599">
        <f t="shared" si="41"/>
        <v>0</v>
      </c>
      <c r="CX18" s="599">
        <f t="shared" si="41"/>
        <v>0</v>
      </c>
      <c r="CY18" s="599">
        <f t="shared" si="41"/>
        <v>0</v>
      </c>
      <c r="CZ18" s="599">
        <f t="shared" si="41"/>
        <v>0</v>
      </c>
      <c r="DA18" s="599">
        <f t="shared" si="41"/>
        <v>0</v>
      </c>
      <c r="DB18" s="599">
        <f t="shared" si="41"/>
        <v>0</v>
      </c>
      <c r="DC18" s="599">
        <f t="shared" si="41"/>
        <v>0</v>
      </c>
      <c r="DD18" s="599">
        <f t="shared" si="41"/>
        <v>0</v>
      </c>
      <c r="DE18" s="599">
        <f t="shared" si="41"/>
        <v>0</v>
      </c>
      <c r="DF18" s="599">
        <f t="shared" si="41"/>
        <v>0</v>
      </c>
      <c r="DG18" s="599">
        <f t="shared" si="41"/>
        <v>0</v>
      </c>
      <c r="DH18" s="599">
        <f t="shared" si="41"/>
        <v>0</v>
      </c>
      <c r="DI18" s="599">
        <f t="shared" si="41"/>
        <v>0</v>
      </c>
      <c r="DJ18" s="599">
        <f t="shared" si="41"/>
        <v>0</v>
      </c>
      <c r="DK18" s="599">
        <f t="shared" si="41"/>
        <v>0</v>
      </c>
      <c r="DL18" s="599">
        <f t="shared" si="41"/>
        <v>0</v>
      </c>
      <c r="DM18" s="599">
        <f t="shared" si="41"/>
        <v>0</v>
      </c>
      <c r="DN18" s="599">
        <f t="shared" si="41"/>
        <v>0</v>
      </c>
      <c r="DO18" s="599">
        <f t="shared" si="41"/>
        <v>0</v>
      </c>
      <c r="DP18" s="599">
        <f t="shared" si="41"/>
        <v>0</v>
      </c>
      <c r="DQ18" s="599">
        <f t="shared" si="41"/>
        <v>0</v>
      </c>
      <c r="DR18" s="599">
        <f t="shared" si="41"/>
        <v>0</v>
      </c>
      <c r="DS18" s="599">
        <f t="shared" si="41"/>
        <v>0</v>
      </c>
      <c r="DT18" s="599">
        <f t="shared" si="41"/>
        <v>0</v>
      </c>
      <c r="DU18" s="599">
        <f t="shared" si="41"/>
        <v>0</v>
      </c>
      <c r="DV18" s="599">
        <f t="shared" si="41"/>
        <v>0</v>
      </c>
      <c r="DW18" s="599">
        <f t="shared" si="41"/>
        <v>0</v>
      </c>
      <c r="DX18" s="599">
        <f t="shared" si="41"/>
        <v>0</v>
      </c>
      <c r="DY18" s="599">
        <f t="shared" si="41"/>
        <v>0</v>
      </c>
      <c r="DZ18" s="599">
        <f t="shared" si="35"/>
        <v>0</v>
      </c>
      <c r="EA18" s="599">
        <f t="shared" si="35"/>
        <v>0</v>
      </c>
      <c r="EB18" s="599">
        <f t="shared" si="35"/>
        <v>0</v>
      </c>
      <c r="EC18" s="599">
        <f t="shared" si="35"/>
        <v>0</v>
      </c>
      <c r="ED18" s="599">
        <f t="shared" si="35"/>
        <v>0</v>
      </c>
      <c r="EE18" s="599">
        <f t="shared" si="35"/>
        <v>0</v>
      </c>
      <c r="EF18" s="599">
        <f t="shared" si="35"/>
        <v>0</v>
      </c>
      <c r="EG18" s="599">
        <f t="shared" si="35"/>
        <v>0</v>
      </c>
      <c r="EH18" s="599">
        <f t="shared" si="35"/>
        <v>0</v>
      </c>
      <c r="EI18" s="599">
        <f t="shared" si="35"/>
        <v>0</v>
      </c>
      <c r="EJ18" s="1117">
        <f t="shared" si="35"/>
        <v>0</v>
      </c>
    </row>
    <row r="19" spans="1:140" hidden="1" x14ac:dyDescent="0.25">
      <c r="A19" s="6"/>
      <c r="B19" s="1015" t="str">
        <f>'Unit Mix'!C16</f>
        <v>Type (#BD/#BA)</v>
      </c>
      <c r="C19" s="1016">
        <f>'Unit Mix'!D16</f>
        <v>0</v>
      </c>
      <c r="D19" s="1017">
        <f>'Unit Mix'!E16</f>
        <v>0</v>
      </c>
      <c r="E19" s="1018">
        <f>'Unit Mix'!H16</f>
        <v>0</v>
      </c>
      <c r="F19" s="996">
        <f>'Unit Mix'!G16</f>
        <v>0</v>
      </c>
      <c r="G19" s="1072"/>
      <c r="H19" s="1115">
        <f t="shared" ref="H19:DY19" si="42">IF(H$5&gt;$E$4+12,0,IF(H$3&lt;$C$4,0,ROUNDUP(H$6*$C19,1)*$F19*(1+$G$10)^(H$4-1)))</f>
        <v>0</v>
      </c>
      <c r="I19" s="599">
        <f t="shared" si="42"/>
        <v>0</v>
      </c>
      <c r="J19" s="599">
        <f t="shared" si="42"/>
        <v>0</v>
      </c>
      <c r="K19" s="599">
        <f t="shared" si="42"/>
        <v>0</v>
      </c>
      <c r="L19" s="599">
        <f t="shared" si="42"/>
        <v>0</v>
      </c>
      <c r="M19" s="599">
        <f t="shared" si="42"/>
        <v>0</v>
      </c>
      <c r="N19" s="599">
        <f t="shared" si="42"/>
        <v>0</v>
      </c>
      <c r="O19" s="599">
        <f t="shared" si="42"/>
        <v>0</v>
      </c>
      <c r="P19" s="599">
        <f t="shared" si="42"/>
        <v>0</v>
      </c>
      <c r="Q19" s="599">
        <f t="shared" si="42"/>
        <v>0</v>
      </c>
      <c r="R19" s="599">
        <f t="shared" si="42"/>
        <v>0</v>
      </c>
      <c r="S19" s="599">
        <f t="shared" si="42"/>
        <v>0</v>
      </c>
      <c r="T19" s="599">
        <f t="shared" si="42"/>
        <v>0</v>
      </c>
      <c r="U19" s="599">
        <f t="shared" si="42"/>
        <v>0</v>
      </c>
      <c r="V19" s="599">
        <f t="shared" si="42"/>
        <v>0</v>
      </c>
      <c r="W19" s="599">
        <f t="shared" si="42"/>
        <v>0</v>
      </c>
      <c r="X19" s="599">
        <f t="shared" si="42"/>
        <v>0</v>
      </c>
      <c r="Y19" s="599">
        <f t="shared" si="42"/>
        <v>0</v>
      </c>
      <c r="Z19" s="599">
        <f t="shared" si="42"/>
        <v>0</v>
      </c>
      <c r="AA19" s="599">
        <f t="shared" si="42"/>
        <v>0</v>
      </c>
      <c r="AB19" s="599">
        <f t="shared" si="42"/>
        <v>0</v>
      </c>
      <c r="AC19" s="599">
        <f t="shared" si="42"/>
        <v>0</v>
      </c>
      <c r="AD19" s="599">
        <f t="shared" si="42"/>
        <v>0</v>
      </c>
      <c r="AE19" s="599">
        <f t="shared" si="42"/>
        <v>0</v>
      </c>
      <c r="AF19" s="599">
        <f t="shared" si="42"/>
        <v>0</v>
      </c>
      <c r="AG19" s="599">
        <f t="shared" si="42"/>
        <v>0</v>
      </c>
      <c r="AH19" s="599">
        <f t="shared" si="42"/>
        <v>0</v>
      </c>
      <c r="AI19" s="599">
        <f t="shared" si="42"/>
        <v>0</v>
      </c>
      <c r="AJ19" s="599">
        <f t="shared" si="42"/>
        <v>0</v>
      </c>
      <c r="AK19" s="599">
        <f t="shared" si="42"/>
        <v>0</v>
      </c>
      <c r="AL19" s="599">
        <f t="shared" si="42"/>
        <v>0</v>
      </c>
      <c r="AM19" s="599">
        <f t="shared" si="42"/>
        <v>0</v>
      </c>
      <c r="AN19" s="599">
        <f t="shared" si="42"/>
        <v>0</v>
      </c>
      <c r="AO19" s="599">
        <f t="shared" si="42"/>
        <v>0</v>
      </c>
      <c r="AP19" s="599">
        <f t="shared" si="42"/>
        <v>0</v>
      </c>
      <c r="AQ19" s="599">
        <f t="shared" si="42"/>
        <v>0</v>
      </c>
      <c r="AR19" s="599">
        <f t="shared" si="42"/>
        <v>0</v>
      </c>
      <c r="AS19" s="599">
        <f t="shared" si="42"/>
        <v>0</v>
      </c>
      <c r="AT19" s="599">
        <f t="shared" si="42"/>
        <v>0</v>
      </c>
      <c r="AU19" s="599">
        <f t="shared" si="42"/>
        <v>0</v>
      </c>
      <c r="AV19" s="599">
        <f t="shared" si="42"/>
        <v>0</v>
      </c>
      <c r="AW19" s="599">
        <f t="shared" si="42"/>
        <v>0</v>
      </c>
      <c r="AX19" s="599">
        <f t="shared" si="42"/>
        <v>0</v>
      </c>
      <c r="AY19" s="599">
        <f t="shared" si="42"/>
        <v>0</v>
      </c>
      <c r="AZ19" s="599">
        <f t="shared" si="42"/>
        <v>0</v>
      </c>
      <c r="BA19" s="599">
        <f t="shared" si="42"/>
        <v>0</v>
      </c>
      <c r="BB19" s="599">
        <f t="shared" si="42"/>
        <v>0</v>
      </c>
      <c r="BC19" s="599">
        <f t="shared" si="42"/>
        <v>0</v>
      </c>
      <c r="BD19" s="599">
        <f t="shared" si="42"/>
        <v>0</v>
      </c>
      <c r="BE19" s="599">
        <f t="shared" si="42"/>
        <v>0</v>
      </c>
      <c r="BF19" s="599">
        <f t="shared" si="42"/>
        <v>0</v>
      </c>
      <c r="BG19" s="599">
        <f t="shared" si="42"/>
        <v>0</v>
      </c>
      <c r="BH19" s="599">
        <f t="shared" si="42"/>
        <v>0</v>
      </c>
      <c r="BI19" s="599">
        <f t="shared" si="42"/>
        <v>0</v>
      </c>
      <c r="BJ19" s="599">
        <f t="shared" si="42"/>
        <v>0</v>
      </c>
      <c r="BK19" s="599">
        <f t="shared" si="42"/>
        <v>0</v>
      </c>
      <c r="BL19" s="599">
        <f t="shared" si="42"/>
        <v>0</v>
      </c>
      <c r="BM19" s="599">
        <f t="shared" si="42"/>
        <v>0</v>
      </c>
      <c r="BN19" s="599">
        <f t="shared" si="42"/>
        <v>0</v>
      </c>
      <c r="BO19" s="599">
        <f t="shared" si="42"/>
        <v>0</v>
      </c>
      <c r="BP19" s="599">
        <f t="shared" si="42"/>
        <v>0</v>
      </c>
      <c r="BQ19" s="599">
        <f t="shared" si="42"/>
        <v>0</v>
      </c>
      <c r="BR19" s="599">
        <f t="shared" si="42"/>
        <v>0</v>
      </c>
      <c r="BS19" s="599">
        <f t="shared" si="42"/>
        <v>0</v>
      </c>
      <c r="BT19" s="599">
        <f t="shared" si="42"/>
        <v>0</v>
      </c>
      <c r="BU19" s="599">
        <f t="shared" si="42"/>
        <v>0</v>
      </c>
      <c r="BV19" s="599">
        <f t="shared" si="42"/>
        <v>0</v>
      </c>
      <c r="BW19" s="599">
        <f t="shared" si="42"/>
        <v>0</v>
      </c>
      <c r="BX19" s="599">
        <f t="shared" si="42"/>
        <v>0</v>
      </c>
      <c r="BY19" s="599">
        <f t="shared" si="42"/>
        <v>0</v>
      </c>
      <c r="BZ19" s="599">
        <f t="shared" si="42"/>
        <v>0</v>
      </c>
      <c r="CA19" s="599">
        <f t="shared" si="42"/>
        <v>0</v>
      </c>
      <c r="CB19" s="599">
        <f t="shared" si="42"/>
        <v>0</v>
      </c>
      <c r="CC19" s="599">
        <f t="shared" si="42"/>
        <v>0</v>
      </c>
      <c r="CD19" s="599">
        <f t="shared" si="42"/>
        <v>0</v>
      </c>
      <c r="CE19" s="599">
        <f t="shared" si="42"/>
        <v>0</v>
      </c>
      <c r="CF19" s="599">
        <f t="shared" si="42"/>
        <v>0</v>
      </c>
      <c r="CG19" s="599">
        <f t="shared" si="42"/>
        <v>0</v>
      </c>
      <c r="CH19" s="599">
        <f t="shared" si="42"/>
        <v>0</v>
      </c>
      <c r="CI19" s="599">
        <f t="shared" si="42"/>
        <v>0</v>
      </c>
      <c r="CJ19" s="599">
        <f t="shared" si="42"/>
        <v>0</v>
      </c>
      <c r="CK19" s="599">
        <f t="shared" si="42"/>
        <v>0</v>
      </c>
      <c r="CL19" s="599">
        <f t="shared" si="42"/>
        <v>0</v>
      </c>
      <c r="CM19" s="599">
        <f t="shared" si="42"/>
        <v>0</v>
      </c>
      <c r="CN19" s="599">
        <f t="shared" si="42"/>
        <v>0</v>
      </c>
      <c r="CO19" s="599">
        <f t="shared" si="42"/>
        <v>0</v>
      </c>
      <c r="CP19" s="599">
        <f t="shared" si="42"/>
        <v>0</v>
      </c>
      <c r="CQ19" s="599">
        <f t="shared" si="42"/>
        <v>0</v>
      </c>
      <c r="CR19" s="599">
        <f t="shared" si="42"/>
        <v>0</v>
      </c>
      <c r="CS19" s="599">
        <f t="shared" si="42"/>
        <v>0</v>
      </c>
      <c r="CT19" s="599">
        <f t="shared" si="42"/>
        <v>0</v>
      </c>
      <c r="CU19" s="599">
        <f t="shared" si="42"/>
        <v>0</v>
      </c>
      <c r="CV19" s="599">
        <f t="shared" si="42"/>
        <v>0</v>
      </c>
      <c r="CW19" s="599">
        <f t="shared" si="42"/>
        <v>0</v>
      </c>
      <c r="CX19" s="599">
        <f t="shared" si="42"/>
        <v>0</v>
      </c>
      <c r="CY19" s="599">
        <f t="shared" si="42"/>
        <v>0</v>
      </c>
      <c r="CZ19" s="599">
        <f t="shared" si="42"/>
        <v>0</v>
      </c>
      <c r="DA19" s="599">
        <f t="shared" si="42"/>
        <v>0</v>
      </c>
      <c r="DB19" s="599">
        <f t="shared" si="42"/>
        <v>0</v>
      </c>
      <c r="DC19" s="599">
        <f t="shared" si="42"/>
        <v>0</v>
      </c>
      <c r="DD19" s="599">
        <f t="shared" si="42"/>
        <v>0</v>
      </c>
      <c r="DE19" s="599">
        <f t="shared" si="42"/>
        <v>0</v>
      </c>
      <c r="DF19" s="599">
        <f t="shared" si="42"/>
        <v>0</v>
      </c>
      <c r="DG19" s="599">
        <f t="shared" si="42"/>
        <v>0</v>
      </c>
      <c r="DH19" s="599">
        <f t="shared" si="42"/>
        <v>0</v>
      </c>
      <c r="DI19" s="599">
        <f t="shared" si="42"/>
        <v>0</v>
      </c>
      <c r="DJ19" s="599">
        <f t="shared" si="42"/>
        <v>0</v>
      </c>
      <c r="DK19" s="599">
        <f t="shared" si="42"/>
        <v>0</v>
      </c>
      <c r="DL19" s="599">
        <f t="shared" si="42"/>
        <v>0</v>
      </c>
      <c r="DM19" s="599">
        <f t="shared" si="42"/>
        <v>0</v>
      </c>
      <c r="DN19" s="599">
        <f t="shared" si="42"/>
        <v>0</v>
      </c>
      <c r="DO19" s="599">
        <f t="shared" si="42"/>
        <v>0</v>
      </c>
      <c r="DP19" s="599">
        <f t="shared" si="42"/>
        <v>0</v>
      </c>
      <c r="DQ19" s="599">
        <f t="shared" si="42"/>
        <v>0</v>
      </c>
      <c r="DR19" s="599">
        <f t="shared" si="42"/>
        <v>0</v>
      </c>
      <c r="DS19" s="599">
        <f t="shared" si="42"/>
        <v>0</v>
      </c>
      <c r="DT19" s="599">
        <f t="shared" si="42"/>
        <v>0</v>
      </c>
      <c r="DU19" s="599">
        <f t="shared" si="42"/>
        <v>0</v>
      </c>
      <c r="DV19" s="599">
        <f t="shared" si="42"/>
        <v>0</v>
      </c>
      <c r="DW19" s="599">
        <f t="shared" si="42"/>
        <v>0</v>
      </c>
      <c r="DX19" s="599">
        <f t="shared" si="42"/>
        <v>0</v>
      </c>
      <c r="DY19" s="599">
        <f t="shared" si="42"/>
        <v>0</v>
      </c>
      <c r="DZ19" s="599">
        <f t="shared" si="35"/>
        <v>0</v>
      </c>
      <c r="EA19" s="599">
        <f t="shared" si="35"/>
        <v>0</v>
      </c>
      <c r="EB19" s="599">
        <f t="shared" si="35"/>
        <v>0</v>
      </c>
      <c r="EC19" s="599">
        <f t="shared" si="35"/>
        <v>0</v>
      </c>
      <c r="ED19" s="599">
        <f t="shared" si="35"/>
        <v>0</v>
      </c>
      <c r="EE19" s="599">
        <f t="shared" si="35"/>
        <v>0</v>
      </c>
      <c r="EF19" s="599">
        <f t="shared" si="35"/>
        <v>0</v>
      </c>
      <c r="EG19" s="599">
        <f t="shared" si="35"/>
        <v>0</v>
      </c>
      <c r="EH19" s="599">
        <f t="shared" si="35"/>
        <v>0</v>
      </c>
      <c r="EI19" s="599">
        <f t="shared" si="35"/>
        <v>0</v>
      </c>
      <c r="EJ19" s="1117">
        <f t="shared" si="35"/>
        <v>0</v>
      </c>
    </row>
    <row r="20" spans="1:140" hidden="1" x14ac:dyDescent="0.25">
      <c r="A20" s="6"/>
      <c r="B20" s="1015" t="str">
        <f>'Unit Mix'!C17</f>
        <v>Type (#BD/#BA)</v>
      </c>
      <c r="C20" s="1016">
        <f>'Unit Mix'!D17</f>
        <v>0</v>
      </c>
      <c r="D20" s="1017">
        <f>'Unit Mix'!E17</f>
        <v>0</v>
      </c>
      <c r="E20" s="1018">
        <f>'Unit Mix'!H17</f>
        <v>0</v>
      </c>
      <c r="F20" s="996">
        <f>'Unit Mix'!G17</f>
        <v>0</v>
      </c>
      <c r="G20" s="1072"/>
      <c r="H20" s="1115">
        <f t="shared" ref="H20:DY20" si="43">IF(H$5&gt;$E$4+12,0,IF(H$3&lt;$C$4,0,ROUNDUP(H$6*$C20,1)*$F20*(1+$G$10)^(H$4-1)))</f>
        <v>0</v>
      </c>
      <c r="I20" s="599">
        <f t="shared" si="43"/>
        <v>0</v>
      </c>
      <c r="J20" s="599">
        <f t="shared" si="43"/>
        <v>0</v>
      </c>
      <c r="K20" s="599">
        <f t="shared" si="43"/>
        <v>0</v>
      </c>
      <c r="L20" s="599">
        <f t="shared" si="43"/>
        <v>0</v>
      </c>
      <c r="M20" s="599">
        <f t="shared" si="43"/>
        <v>0</v>
      </c>
      <c r="N20" s="599">
        <f t="shared" si="43"/>
        <v>0</v>
      </c>
      <c r="O20" s="599">
        <f t="shared" si="43"/>
        <v>0</v>
      </c>
      <c r="P20" s="599">
        <f t="shared" si="43"/>
        <v>0</v>
      </c>
      <c r="Q20" s="599">
        <f t="shared" si="43"/>
        <v>0</v>
      </c>
      <c r="R20" s="599">
        <f t="shared" si="43"/>
        <v>0</v>
      </c>
      <c r="S20" s="599">
        <f t="shared" si="43"/>
        <v>0</v>
      </c>
      <c r="T20" s="599">
        <f t="shared" si="43"/>
        <v>0</v>
      </c>
      <c r="U20" s="599">
        <f t="shared" si="43"/>
        <v>0</v>
      </c>
      <c r="V20" s="599">
        <f t="shared" si="43"/>
        <v>0</v>
      </c>
      <c r="W20" s="599">
        <f t="shared" si="43"/>
        <v>0</v>
      </c>
      <c r="X20" s="599">
        <f t="shared" si="43"/>
        <v>0</v>
      </c>
      <c r="Y20" s="599">
        <f t="shared" si="43"/>
        <v>0</v>
      </c>
      <c r="Z20" s="599">
        <f t="shared" si="43"/>
        <v>0</v>
      </c>
      <c r="AA20" s="599">
        <f t="shared" si="43"/>
        <v>0</v>
      </c>
      <c r="AB20" s="599">
        <f t="shared" si="43"/>
        <v>0</v>
      </c>
      <c r="AC20" s="599">
        <f t="shared" si="43"/>
        <v>0</v>
      </c>
      <c r="AD20" s="599">
        <f t="shared" si="43"/>
        <v>0</v>
      </c>
      <c r="AE20" s="599">
        <f t="shared" si="43"/>
        <v>0</v>
      </c>
      <c r="AF20" s="599">
        <f t="shared" si="43"/>
        <v>0</v>
      </c>
      <c r="AG20" s="599">
        <f t="shared" si="43"/>
        <v>0</v>
      </c>
      <c r="AH20" s="599">
        <f t="shared" si="43"/>
        <v>0</v>
      </c>
      <c r="AI20" s="599">
        <f t="shared" si="43"/>
        <v>0</v>
      </c>
      <c r="AJ20" s="599">
        <f t="shared" si="43"/>
        <v>0</v>
      </c>
      <c r="AK20" s="599">
        <f t="shared" si="43"/>
        <v>0</v>
      </c>
      <c r="AL20" s="599">
        <f t="shared" si="43"/>
        <v>0</v>
      </c>
      <c r="AM20" s="599">
        <f t="shared" si="43"/>
        <v>0</v>
      </c>
      <c r="AN20" s="599">
        <f t="shared" si="43"/>
        <v>0</v>
      </c>
      <c r="AO20" s="599">
        <f t="shared" si="43"/>
        <v>0</v>
      </c>
      <c r="AP20" s="599">
        <f t="shared" si="43"/>
        <v>0</v>
      </c>
      <c r="AQ20" s="599">
        <f t="shared" si="43"/>
        <v>0</v>
      </c>
      <c r="AR20" s="599">
        <f t="shared" si="43"/>
        <v>0</v>
      </c>
      <c r="AS20" s="599">
        <f t="shared" si="43"/>
        <v>0</v>
      </c>
      <c r="AT20" s="599">
        <f t="shared" si="43"/>
        <v>0</v>
      </c>
      <c r="AU20" s="599">
        <f t="shared" si="43"/>
        <v>0</v>
      </c>
      <c r="AV20" s="599">
        <f t="shared" si="43"/>
        <v>0</v>
      </c>
      <c r="AW20" s="599">
        <f t="shared" si="43"/>
        <v>0</v>
      </c>
      <c r="AX20" s="599">
        <f t="shared" si="43"/>
        <v>0</v>
      </c>
      <c r="AY20" s="599">
        <f t="shared" si="43"/>
        <v>0</v>
      </c>
      <c r="AZ20" s="599">
        <f t="shared" si="43"/>
        <v>0</v>
      </c>
      <c r="BA20" s="599">
        <f t="shared" si="43"/>
        <v>0</v>
      </c>
      <c r="BB20" s="599">
        <f t="shared" si="43"/>
        <v>0</v>
      </c>
      <c r="BC20" s="599">
        <f t="shared" si="43"/>
        <v>0</v>
      </c>
      <c r="BD20" s="599">
        <f t="shared" si="43"/>
        <v>0</v>
      </c>
      <c r="BE20" s="599">
        <f t="shared" si="43"/>
        <v>0</v>
      </c>
      <c r="BF20" s="599">
        <f t="shared" si="43"/>
        <v>0</v>
      </c>
      <c r="BG20" s="599">
        <f t="shared" si="43"/>
        <v>0</v>
      </c>
      <c r="BH20" s="599">
        <f t="shared" si="43"/>
        <v>0</v>
      </c>
      <c r="BI20" s="599">
        <f t="shared" si="43"/>
        <v>0</v>
      </c>
      <c r="BJ20" s="599">
        <f t="shared" si="43"/>
        <v>0</v>
      </c>
      <c r="BK20" s="599">
        <f t="shared" si="43"/>
        <v>0</v>
      </c>
      <c r="BL20" s="599">
        <f t="shared" si="43"/>
        <v>0</v>
      </c>
      <c r="BM20" s="599">
        <f t="shared" si="43"/>
        <v>0</v>
      </c>
      <c r="BN20" s="599">
        <f t="shared" si="43"/>
        <v>0</v>
      </c>
      <c r="BO20" s="599">
        <f t="shared" si="43"/>
        <v>0</v>
      </c>
      <c r="BP20" s="599">
        <f t="shared" si="43"/>
        <v>0</v>
      </c>
      <c r="BQ20" s="599">
        <f t="shared" si="43"/>
        <v>0</v>
      </c>
      <c r="BR20" s="599">
        <f t="shared" si="43"/>
        <v>0</v>
      </c>
      <c r="BS20" s="599">
        <f t="shared" si="43"/>
        <v>0</v>
      </c>
      <c r="BT20" s="599">
        <f t="shared" si="43"/>
        <v>0</v>
      </c>
      <c r="BU20" s="599">
        <f t="shared" si="43"/>
        <v>0</v>
      </c>
      <c r="BV20" s="599">
        <f t="shared" si="43"/>
        <v>0</v>
      </c>
      <c r="BW20" s="599">
        <f t="shared" si="43"/>
        <v>0</v>
      </c>
      <c r="BX20" s="599">
        <f t="shared" si="43"/>
        <v>0</v>
      </c>
      <c r="BY20" s="599">
        <f t="shared" si="43"/>
        <v>0</v>
      </c>
      <c r="BZ20" s="599">
        <f t="shared" si="43"/>
        <v>0</v>
      </c>
      <c r="CA20" s="599">
        <f t="shared" si="43"/>
        <v>0</v>
      </c>
      <c r="CB20" s="599">
        <f t="shared" si="43"/>
        <v>0</v>
      </c>
      <c r="CC20" s="599">
        <f t="shared" si="43"/>
        <v>0</v>
      </c>
      <c r="CD20" s="599">
        <f t="shared" si="43"/>
        <v>0</v>
      </c>
      <c r="CE20" s="599">
        <f t="shared" si="43"/>
        <v>0</v>
      </c>
      <c r="CF20" s="599">
        <f t="shared" si="43"/>
        <v>0</v>
      </c>
      <c r="CG20" s="599">
        <f t="shared" si="43"/>
        <v>0</v>
      </c>
      <c r="CH20" s="599">
        <f t="shared" si="43"/>
        <v>0</v>
      </c>
      <c r="CI20" s="599">
        <f t="shared" si="43"/>
        <v>0</v>
      </c>
      <c r="CJ20" s="599">
        <f t="shared" si="43"/>
        <v>0</v>
      </c>
      <c r="CK20" s="599">
        <f t="shared" si="43"/>
        <v>0</v>
      </c>
      <c r="CL20" s="599">
        <f t="shared" si="43"/>
        <v>0</v>
      </c>
      <c r="CM20" s="599">
        <f t="shared" si="43"/>
        <v>0</v>
      </c>
      <c r="CN20" s="599">
        <f t="shared" si="43"/>
        <v>0</v>
      </c>
      <c r="CO20" s="599">
        <f t="shared" si="43"/>
        <v>0</v>
      </c>
      <c r="CP20" s="599">
        <f t="shared" si="43"/>
        <v>0</v>
      </c>
      <c r="CQ20" s="599">
        <f t="shared" si="43"/>
        <v>0</v>
      </c>
      <c r="CR20" s="599">
        <f t="shared" si="43"/>
        <v>0</v>
      </c>
      <c r="CS20" s="599">
        <f t="shared" si="43"/>
        <v>0</v>
      </c>
      <c r="CT20" s="599">
        <f t="shared" si="43"/>
        <v>0</v>
      </c>
      <c r="CU20" s="599">
        <f t="shared" si="43"/>
        <v>0</v>
      </c>
      <c r="CV20" s="599">
        <f t="shared" si="43"/>
        <v>0</v>
      </c>
      <c r="CW20" s="599">
        <f t="shared" si="43"/>
        <v>0</v>
      </c>
      <c r="CX20" s="599">
        <f t="shared" si="43"/>
        <v>0</v>
      </c>
      <c r="CY20" s="599">
        <f t="shared" si="43"/>
        <v>0</v>
      </c>
      <c r="CZ20" s="599">
        <f t="shared" si="43"/>
        <v>0</v>
      </c>
      <c r="DA20" s="599">
        <f t="shared" si="43"/>
        <v>0</v>
      </c>
      <c r="DB20" s="599">
        <f t="shared" si="43"/>
        <v>0</v>
      </c>
      <c r="DC20" s="599">
        <f t="shared" si="43"/>
        <v>0</v>
      </c>
      <c r="DD20" s="599">
        <f t="shared" si="43"/>
        <v>0</v>
      </c>
      <c r="DE20" s="599">
        <f t="shared" si="43"/>
        <v>0</v>
      </c>
      <c r="DF20" s="599">
        <f t="shared" si="43"/>
        <v>0</v>
      </c>
      <c r="DG20" s="599">
        <f t="shared" si="43"/>
        <v>0</v>
      </c>
      <c r="DH20" s="599">
        <f t="shared" si="43"/>
        <v>0</v>
      </c>
      <c r="DI20" s="599">
        <f t="shared" si="43"/>
        <v>0</v>
      </c>
      <c r="DJ20" s="599">
        <f t="shared" si="43"/>
        <v>0</v>
      </c>
      <c r="DK20" s="599">
        <f t="shared" si="43"/>
        <v>0</v>
      </c>
      <c r="DL20" s="599">
        <f t="shared" si="43"/>
        <v>0</v>
      </c>
      <c r="DM20" s="599">
        <f t="shared" si="43"/>
        <v>0</v>
      </c>
      <c r="DN20" s="599">
        <f t="shared" si="43"/>
        <v>0</v>
      </c>
      <c r="DO20" s="599">
        <f t="shared" si="43"/>
        <v>0</v>
      </c>
      <c r="DP20" s="599">
        <f t="shared" si="43"/>
        <v>0</v>
      </c>
      <c r="DQ20" s="599">
        <f t="shared" si="43"/>
        <v>0</v>
      </c>
      <c r="DR20" s="599">
        <f t="shared" si="43"/>
        <v>0</v>
      </c>
      <c r="DS20" s="599">
        <f t="shared" si="43"/>
        <v>0</v>
      </c>
      <c r="DT20" s="599">
        <f t="shared" si="43"/>
        <v>0</v>
      </c>
      <c r="DU20" s="599">
        <f t="shared" si="43"/>
        <v>0</v>
      </c>
      <c r="DV20" s="599">
        <f t="shared" si="43"/>
        <v>0</v>
      </c>
      <c r="DW20" s="599">
        <f t="shared" si="43"/>
        <v>0</v>
      </c>
      <c r="DX20" s="599">
        <f t="shared" si="43"/>
        <v>0</v>
      </c>
      <c r="DY20" s="599">
        <f t="shared" si="43"/>
        <v>0</v>
      </c>
      <c r="DZ20" s="599">
        <f t="shared" si="35"/>
        <v>0</v>
      </c>
      <c r="EA20" s="599">
        <f t="shared" si="35"/>
        <v>0</v>
      </c>
      <c r="EB20" s="599">
        <f t="shared" si="35"/>
        <v>0</v>
      </c>
      <c r="EC20" s="599">
        <f t="shared" si="35"/>
        <v>0</v>
      </c>
      <c r="ED20" s="599">
        <f t="shared" si="35"/>
        <v>0</v>
      </c>
      <c r="EE20" s="599">
        <f t="shared" si="35"/>
        <v>0</v>
      </c>
      <c r="EF20" s="599">
        <f t="shared" si="35"/>
        <v>0</v>
      </c>
      <c r="EG20" s="599">
        <f t="shared" si="35"/>
        <v>0</v>
      </c>
      <c r="EH20" s="599">
        <f t="shared" si="35"/>
        <v>0</v>
      </c>
      <c r="EI20" s="599">
        <f t="shared" si="35"/>
        <v>0</v>
      </c>
      <c r="EJ20" s="1117">
        <f t="shared" si="35"/>
        <v>0</v>
      </c>
    </row>
    <row r="21" spans="1:140" ht="15.75" hidden="1" customHeight="1" x14ac:dyDescent="0.25">
      <c r="A21" s="6"/>
      <c r="B21" s="1015" t="str">
        <f>'Unit Mix'!C18</f>
        <v>Type (#BD/#BA)</v>
      </c>
      <c r="C21" s="1016">
        <f>'Unit Mix'!D18</f>
        <v>0</v>
      </c>
      <c r="D21" s="1017">
        <f>'Unit Mix'!E18</f>
        <v>0</v>
      </c>
      <c r="E21" s="1018">
        <f>'Unit Mix'!H18</f>
        <v>0</v>
      </c>
      <c r="F21" s="996">
        <f>'Unit Mix'!G18</f>
        <v>0</v>
      </c>
      <c r="G21" s="1072"/>
      <c r="H21" s="1115">
        <f t="shared" ref="H21:DY21" si="44">IF(H$5&gt;$E$4+12,0,IF(H$3&lt;$C$4,0,ROUNDUP(H$6*$C21,1)*$F21*(1+$G$10)^(H$4)))</f>
        <v>0</v>
      </c>
      <c r="I21" s="599">
        <f t="shared" si="44"/>
        <v>0</v>
      </c>
      <c r="J21" s="599">
        <f t="shared" si="44"/>
        <v>0</v>
      </c>
      <c r="K21" s="599">
        <f t="shared" si="44"/>
        <v>0</v>
      </c>
      <c r="L21" s="599">
        <f t="shared" si="44"/>
        <v>0</v>
      </c>
      <c r="M21" s="599">
        <f t="shared" si="44"/>
        <v>0</v>
      </c>
      <c r="N21" s="599">
        <f t="shared" si="44"/>
        <v>0</v>
      </c>
      <c r="O21" s="599">
        <f t="shared" si="44"/>
        <v>0</v>
      </c>
      <c r="P21" s="599">
        <f t="shared" si="44"/>
        <v>0</v>
      </c>
      <c r="Q21" s="599">
        <f t="shared" si="44"/>
        <v>0</v>
      </c>
      <c r="R21" s="599">
        <f t="shared" si="44"/>
        <v>0</v>
      </c>
      <c r="S21" s="599">
        <f t="shared" si="44"/>
        <v>0</v>
      </c>
      <c r="T21" s="599">
        <f t="shared" si="44"/>
        <v>0</v>
      </c>
      <c r="U21" s="599">
        <f t="shared" si="44"/>
        <v>0</v>
      </c>
      <c r="V21" s="599">
        <f t="shared" si="44"/>
        <v>0</v>
      </c>
      <c r="W21" s="599">
        <f t="shared" si="44"/>
        <v>0</v>
      </c>
      <c r="X21" s="599">
        <f t="shared" si="44"/>
        <v>0</v>
      </c>
      <c r="Y21" s="599">
        <f t="shared" si="44"/>
        <v>0</v>
      </c>
      <c r="Z21" s="599">
        <f t="shared" si="44"/>
        <v>0</v>
      </c>
      <c r="AA21" s="599">
        <f t="shared" si="44"/>
        <v>0</v>
      </c>
      <c r="AB21" s="599">
        <f t="shared" si="44"/>
        <v>0</v>
      </c>
      <c r="AC21" s="599">
        <f t="shared" si="44"/>
        <v>0</v>
      </c>
      <c r="AD21" s="599">
        <f t="shared" si="44"/>
        <v>0</v>
      </c>
      <c r="AE21" s="599">
        <f t="shared" si="44"/>
        <v>0</v>
      </c>
      <c r="AF21" s="599">
        <f t="shared" si="44"/>
        <v>0</v>
      </c>
      <c r="AG21" s="599">
        <f t="shared" si="44"/>
        <v>0</v>
      </c>
      <c r="AH21" s="599">
        <f t="shared" si="44"/>
        <v>0</v>
      </c>
      <c r="AI21" s="599">
        <f t="shared" si="44"/>
        <v>0</v>
      </c>
      <c r="AJ21" s="599">
        <f t="shared" si="44"/>
        <v>0</v>
      </c>
      <c r="AK21" s="599">
        <f t="shared" si="44"/>
        <v>0</v>
      </c>
      <c r="AL21" s="599">
        <f t="shared" si="44"/>
        <v>0</v>
      </c>
      <c r="AM21" s="599">
        <f t="shared" si="44"/>
        <v>0</v>
      </c>
      <c r="AN21" s="599">
        <f t="shared" si="44"/>
        <v>0</v>
      </c>
      <c r="AO21" s="599">
        <f t="shared" si="44"/>
        <v>0</v>
      </c>
      <c r="AP21" s="599">
        <f t="shared" si="44"/>
        <v>0</v>
      </c>
      <c r="AQ21" s="599">
        <f t="shared" si="44"/>
        <v>0</v>
      </c>
      <c r="AR21" s="599">
        <f t="shared" si="44"/>
        <v>0</v>
      </c>
      <c r="AS21" s="599">
        <f t="shared" si="44"/>
        <v>0</v>
      </c>
      <c r="AT21" s="599">
        <f t="shared" si="44"/>
        <v>0</v>
      </c>
      <c r="AU21" s="599">
        <f t="shared" si="44"/>
        <v>0</v>
      </c>
      <c r="AV21" s="599">
        <f t="shared" si="44"/>
        <v>0</v>
      </c>
      <c r="AW21" s="599">
        <f t="shared" si="44"/>
        <v>0</v>
      </c>
      <c r="AX21" s="599">
        <f t="shared" si="44"/>
        <v>0</v>
      </c>
      <c r="AY21" s="599">
        <f t="shared" si="44"/>
        <v>0</v>
      </c>
      <c r="AZ21" s="599">
        <f t="shared" si="44"/>
        <v>0</v>
      </c>
      <c r="BA21" s="599">
        <f t="shared" si="44"/>
        <v>0</v>
      </c>
      <c r="BB21" s="599">
        <f t="shared" si="44"/>
        <v>0</v>
      </c>
      <c r="BC21" s="599">
        <f t="shared" si="44"/>
        <v>0</v>
      </c>
      <c r="BD21" s="599">
        <f t="shared" si="44"/>
        <v>0</v>
      </c>
      <c r="BE21" s="599">
        <f t="shared" si="44"/>
        <v>0</v>
      </c>
      <c r="BF21" s="599">
        <f t="shared" si="44"/>
        <v>0</v>
      </c>
      <c r="BG21" s="599">
        <f t="shared" si="44"/>
        <v>0</v>
      </c>
      <c r="BH21" s="599">
        <f t="shared" si="44"/>
        <v>0</v>
      </c>
      <c r="BI21" s="599">
        <f t="shared" si="44"/>
        <v>0</v>
      </c>
      <c r="BJ21" s="599">
        <f t="shared" si="44"/>
        <v>0</v>
      </c>
      <c r="BK21" s="599">
        <f t="shared" si="44"/>
        <v>0</v>
      </c>
      <c r="BL21" s="599">
        <f t="shared" si="44"/>
        <v>0</v>
      </c>
      <c r="BM21" s="599">
        <f t="shared" si="44"/>
        <v>0</v>
      </c>
      <c r="BN21" s="599">
        <f t="shared" si="44"/>
        <v>0</v>
      </c>
      <c r="BO21" s="599">
        <f t="shared" si="44"/>
        <v>0</v>
      </c>
      <c r="BP21" s="599">
        <f t="shared" si="44"/>
        <v>0</v>
      </c>
      <c r="BQ21" s="599">
        <f t="shared" si="44"/>
        <v>0</v>
      </c>
      <c r="BR21" s="599">
        <f t="shared" si="44"/>
        <v>0</v>
      </c>
      <c r="BS21" s="599">
        <f t="shared" si="44"/>
        <v>0</v>
      </c>
      <c r="BT21" s="599">
        <f t="shared" si="44"/>
        <v>0</v>
      </c>
      <c r="BU21" s="599">
        <f t="shared" si="44"/>
        <v>0</v>
      </c>
      <c r="BV21" s="599">
        <f t="shared" si="44"/>
        <v>0</v>
      </c>
      <c r="BW21" s="599">
        <f t="shared" si="44"/>
        <v>0</v>
      </c>
      <c r="BX21" s="599">
        <f t="shared" si="44"/>
        <v>0</v>
      </c>
      <c r="BY21" s="599">
        <f t="shared" si="44"/>
        <v>0</v>
      </c>
      <c r="BZ21" s="599">
        <f t="shared" si="44"/>
        <v>0</v>
      </c>
      <c r="CA21" s="599">
        <f t="shared" si="44"/>
        <v>0</v>
      </c>
      <c r="CB21" s="599">
        <f t="shared" si="44"/>
        <v>0</v>
      </c>
      <c r="CC21" s="599">
        <f t="shared" si="44"/>
        <v>0</v>
      </c>
      <c r="CD21" s="599">
        <f t="shared" si="44"/>
        <v>0</v>
      </c>
      <c r="CE21" s="599">
        <f t="shared" si="44"/>
        <v>0</v>
      </c>
      <c r="CF21" s="599">
        <f t="shared" si="44"/>
        <v>0</v>
      </c>
      <c r="CG21" s="599">
        <f t="shared" si="44"/>
        <v>0</v>
      </c>
      <c r="CH21" s="599">
        <f t="shared" si="44"/>
        <v>0</v>
      </c>
      <c r="CI21" s="599">
        <f t="shared" si="44"/>
        <v>0</v>
      </c>
      <c r="CJ21" s="599">
        <f t="shared" si="44"/>
        <v>0</v>
      </c>
      <c r="CK21" s="599">
        <f t="shared" si="44"/>
        <v>0</v>
      </c>
      <c r="CL21" s="599">
        <f t="shared" si="44"/>
        <v>0</v>
      </c>
      <c r="CM21" s="599">
        <f t="shared" si="44"/>
        <v>0</v>
      </c>
      <c r="CN21" s="599">
        <f t="shared" si="44"/>
        <v>0</v>
      </c>
      <c r="CO21" s="599">
        <f t="shared" si="44"/>
        <v>0</v>
      </c>
      <c r="CP21" s="599">
        <f t="shared" si="44"/>
        <v>0</v>
      </c>
      <c r="CQ21" s="599">
        <f t="shared" si="44"/>
        <v>0</v>
      </c>
      <c r="CR21" s="599">
        <f t="shared" si="44"/>
        <v>0</v>
      </c>
      <c r="CS21" s="599">
        <f t="shared" si="44"/>
        <v>0</v>
      </c>
      <c r="CT21" s="599">
        <f t="shared" si="44"/>
        <v>0</v>
      </c>
      <c r="CU21" s="599">
        <f t="shared" si="44"/>
        <v>0</v>
      </c>
      <c r="CV21" s="599">
        <f t="shared" si="44"/>
        <v>0</v>
      </c>
      <c r="CW21" s="599">
        <f t="shared" si="44"/>
        <v>0</v>
      </c>
      <c r="CX21" s="599">
        <f t="shared" si="44"/>
        <v>0</v>
      </c>
      <c r="CY21" s="599">
        <f t="shared" si="44"/>
        <v>0</v>
      </c>
      <c r="CZ21" s="599">
        <f t="shared" si="44"/>
        <v>0</v>
      </c>
      <c r="DA21" s="599">
        <f t="shared" si="44"/>
        <v>0</v>
      </c>
      <c r="DB21" s="599">
        <f t="shared" si="44"/>
        <v>0</v>
      </c>
      <c r="DC21" s="599">
        <f t="shared" si="44"/>
        <v>0</v>
      </c>
      <c r="DD21" s="599">
        <f t="shared" si="44"/>
        <v>0</v>
      </c>
      <c r="DE21" s="599">
        <f t="shared" si="44"/>
        <v>0</v>
      </c>
      <c r="DF21" s="599">
        <f t="shared" si="44"/>
        <v>0</v>
      </c>
      <c r="DG21" s="599">
        <f t="shared" si="44"/>
        <v>0</v>
      </c>
      <c r="DH21" s="599">
        <f t="shared" si="44"/>
        <v>0</v>
      </c>
      <c r="DI21" s="599">
        <f t="shared" si="44"/>
        <v>0</v>
      </c>
      <c r="DJ21" s="599">
        <f t="shared" si="44"/>
        <v>0</v>
      </c>
      <c r="DK21" s="599">
        <f t="shared" si="44"/>
        <v>0</v>
      </c>
      <c r="DL21" s="599">
        <f t="shared" si="44"/>
        <v>0</v>
      </c>
      <c r="DM21" s="599">
        <f t="shared" si="44"/>
        <v>0</v>
      </c>
      <c r="DN21" s="599">
        <f t="shared" si="44"/>
        <v>0</v>
      </c>
      <c r="DO21" s="599">
        <f t="shared" si="44"/>
        <v>0</v>
      </c>
      <c r="DP21" s="599">
        <f t="shared" si="44"/>
        <v>0</v>
      </c>
      <c r="DQ21" s="599">
        <f t="shared" si="44"/>
        <v>0</v>
      </c>
      <c r="DR21" s="599">
        <f t="shared" si="44"/>
        <v>0</v>
      </c>
      <c r="DS21" s="599">
        <f t="shared" si="44"/>
        <v>0</v>
      </c>
      <c r="DT21" s="599">
        <f t="shared" si="44"/>
        <v>0</v>
      </c>
      <c r="DU21" s="599">
        <f t="shared" si="44"/>
        <v>0</v>
      </c>
      <c r="DV21" s="599">
        <f t="shared" si="44"/>
        <v>0</v>
      </c>
      <c r="DW21" s="599">
        <f t="shared" si="44"/>
        <v>0</v>
      </c>
      <c r="DX21" s="599">
        <f t="shared" si="44"/>
        <v>0</v>
      </c>
      <c r="DY21" s="599">
        <f t="shared" si="44"/>
        <v>0</v>
      </c>
      <c r="DZ21" s="599">
        <f t="shared" ref="DZ21:EJ36" si="45">IF(DZ$5&gt;$E$4+12,0,IF(DZ$3&lt;$C$4,0,ROUNDUP(DZ$6*$C21,1)*$F21*(1+$G$10)^(DZ$4)))</f>
        <v>0</v>
      </c>
      <c r="EA21" s="599">
        <f t="shared" si="45"/>
        <v>0</v>
      </c>
      <c r="EB21" s="599">
        <f t="shared" si="45"/>
        <v>0</v>
      </c>
      <c r="EC21" s="599">
        <f t="shared" si="45"/>
        <v>0</v>
      </c>
      <c r="ED21" s="599">
        <f t="shared" si="45"/>
        <v>0</v>
      </c>
      <c r="EE21" s="599">
        <f t="shared" si="45"/>
        <v>0</v>
      </c>
      <c r="EF21" s="599">
        <f t="shared" si="45"/>
        <v>0</v>
      </c>
      <c r="EG21" s="599">
        <f t="shared" si="45"/>
        <v>0</v>
      </c>
      <c r="EH21" s="599">
        <f t="shared" si="45"/>
        <v>0</v>
      </c>
      <c r="EI21" s="599">
        <f t="shared" si="45"/>
        <v>0</v>
      </c>
      <c r="EJ21" s="1117">
        <f t="shared" si="45"/>
        <v>0</v>
      </c>
    </row>
    <row r="22" spans="1:140" ht="15.75" hidden="1" customHeight="1" x14ac:dyDescent="0.25">
      <c r="A22" s="6"/>
      <c r="B22" s="1015" t="str">
        <f>'Unit Mix'!C19</f>
        <v>Type (#BD/#BA)</v>
      </c>
      <c r="C22" s="1016">
        <f>'Unit Mix'!D19</f>
        <v>0</v>
      </c>
      <c r="D22" s="1017">
        <f>'Unit Mix'!E19</f>
        <v>0</v>
      </c>
      <c r="E22" s="1018">
        <f>'Unit Mix'!H19</f>
        <v>0</v>
      </c>
      <c r="F22" s="996">
        <f>'Unit Mix'!G19</f>
        <v>0</v>
      </c>
      <c r="G22" s="1072"/>
      <c r="H22" s="1115">
        <f t="shared" ref="H22:DY22" si="46">IF(H$5&gt;$E$4+12,0,IF(H$3&lt;$C$4,0,ROUNDUP(H$6*$C22,1)*$F22*(1+$G$10)^(H$4)))</f>
        <v>0</v>
      </c>
      <c r="I22" s="599">
        <f t="shared" si="46"/>
        <v>0</v>
      </c>
      <c r="J22" s="599">
        <f t="shared" si="46"/>
        <v>0</v>
      </c>
      <c r="K22" s="599">
        <f t="shared" si="46"/>
        <v>0</v>
      </c>
      <c r="L22" s="599">
        <f t="shared" si="46"/>
        <v>0</v>
      </c>
      <c r="M22" s="599">
        <f t="shared" si="46"/>
        <v>0</v>
      </c>
      <c r="N22" s="599">
        <f t="shared" si="46"/>
        <v>0</v>
      </c>
      <c r="O22" s="599">
        <f t="shared" si="46"/>
        <v>0</v>
      </c>
      <c r="P22" s="599">
        <f t="shared" si="46"/>
        <v>0</v>
      </c>
      <c r="Q22" s="599">
        <f t="shared" si="46"/>
        <v>0</v>
      </c>
      <c r="R22" s="599">
        <f t="shared" si="46"/>
        <v>0</v>
      </c>
      <c r="S22" s="599">
        <f t="shared" si="46"/>
        <v>0</v>
      </c>
      <c r="T22" s="599">
        <f t="shared" si="46"/>
        <v>0</v>
      </c>
      <c r="U22" s="599">
        <f t="shared" si="46"/>
        <v>0</v>
      </c>
      <c r="V22" s="599">
        <f t="shared" si="46"/>
        <v>0</v>
      </c>
      <c r="W22" s="599">
        <f t="shared" si="46"/>
        <v>0</v>
      </c>
      <c r="X22" s="599">
        <f t="shared" si="46"/>
        <v>0</v>
      </c>
      <c r="Y22" s="599">
        <f t="shared" si="46"/>
        <v>0</v>
      </c>
      <c r="Z22" s="599">
        <f t="shared" si="46"/>
        <v>0</v>
      </c>
      <c r="AA22" s="599">
        <f t="shared" si="46"/>
        <v>0</v>
      </c>
      <c r="AB22" s="599">
        <f t="shared" si="46"/>
        <v>0</v>
      </c>
      <c r="AC22" s="599">
        <f t="shared" si="46"/>
        <v>0</v>
      </c>
      <c r="AD22" s="599">
        <f t="shared" si="46"/>
        <v>0</v>
      </c>
      <c r="AE22" s="599">
        <f t="shared" si="46"/>
        <v>0</v>
      </c>
      <c r="AF22" s="599">
        <f t="shared" si="46"/>
        <v>0</v>
      </c>
      <c r="AG22" s="599">
        <f t="shared" si="46"/>
        <v>0</v>
      </c>
      <c r="AH22" s="599">
        <f t="shared" si="46"/>
        <v>0</v>
      </c>
      <c r="AI22" s="599">
        <f t="shared" si="46"/>
        <v>0</v>
      </c>
      <c r="AJ22" s="599">
        <f t="shared" si="46"/>
        <v>0</v>
      </c>
      <c r="AK22" s="599">
        <f t="shared" si="46"/>
        <v>0</v>
      </c>
      <c r="AL22" s="599">
        <f t="shared" si="46"/>
        <v>0</v>
      </c>
      <c r="AM22" s="599">
        <f t="shared" si="46"/>
        <v>0</v>
      </c>
      <c r="AN22" s="599">
        <f t="shared" si="46"/>
        <v>0</v>
      </c>
      <c r="AO22" s="599">
        <f t="shared" si="46"/>
        <v>0</v>
      </c>
      <c r="AP22" s="599">
        <f t="shared" si="46"/>
        <v>0</v>
      </c>
      <c r="AQ22" s="599">
        <f t="shared" si="46"/>
        <v>0</v>
      </c>
      <c r="AR22" s="599">
        <f t="shared" si="46"/>
        <v>0</v>
      </c>
      <c r="AS22" s="599">
        <f t="shared" si="46"/>
        <v>0</v>
      </c>
      <c r="AT22" s="599">
        <f t="shared" si="46"/>
        <v>0</v>
      </c>
      <c r="AU22" s="599">
        <f t="shared" si="46"/>
        <v>0</v>
      </c>
      <c r="AV22" s="599">
        <f t="shared" si="46"/>
        <v>0</v>
      </c>
      <c r="AW22" s="599">
        <f t="shared" si="46"/>
        <v>0</v>
      </c>
      <c r="AX22" s="599">
        <f t="shared" si="46"/>
        <v>0</v>
      </c>
      <c r="AY22" s="599">
        <f t="shared" si="46"/>
        <v>0</v>
      </c>
      <c r="AZ22" s="599">
        <f t="shared" si="46"/>
        <v>0</v>
      </c>
      <c r="BA22" s="599">
        <f t="shared" si="46"/>
        <v>0</v>
      </c>
      <c r="BB22" s="599">
        <f t="shared" si="46"/>
        <v>0</v>
      </c>
      <c r="BC22" s="599">
        <f t="shared" si="46"/>
        <v>0</v>
      </c>
      <c r="BD22" s="599">
        <f t="shared" si="46"/>
        <v>0</v>
      </c>
      <c r="BE22" s="599">
        <f t="shared" si="46"/>
        <v>0</v>
      </c>
      <c r="BF22" s="599">
        <f t="shared" si="46"/>
        <v>0</v>
      </c>
      <c r="BG22" s="599">
        <f t="shared" si="46"/>
        <v>0</v>
      </c>
      <c r="BH22" s="599">
        <f t="shared" si="46"/>
        <v>0</v>
      </c>
      <c r="BI22" s="599">
        <f t="shared" si="46"/>
        <v>0</v>
      </c>
      <c r="BJ22" s="599">
        <f t="shared" si="46"/>
        <v>0</v>
      </c>
      <c r="BK22" s="599">
        <f t="shared" si="46"/>
        <v>0</v>
      </c>
      <c r="BL22" s="599">
        <f t="shared" si="46"/>
        <v>0</v>
      </c>
      <c r="BM22" s="599">
        <f t="shared" si="46"/>
        <v>0</v>
      </c>
      <c r="BN22" s="599">
        <f t="shared" si="46"/>
        <v>0</v>
      </c>
      <c r="BO22" s="599">
        <f t="shared" si="46"/>
        <v>0</v>
      </c>
      <c r="BP22" s="599">
        <f t="shared" si="46"/>
        <v>0</v>
      </c>
      <c r="BQ22" s="599">
        <f t="shared" si="46"/>
        <v>0</v>
      </c>
      <c r="BR22" s="599">
        <f t="shared" si="46"/>
        <v>0</v>
      </c>
      <c r="BS22" s="599">
        <f t="shared" si="46"/>
        <v>0</v>
      </c>
      <c r="BT22" s="599">
        <f t="shared" si="46"/>
        <v>0</v>
      </c>
      <c r="BU22" s="599">
        <f t="shared" si="46"/>
        <v>0</v>
      </c>
      <c r="BV22" s="599">
        <f t="shared" si="46"/>
        <v>0</v>
      </c>
      <c r="BW22" s="599">
        <f t="shared" si="46"/>
        <v>0</v>
      </c>
      <c r="BX22" s="599">
        <f t="shared" si="46"/>
        <v>0</v>
      </c>
      <c r="BY22" s="599">
        <f t="shared" si="46"/>
        <v>0</v>
      </c>
      <c r="BZ22" s="599">
        <f t="shared" si="46"/>
        <v>0</v>
      </c>
      <c r="CA22" s="599">
        <f t="shared" si="46"/>
        <v>0</v>
      </c>
      <c r="CB22" s="599">
        <f t="shared" si="46"/>
        <v>0</v>
      </c>
      <c r="CC22" s="599">
        <f t="shared" si="46"/>
        <v>0</v>
      </c>
      <c r="CD22" s="599">
        <f t="shared" si="46"/>
        <v>0</v>
      </c>
      <c r="CE22" s="599">
        <f t="shared" si="46"/>
        <v>0</v>
      </c>
      <c r="CF22" s="599">
        <f t="shared" si="46"/>
        <v>0</v>
      </c>
      <c r="CG22" s="599">
        <f t="shared" si="46"/>
        <v>0</v>
      </c>
      <c r="CH22" s="599">
        <f t="shared" si="46"/>
        <v>0</v>
      </c>
      <c r="CI22" s="599">
        <f t="shared" si="46"/>
        <v>0</v>
      </c>
      <c r="CJ22" s="599">
        <f t="shared" si="46"/>
        <v>0</v>
      </c>
      <c r="CK22" s="599">
        <f t="shared" si="46"/>
        <v>0</v>
      </c>
      <c r="CL22" s="599">
        <f t="shared" si="46"/>
        <v>0</v>
      </c>
      <c r="CM22" s="599">
        <f t="shared" si="46"/>
        <v>0</v>
      </c>
      <c r="CN22" s="599">
        <f t="shared" si="46"/>
        <v>0</v>
      </c>
      <c r="CO22" s="599">
        <f t="shared" si="46"/>
        <v>0</v>
      </c>
      <c r="CP22" s="599">
        <f t="shared" si="46"/>
        <v>0</v>
      </c>
      <c r="CQ22" s="599">
        <f t="shared" si="46"/>
        <v>0</v>
      </c>
      <c r="CR22" s="599">
        <f t="shared" si="46"/>
        <v>0</v>
      </c>
      <c r="CS22" s="599">
        <f t="shared" si="46"/>
        <v>0</v>
      </c>
      <c r="CT22" s="599">
        <f t="shared" si="46"/>
        <v>0</v>
      </c>
      <c r="CU22" s="599">
        <f t="shared" si="46"/>
        <v>0</v>
      </c>
      <c r="CV22" s="599">
        <f t="shared" si="46"/>
        <v>0</v>
      </c>
      <c r="CW22" s="599">
        <f t="shared" si="46"/>
        <v>0</v>
      </c>
      <c r="CX22" s="599">
        <f t="shared" si="46"/>
        <v>0</v>
      </c>
      <c r="CY22" s="599">
        <f t="shared" si="46"/>
        <v>0</v>
      </c>
      <c r="CZ22" s="599">
        <f t="shared" si="46"/>
        <v>0</v>
      </c>
      <c r="DA22" s="599">
        <f t="shared" si="46"/>
        <v>0</v>
      </c>
      <c r="DB22" s="599">
        <f t="shared" si="46"/>
        <v>0</v>
      </c>
      <c r="DC22" s="599">
        <f t="shared" si="46"/>
        <v>0</v>
      </c>
      <c r="DD22" s="599">
        <f t="shared" si="46"/>
        <v>0</v>
      </c>
      <c r="DE22" s="599">
        <f t="shared" si="46"/>
        <v>0</v>
      </c>
      <c r="DF22" s="599">
        <f t="shared" si="46"/>
        <v>0</v>
      </c>
      <c r="DG22" s="599">
        <f t="shared" si="46"/>
        <v>0</v>
      </c>
      <c r="DH22" s="599">
        <f t="shared" si="46"/>
        <v>0</v>
      </c>
      <c r="DI22" s="599">
        <f t="shared" si="46"/>
        <v>0</v>
      </c>
      <c r="DJ22" s="599">
        <f t="shared" si="46"/>
        <v>0</v>
      </c>
      <c r="DK22" s="599">
        <f t="shared" si="46"/>
        <v>0</v>
      </c>
      <c r="DL22" s="599">
        <f t="shared" si="46"/>
        <v>0</v>
      </c>
      <c r="DM22" s="599">
        <f t="shared" si="46"/>
        <v>0</v>
      </c>
      <c r="DN22" s="599">
        <f t="shared" si="46"/>
        <v>0</v>
      </c>
      <c r="DO22" s="599">
        <f t="shared" si="46"/>
        <v>0</v>
      </c>
      <c r="DP22" s="599">
        <f t="shared" si="46"/>
        <v>0</v>
      </c>
      <c r="DQ22" s="599">
        <f t="shared" si="46"/>
        <v>0</v>
      </c>
      <c r="DR22" s="599">
        <f t="shared" si="46"/>
        <v>0</v>
      </c>
      <c r="DS22" s="599">
        <f t="shared" si="46"/>
        <v>0</v>
      </c>
      <c r="DT22" s="599">
        <f t="shared" si="46"/>
        <v>0</v>
      </c>
      <c r="DU22" s="599">
        <f t="shared" si="46"/>
        <v>0</v>
      </c>
      <c r="DV22" s="599">
        <f t="shared" si="46"/>
        <v>0</v>
      </c>
      <c r="DW22" s="599">
        <f t="shared" si="46"/>
        <v>0</v>
      </c>
      <c r="DX22" s="599">
        <f t="shared" si="46"/>
        <v>0</v>
      </c>
      <c r="DY22" s="599">
        <f t="shared" si="46"/>
        <v>0</v>
      </c>
      <c r="DZ22" s="599">
        <f t="shared" si="45"/>
        <v>0</v>
      </c>
      <c r="EA22" s="599">
        <f t="shared" si="45"/>
        <v>0</v>
      </c>
      <c r="EB22" s="599">
        <f t="shared" si="45"/>
        <v>0</v>
      </c>
      <c r="EC22" s="599">
        <f t="shared" si="45"/>
        <v>0</v>
      </c>
      <c r="ED22" s="599">
        <f t="shared" si="45"/>
        <v>0</v>
      </c>
      <c r="EE22" s="599">
        <f t="shared" si="45"/>
        <v>0</v>
      </c>
      <c r="EF22" s="599">
        <f t="shared" si="45"/>
        <v>0</v>
      </c>
      <c r="EG22" s="599">
        <f t="shared" si="45"/>
        <v>0</v>
      </c>
      <c r="EH22" s="599">
        <f t="shared" si="45"/>
        <v>0</v>
      </c>
      <c r="EI22" s="599">
        <f t="shared" si="45"/>
        <v>0</v>
      </c>
      <c r="EJ22" s="1117">
        <f t="shared" si="45"/>
        <v>0</v>
      </c>
    </row>
    <row r="23" spans="1:140" ht="15.75" hidden="1" customHeight="1" x14ac:dyDescent="0.25">
      <c r="A23" s="6"/>
      <c r="B23" s="1015" t="str">
        <f>'Unit Mix'!C20</f>
        <v>Type (#BD/#BA)</v>
      </c>
      <c r="C23" s="1016">
        <f>'Unit Mix'!D20</f>
        <v>0</v>
      </c>
      <c r="D23" s="1017">
        <f>'Unit Mix'!E20</f>
        <v>0</v>
      </c>
      <c r="E23" s="1018">
        <f>'Unit Mix'!H20</f>
        <v>0</v>
      </c>
      <c r="F23" s="996">
        <f>'Unit Mix'!G20</f>
        <v>0</v>
      </c>
      <c r="G23" s="1072"/>
      <c r="H23" s="1115">
        <f t="shared" ref="H23:DY23" si="47">IF(H$5&gt;$E$4+12,0,IF(H$3&lt;$C$4,0,ROUNDUP(H$6*$C23,1)*$F23*(1+$G$10)^(H$4)))</f>
        <v>0</v>
      </c>
      <c r="I23" s="599">
        <f t="shared" si="47"/>
        <v>0</v>
      </c>
      <c r="J23" s="599">
        <f t="shared" si="47"/>
        <v>0</v>
      </c>
      <c r="K23" s="599">
        <f t="shared" si="47"/>
        <v>0</v>
      </c>
      <c r="L23" s="599">
        <f t="shared" si="47"/>
        <v>0</v>
      </c>
      <c r="M23" s="599">
        <f t="shared" si="47"/>
        <v>0</v>
      </c>
      <c r="N23" s="599">
        <f t="shared" si="47"/>
        <v>0</v>
      </c>
      <c r="O23" s="599">
        <f t="shared" si="47"/>
        <v>0</v>
      </c>
      <c r="P23" s="599">
        <f t="shared" si="47"/>
        <v>0</v>
      </c>
      <c r="Q23" s="599">
        <f t="shared" si="47"/>
        <v>0</v>
      </c>
      <c r="R23" s="599">
        <f t="shared" si="47"/>
        <v>0</v>
      </c>
      <c r="S23" s="599">
        <f t="shared" si="47"/>
        <v>0</v>
      </c>
      <c r="T23" s="599">
        <f t="shared" si="47"/>
        <v>0</v>
      </c>
      <c r="U23" s="599">
        <f t="shared" si="47"/>
        <v>0</v>
      </c>
      <c r="V23" s="599">
        <f t="shared" si="47"/>
        <v>0</v>
      </c>
      <c r="W23" s="599">
        <f t="shared" si="47"/>
        <v>0</v>
      </c>
      <c r="X23" s="599">
        <f t="shared" si="47"/>
        <v>0</v>
      </c>
      <c r="Y23" s="599">
        <f t="shared" si="47"/>
        <v>0</v>
      </c>
      <c r="Z23" s="599">
        <f t="shared" si="47"/>
        <v>0</v>
      </c>
      <c r="AA23" s="599">
        <f t="shared" si="47"/>
        <v>0</v>
      </c>
      <c r="AB23" s="599">
        <f t="shared" si="47"/>
        <v>0</v>
      </c>
      <c r="AC23" s="599">
        <f t="shared" si="47"/>
        <v>0</v>
      </c>
      <c r="AD23" s="599">
        <f t="shared" si="47"/>
        <v>0</v>
      </c>
      <c r="AE23" s="599">
        <f t="shared" si="47"/>
        <v>0</v>
      </c>
      <c r="AF23" s="599">
        <f t="shared" si="47"/>
        <v>0</v>
      </c>
      <c r="AG23" s="599">
        <f t="shared" si="47"/>
        <v>0</v>
      </c>
      <c r="AH23" s="599">
        <f t="shared" si="47"/>
        <v>0</v>
      </c>
      <c r="AI23" s="599">
        <f t="shared" si="47"/>
        <v>0</v>
      </c>
      <c r="AJ23" s="599">
        <f t="shared" si="47"/>
        <v>0</v>
      </c>
      <c r="AK23" s="599">
        <f t="shared" si="47"/>
        <v>0</v>
      </c>
      <c r="AL23" s="599">
        <f t="shared" si="47"/>
        <v>0</v>
      </c>
      <c r="AM23" s="599">
        <f t="shared" si="47"/>
        <v>0</v>
      </c>
      <c r="AN23" s="599">
        <f t="shared" si="47"/>
        <v>0</v>
      </c>
      <c r="AO23" s="599">
        <f t="shared" si="47"/>
        <v>0</v>
      </c>
      <c r="AP23" s="599">
        <f t="shared" si="47"/>
        <v>0</v>
      </c>
      <c r="AQ23" s="599">
        <f t="shared" si="47"/>
        <v>0</v>
      </c>
      <c r="AR23" s="599">
        <f t="shared" si="47"/>
        <v>0</v>
      </c>
      <c r="AS23" s="599">
        <f t="shared" si="47"/>
        <v>0</v>
      </c>
      <c r="AT23" s="599">
        <f t="shared" si="47"/>
        <v>0</v>
      </c>
      <c r="AU23" s="599">
        <f t="shared" si="47"/>
        <v>0</v>
      </c>
      <c r="AV23" s="599">
        <f t="shared" si="47"/>
        <v>0</v>
      </c>
      <c r="AW23" s="599">
        <f t="shared" si="47"/>
        <v>0</v>
      </c>
      <c r="AX23" s="599">
        <f t="shared" si="47"/>
        <v>0</v>
      </c>
      <c r="AY23" s="599">
        <f t="shared" si="47"/>
        <v>0</v>
      </c>
      <c r="AZ23" s="599">
        <f t="shared" si="47"/>
        <v>0</v>
      </c>
      <c r="BA23" s="599">
        <f t="shared" si="47"/>
        <v>0</v>
      </c>
      <c r="BB23" s="599">
        <f t="shared" si="47"/>
        <v>0</v>
      </c>
      <c r="BC23" s="599">
        <f t="shared" si="47"/>
        <v>0</v>
      </c>
      <c r="BD23" s="599">
        <f t="shared" si="47"/>
        <v>0</v>
      </c>
      <c r="BE23" s="599">
        <f t="shared" si="47"/>
        <v>0</v>
      </c>
      <c r="BF23" s="599">
        <f t="shared" si="47"/>
        <v>0</v>
      </c>
      <c r="BG23" s="599">
        <f t="shared" si="47"/>
        <v>0</v>
      </c>
      <c r="BH23" s="599">
        <f t="shared" si="47"/>
        <v>0</v>
      </c>
      <c r="BI23" s="599">
        <f t="shared" si="47"/>
        <v>0</v>
      </c>
      <c r="BJ23" s="599">
        <f t="shared" si="47"/>
        <v>0</v>
      </c>
      <c r="BK23" s="599">
        <f t="shared" si="47"/>
        <v>0</v>
      </c>
      <c r="BL23" s="599">
        <f t="shared" si="47"/>
        <v>0</v>
      </c>
      <c r="BM23" s="599">
        <f t="shared" si="47"/>
        <v>0</v>
      </c>
      <c r="BN23" s="599">
        <f t="shared" si="47"/>
        <v>0</v>
      </c>
      <c r="BO23" s="599">
        <f t="shared" si="47"/>
        <v>0</v>
      </c>
      <c r="BP23" s="599">
        <f t="shared" si="47"/>
        <v>0</v>
      </c>
      <c r="BQ23" s="599">
        <f t="shared" si="47"/>
        <v>0</v>
      </c>
      <c r="BR23" s="599">
        <f t="shared" si="47"/>
        <v>0</v>
      </c>
      <c r="BS23" s="599">
        <f t="shared" si="47"/>
        <v>0</v>
      </c>
      <c r="BT23" s="599">
        <f t="shared" si="47"/>
        <v>0</v>
      </c>
      <c r="BU23" s="599">
        <f t="shared" si="47"/>
        <v>0</v>
      </c>
      <c r="BV23" s="599">
        <f t="shared" si="47"/>
        <v>0</v>
      </c>
      <c r="BW23" s="599">
        <f t="shared" si="47"/>
        <v>0</v>
      </c>
      <c r="BX23" s="599">
        <f t="shared" si="47"/>
        <v>0</v>
      </c>
      <c r="BY23" s="599">
        <f t="shared" si="47"/>
        <v>0</v>
      </c>
      <c r="BZ23" s="599">
        <f t="shared" si="47"/>
        <v>0</v>
      </c>
      <c r="CA23" s="599">
        <f t="shared" si="47"/>
        <v>0</v>
      </c>
      <c r="CB23" s="599">
        <f t="shared" si="47"/>
        <v>0</v>
      </c>
      <c r="CC23" s="599">
        <f t="shared" si="47"/>
        <v>0</v>
      </c>
      <c r="CD23" s="599">
        <f t="shared" si="47"/>
        <v>0</v>
      </c>
      <c r="CE23" s="599">
        <f t="shared" si="47"/>
        <v>0</v>
      </c>
      <c r="CF23" s="599">
        <f t="shared" si="47"/>
        <v>0</v>
      </c>
      <c r="CG23" s="599">
        <f t="shared" si="47"/>
        <v>0</v>
      </c>
      <c r="CH23" s="599">
        <f t="shared" si="47"/>
        <v>0</v>
      </c>
      <c r="CI23" s="599">
        <f t="shared" si="47"/>
        <v>0</v>
      </c>
      <c r="CJ23" s="599">
        <f t="shared" si="47"/>
        <v>0</v>
      </c>
      <c r="CK23" s="599">
        <f t="shared" si="47"/>
        <v>0</v>
      </c>
      <c r="CL23" s="599">
        <f t="shared" si="47"/>
        <v>0</v>
      </c>
      <c r="CM23" s="599">
        <f t="shared" si="47"/>
        <v>0</v>
      </c>
      <c r="CN23" s="599">
        <f t="shared" si="47"/>
        <v>0</v>
      </c>
      <c r="CO23" s="599">
        <f t="shared" si="47"/>
        <v>0</v>
      </c>
      <c r="CP23" s="599">
        <f t="shared" si="47"/>
        <v>0</v>
      </c>
      <c r="CQ23" s="599">
        <f t="shared" si="47"/>
        <v>0</v>
      </c>
      <c r="CR23" s="599">
        <f t="shared" si="47"/>
        <v>0</v>
      </c>
      <c r="CS23" s="599">
        <f t="shared" si="47"/>
        <v>0</v>
      </c>
      <c r="CT23" s="599">
        <f t="shared" si="47"/>
        <v>0</v>
      </c>
      <c r="CU23" s="599">
        <f t="shared" si="47"/>
        <v>0</v>
      </c>
      <c r="CV23" s="599">
        <f t="shared" si="47"/>
        <v>0</v>
      </c>
      <c r="CW23" s="599">
        <f t="shared" si="47"/>
        <v>0</v>
      </c>
      <c r="CX23" s="599">
        <f t="shared" si="47"/>
        <v>0</v>
      </c>
      <c r="CY23" s="599">
        <f t="shared" si="47"/>
        <v>0</v>
      </c>
      <c r="CZ23" s="599">
        <f t="shared" si="47"/>
        <v>0</v>
      </c>
      <c r="DA23" s="599">
        <f t="shared" si="47"/>
        <v>0</v>
      </c>
      <c r="DB23" s="599">
        <f t="shared" si="47"/>
        <v>0</v>
      </c>
      <c r="DC23" s="599">
        <f t="shared" si="47"/>
        <v>0</v>
      </c>
      <c r="DD23" s="599">
        <f t="shared" si="47"/>
        <v>0</v>
      </c>
      <c r="DE23" s="599">
        <f t="shared" si="47"/>
        <v>0</v>
      </c>
      <c r="DF23" s="599">
        <f t="shared" si="47"/>
        <v>0</v>
      </c>
      <c r="DG23" s="599">
        <f t="shared" si="47"/>
        <v>0</v>
      </c>
      <c r="DH23" s="599">
        <f t="shared" si="47"/>
        <v>0</v>
      </c>
      <c r="DI23" s="599">
        <f t="shared" si="47"/>
        <v>0</v>
      </c>
      <c r="DJ23" s="599">
        <f t="shared" si="47"/>
        <v>0</v>
      </c>
      <c r="DK23" s="599">
        <f t="shared" si="47"/>
        <v>0</v>
      </c>
      <c r="DL23" s="599">
        <f t="shared" si="47"/>
        <v>0</v>
      </c>
      <c r="DM23" s="599">
        <f t="shared" si="47"/>
        <v>0</v>
      </c>
      <c r="DN23" s="599">
        <f t="shared" si="47"/>
        <v>0</v>
      </c>
      <c r="DO23" s="599">
        <f t="shared" si="47"/>
        <v>0</v>
      </c>
      <c r="DP23" s="599">
        <f t="shared" si="47"/>
        <v>0</v>
      </c>
      <c r="DQ23" s="599">
        <f t="shared" si="47"/>
        <v>0</v>
      </c>
      <c r="DR23" s="599">
        <f t="shared" si="47"/>
        <v>0</v>
      </c>
      <c r="DS23" s="599">
        <f t="shared" si="47"/>
        <v>0</v>
      </c>
      <c r="DT23" s="599">
        <f t="shared" si="47"/>
        <v>0</v>
      </c>
      <c r="DU23" s="599">
        <f t="shared" si="47"/>
        <v>0</v>
      </c>
      <c r="DV23" s="599">
        <f t="shared" si="47"/>
        <v>0</v>
      </c>
      <c r="DW23" s="599">
        <f t="shared" si="47"/>
        <v>0</v>
      </c>
      <c r="DX23" s="599">
        <f t="shared" si="47"/>
        <v>0</v>
      </c>
      <c r="DY23" s="599">
        <f t="shared" si="47"/>
        <v>0</v>
      </c>
      <c r="DZ23" s="599">
        <f t="shared" si="45"/>
        <v>0</v>
      </c>
      <c r="EA23" s="599">
        <f t="shared" si="45"/>
        <v>0</v>
      </c>
      <c r="EB23" s="599">
        <f t="shared" si="45"/>
        <v>0</v>
      </c>
      <c r="EC23" s="599">
        <f t="shared" si="45"/>
        <v>0</v>
      </c>
      <c r="ED23" s="599">
        <f t="shared" si="45"/>
        <v>0</v>
      </c>
      <c r="EE23" s="599">
        <f t="shared" si="45"/>
        <v>0</v>
      </c>
      <c r="EF23" s="599">
        <f t="shared" si="45"/>
        <v>0</v>
      </c>
      <c r="EG23" s="599">
        <f t="shared" si="45"/>
        <v>0</v>
      </c>
      <c r="EH23" s="599">
        <f t="shared" si="45"/>
        <v>0</v>
      </c>
      <c r="EI23" s="599">
        <f t="shared" si="45"/>
        <v>0</v>
      </c>
      <c r="EJ23" s="1117">
        <f t="shared" si="45"/>
        <v>0</v>
      </c>
    </row>
    <row r="24" spans="1:140" ht="15.75" hidden="1" customHeight="1" x14ac:dyDescent="0.25">
      <c r="A24" s="6"/>
      <c r="B24" s="1015" t="str">
        <f>'Unit Mix'!C21</f>
        <v>Type (#BD/#BA)</v>
      </c>
      <c r="C24" s="1016">
        <f>'Unit Mix'!D21</f>
        <v>0</v>
      </c>
      <c r="D24" s="1017">
        <f>'Unit Mix'!E21</f>
        <v>0</v>
      </c>
      <c r="E24" s="1018">
        <f>'Unit Mix'!H21</f>
        <v>0</v>
      </c>
      <c r="F24" s="996">
        <f>'Unit Mix'!G21</f>
        <v>0</v>
      </c>
      <c r="G24" s="1072"/>
      <c r="H24" s="1115">
        <f t="shared" ref="H24:DY24" si="48">IF(H$5&gt;$E$4+12,0,IF(H$3&lt;$C$4,0,ROUNDUP(H$6*$C24,1)*$F24*(1+$G$10)^(H$4)))</f>
        <v>0</v>
      </c>
      <c r="I24" s="599">
        <f t="shared" si="48"/>
        <v>0</v>
      </c>
      <c r="J24" s="599">
        <f t="shared" si="48"/>
        <v>0</v>
      </c>
      <c r="K24" s="599">
        <f t="shared" si="48"/>
        <v>0</v>
      </c>
      <c r="L24" s="599">
        <f t="shared" si="48"/>
        <v>0</v>
      </c>
      <c r="M24" s="599">
        <f t="shared" si="48"/>
        <v>0</v>
      </c>
      <c r="N24" s="599">
        <f t="shared" si="48"/>
        <v>0</v>
      </c>
      <c r="O24" s="599">
        <f t="shared" si="48"/>
        <v>0</v>
      </c>
      <c r="P24" s="599">
        <f t="shared" si="48"/>
        <v>0</v>
      </c>
      <c r="Q24" s="599">
        <f t="shared" si="48"/>
        <v>0</v>
      </c>
      <c r="R24" s="599">
        <f t="shared" si="48"/>
        <v>0</v>
      </c>
      <c r="S24" s="599">
        <f t="shared" si="48"/>
        <v>0</v>
      </c>
      <c r="T24" s="599">
        <f t="shared" si="48"/>
        <v>0</v>
      </c>
      <c r="U24" s="599">
        <f t="shared" si="48"/>
        <v>0</v>
      </c>
      <c r="V24" s="599">
        <f t="shared" si="48"/>
        <v>0</v>
      </c>
      <c r="W24" s="599">
        <f t="shared" si="48"/>
        <v>0</v>
      </c>
      <c r="X24" s="599">
        <f t="shared" si="48"/>
        <v>0</v>
      </c>
      <c r="Y24" s="599">
        <f t="shared" si="48"/>
        <v>0</v>
      </c>
      <c r="Z24" s="599">
        <f t="shared" si="48"/>
        <v>0</v>
      </c>
      <c r="AA24" s="599">
        <f t="shared" si="48"/>
        <v>0</v>
      </c>
      <c r="AB24" s="599">
        <f t="shared" si="48"/>
        <v>0</v>
      </c>
      <c r="AC24" s="599">
        <f t="shared" si="48"/>
        <v>0</v>
      </c>
      <c r="AD24" s="599">
        <f t="shared" si="48"/>
        <v>0</v>
      </c>
      <c r="AE24" s="599">
        <f t="shared" si="48"/>
        <v>0</v>
      </c>
      <c r="AF24" s="599">
        <f t="shared" si="48"/>
        <v>0</v>
      </c>
      <c r="AG24" s="599">
        <f t="shared" si="48"/>
        <v>0</v>
      </c>
      <c r="AH24" s="599">
        <f t="shared" si="48"/>
        <v>0</v>
      </c>
      <c r="AI24" s="599">
        <f t="shared" si="48"/>
        <v>0</v>
      </c>
      <c r="AJ24" s="599">
        <f t="shared" si="48"/>
        <v>0</v>
      </c>
      <c r="AK24" s="599">
        <f t="shared" si="48"/>
        <v>0</v>
      </c>
      <c r="AL24" s="599">
        <f t="shared" si="48"/>
        <v>0</v>
      </c>
      <c r="AM24" s="599">
        <f t="shared" si="48"/>
        <v>0</v>
      </c>
      <c r="AN24" s="599">
        <f t="shared" si="48"/>
        <v>0</v>
      </c>
      <c r="AO24" s="599">
        <f t="shared" si="48"/>
        <v>0</v>
      </c>
      <c r="AP24" s="599">
        <f t="shared" si="48"/>
        <v>0</v>
      </c>
      <c r="AQ24" s="599">
        <f t="shared" si="48"/>
        <v>0</v>
      </c>
      <c r="AR24" s="599">
        <f t="shared" si="48"/>
        <v>0</v>
      </c>
      <c r="AS24" s="599">
        <f t="shared" si="48"/>
        <v>0</v>
      </c>
      <c r="AT24" s="599">
        <f t="shared" si="48"/>
        <v>0</v>
      </c>
      <c r="AU24" s="599">
        <f t="shared" si="48"/>
        <v>0</v>
      </c>
      <c r="AV24" s="599">
        <f t="shared" si="48"/>
        <v>0</v>
      </c>
      <c r="AW24" s="599">
        <f t="shared" si="48"/>
        <v>0</v>
      </c>
      <c r="AX24" s="599">
        <f t="shared" si="48"/>
        <v>0</v>
      </c>
      <c r="AY24" s="599">
        <f t="shared" si="48"/>
        <v>0</v>
      </c>
      <c r="AZ24" s="599">
        <f t="shared" si="48"/>
        <v>0</v>
      </c>
      <c r="BA24" s="599">
        <f t="shared" si="48"/>
        <v>0</v>
      </c>
      <c r="BB24" s="599">
        <f t="shared" si="48"/>
        <v>0</v>
      </c>
      <c r="BC24" s="599">
        <f t="shared" si="48"/>
        <v>0</v>
      </c>
      <c r="BD24" s="599">
        <f t="shared" si="48"/>
        <v>0</v>
      </c>
      <c r="BE24" s="599">
        <f t="shared" si="48"/>
        <v>0</v>
      </c>
      <c r="BF24" s="599">
        <f t="shared" si="48"/>
        <v>0</v>
      </c>
      <c r="BG24" s="599">
        <f t="shared" si="48"/>
        <v>0</v>
      </c>
      <c r="BH24" s="599">
        <f t="shared" si="48"/>
        <v>0</v>
      </c>
      <c r="BI24" s="599">
        <f t="shared" si="48"/>
        <v>0</v>
      </c>
      <c r="BJ24" s="599">
        <f t="shared" si="48"/>
        <v>0</v>
      </c>
      <c r="BK24" s="599">
        <f t="shared" si="48"/>
        <v>0</v>
      </c>
      <c r="BL24" s="599">
        <f t="shared" si="48"/>
        <v>0</v>
      </c>
      <c r="BM24" s="599">
        <f t="shared" si="48"/>
        <v>0</v>
      </c>
      <c r="BN24" s="599">
        <f t="shared" si="48"/>
        <v>0</v>
      </c>
      <c r="BO24" s="599">
        <f t="shared" si="48"/>
        <v>0</v>
      </c>
      <c r="BP24" s="599">
        <f t="shared" si="48"/>
        <v>0</v>
      </c>
      <c r="BQ24" s="599">
        <f t="shared" si="48"/>
        <v>0</v>
      </c>
      <c r="BR24" s="599">
        <f t="shared" si="48"/>
        <v>0</v>
      </c>
      <c r="BS24" s="599">
        <f t="shared" si="48"/>
        <v>0</v>
      </c>
      <c r="BT24" s="599">
        <f t="shared" si="48"/>
        <v>0</v>
      </c>
      <c r="BU24" s="599">
        <f t="shared" si="48"/>
        <v>0</v>
      </c>
      <c r="BV24" s="599">
        <f t="shared" si="48"/>
        <v>0</v>
      </c>
      <c r="BW24" s="599">
        <f t="shared" si="48"/>
        <v>0</v>
      </c>
      <c r="BX24" s="599">
        <f t="shared" si="48"/>
        <v>0</v>
      </c>
      <c r="BY24" s="599">
        <f t="shared" si="48"/>
        <v>0</v>
      </c>
      <c r="BZ24" s="599">
        <f t="shared" si="48"/>
        <v>0</v>
      </c>
      <c r="CA24" s="599">
        <f t="shared" si="48"/>
        <v>0</v>
      </c>
      <c r="CB24" s="599">
        <f t="shared" si="48"/>
        <v>0</v>
      </c>
      <c r="CC24" s="599">
        <f t="shared" si="48"/>
        <v>0</v>
      </c>
      <c r="CD24" s="599">
        <f t="shared" si="48"/>
        <v>0</v>
      </c>
      <c r="CE24" s="599">
        <f t="shared" si="48"/>
        <v>0</v>
      </c>
      <c r="CF24" s="599">
        <f t="shared" si="48"/>
        <v>0</v>
      </c>
      <c r="CG24" s="599">
        <f t="shared" si="48"/>
        <v>0</v>
      </c>
      <c r="CH24" s="599">
        <f t="shared" si="48"/>
        <v>0</v>
      </c>
      <c r="CI24" s="599">
        <f t="shared" si="48"/>
        <v>0</v>
      </c>
      <c r="CJ24" s="599">
        <f t="shared" si="48"/>
        <v>0</v>
      </c>
      <c r="CK24" s="599">
        <f t="shared" si="48"/>
        <v>0</v>
      </c>
      <c r="CL24" s="599">
        <f t="shared" si="48"/>
        <v>0</v>
      </c>
      <c r="CM24" s="599">
        <f t="shared" si="48"/>
        <v>0</v>
      </c>
      <c r="CN24" s="599">
        <f t="shared" si="48"/>
        <v>0</v>
      </c>
      <c r="CO24" s="599">
        <f t="shared" si="48"/>
        <v>0</v>
      </c>
      <c r="CP24" s="599">
        <f t="shared" si="48"/>
        <v>0</v>
      </c>
      <c r="CQ24" s="599">
        <f t="shared" si="48"/>
        <v>0</v>
      </c>
      <c r="CR24" s="599">
        <f t="shared" si="48"/>
        <v>0</v>
      </c>
      <c r="CS24" s="599">
        <f t="shared" si="48"/>
        <v>0</v>
      </c>
      <c r="CT24" s="599">
        <f t="shared" si="48"/>
        <v>0</v>
      </c>
      <c r="CU24" s="599">
        <f t="shared" si="48"/>
        <v>0</v>
      </c>
      <c r="CV24" s="599">
        <f t="shared" si="48"/>
        <v>0</v>
      </c>
      <c r="CW24" s="599">
        <f t="shared" si="48"/>
        <v>0</v>
      </c>
      <c r="CX24" s="599">
        <f t="shared" si="48"/>
        <v>0</v>
      </c>
      <c r="CY24" s="599">
        <f t="shared" si="48"/>
        <v>0</v>
      </c>
      <c r="CZ24" s="599">
        <f t="shared" si="48"/>
        <v>0</v>
      </c>
      <c r="DA24" s="599">
        <f t="shared" si="48"/>
        <v>0</v>
      </c>
      <c r="DB24" s="599">
        <f t="shared" si="48"/>
        <v>0</v>
      </c>
      <c r="DC24" s="599">
        <f t="shared" si="48"/>
        <v>0</v>
      </c>
      <c r="DD24" s="599">
        <f t="shared" si="48"/>
        <v>0</v>
      </c>
      <c r="DE24" s="599">
        <f t="shared" si="48"/>
        <v>0</v>
      </c>
      <c r="DF24" s="599">
        <f t="shared" si="48"/>
        <v>0</v>
      </c>
      <c r="DG24" s="599">
        <f t="shared" si="48"/>
        <v>0</v>
      </c>
      <c r="DH24" s="599">
        <f t="shared" si="48"/>
        <v>0</v>
      </c>
      <c r="DI24" s="599">
        <f t="shared" si="48"/>
        <v>0</v>
      </c>
      <c r="DJ24" s="599">
        <f t="shared" si="48"/>
        <v>0</v>
      </c>
      <c r="DK24" s="599">
        <f t="shared" si="48"/>
        <v>0</v>
      </c>
      <c r="DL24" s="599">
        <f t="shared" si="48"/>
        <v>0</v>
      </c>
      <c r="DM24" s="599">
        <f t="shared" si="48"/>
        <v>0</v>
      </c>
      <c r="DN24" s="599">
        <f t="shared" si="48"/>
        <v>0</v>
      </c>
      <c r="DO24" s="599">
        <f t="shared" si="48"/>
        <v>0</v>
      </c>
      <c r="DP24" s="599">
        <f t="shared" si="48"/>
        <v>0</v>
      </c>
      <c r="DQ24" s="599">
        <f t="shared" si="48"/>
        <v>0</v>
      </c>
      <c r="DR24" s="599">
        <f t="shared" si="48"/>
        <v>0</v>
      </c>
      <c r="DS24" s="599">
        <f t="shared" si="48"/>
        <v>0</v>
      </c>
      <c r="DT24" s="599">
        <f t="shared" si="48"/>
        <v>0</v>
      </c>
      <c r="DU24" s="599">
        <f t="shared" si="48"/>
        <v>0</v>
      </c>
      <c r="DV24" s="599">
        <f t="shared" si="48"/>
        <v>0</v>
      </c>
      <c r="DW24" s="599">
        <f t="shared" si="48"/>
        <v>0</v>
      </c>
      <c r="DX24" s="599">
        <f t="shared" si="48"/>
        <v>0</v>
      </c>
      <c r="DY24" s="599">
        <f t="shared" si="48"/>
        <v>0</v>
      </c>
      <c r="DZ24" s="599">
        <f t="shared" si="45"/>
        <v>0</v>
      </c>
      <c r="EA24" s="599">
        <f t="shared" si="45"/>
        <v>0</v>
      </c>
      <c r="EB24" s="599">
        <f t="shared" si="45"/>
        <v>0</v>
      </c>
      <c r="EC24" s="599">
        <f t="shared" si="45"/>
        <v>0</v>
      </c>
      <c r="ED24" s="599">
        <f t="shared" si="45"/>
        <v>0</v>
      </c>
      <c r="EE24" s="599">
        <f t="shared" si="45"/>
        <v>0</v>
      </c>
      <c r="EF24" s="599">
        <f t="shared" si="45"/>
        <v>0</v>
      </c>
      <c r="EG24" s="599">
        <f t="shared" si="45"/>
        <v>0</v>
      </c>
      <c r="EH24" s="599">
        <f t="shared" si="45"/>
        <v>0</v>
      </c>
      <c r="EI24" s="599">
        <f t="shared" si="45"/>
        <v>0</v>
      </c>
      <c r="EJ24" s="1117">
        <f t="shared" si="45"/>
        <v>0</v>
      </c>
    </row>
    <row r="25" spans="1:140" ht="15.75" hidden="1" customHeight="1" x14ac:dyDescent="0.25">
      <c r="A25" s="6"/>
      <c r="B25" s="1015" t="str">
        <f>'Unit Mix'!C22</f>
        <v>Type (#BD/#BA)</v>
      </c>
      <c r="C25" s="1016">
        <f>'Unit Mix'!D22</f>
        <v>0</v>
      </c>
      <c r="D25" s="1017">
        <f>'Unit Mix'!E22</f>
        <v>0</v>
      </c>
      <c r="E25" s="1018">
        <f>'Unit Mix'!H22</f>
        <v>0</v>
      </c>
      <c r="F25" s="996">
        <f>'Unit Mix'!G22</f>
        <v>0</v>
      </c>
      <c r="G25" s="1072"/>
      <c r="H25" s="1115">
        <f t="shared" ref="H25:DY25" si="49">IF(H$5&gt;$E$4+12,0,IF(H$3&lt;$C$4,0,ROUNDUP(H$6*$C25,1)*$F25*(1+$G$10)^(H$4)))</f>
        <v>0</v>
      </c>
      <c r="I25" s="599">
        <f t="shared" si="49"/>
        <v>0</v>
      </c>
      <c r="J25" s="599">
        <f t="shared" si="49"/>
        <v>0</v>
      </c>
      <c r="K25" s="599">
        <f t="shared" si="49"/>
        <v>0</v>
      </c>
      <c r="L25" s="599">
        <f t="shared" si="49"/>
        <v>0</v>
      </c>
      <c r="M25" s="599">
        <f t="shared" si="49"/>
        <v>0</v>
      </c>
      <c r="N25" s="599">
        <f t="shared" si="49"/>
        <v>0</v>
      </c>
      <c r="O25" s="599">
        <f t="shared" si="49"/>
        <v>0</v>
      </c>
      <c r="P25" s="599">
        <f t="shared" si="49"/>
        <v>0</v>
      </c>
      <c r="Q25" s="599">
        <f t="shared" si="49"/>
        <v>0</v>
      </c>
      <c r="R25" s="599">
        <f t="shared" si="49"/>
        <v>0</v>
      </c>
      <c r="S25" s="599">
        <f t="shared" si="49"/>
        <v>0</v>
      </c>
      <c r="T25" s="599">
        <f t="shared" si="49"/>
        <v>0</v>
      </c>
      <c r="U25" s="599">
        <f t="shared" si="49"/>
        <v>0</v>
      </c>
      <c r="V25" s="599">
        <f t="shared" si="49"/>
        <v>0</v>
      </c>
      <c r="W25" s="599">
        <f t="shared" si="49"/>
        <v>0</v>
      </c>
      <c r="X25" s="599">
        <f t="shared" si="49"/>
        <v>0</v>
      </c>
      <c r="Y25" s="599">
        <f t="shared" si="49"/>
        <v>0</v>
      </c>
      <c r="Z25" s="599">
        <f t="shared" si="49"/>
        <v>0</v>
      </c>
      <c r="AA25" s="599">
        <f t="shared" si="49"/>
        <v>0</v>
      </c>
      <c r="AB25" s="599">
        <f t="shared" si="49"/>
        <v>0</v>
      </c>
      <c r="AC25" s="599">
        <f t="shared" si="49"/>
        <v>0</v>
      </c>
      <c r="AD25" s="599">
        <f t="shared" si="49"/>
        <v>0</v>
      </c>
      <c r="AE25" s="599">
        <f t="shared" si="49"/>
        <v>0</v>
      </c>
      <c r="AF25" s="599">
        <f t="shared" si="49"/>
        <v>0</v>
      </c>
      <c r="AG25" s="599">
        <f t="shared" si="49"/>
        <v>0</v>
      </c>
      <c r="AH25" s="599">
        <f t="shared" si="49"/>
        <v>0</v>
      </c>
      <c r="AI25" s="599">
        <f t="shared" si="49"/>
        <v>0</v>
      </c>
      <c r="AJ25" s="599">
        <f t="shared" si="49"/>
        <v>0</v>
      </c>
      <c r="AK25" s="599">
        <f t="shared" si="49"/>
        <v>0</v>
      </c>
      <c r="AL25" s="599">
        <f t="shared" si="49"/>
        <v>0</v>
      </c>
      <c r="AM25" s="599">
        <f t="shared" si="49"/>
        <v>0</v>
      </c>
      <c r="AN25" s="599">
        <f t="shared" si="49"/>
        <v>0</v>
      </c>
      <c r="AO25" s="599">
        <f t="shared" si="49"/>
        <v>0</v>
      </c>
      <c r="AP25" s="599">
        <f t="shared" si="49"/>
        <v>0</v>
      </c>
      <c r="AQ25" s="599">
        <f t="shared" si="49"/>
        <v>0</v>
      </c>
      <c r="AR25" s="599">
        <f t="shared" si="49"/>
        <v>0</v>
      </c>
      <c r="AS25" s="599">
        <f t="shared" si="49"/>
        <v>0</v>
      </c>
      <c r="AT25" s="599">
        <f t="shared" si="49"/>
        <v>0</v>
      </c>
      <c r="AU25" s="599">
        <f t="shared" si="49"/>
        <v>0</v>
      </c>
      <c r="AV25" s="599">
        <f t="shared" si="49"/>
        <v>0</v>
      </c>
      <c r="AW25" s="599">
        <f t="shared" si="49"/>
        <v>0</v>
      </c>
      <c r="AX25" s="599">
        <f t="shared" si="49"/>
        <v>0</v>
      </c>
      <c r="AY25" s="599">
        <f t="shared" si="49"/>
        <v>0</v>
      </c>
      <c r="AZ25" s="599">
        <f t="shared" si="49"/>
        <v>0</v>
      </c>
      <c r="BA25" s="599">
        <f t="shared" si="49"/>
        <v>0</v>
      </c>
      <c r="BB25" s="599">
        <f t="shared" si="49"/>
        <v>0</v>
      </c>
      <c r="BC25" s="599">
        <f t="shared" si="49"/>
        <v>0</v>
      </c>
      <c r="BD25" s="599">
        <f t="shared" si="49"/>
        <v>0</v>
      </c>
      <c r="BE25" s="599">
        <f t="shared" si="49"/>
        <v>0</v>
      </c>
      <c r="BF25" s="599">
        <f t="shared" si="49"/>
        <v>0</v>
      </c>
      <c r="BG25" s="599">
        <f t="shared" si="49"/>
        <v>0</v>
      </c>
      <c r="BH25" s="599">
        <f t="shared" si="49"/>
        <v>0</v>
      </c>
      <c r="BI25" s="599">
        <f t="shared" si="49"/>
        <v>0</v>
      </c>
      <c r="BJ25" s="599">
        <f t="shared" si="49"/>
        <v>0</v>
      </c>
      <c r="BK25" s="599">
        <f t="shared" si="49"/>
        <v>0</v>
      </c>
      <c r="BL25" s="599">
        <f t="shared" si="49"/>
        <v>0</v>
      </c>
      <c r="BM25" s="599">
        <f t="shared" si="49"/>
        <v>0</v>
      </c>
      <c r="BN25" s="599">
        <f t="shared" si="49"/>
        <v>0</v>
      </c>
      <c r="BO25" s="599">
        <f t="shared" si="49"/>
        <v>0</v>
      </c>
      <c r="BP25" s="599">
        <f t="shared" si="49"/>
        <v>0</v>
      </c>
      <c r="BQ25" s="599">
        <f t="shared" si="49"/>
        <v>0</v>
      </c>
      <c r="BR25" s="599">
        <f t="shared" si="49"/>
        <v>0</v>
      </c>
      <c r="BS25" s="599">
        <f t="shared" si="49"/>
        <v>0</v>
      </c>
      <c r="BT25" s="599">
        <f t="shared" si="49"/>
        <v>0</v>
      </c>
      <c r="BU25" s="599">
        <f t="shared" si="49"/>
        <v>0</v>
      </c>
      <c r="BV25" s="599">
        <f t="shared" si="49"/>
        <v>0</v>
      </c>
      <c r="BW25" s="599">
        <f t="shared" si="49"/>
        <v>0</v>
      </c>
      <c r="BX25" s="599">
        <f t="shared" si="49"/>
        <v>0</v>
      </c>
      <c r="BY25" s="599">
        <f t="shared" si="49"/>
        <v>0</v>
      </c>
      <c r="BZ25" s="599">
        <f t="shared" si="49"/>
        <v>0</v>
      </c>
      <c r="CA25" s="599">
        <f t="shared" si="49"/>
        <v>0</v>
      </c>
      <c r="CB25" s="599">
        <f t="shared" si="49"/>
        <v>0</v>
      </c>
      <c r="CC25" s="599">
        <f t="shared" si="49"/>
        <v>0</v>
      </c>
      <c r="CD25" s="599">
        <f t="shared" si="49"/>
        <v>0</v>
      </c>
      <c r="CE25" s="599">
        <f t="shared" si="49"/>
        <v>0</v>
      </c>
      <c r="CF25" s="599">
        <f t="shared" si="49"/>
        <v>0</v>
      </c>
      <c r="CG25" s="599">
        <f t="shared" si="49"/>
        <v>0</v>
      </c>
      <c r="CH25" s="599">
        <f t="shared" si="49"/>
        <v>0</v>
      </c>
      <c r="CI25" s="599">
        <f t="shared" si="49"/>
        <v>0</v>
      </c>
      <c r="CJ25" s="599">
        <f t="shared" si="49"/>
        <v>0</v>
      </c>
      <c r="CK25" s="599">
        <f t="shared" si="49"/>
        <v>0</v>
      </c>
      <c r="CL25" s="599">
        <f t="shared" si="49"/>
        <v>0</v>
      </c>
      <c r="CM25" s="599">
        <f t="shared" si="49"/>
        <v>0</v>
      </c>
      <c r="CN25" s="599">
        <f t="shared" si="49"/>
        <v>0</v>
      </c>
      <c r="CO25" s="599">
        <f t="shared" si="49"/>
        <v>0</v>
      </c>
      <c r="CP25" s="599">
        <f t="shared" si="49"/>
        <v>0</v>
      </c>
      <c r="CQ25" s="599">
        <f t="shared" si="49"/>
        <v>0</v>
      </c>
      <c r="CR25" s="599">
        <f t="shared" si="49"/>
        <v>0</v>
      </c>
      <c r="CS25" s="599">
        <f t="shared" si="49"/>
        <v>0</v>
      </c>
      <c r="CT25" s="599">
        <f t="shared" si="49"/>
        <v>0</v>
      </c>
      <c r="CU25" s="599">
        <f t="shared" si="49"/>
        <v>0</v>
      </c>
      <c r="CV25" s="599">
        <f t="shared" si="49"/>
        <v>0</v>
      </c>
      <c r="CW25" s="599">
        <f t="shared" si="49"/>
        <v>0</v>
      </c>
      <c r="CX25" s="599">
        <f t="shared" si="49"/>
        <v>0</v>
      </c>
      <c r="CY25" s="599">
        <f t="shared" si="49"/>
        <v>0</v>
      </c>
      <c r="CZ25" s="599">
        <f t="shared" si="49"/>
        <v>0</v>
      </c>
      <c r="DA25" s="599">
        <f t="shared" si="49"/>
        <v>0</v>
      </c>
      <c r="DB25" s="599">
        <f t="shared" si="49"/>
        <v>0</v>
      </c>
      <c r="DC25" s="599">
        <f t="shared" si="49"/>
        <v>0</v>
      </c>
      <c r="DD25" s="599">
        <f t="shared" si="49"/>
        <v>0</v>
      </c>
      <c r="DE25" s="599">
        <f t="shared" si="49"/>
        <v>0</v>
      </c>
      <c r="DF25" s="599">
        <f t="shared" si="49"/>
        <v>0</v>
      </c>
      <c r="DG25" s="599">
        <f t="shared" si="49"/>
        <v>0</v>
      </c>
      <c r="DH25" s="599">
        <f t="shared" si="49"/>
        <v>0</v>
      </c>
      <c r="DI25" s="599">
        <f t="shared" si="49"/>
        <v>0</v>
      </c>
      <c r="DJ25" s="599">
        <f t="shared" si="49"/>
        <v>0</v>
      </c>
      <c r="DK25" s="599">
        <f t="shared" si="49"/>
        <v>0</v>
      </c>
      <c r="DL25" s="599">
        <f t="shared" si="49"/>
        <v>0</v>
      </c>
      <c r="DM25" s="599">
        <f t="shared" si="49"/>
        <v>0</v>
      </c>
      <c r="DN25" s="599">
        <f t="shared" si="49"/>
        <v>0</v>
      </c>
      <c r="DO25" s="599">
        <f t="shared" si="49"/>
        <v>0</v>
      </c>
      <c r="DP25" s="599">
        <f t="shared" si="49"/>
        <v>0</v>
      </c>
      <c r="DQ25" s="599">
        <f t="shared" si="49"/>
        <v>0</v>
      </c>
      <c r="DR25" s="599">
        <f t="shared" si="49"/>
        <v>0</v>
      </c>
      <c r="DS25" s="599">
        <f t="shared" si="49"/>
        <v>0</v>
      </c>
      <c r="DT25" s="599">
        <f t="shared" si="49"/>
        <v>0</v>
      </c>
      <c r="DU25" s="599">
        <f t="shared" si="49"/>
        <v>0</v>
      </c>
      <c r="DV25" s="599">
        <f t="shared" si="49"/>
        <v>0</v>
      </c>
      <c r="DW25" s="599">
        <f t="shared" si="49"/>
        <v>0</v>
      </c>
      <c r="DX25" s="599">
        <f t="shared" si="49"/>
        <v>0</v>
      </c>
      <c r="DY25" s="599">
        <f t="shared" si="49"/>
        <v>0</v>
      </c>
      <c r="DZ25" s="599">
        <f t="shared" si="45"/>
        <v>0</v>
      </c>
      <c r="EA25" s="599">
        <f t="shared" si="45"/>
        <v>0</v>
      </c>
      <c r="EB25" s="599">
        <f t="shared" si="45"/>
        <v>0</v>
      </c>
      <c r="EC25" s="599">
        <f t="shared" si="45"/>
        <v>0</v>
      </c>
      <c r="ED25" s="599">
        <f t="shared" si="45"/>
        <v>0</v>
      </c>
      <c r="EE25" s="599">
        <f t="shared" si="45"/>
        <v>0</v>
      </c>
      <c r="EF25" s="599">
        <f t="shared" si="45"/>
        <v>0</v>
      </c>
      <c r="EG25" s="599">
        <f t="shared" si="45"/>
        <v>0</v>
      </c>
      <c r="EH25" s="599">
        <f t="shared" si="45"/>
        <v>0</v>
      </c>
      <c r="EI25" s="599">
        <f t="shared" si="45"/>
        <v>0</v>
      </c>
      <c r="EJ25" s="1117">
        <f t="shared" si="45"/>
        <v>0</v>
      </c>
    </row>
    <row r="26" spans="1:140" ht="15.75" hidden="1" customHeight="1" x14ac:dyDescent="0.25">
      <c r="A26" s="6"/>
      <c r="B26" s="1015" t="str">
        <f>'Unit Mix'!C23</f>
        <v>Type (#BD/#BA)</v>
      </c>
      <c r="C26" s="1016">
        <f>'Unit Mix'!D23</f>
        <v>0</v>
      </c>
      <c r="D26" s="1017">
        <f>'Unit Mix'!E23</f>
        <v>0</v>
      </c>
      <c r="E26" s="1018">
        <f>'Unit Mix'!H23</f>
        <v>0</v>
      </c>
      <c r="F26" s="996">
        <f>'Unit Mix'!G23</f>
        <v>0</v>
      </c>
      <c r="G26" s="1072"/>
      <c r="H26" s="1115">
        <f t="shared" ref="H26:DY26" si="50">IF(H$5&gt;$E$4+12,0,IF(H$3&lt;$C$4,0,ROUNDUP(H$6*$C26,1)*$F26*(1+$G$10)^(H$4)))</f>
        <v>0</v>
      </c>
      <c r="I26" s="599">
        <f t="shared" si="50"/>
        <v>0</v>
      </c>
      <c r="J26" s="599">
        <f t="shared" si="50"/>
        <v>0</v>
      </c>
      <c r="K26" s="599">
        <f t="shared" si="50"/>
        <v>0</v>
      </c>
      <c r="L26" s="599">
        <f t="shared" si="50"/>
        <v>0</v>
      </c>
      <c r="M26" s="599">
        <f t="shared" si="50"/>
        <v>0</v>
      </c>
      <c r="N26" s="599">
        <f t="shared" si="50"/>
        <v>0</v>
      </c>
      <c r="O26" s="599">
        <f t="shared" si="50"/>
        <v>0</v>
      </c>
      <c r="P26" s="599">
        <f t="shared" si="50"/>
        <v>0</v>
      </c>
      <c r="Q26" s="599">
        <f t="shared" si="50"/>
        <v>0</v>
      </c>
      <c r="R26" s="599">
        <f t="shared" si="50"/>
        <v>0</v>
      </c>
      <c r="S26" s="599">
        <f t="shared" si="50"/>
        <v>0</v>
      </c>
      <c r="T26" s="599">
        <f t="shared" si="50"/>
        <v>0</v>
      </c>
      <c r="U26" s="599">
        <f t="shared" si="50"/>
        <v>0</v>
      </c>
      <c r="V26" s="599">
        <f t="shared" si="50"/>
        <v>0</v>
      </c>
      <c r="W26" s="599">
        <f t="shared" si="50"/>
        <v>0</v>
      </c>
      <c r="X26" s="599">
        <f t="shared" si="50"/>
        <v>0</v>
      </c>
      <c r="Y26" s="599">
        <f t="shared" si="50"/>
        <v>0</v>
      </c>
      <c r="Z26" s="599">
        <f t="shared" si="50"/>
        <v>0</v>
      </c>
      <c r="AA26" s="599">
        <f t="shared" si="50"/>
        <v>0</v>
      </c>
      <c r="AB26" s="599">
        <f t="shared" si="50"/>
        <v>0</v>
      </c>
      <c r="AC26" s="599">
        <f t="shared" si="50"/>
        <v>0</v>
      </c>
      <c r="AD26" s="599">
        <f t="shared" si="50"/>
        <v>0</v>
      </c>
      <c r="AE26" s="599">
        <f t="shared" si="50"/>
        <v>0</v>
      </c>
      <c r="AF26" s="599">
        <f t="shared" si="50"/>
        <v>0</v>
      </c>
      <c r="AG26" s="599">
        <f t="shared" si="50"/>
        <v>0</v>
      </c>
      <c r="AH26" s="599">
        <f t="shared" si="50"/>
        <v>0</v>
      </c>
      <c r="AI26" s="599">
        <f t="shared" si="50"/>
        <v>0</v>
      </c>
      <c r="AJ26" s="599">
        <f t="shared" si="50"/>
        <v>0</v>
      </c>
      <c r="AK26" s="599">
        <f t="shared" si="50"/>
        <v>0</v>
      </c>
      <c r="AL26" s="599">
        <f t="shared" si="50"/>
        <v>0</v>
      </c>
      <c r="AM26" s="599">
        <f t="shared" si="50"/>
        <v>0</v>
      </c>
      <c r="AN26" s="599">
        <f t="shared" si="50"/>
        <v>0</v>
      </c>
      <c r="AO26" s="599">
        <f t="shared" si="50"/>
        <v>0</v>
      </c>
      <c r="AP26" s="599">
        <f t="shared" si="50"/>
        <v>0</v>
      </c>
      <c r="AQ26" s="599">
        <f t="shared" si="50"/>
        <v>0</v>
      </c>
      <c r="AR26" s="599">
        <f t="shared" si="50"/>
        <v>0</v>
      </c>
      <c r="AS26" s="599">
        <f t="shared" si="50"/>
        <v>0</v>
      </c>
      <c r="AT26" s="599">
        <f t="shared" si="50"/>
        <v>0</v>
      </c>
      <c r="AU26" s="599">
        <f t="shared" si="50"/>
        <v>0</v>
      </c>
      <c r="AV26" s="599">
        <f t="shared" si="50"/>
        <v>0</v>
      </c>
      <c r="AW26" s="599">
        <f t="shared" si="50"/>
        <v>0</v>
      </c>
      <c r="AX26" s="599">
        <f t="shared" si="50"/>
        <v>0</v>
      </c>
      <c r="AY26" s="599">
        <f t="shared" si="50"/>
        <v>0</v>
      </c>
      <c r="AZ26" s="599">
        <f t="shared" si="50"/>
        <v>0</v>
      </c>
      <c r="BA26" s="599">
        <f t="shared" si="50"/>
        <v>0</v>
      </c>
      <c r="BB26" s="599">
        <f t="shared" si="50"/>
        <v>0</v>
      </c>
      <c r="BC26" s="599">
        <f t="shared" si="50"/>
        <v>0</v>
      </c>
      <c r="BD26" s="599">
        <f t="shared" si="50"/>
        <v>0</v>
      </c>
      <c r="BE26" s="599">
        <f t="shared" si="50"/>
        <v>0</v>
      </c>
      <c r="BF26" s="599">
        <f t="shared" si="50"/>
        <v>0</v>
      </c>
      <c r="BG26" s="599">
        <f t="shared" si="50"/>
        <v>0</v>
      </c>
      <c r="BH26" s="599">
        <f t="shared" si="50"/>
        <v>0</v>
      </c>
      <c r="BI26" s="599">
        <f t="shared" si="50"/>
        <v>0</v>
      </c>
      <c r="BJ26" s="599">
        <f t="shared" si="50"/>
        <v>0</v>
      </c>
      <c r="BK26" s="599">
        <f t="shared" si="50"/>
        <v>0</v>
      </c>
      <c r="BL26" s="599">
        <f t="shared" si="50"/>
        <v>0</v>
      </c>
      <c r="BM26" s="599">
        <f t="shared" si="50"/>
        <v>0</v>
      </c>
      <c r="BN26" s="599">
        <f t="shared" si="50"/>
        <v>0</v>
      </c>
      <c r="BO26" s="599">
        <f t="shared" si="50"/>
        <v>0</v>
      </c>
      <c r="BP26" s="599">
        <f t="shared" si="50"/>
        <v>0</v>
      </c>
      <c r="BQ26" s="599">
        <f t="shared" si="50"/>
        <v>0</v>
      </c>
      <c r="BR26" s="599">
        <f t="shared" si="50"/>
        <v>0</v>
      </c>
      <c r="BS26" s="599">
        <f t="shared" si="50"/>
        <v>0</v>
      </c>
      <c r="BT26" s="599">
        <f t="shared" si="50"/>
        <v>0</v>
      </c>
      <c r="BU26" s="599">
        <f t="shared" si="50"/>
        <v>0</v>
      </c>
      <c r="BV26" s="599">
        <f t="shared" si="50"/>
        <v>0</v>
      </c>
      <c r="BW26" s="599">
        <f t="shared" si="50"/>
        <v>0</v>
      </c>
      <c r="BX26" s="599">
        <f t="shared" si="50"/>
        <v>0</v>
      </c>
      <c r="BY26" s="599">
        <f t="shared" si="50"/>
        <v>0</v>
      </c>
      <c r="BZ26" s="599">
        <f t="shared" si="50"/>
        <v>0</v>
      </c>
      <c r="CA26" s="599">
        <f t="shared" si="50"/>
        <v>0</v>
      </c>
      <c r="CB26" s="599">
        <f t="shared" si="50"/>
        <v>0</v>
      </c>
      <c r="CC26" s="599">
        <f t="shared" si="50"/>
        <v>0</v>
      </c>
      <c r="CD26" s="599">
        <f t="shared" si="50"/>
        <v>0</v>
      </c>
      <c r="CE26" s="599">
        <f t="shared" si="50"/>
        <v>0</v>
      </c>
      <c r="CF26" s="599">
        <f t="shared" si="50"/>
        <v>0</v>
      </c>
      <c r="CG26" s="599">
        <f t="shared" si="50"/>
        <v>0</v>
      </c>
      <c r="CH26" s="599">
        <f t="shared" si="50"/>
        <v>0</v>
      </c>
      <c r="CI26" s="599">
        <f t="shared" si="50"/>
        <v>0</v>
      </c>
      <c r="CJ26" s="599">
        <f t="shared" si="50"/>
        <v>0</v>
      </c>
      <c r="CK26" s="599">
        <f t="shared" si="50"/>
        <v>0</v>
      </c>
      <c r="CL26" s="599">
        <f t="shared" si="50"/>
        <v>0</v>
      </c>
      <c r="CM26" s="599">
        <f t="shared" si="50"/>
        <v>0</v>
      </c>
      <c r="CN26" s="599">
        <f t="shared" si="50"/>
        <v>0</v>
      </c>
      <c r="CO26" s="599">
        <f t="shared" si="50"/>
        <v>0</v>
      </c>
      <c r="CP26" s="599">
        <f t="shared" si="50"/>
        <v>0</v>
      </c>
      <c r="CQ26" s="599">
        <f t="shared" si="50"/>
        <v>0</v>
      </c>
      <c r="CR26" s="599">
        <f t="shared" si="50"/>
        <v>0</v>
      </c>
      <c r="CS26" s="599">
        <f t="shared" si="50"/>
        <v>0</v>
      </c>
      <c r="CT26" s="599">
        <f t="shared" si="50"/>
        <v>0</v>
      </c>
      <c r="CU26" s="599">
        <f t="shared" si="50"/>
        <v>0</v>
      </c>
      <c r="CV26" s="599">
        <f t="shared" si="50"/>
        <v>0</v>
      </c>
      <c r="CW26" s="599">
        <f t="shared" si="50"/>
        <v>0</v>
      </c>
      <c r="CX26" s="599">
        <f t="shared" si="50"/>
        <v>0</v>
      </c>
      <c r="CY26" s="599">
        <f t="shared" si="50"/>
        <v>0</v>
      </c>
      <c r="CZ26" s="599">
        <f t="shared" si="50"/>
        <v>0</v>
      </c>
      <c r="DA26" s="599">
        <f t="shared" si="50"/>
        <v>0</v>
      </c>
      <c r="DB26" s="599">
        <f t="shared" si="50"/>
        <v>0</v>
      </c>
      <c r="DC26" s="599">
        <f t="shared" si="50"/>
        <v>0</v>
      </c>
      <c r="DD26" s="599">
        <f t="shared" si="50"/>
        <v>0</v>
      </c>
      <c r="DE26" s="599">
        <f t="shared" si="50"/>
        <v>0</v>
      </c>
      <c r="DF26" s="599">
        <f t="shared" si="50"/>
        <v>0</v>
      </c>
      <c r="DG26" s="599">
        <f t="shared" si="50"/>
        <v>0</v>
      </c>
      <c r="DH26" s="599">
        <f t="shared" si="50"/>
        <v>0</v>
      </c>
      <c r="DI26" s="599">
        <f t="shared" si="50"/>
        <v>0</v>
      </c>
      <c r="DJ26" s="599">
        <f t="shared" si="50"/>
        <v>0</v>
      </c>
      <c r="DK26" s="599">
        <f t="shared" si="50"/>
        <v>0</v>
      </c>
      <c r="DL26" s="599">
        <f t="shared" si="50"/>
        <v>0</v>
      </c>
      <c r="DM26" s="599">
        <f t="shared" si="50"/>
        <v>0</v>
      </c>
      <c r="DN26" s="599">
        <f t="shared" si="50"/>
        <v>0</v>
      </c>
      <c r="DO26" s="599">
        <f t="shared" si="50"/>
        <v>0</v>
      </c>
      <c r="DP26" s="599">
        <f t="shared" si="50"/>
        <v>0</v>
      </c>
      <c r="DQ26" s="599">
        <f t="shared" si="50"/>
        <v>0</v>
      </c>
      <c r="DR26" s="599">
        <f t="shared" si="50"/>
        <v>0</v>
      </c>
      <c r="DS26" s="599">
        <f t="shared" si="50"/>
        <v>0</v>
      </c>
      <c r="DT26" s="599">
        <f t="shared" si="50"/>
        <v>0</v>
      </c>
      <c r="DU26" s="599">
        <f t="shared" si="50"/>
        <v>0</v>
      </c>
      <c r="DV26" s="599">
        <f t="shared" si="50"/>
        <v>0</v>
      </c>
      <c r="DW26" s="599">
        <f t="shared" si="50"/>
        <v>0</v>
      </c>
      <c r="DX26" s="599">
        <f t="shared" si="50"/>
        <v>0</v>
      </c>
      <c r="DY26" s="599">
        <f t="shared" si="50"/>
        <v>0</v>
      </c>
      <c r="DZ26" s="599">
        <f t="shared" si="45"/>
        <v>0</v>
      </c>
      <c r="EA26" s="599">
        <f t="shared" si="45"/>
        <v>0</v>
      </c>
      <c r="EB26" s="599">
        <f t="shared" si="45"/>
        <v>0</v>
      </c>
      <c r="EC26" s="599">
        <f t="shared" si="45"/>
        <v>0</v>
      </c>
      <c r="ED26" s="599">
        <f t="shared" si="45"/>
        <v>0</v>
      </c>
      <c r="EE26" s="599">
        <f t="shared" si="45"/>
        <v>0</v>
      </c>
      <c r="EF26" s="599">
        <f t="shared" si="45"/>
        <v>0</v>
      </c>
      <c r="EG26" s="599">
        <f t="shared" si="45"/>
        <v>0</v>
      </c>
      <c r="EH26" s="599">
        <f t="shared" si="45"/>
        <v>0</v>
      </c>
      <c r="EI26" s="599">
        <f t="shared" si="45"/>
        <v>0</v>
      </c>
      <c r="EJ26" s="1117">
        <f t="shared" si="45"/>
        <v>0</v>
      </c>
    </row>
    <row r="27" spans="1:140" ht="15.75" hidden="1" customHeight="1" x14ac:dyDescent="0.25">
      <c r="A27" s="6"/>
      <c r="B27" s="1015" t="str">
        <f>'Unit Mix'!C24</f>
        <v>Type (#BD/#BA)</v>
      </c>
      <c r="C27" s="1016">
        <f>'Unit Mix'!D24</f>
        <v>0</v>
      </c>
      <c r="D27" s="1017">
        <f>'Unit Mix'!E24</f>
        <v>0</v>
      </c>
      <c r="E27" s="1018">
        <f>'Unit Mix'!H24</f>
        <v>0</v>
      </c>
      <c r="F27" s="996">
        <f>'Unit Mix'!G24</f>
        <v>0</v>
      </c>
      <c r="G27" s="1072"/>
      <c r="H27" s="1115">
        <f t="shared" ref="H27:DY27" si="51">IF(H$5&gt;$E$4+12,0,IF(H$3&lt;$C$4,0,ROUNDUP(H$6*$C27,1)*$F27*(1+$G$10)^(H$4)))</f>
        <v>0</v>
      </c>
      <c r="I27" s="599">
        <f t="shared" si="51"/>
        <v>0</v>
      </c>
      <c r="J27" s="599">
        <f t="shared" si="51"/>
        <v>0</v>
      </c>
      <c r="K27" s="599">
        <f t="shared" si="51"/>
        <v>0</v>
      </c>
      <c r="L27" s="599">
        <f t="shared" si="51"/>
        <v>0</v>
      </c>
      <c r="M27" s="599">
        <f t="shared" si="51"/>
        <v>0</v>
      </c>
      <c r="N27" s="599">
        <f t="shared" si="51"/>
        <v>0</v>
      </c>
      <c r="O27" s="599">
        <f t="shared" si="51"/>
        <v>0</v>
      </c>
      <c r="P27" s="599">
        <f t="shared" si="51"/>
        <v>0</v>
      </c>
      <c r="Q27" s="599">
        <f t="shared" si="51"/>
        <v>0</v>
      </c>
      <c r="R27" s="599">
        <f t="shared" si="51"/>
        <v>0</v>
      </c>
      <c r="S27" s="599">
        <f t="shared" si="51"/>
        <v>0</v>
      </c>
      <c r="T27" s="599">
        <f t="shared" si="51"/>
        <v>0</v>
      </c>
      <c r="U27" s="599">
        <f t="shared" si="51"/>
        <v>0</v>
      </c>
      <c r="V27" s="599">
        <f t="shared" si="51"/>
        <v>0</v>
      </c>
      <c r="W27" s="599">
        <f t="shared" si="51"/>
        <v>0</v>
      </c>
      <c r="X27" s="599">
        <f t="shared" si="51"/>
        <v>0</v>
      </c>
      <c r="Y27" s="599">
        <f t="shared" si="51"/>
        <v>0</v>
      </c>
      <c r="Z27" s="599">
        <f t="shared" si="51"/>
        <v>0</v>
      </c>
      <c r="AA27" s="599">
        <f t="shared" si="51"/>
        <v>0</v>
      </c>
      <c r="AB27" s="599">
        <f t="shared" si="51"/>
        <v>0</v>
      </c>
      <c r="AC27" s="599">
        <f t="shared" si="51"/>
        <v>0</v>
      </c>
      <c r="AD27" s="599">
        <f t="shared" si="51"/>
        <v>0</v>
      </c>
      <c r="AE27" s="599">
        <f t="shared" si="51"/>
        <v>0</v>
      </c>
      <c r="AF27" s="599">
        <f t="shared" si="51"/>
        <v>0</v>
      </c>
      <c r="AG27" s="599">
        <f t="shared" si="51"/>
        <v>0</v>
      </c>
      <c r="AH27" s="599">
        <f t="shared" si="51"/>
        <v>0</v>
      </c>
      <c r="AI27" s="599">
        <f t="shared" si="51"/>
        <v>0</v>
      </c>
      <c r="AJ27" s="599">
        <f t="shared" si="51"/>
        <v>0</v>
      </c>
      <c r="AK27" s="599">
        <f t="shared" si="51"/>
        <v>0</v>
      </c>
      <c r="AL27" s="599">
        <f t="shared" si="51"/>
        <v>0</v>
      </c>
      <c r="AM27" s="599">
        <f t="shared" si="51"/>
        <v>0</v>
      </c>
      <c r="AN27" s="599">
        <f t="shared" si="51"/>
        <v>0</v>
      </c>
      <c r="AO27" s="599">
        <f t="shared" si="51"/>
        <v>0</v>
      </c>
      <c r="AP27" s="599">
        <f t="shared" si="51"/>
        <v>0</v>
      </c>
      <c r="AQ27" s="599">
        <f t="shared" si="51"/>
        <v>0</v>
      </c>
      <c r="AR27" s="599">
        <f t="shared" si="51"/>
        <v>0</v>
      </c>
      <c r="AS27" s="599">
        <f t="shared" si="51"/>
        <v>0</v>
      </c>
      <c r="AT27" s="599">
        <f t="shared" si="51"/>
        <v>0</v>
      </c>
      <c r="AU27" s="599">
        <f t="shared" si="51"/>
        <v>0</v>
      </c>
      <c r="AV27" s="599">
        <f t="shared" si="51"/>
        <v>0</v>
      </c>
      <c r="AW27" s="599">
        <f t="shared" si="51"/>
        <v>0</v>
      </c>
      <c r="AX27" s="599">
        <f t="shared" si="51"/>
        <v>0</v>
      </c>
      <c r="AY27" s="599">
        <f t="shared" si="51"/>
        <v>0</v>
      </c>
      <c r="AZ27" s="599">
        <f t="shared" si="51"/>
        <v>0</v>
      </c>
      <c r="BA27" s="599">
        <f t="shared" si="51"/>
        <v>0</v>
      </c>
      <c r="BB27" s="599">
        <f t="shared" si="51"/>
        <v>0</v>
      </c>
      <c r="BC27" s="599">
        <f t="shared" si="51"/>
        <v>0</v>
      </c>
      <c r="BD27" s="599">
        <f t="shared" si="51"/>
        <v>0</v>
      </c>
      <c r="BE27" s="599">
        <f t="shared" si="51"/>
        <v>0</v>
      </c>
      <c r="BF27" s="599">
        <f t="shared" si="51"/>
        <v>0</v>
      </c>
      <c r="BG27" s="599">
        <f t="shared" si="51"/>
        <v>0</v>
      </c>
      <c r="BH27" s="599">
        <f t="shared" si="51"/>
        <v>0</v>
      </c>
      <c r="BI27" s="599">
        <f t="shared" si="51"/>
        <v>0</v>
      </c>
      <c r="BJ27" s="599">
        <f t="shared" si="51"/>
        <v>0</v>
      </c>
      <c r="BK27" s="599">
        <f t="shared" si="51"/>
        <v>0</v>
      </c>
      <c r="BL27" s="599">
        <f t="shared" si="51"/>
        <v>0</v>
      </c>
      <c r="BM27" s="599">
        <f t="shared" si="51"/>
        <v>0</v>
      </c>
      <c r="BN27" s="599">
        <f t="shared" si="51"/>
        <v>0</v>
      </c>
      <c r="BO27" s="599">
        <f t="shared" si="51"/>
        <v>0</v>
      </c>
      <c r="BP27" s="599">
        <f t="shared" si="51"/>
        <v>0</v>
      </c>
      <c r="BQ27" s="599">
        <f t="shared" si="51"/>
        <v>0</v>
      </c>
      <c r="BR27" s="599">
        <f t="shared" si="51"/>
        <v>0</v>
      </c>
      <c r="BS27" s="599">
        <f t="shared" si="51"/>
        <v>0</v>
      </c>
      <c r="BT27" s="599">
        <f t="shared" si="51"/>
        <v>0</v>
      </c>
      <c r="BU27" s="599">
        <f t="shared" si="51"/>
        <v>0</v>
      </c>
      <c r="BV27" s="599">
        <f t="shared" si="51"/>
        <v>0</v>
      </c>
      <c r="BW27" s="599">
        <f t="shared" si="51"/>
        <v>0</v>
      </c>
      <c r="BX27" s="599">
        <f t="shared" si="51"/>
        <v>0</v>
      </c>
      <c r="BY27" s="599">
        <f t="shared" si="51"/>
        <v>0</v>
      </c>
      <c r="BZ27" s="599">
        <f t="shared" si="51"/>
        <v>0</v>
      </c>
      <c r="CA27" s="599">
        <f t="shared" si="51"/>
        <v>0</v>
      </c>
      <c r="CB27" s="599">
        <f t="shared" si="51"/>
        <v>0</v>
      </c>
      <c r="CC27" s="599">
        <f t="shared" si="51"/>
        <v>0</v>
      </c>
      <c r="CD27" s="599">
        <f t="shared" si="51"/>
        <v>0</v>
      </c>
      <c r="CE27" s="599">
        <f t="shared" si="51"/>
        <v>0</v>
      </c>
      <c r="CF27" s="599">
        <f t="shared" si="51"/>
        <v>0</v>
      </c>
      <c r="CG27" s="599">
        <f t="shared" si="51"/>
        <v>0</v>
      </c>
      <c r="CH27" s="599">
        <f t="shared" si="51"/>
        <v>0</v>
      </c>
      <c r="CI27" s="599">
        <f t="shared" si="51"/>
        <v>0</v>
      </c>
      <c r="CJ27" s="599">
        <f t="shared" si="51"/>
        <v>0</v>
      </c>
      <c r="CK27" s="599">
        <f t="shared" si="51"/>
        <v>0</v>
      </c>
      <c r="CL27" s="599">
        <f t="shared" si="51"/>
        <v>0</v>
      </c>
      <c r="CM27" s="599">
        <f t="shared" si="51"/>
        <v>0</v>
      </c>
      <c r="CN27" s="599">
        <f t="shared" si="51"/>
        <v>0</v>
      </c>
      <c r="CO27" s="599">
        <f t="shared" si="51"/>
        <v>0</v>
      </c>
      <c r="CP27" s="599">
        <f t="shared" si="51"/>
        <v>0</v>
      </c>
      <c r="CQ27" s="599">
        <f t="shared" si="51"/>
        <v>0</v>
      </c>
      <c r="CR27" s="599">
        <f t="shared" si="51"/>
        <v>0</v>
      </c>
      <c r="CS27" s="599">
        <f t="shared" si="51"/>
        <v>0</v>
      </c>
      <c r="CT27" s="599">
        <f t="shared" si="51"/>
        <v>0</v>
      </c>
      <c r="CU27" s="599">
        <f t="shared" si="51"/>
        <v>0</v>
      </c>
      <c r="CV27" s="599">
        <f t="shared" si="51"/>
        <v>0</v>
      </c>
      <c r="CW27" s="599">
        <f t="shared" si="51"/>
        <v>0</v>
      </c>
      <c r="CX27" s="599">
        <f t="shared" si="51"/>
        <v>0</v>
      </c>
      <c r="CY27" s="599">
        <f t="shared" si="51"/>
        <v>0</v>
      </c>
      <c r="CZ27" s="599">
        <f t="shared" si="51"/>
        <v>0</v>
      </c>
      <c r="DA27" s="599">
        <f t="shared" si="51"/>
        <v>0</v>
      </c>
      <c r="DB27" s="599">
        <f t="shared" si="51"/>
        <v>0</v>
      </c>
      <c r="DC27" s="599">
        <f t="shared" si="51"/>
        <v>0</v>
      </c>
      <c r="DD27" s="599">
        <f t="shared" si="51"/>
        <v>0</v>
      </c>
      <c r="DE27" s="599">
        <f t="shared" si="51"/>
        <v>0</v>
      </c>
      <c r="DF27" s="599">
        <f t="shared" si="51"/>
        <v>0</v>
      </c>
      <c r="DG27" s="599">
        <f t="shared" si="51"/>
        <v>0</v>
      </c>
      <c r="DH27" s="599">
        <f t="shared" si="51"/>
        <v>0</v>
      </c>
      <c r="DI27" s="599">
        <f t="shared" si="51"/>
        <v>0</v>
      </c>
      <c r="DJ27" s="599">
        <f t="shared" si="51"/>
        <v>0</v>
      </c>
      <c r="DK27" s="599">
        <f t="shared" si="51"/>
        <v>0</v>
      </c>
      <c r="DL27" s="599">
        <f t="shared" si="51"/>
        <v>0</v>
      </c>
      <c r="DM27" s="599">
        <f t="shared" si="51"/>
        <v>0</v>
      </c>
      <c r="DN27" s="599">
        <f t="shared" si="51"/>
        <v>0</v>
      </c>
      <c r="DO27" s="599">
        <f t="shared" si="51"/>
        <v>0</v>
      </c>
      <c r="DP27" s="599">
        <f t="shared" si="51"/>
        <v>0</v>
      </c>
      <c r="DQ27" s="599">
        <f t="shared" si="51"/>
        <v>0</v>
      </c>
      <c r="DR27" s="599">
        <f t="shared" si="51"/>
        <v>0</v>
      </c>
      <c r="DS27" s="599">
        <f t="shared" si="51"/>
        <v>0</v>
      </c>
      <c r="DT27" s="599">
        <f t="shared" si="51"/>
        <v>0</v>
      </c>
      <c r="DU27" s="599">
        <f t="shared" si="51"/>
        <v>0</v>
      </c>
      <c r="DV27" s="599">
        <f t="shared" si="51"/>
        <v>0</v>
      </c>
      <c r="DW27" s="599">
        <f t="shared" si="51"/>
        <v>0</v>
      </c>
      <c r="DX27" s="599">
        <f t="shared" si="51"/>
        <v>0</v>
      </c>
      <c r="DY27" s="599">
        <f t="shared" si="51"/>
        <v>0</v>
      </c>
      <c r="DZ27" s="599">
        <f t="shared" si="45"/>
        <v>0</v>
      </c>
      <c r="EA27" s="599">
        <f t="shared" si="45"/>
        <v>0</v>
      </c>
      <c r="EB27" s="599">
        <f t="shared" si="45"/>
        <v>0</v>
      </c>
      <c r="EC27" s="599">
        <f t="shared" si="45"/>
        <v>0</v>
      </c>
      <c r="ED27" s="599">
        <f t="shared" si="45"/>
        <v>0</v>
      </c>
      <c r="EE27" s="599">
        <f t="shared" si="45"/>
        <v>0</v>
      </c>
      <c r="EF27" s="599">
        <f t="shared" si="45"/>
        <v>0</v>
      </c>
      <c r="EG27" s="599">
        <f t="shared" si="45"/>
        <v>0</v>
      </c>
      <c r="EH27" s="599">
        <f t="shared" si="45"/>
        <v>0</v>
      </c>
      <c r="EI27" s="599">
        <f t="shared" si="45"/>
        <v>0</v>
      </c>
      <c r="EJ27" s="1117">
        <f t="shared" si="45"/>
        <v>0</v>
      </c>
    </row>
    <row r="28" spans="1:140" ht="15.75" hidden="1" customHeight="1" x14ac:dyDescent="0.25">
      <c r="A28" s="6"/>
      <c r="B28" s="1015" t="str">
        <f>'Unit Mix'!C25</f>
        <v>Type (#BD/#BA)</v>
      </c>
      <c r="C28" s="1016">
        <f>'Unit Mix'!D25</f>
        <v>0</v>
      </c>
      <c r="D28" s="1017">
        <f>'Unit Mix'!E25</f>
        <v>0</v>
      </c>
      <c r="E28" s="1018">
        <f>'Unit Mix'!H25</f>
        <v>0</v>
      </c>
      <c r="F28" s="996">
        <f>'Unit Mix'!G25</f>
        <v>0</v>
      </c>
      <c r="G28" s="1072"/>
      <c r="H28" s="1115">
        <f t="shared" ref="H28:DY28" si="52">IF(H$5&gt;$E$4+12,0,IF(H$3&lt;$C$4,0,ROUNDUP(H$6*$C28,1)*$F28*(1+$G$10)^(H$4)))</f>
        <v>0</v>
      </c>
      <c r="I28" s="599">
        <f t="shared" si="52"/>
        <v>0</v>
      </c>
      <c r="J28" s="599">
        <f t="shared" si="52"/>
        <v>0</v>
      </c>
      <c r="K28" s="599">
        <f t="shared" si="52"/>
        <v>0</v>
      </c>
      <c r="L28" s="599">
        <f t="shared" si="52"/>
        <v>0</v>
      </c>
      <c r="M28" s="599">
        <f t="shared" si="52"/>
        <v>0</v>
      </c>
      <c r="N28" s="599">
        <f t="shared" si="52"/>
        <v>0</v>
      </c>
      <c r="O28" s="599">
        <f t="shared" si="52"/>
        <v>0</v>
      </c>
      <c r="P28" s="599">
        <f t="shared" si="52"/>
        <v>0</v>
      </c>
      <c r="Q28" s="599">
        <f t="shared" si="52"/>
        <v>0</v>
      </c>
      <c r="R28" s="599">
        <f t="shared" si="52"/>
        <v>0</v>
      </c>
      <c r="S28" s="599">
        <f t="shared" si="52"/>
        <v>0</v>
      </c>
      <c r="T28" s="599">
        <f t="shared" si="52"/>
        <v>0</v>
      </c>
      <c r="U28" s="599">
        <f t="shared" si="52"/>
        <v>0</v>
      </c>
      <c r="V28" s="599">
        <f t="shared" si="52"/>
        <v>0</v>
      </c>
      <c r="W28" s="599">
        <f t="shared" si="52"/>
        <v>0</v>
      </c>
      <c r="X28" s="599">
        <f t="shared" si="52"/>
        <v>0</v>
      </c>
      <c r="Y28" s="599">
        <f t="shared" si="52"/>
        <v>0</v>
      </c>
      <c r="Z28" s="599">
        <f t="shared" si="52"/>
        <v>0</v>
      </c>
      <c r="AA28" s="599">
        <f t="shared" si="52"/>
        <v>0</v>
      </c>
      <c r="AB28" s="599">
        <f t="shared" si="52"/>
        <v>0</v>
      </c>
      <c r="AC28" s="599">
        <f t="shared" si="52"/>
        <v>0</v>
      </c>
      <c r="AD28" s="599">
        <f t="shared" si="52"/>
        <v>0</v>
      </c>
      <c r="AE28" s="599">
        <f t="shared" si="52"/>
        <v>0</v>
      </c>
      <c r="AF28" s="599">
        <f t="shared" si="52"/>
        <v>0</v>
      </c>
      <c r="AG28" s="599">
        <f t="shared" si="52"/>
        <v>0</v>
      </c>
      <c r="AH28" s="599">
        <f t="shared" si="52"/>
        <v>0</v>
      </c>
      <c r="AI28" s="599">
        <f t="shared" si="52"/>
        <v>0</v>
      </c>
      <c r="AJ28" s="599">
        <f t="shared" si="52"/>
        <v>0</v>
      </c>
      <c r="AK28" s="599">
        <f t="shared" si="52"/>
        <v>0</v>
      </c>
      <c r="AL28" s="599">
        <f t="shared" si="52"/>
        <v>0</v>
      </c>
      <c r="AM28" s="599">
        <f t="shared" si="52"/>
        <v>0</v>
      </c>
      <c r="AN28" s="599">
        <f t="shared" si="52"/>
        <v>0</v>
      </c>
      <c r="AO28" s="599">
        <f t="shared" si="52"/>
        <v>0</v>
      </c>
      <c r="AP28" s="599">
        <f t="shared" si="52"/>
        <v>0</v>
      </c>
      <c r="AQ28" s="599">
        <f t="shared" si="52"/>
        <v>0</v>
      </c>
      <c r="AR28" s="599">
        <f t="shared" si="52"/>
        <v>0</v>
      </c>
      <c r="AS28" s="599">
        <f t="shared" si="52"/>
        <v>0</v>
      </c>
      <c r="AT28" s="599">
        <f t="shared" si="52"/>
        <v>0</v>
      </c>
      <c r="AU28" s="599">
        <f t="shared" si="52"/>
        <v>0</v>
      </c>
      <c r="AV28" s="599">
        <f t="shared" si="52"/>
        <v>0</v>
      </c>
      <c r="AW28" s="599">
        <f t="shared" si="52"/>
        <v>0</v>
      </c>
      <c r="AX28" s="599">
        <f t="shared" si="52"/>
        <v>0</v>
      </c>
      <c r="AY28" s="599">
        <f t="shared" si="52"/>
        <v>0</v>
      </c>
      <c r="AZ28" s="599">
        <f t="shared" si="52"/>
        <v>0</v>
      </c>
      <c r="BA28" s="599">
        <f t="shared" si="52"/>
        <v>0</v>
      </c>
      <c r="BB28" s="599">
        <f t="shared" si="52"/>
        <v>0</v>
      </c>
      <c r="BC28" s="599">
        <f t="shared" si="52"/>
        <v>0</v>
      </c>
      <c r="BD28" s="599">
        <f t="shared" si="52"/>
        <v>0</v>
      </c>
      <c r="BE28" s="599">
        <f t="shared" si="52"/>
        <v>0</v>
      </c>
      <c r="BF28" s="599">
        <f t="shared" si="52"/>
        <v>0</v>
      </c>
      <c r="BG28" s="599">
        <f t="shared" si="52"/>
        <v>0</v>
      </c>
      <c r="BH28" s="599">
        <f t="shared" si="52"/>
        <v>0</v>
      </c>
      <c r="BI28" s="599">
        <f t="shared" si="52"/>
        <v>0</v>
      </c>
      <c r="BJ28" s="599">
        <f t="shared" si="52"/>
        <v>0</v>
      </c>
      <c r="BK28" s="599">
        <f t="shared" si="52"/>
        <v>0</v>
      </c>
      <c r="BL28" s="599">
        <f t="shared" si="52"/>
        <v>0</v>
      </c>
      <c r="BM28" s="599">
        <f t="shared" si="52"/>
        <v>0</v>
      </c>
      <c r="BN28" s="599">
        <f t="shared" si="52"/>
        <v>0</v>
      </c>
      <c r="BO28" s="599">
        <f t="shared" si="52"/>
        <v>0</v>
      </c>
      <c r="BP28" s="599">
        <f t="shared" si="52"/>
        <v>0</v>
      </c>
      <c r="BQ28" s="599">
        <f t="shared" si="52"/>
        <v>0</v>
      </c>
      <c r="BR28" s="599">
        <f t="shared" si="52"/>
        <v>0</v>
      </c>
      <c r="BS28" s="599">
        <f t="shared" si="52"/>
        <v>0</v>
      </c>
      <c r="BT28" s="599">
        <f t="shared" si="52"/>
        <v>0</v>
      </c>
      <c r="BU28" s="599">
        <f t="shared" si="52"/>
        <v>0</v>
      </c>
      <c r="BV28" s="599">
        <f t="shared" si="52"/>
        <v>0</v>
      </c>
      <c r="BW28" s="599">
        <f t="shared" si="52"/>
        <v>0</v>
      </c>
      <c r="BX28" s="599">
        <f t="shared" si="52"/>
        <v>0</v>
      </c>
      <c r="BY28" s="599">
        <f t="shared" si="52"/>
        <v>0</v>
      </c>
      <c r="BZ28" s="599">
        <f t="shared" si="52"/>
        <v>0</v>
      </c>
      <c r="CA28" s="599">
        <f t="shared" si="52"/>
        <v>0</v>
      </c>
      <c r="CB28" s="599">
        <f t="shared" si="52"/>
        <v>0</v>
      </c>
      <c r="CC28" s="599">
        <f t="shared" si="52"/>
        <v>0</v>
      </c>
      <c r="CD28" s="599">
        <f t="shared" si="52"/>
        <v>0</v>
      </c>
      <c r="CE28" s="599">
        <f t="shared" si="52"/>
        <v>0</v>
      </c>
      <c r="CF28" s="599">
        <f t="shared" si="52"/>
        <v>0</v>
      </c>
      <c r="CG28" s="599">
        <f t="shared" si="52"/>
        <v>0</v>
      </c>
      <c r="CH28" s="599">
        <f t="shared" si="52"/>
        <v>0</v>
      </c>
      <c r="CI28" s="599">
        <f t="shared" si="52"/>
        <v>0</v>
      </c>
      <c r="CJ28" s="599">
        <f t="shared" si="52"/>
        <v>0</v>
      </c>
      <c r="CK28" s="599">
        <f t="shared" si="52"/>
        <v>0</v>
      </c>
      <c r="CL28" s="599">
        <f t="shared" si="52"/>
        <v>0</v>
      </c>
      <c r="CM28" s="599">
        <f t="shared" si="52"/>
        <v>0</v>
      </c>
      <c r="CN28" s="599">
        <f t="shared" si="52"/>
        <v>0</v>
      </c>
      <c r="CO28" s="599">
        <f t="shared" si="52"/>
        <v>0</v>
      </c>
      <c r="CP28" s="599">
        <f t="shared" si="52"/>
        <v>0</v>
      </c>
      <c r="CQ28" s="599">
        <f t="shared" si="52"/>
        <v>0</v>
      </c>
      <c r="CR28" s="599">
        <f t="shared" si="52"/>
        <v>0</v>
      </c>
      <c r="CS28" s="599">
        <f t="shared" si="52"/>
        <v>0</v>
      </c>
      <c r="CT28" s="599">
        <f t="shared" si="52"/>
        <v>0</v>
      </c>
      <c r="CU28" s="599">
        <f t="shared" si="52"/>
        <v>0</v>
      </c>
      <c r="CV28" s="599">
        <f t="shared" si="52"/>
        <v>0</v>
      </c>
      <c r="CW28" s="599">
        <f t="shared" si="52"/>
        <v>0</v>
      </c>
      <c r="CX28" s="599">
        <f t="shared" si="52"/>
        <v>0</v>
      </c>
      <c r="CY28" s="599">
        <f t="shared" si="52"/>
        <v>0</v>
      </c>
      <c r="CZ28" s="599">
        <f t="shared" si="52"/>
        <v>0</v>
      </c>
      <c r="DA28" s="599">
        <f t="shared" si="52"/>
        <v>0</v>
      </c>
      <c r="DB28" s="599">
        <f t="shared" si="52"/>
        <v>0</v>
      </c>
      <c r="DC28" s="599">
        <f t="shared" si="52"/>
        <v>0</v>
      </c>
      <c r="DD28" s="599">
        <f t="shared" si="52"/>
        <v>0</v>
      </c>
      <c r="DE28" s="599">
        <f t="shared" si="52"/>
        <v>0</v>
      </c>
      <c r="DF28" s="599">
        <f t="shared" si="52"/>
        <v>0</v>
      </c>
      <c r="DG28" s="599">
        <f t="shared" si="52"/>
        <v>0</v>
      </c>
      <c r="DH28" s="599">
        <f t="shared" si="52"/>
        <v>0</v>
      </c>
      <c r="DI28" s="599">
        <f t="shared" si="52"/>
        <v>0</v>
      </c>
      <c r="DJ28" s="599">
        <f t="shared" si="52"/>
        <v>0</v>
      </c>
      <c r="DK28" s="599">
        <f t="shared" si="52"/>
        <v>0</v>
      </c>
      <c r="DL28" s="599">
        <f t="shared" si="52"/>
        <v>0</v>
      </c>
      <c r="DM28" s="599">
        <f t="shared" si="52"/>
        <v>0</v>
      </c>
      <c r="DN28" s="599">
        <f t="shared" si="52"/>
        <v>0</v>
      </c>
      <c r="DO28" s="599">
        <f t="shared" si="52"/>
        <v>0</v>
      </c>
      <c r="DP28" s="599">
        <f t="shared" si="52"/>
        <v>0</v>
      </c>
      <c r="DQ28" s="599">
        <f t="shared" si="52"/>
        <v>0</v>
      </c>
      <c r="DR28" s="599">
        <f t="shared" si="52"/>
        <v>0</v>
      </c>
      <c r="DS28" s="599">
        <f t="shared" si="52"/>
        <v>0</v>
      </c>
      <c r="DT28" s="599">
        <f t="shared" si="52"/>
        <v>0</v>
      </c>
      <c r="DU28" s="599">
        <f t="shared" si="52"/>
        <v>0</v>
      </c>
      <c r="DV28" s="599">
        <f t="shared" si="52"/>
        <v>0</v>
      </c>
      <c r="DW28" s="599">
        <f t="shared" si="52"/>
        <v>0</v>
      </c>
      <c r="DX28" s="599">
        <f t="shared" si="52"/>
        <v>0</v>
      </c>
      <c r="DY28" s="599">
        <f t="shared" si="52"/>
        <v>0</v>
      </c>
      <c r="DZ28" s="599">
        <f t="shared" si="45"/>
        <v>0</v>
      </c>
      <c r="EA28" s="599">
        <f t="shared" si="45"/>
        <v>0</v>
      </c>
      <c r="EB28" s="599">
        <f t="shared" si="45"/>
        <v>0</v>
      </c>
      <c r="EC28" s="599">
        <f t="shared" si="45"/>
        <v>0</v>
      </c>
      <c r="ED28" s="599">
        <f t="shared" si="45"/>
        <v>0</v>
      </c>
      <c r="EE28" s="599">
        <f t="shared" si="45"/>
        <v>0</v>
      </c>
      <c r="EF28" s="599">
        <f t="shared" si="45"/>
        <v>0</v>
      </c>
      <c r="EG28" s="599">
        <f t="shared" si="45"/>
        <v>0</v>
      </c>
      <c r="EH28" s="599">
        <f t="shared" si="45"/>
        <v>0</v>
      </c>
      <c r="EI28" s="599">
        <f t="shared" si="45"/>
        <v>0</v>
      </c>
      <c r="EJ28" s="1117">
        <f t="shared" si="45"/>
        <v>0</v>
      </c>
    </row>
    <row r="29" spans="1:140" ht="15.75" hidden="1" customHeight="1" x14ac:dyDescent="0.25">
      <c r="A29" s="6"/>
      <c r="B29" s="1015" t="str">
        <f>'Unit Mix'!C26</f>
        <v>Type (#BD/#BA)</v>
      </c>
      <c r="C29" s="1016">
        <f>'Unit Mix'!D26</f>
        <v>0</v>
      </c>
      <c r="D29" s="1017">
        <f>'Unit Mix'!E26</f>
        <v>0</v>
      </c>
      <c r="E29" s="1018">
        <f>'Unit Mix'!H26</f>
        <v>0</v>
      </c>
      <c r="F29" s="996">
        <f>'Unit Mix'!G26</f>
        <v>0</v>
      </c>
      <c r="G29" s="1072"/>
      <c r="H29" s="1115">
        <f t="shared" ref="H29:DY29" si="53">IF(H$5&gt;$E$4+12,0,IF(H$3&lt;$C$4,0,ROUNDUP(H$6*$C29,1)*$F29*(1+$G$10)^(H$4)))</f>
        <v>0</v>
      </c>
      <c r="I29" s="599">
        <f t="shared" si="53"/>
        <v>0</v>
      </c>
      <c r="J29" s="599">
        <f t="shared" si="53"/>
        <v>0</v>
      </c>
      <c r="K29" s="599">
        <f t="shared" si="53"/>
        <v>0</v>
      </c>
      <c r="L29" s="599">
        <f t="shared" si="53"/>
        <v>0</v>
      </c>
      <c r="M29" s="599">
        <f t="shared" si="53"/>
        <v>0</v>
      </c>
      <c r="N29" s="599">
        <f t="shared" si="53"/>
        <v>0</v>
      </c>
      <c r="O29" s="599">
        <f t="shared" si="53"/>
        <v>0</v>
      </c>
      <c r="P29" s="599">
        <f t="shared" si="53"/>
        <v>0</v>
      </c>
      <c r="Q29" s="599">
        <f t="shared" si="53"/>
        <v>0</v>
      </c>
      <c r="R29" s="599">
        <f t="shared" si="53"/>
        <v>0</v>
      </c>
      <c r="S29" s="599">
        <f t="shared" si="53"/>
        <v>0</v>
      </c>
      <c r="T29" s="599">
        <f t="shared" si="53"/>
        <v>0</v>
      </c>
      <c r="U29" s="599">
        <f t="shared" si="53"/>
        <v>0</v>
      </c>
      <c r="V29" s="599">
        <f t="shared" si="53"/>
        <v>0</v>
      </c>
      <c r="W29" s="599">
        <f t="shared" si="53"/>
        <v>0</v>
      </c>
      <c r="X29" s="599">
        <f t="shared" si="53"/>
        <v>0</v>
      </c>
      <c r="Y29" s="599">
        <f t="shared" si="53"/>
        <v>0</v>
      </c>
      <c r="Z29" s="599">
        <f t="shared" si="53"/>
        <v>0</v>
      </c>
      <c r="AA29" s="599">
        <f t="shared" si="53"/>
        <v>0</v>
      </c>
      <c r="AB29" s="599">
        <f t="shared" si="53"/>
        <v>0</v>
      </c>
      <c r="AC29" s="599">
        <f t="shared" si="53"/>
        <v>0</v>
      </c>
      <c r="AD29" s="599">
        <f t="shared" si="53"/>
        <v>0</v>
      </c>
      <c r="AE29" s="599">
        <f t="shared" si="53"/>
        <v>0</v>
      </c>
      <c r="AF29" s="599">
        <f t="shared" si="53"/>
        <v>0</v>
      </c>
      <c r="AG29" s="599">
        <f t="shared" si="53"/>
        <v>0</v>
      </c>
      <c r="AH29" s="599">
        <f t="shared" si="53"/>
        <v>0</v>
      </c>
      <c r="AI29" s="599">
        <f t="shared" si="53"/>
        <v>0</v>
      </c>
      <c r="AJ29" s="599">
        <f t="shared" si="53"/>
        <v>0</v>
      </c>
      <c r="AK29" s="599">
        <f t="shared" si="53"/>
        <v>0</v>
      </c>
      <c r="AL29" s="599">
        <f t="shared" si="53"/>
        <v>0</v>
      </c>
      <c r="AM29" s="599">
        <f t="shared" si="53"/>
        <v>0</v>
      </c>
      <c r="AN29" s="599">
        <f t="shared" si="53"/>
        <v>0</v>
      </c>
      <c r="AO29" s="599">
        <f t="shared" si="53"/>
        <v>0</v>
      </c>
      <c r="AP29" s="599">
        <f t="shared" si="53"/>
        <v>0</v>
      </c>
      <c r="AQ29" s="599">
        <f t="shared" si="53"/>
        <v>0</v>
      </c>
      <c r="AR29" s="599">
        <f t="shared" si="53"/>
        <v>0</v>
      </c>
      <c r="AS29" s="599">
        <f t="shared" si="53"/>
        <v>0</v>
      </c>
      <c r="AT29" s="599">
        <f t="shared" si="53"/>
        <v>0</v>
      </c>
      <c r="AU29" s="599">
        <f t="shared" si="53"/>
        <v>0</v>
      </c>
      <c r="AV29" s="599">
        <f t="shared" si="53"/>
        <v>0</v>
      </c>
      <c r="AW29" s="599">
        <f t="shared" si="53"/>
        <v>0</v>
      </c>
      <c r="AX29" s="599">
        <f t="shared" si="53"/>
        <v>0</v>
      </c>
      <c r="AY29" s="599">
        <f t="shared" si="53"/>
        <v>0</v>
      </c>
      <c r="AZ29" s="599">
        <f t="shared" si="53"/>
        <v>0</v>
      </c>
      <c r="BA29" s="599">
        <f t="shared" si="53"/>
        <v>0</v>
      </c>
      <c r="BB29" s="599">
        <f t="shared" si="53"/>
        <v>0</v>
      </c>
      <c r="BC29" s="599">
        <f t="shared" si="53"/>
        <v>0</v>
      </c>
      <c r="BD29" s="599">
        <f t="shared" si="53"/>
        <v>0</v>
      </c>
      <c r="BE29" s="599">
        <f t="shared" si="53"/>
        <v>0</v>
      </c>
      <c r="BF29" s="599">
        <f t="shared" si="53"/>
        <v>0</v>
      </c>
      <c r="BG29" s="599">
        <f t="shared" si="53"/>
        <v>0</v>
      </c>
      <c r="BH29" s="599">
        <f t="shared" si="53"/>
        <v>0</v>
      </c>
      <c r="BI29" s="599">
        <f t="shared" si="53"/>
        <v>0</v>
      </c>
      <c r="BJ29" s="599">
        <f t="shared" si="53"/>
        <v>0</v>
      </c>
      <c r="BK29" s="599">
        <f t="shared" si="53"/>
        <v>0</v>
      </c>
      <c r="BL29" s="599">
        <f t="shared" si="53"/>
        <v>0</v>
      </c>
      <c r="BM29" s="599">
        <f t="shared" si="53"/>
        <v>0</v>
      </c>
      <c r="BN29" s="599">
        <f t="shared" si="53"/>
        <v>0</v>
      </c>
      <c r="BO29" s="599">
        <f t="shared" si="53"/>
        <v>0</v>
      </c>
      <c r="BP29" s="599">
        <f t="shared" si="53"/>
        <v>0</v>
      </c>
      <c r="BQ29" s="599">
        <f t="shared" si="53"/>
        <v>0</v>
      </c>
      <c r="BR29" s="599">
        <f t="shared" si="53"/>
        <v>0</v>
      </c>
      <c r="BS29" s="599">
        <f t="shared" si="53"/>
        <v>0</v>
      </c>
      <c r="BT29" s="599">
        <f t="shared" si="53"/>
        <v>0</v>
      </c>
      <c r="BU29" s="599">
        <f t="shared" si="53"/>
        <v>0</v>
      </c>
      <c r="BV29" s="599">
        <f t="shared" si="53"/>
        <v>0</v>
      </c>
      <c r="BW29" s="599">
        <f t="shared" si="53"/>
        <v>0</v>
      </c>
      <c r="BX29" s="599">
        <f t="shared" si="53"/>
        <v>0</v>
      </c>
      <c r="BY29" s="599">
        <f t="shared" si="53"/>
        <v>0</v>
      </c>
      <c r="BZ29" s="599">
        <f t="shared" si="53"/>
        <v>0</v>
      </c>
      <c r="CA29" s="599">
        <f t="shared" si="53"/>
        <v>0</v>
      </c>
      <c r="CB29" s="599">
        <f t="shared" si="53"/>
        <v>0</v>
      </c>
      <c r="CC29" s="599">
        <f t="shared" si="53"/>
        <v>0</v>
      </c>
      <c r="CD29" s="599">
        <f t="shared" si="53"/>
        <v>0</v>
      </c>
      <c r="CE29" s="599">
        <f t="shared" si="53"/>
        <v>0</v>
      </c>
      <c r="CF29" s="599">
        <f t="shared" si="53"/>
        <v>0</v>
      </c>
      <c r="CG29" s="599">
        <f t="shared" si="53"/>
        <v>0</v>
      </c>
      <c r="CH29" s="599">
        <f t="shared" si="53"/>
        <v>0</v>
      </c>
      <c r="CI29" s="599">
        <f t="shared" si="53"/>
        <v>0</v>
      </c>
      <c r="CJ29" s="599">
        <f t="shared" si="53"/>
        <v>0</v>
      </c>
      <c r="CK29" s="599">
        <f t="shared" si="53"/>
        <v>0</v>
      </c>
      <c r="CL29" s="599">
        <f t="shared" si="53"/>
        <v>0</v>
      </c>
      <c r="CM29" s="599">
        <f t="shared" si="53"/>
        <v>0</v>
      </c>
      <c r="CN29" s="599">
        <f t="shared" si="53"/>
        <v>0</v>
      </c>
      <c r="CO29" s="599">
        <f t="shared" si="53"/>
        <v>0</v>
      </c>
      <c r="CP29" s="599">
        <f t="shared" si="53"/>
        <v>0</v>
      </c>
      <c r="CQ29" s="599">
        <f t="shared" si="53"/>
        <v>0</v>
      </c>
      <c r="CR29" s="599">
        <f t="shared" si="53"/>
        <v>0</v>
      </c>
      <c r="CS29" s="599">
        <f t="shared" si="53"/>
        <v>0</v>
      </c>
      <c r="CT29" s="599">
        <f t="shared" si="53"/>
        <v>0</v>
      </c>
      <c r="CU29" s="599">
        <f t="shared" si="53"/>
        <v>0</v>
      </c>
      <c r="CV29" s="599">
        <f t="shared" si="53"/>
        <v>0</v>
      </c>
      <c r="CW29" s="599">
        <f t="shared" si="53"/>
        <v>0</v>
      </c>
      <c r="CX29" s="599">
        <f t="shared" si="53"/>
        <v>0</v>
      </c>
      <c r="CY29" s="599">
        <f t="shared" si="53"/>
        <v>0</v>
      </c>
      <c r="CZ29" s="599">
        <f t="shared" si="53"/>
        <v>0</v>
      </c>
      <c r="DA29" s="599">
        <f t="shared" si="53"/>
        <v>0</v>
      </c>
      <c r="DB29" s="599">
        <f t="shared" si="53"/>
        <v>0</v>
      </c>
      <c r="DC29" s="599">
        <f t="shared" si="53"/>
        <v>0</v>
      </c>
      <c r="DD29" s="599">
        <f t="shared" si="53"/>
        <v>0</v>
      </c>
      <c r="DE29" s="599">
        <f t="shared" si="53"/>
        <v>0</v>
      </c>
      <c r="DF29" s="599">
        <f t="shared" si="53"/>
        <v>0</v>
      </c>
      <c r="DG29" s="599">
        <f t="shared" si="53"/>
        <v>0</v>
      </c>
      <c r="DH29" s="599">
        <f t="shared" si="53"/>
        <v>0</v>
      </c>
      <c r="DI29" s="599">
        <f t="shared" si="53"/>
        <v>0</v>
      </c>
      <c r="DJ29" s="599">
        <f t="shared" si="53"/>
        <v>0</v>
      </c>
      <c r="DK29" s="599">
        <f t="shared" si="53"/>
        <v>0</v>
      </c>
      <c r="DL29" s="599">
        <f t="shared" si="53"/>
        <v>0</v>
      </c>
      <c r="DM29" s="599">
        <f t="shared" si="53"/>
        <v>0</v>
      </c>
      <c r="DN29" s="599">
        <f t="shared" si="53"/>
        <v>0</v>
      </c>
      <c r="DO29" s="599">
        <f t="shared" si="53"/>
        <v>0</v>
      </c>
      <c r="DP29" s="599">
        <f t="shared" si="53"/>
        <v>0</v>
      </c>
      <c r="DQ29" s="599">
        <f t="shared" si="53"/>
        <v>0</v>
      </c>
      <c r="DR29" s="599">
        <f t="shared" si="53"/>
        <v>0</v>
      </c>
      <c r="DS29" s="599">
        <f t="shared" si="53"/>
        <v>0</v>
      </c>
      <c r="DT29" s="599">
        <f t="shared" si="53"/>
        <v>0</v>
      </c>
      <c r="DU29" s="599">
        <f t="shared" si="53"/>
        <v>0</v>
      </c>
      <c r="DV29" s="599">
        <f t="shared" si="53"/>
        <v>0</v>
      </c>
      <c r="DW29" s="599">
        <f t="shared" si="53"/>
        <v>0</v>
      </c>
      <c r="DX29" s="599">
        <f t="shared" si="53"/>
        <v>0</v>
      </c>
      <c r="DY29" s="599">
        <f t="shared" si="53"/>
        <v>0</v>
      </c>
      <c r="DZ29" s="599">
        <f t="shared" si="45"/>
        <v>0</v>
      </c>
      <c r="EA29" s="599">
        <f t="shared" si="45"/>
        <v>0</v>
      </c>
      <c r="EB29" s="599">
        <f t="shared" si="45"/>
        <v>0</v>
      </c>
      <c r="EC29" s="599">
        <f t="shared" si="45"/>
        <v>0</v>
      </c>
      <c r="ED29" s="599">
        <f t="shared" si="45"/>
        <v>0</v>
      </c>
      <c r="EE29" s="599">
        <f t="shared" si="45"/>
        <v>0</v>
      </c>
      <c r="EF29" s="599">
        <f t="shared" si="45"/>
        <v>0</v>
      </c>
      <c r="EG29" s="599">
        <f t="shared" si="45"/>
        <v>0</v>
      </c>
      <c r="EH29" s="599">
        <f t="shared" si="45"/>
        <v>0</v>
      </c>
      <c r="EI29" s="599">
        <f t="shared" si="45"/>
        <v>0</v>
      </c>
      <c r="EJ29" s="1117">
        <f t="shared" si="45"/>
        <v>0</v>
      </c>
    </row>
    <row r="30" spans="1:140" ht="15.75" hidden="1" customHeight="1" x14ac:dyDescent="0.25">
      <c r="A30" s="6"/>
      <c r="B30" s="1015" t="str">
        <f>'Unit Mix'!C27</f>
        <v>Type (#BD/#BA)</v>
      </c>
      <c r="C30" s="1016">
        <f>'Unit Mix'!D27</f>
        <v>0</v>
      </c>
      <c r="D30" s="1017">
        <f>'Unit Mix'!E27</f>
        <v>0</v>
      </c>
      <c r="E30" s="1018">
        <f>'Unit Mix'!H27</f>
        <v>0</v>
      </c>
      <c r="F30" s="996">
        <f>'Unit Mix'!G27</f>
        <v>0</v>
      </c>
      <c r="G30" s="1072"/>
      <c r="H30" s="1115">
        <f t="shared" ref="H30:DY30" si="54">IF(H$5&gt;$E$4+12,0,IF(H$3&lt;$C$4,0,ROUNDUP(H$6*$C30,1)*$F30*(1+$G$10)^(H$4)))</f>
        <v>0</v>
      </c>
      <c r="I30" s="599">
        <f t="shared" si="54"/>
        <v>0</v>
      </c>
      <c r="J30" s="599">
        <f t="shared" si="54"/>
        <v>0</v>
      </c>
      <c r="K30" s="599">
        <f t="shared" si="54"/>
        <v>0</v>
      </c>
      <c r="L30" s="599">
        <f t="shared" si="54"/>
        <v>0</v>
      </c>
      <c r="M30" s="599">
        <f t="shared" si="54"/>
        <v>0</v>
      </c>
      <c r="N30" s="599">
        <f t="shared" si="54"/>
        <v>0</v>
      </c>
      <c r="O30" s="599">
        <f t="shared" si="54"/>
        <v>0</v>
      </c>
      <c r="P30" s="599">
        <f t="shared" si="54"/>
        <v>0</v>
      </c>
      <c r="Q30" s="599">
        <f t="shared" si="54"/>
        <v>0</v>
      </c>
      <c r="R30" s="599">
        <f t="shared" si="54"/>
        <v>0</v>
      </c>
      <c r="S30" s="599">
        <f t="shared" si="54"/>
        <v>0</v>
      </c>
      <c r="T30" s="599">
        <f t="shared" si="54"/>
        <v>0</v>
      </c>
      <c r="U30" s="599">
        <f t="shared" si="54"/>
        <v>0</v>
      </c>
      <c r="V30" s="599">
        <f t="shared" si="54"/>
        <v>0</v>
      </c>
      <c r="W30" s="599">
        <f t="shared" si="54"/>
        <v>0</v>
      </c>
      <c r="X30" s="599">
        <f t="shared" si="54"/>
        <v>0</v>
      </c>
      <c r="Y30" s="599">
        <f t="shared" si="54"/>
        <v>0</v>
      </c>
      <c r="Z30" s="599">
        <f t="shared" si="54"/>
        <v>0</v>
      </c>
      <c r="AA30" s="599">
        <f t="shared" si="54"/>
        <v>0</v>
      </c>
      <c r="AB30" s="599">
        <f t="shared" si="54"/>
        <v>0</v>
      </c>
      <c r="AC30" s="599">
        <f t="shared" si="54"/>
        <v>0</v>
      </c>
      <c r="AD30" s="599">
        <f t="shared" si="54"/>
        <v>0</v>
      </c>
      <c r="AE30" s="599">
        <f t="shared" si="54"/>
        <v>0</v>
      </c>
      <c r="AF30" s="599">
        <f t="shared" si="54"/>
        <v>0</v>
      </c>
      <c r="AG30" s="599">
        <f t="shared" si="54"/>
        <v>0</v>
      </c>
      <c r="AH30" s="599">
        <f t="shared" si="54"/>
        <v>0</v>
      </c>
      <c r="AI30" s="599">
        <f t="shared" si="54"/>
        <v>0</v>
      </c>
      <c r="AJ30" s="599">
        <f t="shared" si="54"/>
        <v>0</v>
      </c>
      <c r="AK30" s="599">
        <f t="shared" si="54"/>
        <v>0</v>
      </c>
      <c r="AL30" s="599">
        <f t="shared" si="54"/>
        <v>0</v>
      </c>
      <c r="AM30" s="599">
        <f t="shared" si="54"/>
        <v>0</v>
      </c>
      <c r="AN30" s="599">
        <f t="shared" si="54"/>
        <v>0</v>
      </c>
      <c r="AO30" s="599">
        <f t="shared" si="54"/>
        <v>0</v>
      </c>
      <c r="AP30" s="599">
        <f t="shared" si="54"/>
        <v>0</v>
      </c>
      <c r="AQ30" s="599">
        <f t="shared" si="54"/>
        <v>0</v>
      </c>
      <c r="AR30" s="599">
        <f t="shared" si="54"/>
        <v>0</v>
      </c>
      <c r="AS30" s="599">
        <f t="shared" si="54"/>
        <v>0</v>
      </c>
      <c r="AT30" s="599">
        <f t="shared" si="54"/>
        <v>0</v>
      </c>
      <c r="AU30" s="599">
        <f t="shared" si="54"/>
        <v>0</v>
      </c>
      <c r="AV30" s="599">
        <f t="shared" si="54"/>
        <v>0</v>
      </c>
      <c r="AW30" s="599">
        <f t="shared" si="54"/>
        <v>0</v>
      </c>
      <c r="AX30" s="599">
        <f t="shared" si="54"/>
        <v>0</v>
      </c>
      <c r="AY30" s="599">
        <f t="shared" si="54"/>
        <v>0</v>
      </c>
      <c r="AZ30" s="599">
        <f t="shared" si="54"/>
        <v>0</v>
      </c>
      <c r="BA30" s="599">
        <f t="shared" si="54"/>
        <v>0</v>
      </c>
      <c r="BB30" s="599">
        <f t="shared" si="54"/>
        <v>0</v>
      </c>
      <c r="BC30" s="599">
        <f t="shared" si="54"/>
        <v>0</v>
      </c>
      <c r="BD30" s="599">
        <f t="shared" si="54"/>
        <v>0</v>
      </c>
      <c r="BE30" s="599">
        <f t="shared" si="54"/>
        <v>0</v>
      </c>
      <c r="BF30" s="599">
        <f t="shared" si="54"/>
        <v>0</v>
      </c>
      <c r="BG30" s="599">
        <f t="shared" si="54"/>
        <v>0</v>
      </c>
      <c r="BH30" s="599">
        <f t="shared" si="54"/>
        <v>0</v>
      </c>
      <c r="BI30" s="599">
        <f t="shared" si="54"/>
        <v>0</v>
      </c>
      <c r="BJ30" s="599">
        <f t="shared" si="54"/>
        <v>0</v>
      </c>
      <c r="BK30" s="599">
        <f t="shared" si="54"/>
        <v>0</v>
      </c>
      <c r="BL30" s="599">
        <f t="shared" si="54"/>
        <v>0</v>
      </c>
      <c r="BM30" s="599">
        <f t="shared" si="54"/>
        <v>0</v>
      </c>
      <c r="BN30" s="599">
        <f t="shared" si="54"/>
        <v>0</v>
      </c>
      <c r="BO30" s="599">
        <f t="shared" si="54"/>
        <v>0</v>
      </c>
      <c r="BP30" s="599">
        <f t="shared" si="54"/>
        <v>0</v>
      </c>
      <c r="BQ30" s="599">
        <f t="shared" si="54"/>
        <v>0</v>
      </c>
      <c r="BR30" s="599">
        <f t="shared" si="54"/>
        <v>0</v>
      </c>
      <c r="BS30" s="599">
        <f t="shared" si="54"/>
        <v>0</v>
      </c>
      <c r="BT30" s="599">
        <f t="shared" si="54"/>
        <v>0</v>
      </c>
      <c r="BU30" s="599">
        <f t="shared" si="54"/>
        <v>0</v>
      </c>
      <c r="BV30" s="599">
        <f t="shared" si="54"/>
        <v>0</v>
      </c>
      <c r="BW30" s="599">
        <f t="shared" si="54"/>
        <v>0</v>
      </c>
      <c r="BX30" s="599">
        <f t="shared" si="54"/>
        <v>0</v>
      </c>
      <c r="BY30" s="599">
        <f t="shared" si="54"/>
        <v>0</v>
      </c>
      <c r="BZ30" s="599">
        <f t="shared" si="54"/>
        <v>0</v>
      </c>
      <c r="CA30" s="599">
        <f t="shared" si="54"/>
        <v>0</v>
      </c>
      <c r="CB30" s="599">
        <f t="shared" si="54"/>
        <v>0</v>
      </c>
      <c r="CC30" s="599">
        <f t="shared" si="54"/>
        <v>0</v>
      </c>
      <c r="CD30" s="599">
        <f t="shared" si="54"/>
        <v>0</v>
      </c>
      <c r="CE30" s="599">
        <f t="shared" si="54"/>
        <v>0</v>
      </c>
      <c r="CF30" s="599">
        <f t="shared" si="54"/>
        <v>0</v>
      </c>
      <c r="CG30" s="599">
        <f t="shared" si="54"/>
        <v>0</v>
      </c>
      <c r="CH30" s="599">
        <f t="shared" si="54"/>
        <v>0</v>
      </c>
      <c r="CI30" s="599">
        <f t="shared" si="54"/>
        <v>0</v>
      </c>
      <c r="CJ30" s="599">
        <f t="shared" si="54"/>
        <v>0</v>
      </c>
      <c r="CK30" s="599">
        <f t="shared" si="54"/>
        <v>0</v>
      </c>
      <c r="CL30" s="599">
        <f t="shared" si="54"/>
        <v>0</v>
      </c>
      <c r="CM30" s="599">
        <f t="shared" si="54"/>
        <v>0</v>
      </c>
      <c r="CN30" s="599">
        <f t="shared" si="54"/>
        <v>0</v>
      </c>
      <c r="CO30" s="599">
        <f t="shared" si="54"/>
        <v>0</v>
      </c>
      <c r="CP30" s="599">
        <f t="shared" si="54"/>
        <v>0</v>
      </c>
      <c r="CQ30" s="599">
        <f t="shared" si="54"/>
        <v>0</v>
      </c>
      <c r="CR30" s="599">
        <f t="shared" si="54"/>
        <v>0</v>
      </c>
      <c r="CS30" s="599">
        <f t="shared" si="54"/>
        <v>0</v>
      </c>
      <c r="CT30" s="599">
        <f t="shared" si="54"/>
        <v>0</v>
      </c>
      <c r="CU30" s="599">
        <f t="shared" si="54"/>
        <v>0</v>
      </c>
      <c r="CV30" s="599">
        <f t="shared" si="54"/>
        <v>0</v>
      </c>
      <c r="CW30" s="599">
        <f t="shared" si="54"/>
        <v>0</v>
      </c>
      <c r="CX30" s="599">
        <f t="shared" si="54"/>
        <v>0</v>
      </c>
      <c r="CY30" s="599">
        <f t="shared" si="54"/>
        <v>0</v>
      </c>
      <c r="CZ30" s="599">
        <f t="shared" si="54"/>
        <v>0</v>
      </c>
      <c r="DA30" s="599">
        <f t="shared" si="54"/>
        <v>0</v>
      </c>
      <c r="DB30" s="599">
        <f t="shared" si="54"/>
        <v>0</v>
      </c>
      <c r="DC30" s="599">
        <f t="shared" si="54"/>
        <v>0</v>
      </c>
      <c r="DD30" s="599">
        <f t="shared" si="54"/>
        <v>0</v>
      </c>
      <c r="DE30" s="599">
        <f t="shared" si="54"/>
        <v>0</v>
      </c>
      <c r="DF30" s="599">
        <f t="shared" si="54"/>
        <v>0</v>
      </c>
      <c r="DG30" s="599">
        <f t="shared" si="54"/>
        <v>0</v>
      </c>
      <c r="DH30" s="599">
        <f t="shared" si="54"/>
        <v>0</v>
      </c>
      <c r="DI30" s="599">
        <f t="shared" si="54"/>
        <v>0</v>
      </c>
      <c r="DJ30" s="599">
        <f t="shared" si="54"/>
        <v>0</v>
      </c>
      <c r="DK30" s="599">
        <f t="shared" si="54"/>
        <v>0</v>
      </c>
      <c r="DL30" s="599">
        <f t="shared" si="54"/>
        <v>0</v>
      </c>
      <c r="DM30" s="599">
        <f t="shared" si="54"/>
        <v>0</v>
      </c>
      <c r="DN30" s="599">
        <f t="shared" si="54"/>
        <v>0</v>
      </c>
      <c r="DO30" s="599">
        <f t="shared" si="54"/>
        <v>0</v>
      </c>
      <c r="DP30" s="599">
        <f t="shared" si="54"/>
        <v>0</v>
      </c>
      <c r="DQ30" s="599">
        <f t="shared" si="54"/>
        <v>0</v>
      </c>
      <c r="DR30" s="599">
        <f t="shared" si="54"/>
        <v>0</v>
      </c>
      <c r="DS30" s="599">
        <f t="shared" si="54"/>
        <v>0</v>
      </c>
      <c r="DT30" s="599">
        <f t="shared" si="54"/>
        <v>0</v>
      </c>
      <c r="DU30" s="599">
        <f t="shared" si="54"/>
        <v>0</v>
      </c>
      <c r="DV30" s="599">
        <f t="shared" si="54"/>
        <v>0</v>
      </c>
      <c r="DW30" s="599">
        <f t="shared" si="54"/>
        <v>0</v>
      </c>
      <c r="DX30" s="599">
        <f t="shared" si="54"/>
        <v>0</v>
      </c>
      <c r="DY30" s="599">
        <f t="shared" si="54"/>
        <v>0</v>
      </c>
      <c r="DZ30" s="599">
        <f t="shared" si="45"/>
        <v>0</v>
      </c>
      <c r="EA30" s="599">
        <f t="shared" si="45"/>
        <v>0</v>
      </c>
      <c r="EB30" s="599">
        <f t="shared" si="45"/>
        <v>0</v>
      </c>
      <c r="EC30" s="599">
        <f t="shared" si="45"/>
        <v>0</v>
      </c>
      <c r="ED30" s="599">
        <f t="shared" si="45"/>
        <v>0</v>
      </c>
      <c r="EE30" s="599">
        <f t="shared" si="45"/>
        <v>0</v>
      </c>
      <c r="EF30" s="599">
        <f t="shared" si="45"/>
        <v>0</v>
      </c>
      <c r="EG30" s="599">
        <f t="shared" si="45"/>
        <v>0</v>
      </c>
      <c r="EH30" s="599">
        <f t="shared" si="45"/>
        <v>0</v>
      </c>
      <c r="EI30" s="599">
        <f t="shared" si="45"/>
        <v>0</v>
      </c>
      <c r="EJ30" s="1117">
        <f t="shared" si="45"/>
        <v>0</v>
      </c>
    </row>
    <row r="31" spans="1:140" ht="15.75" hidden="1" customHeight="1" x14ac:dyDescent="0.25">
      <c r="A31" s="6"/>
      <c r="B31" s="1015" t="str">
        <f>'Unit Mix'!C28</f>
        <v>Type (#BD/#BA)</v>
      </c>
      <c r="C31" s="1016">
        <f>'Unit Mix'!D28</f>
        <v>0</v>
      </c>
      <c r="D31" s="1017">
        <f>'Unit Mix'!E28</f>
        <v>0</v>
      </c>
      <c r="E31" s="1018">
        <f>'Unit Mix'!H28</f>
        <v>0</v>
      </c>
      <c r="F31" s="996">
        <f>'Unit Mix'!G28</f>
        <v>0</v>
      </c>
      <c r="G31" s="1072"/>
      <c r="H31" s="1115">
        <f t="shared" ref="H31:DY31" si="55">IF(H$5&gt;$E$4+12,0,IF(H$3&lt;$C$4,0,ROUNDUP(H$6*$C31,1)*$F31*(1+$G$10)^(H$4)))</f>
        <v>0</v>
      </c>
      <c r="I31" s="599">
        <f t="shared" si="55"/>
        <v>0</v>
      </c>
      <c r="J31" s="599">
        <f t="shared" si="55"/>
        <v>0</v>
      </c>
      <c r="K31" s="599">
        <f t="shared" si="55"/>
        <v>0</v>
      </c>
      <c r="L31" s="599">
        <f t="shared" si="55"/>
        <v>0</v>
      </c>
      <c r="M31" s="599">
        <f t="shared" si="55"/>
        <v>0</v>
      </c>
      <c r="N31" s="599">
        <f t="shared" si="55"/>
        <v>0</v>
      </c>
      <c r="O31" s="599">
        <f t="shared" si="55"/>
        <v>0</v>
      </c>
      <c r="P31" s="599">
        <f t="shared" si="55"/>
        <v>0</v>
      </c>
      <c r="Q31" s="599">
        <f t="shared" si="55"/>
        <v>0</v>
      </c>
      <c r="R31" s="599">
        <f t="shared" si="55"/>
        <v>0</v>
      </c>
      <c r="S31" s="599">
        <f t="shared" si="55"/>
        <v>0</v>
      </c>
      <c r="T31" s="599">
        <f t="shared" si="55"/>
        <v>0</v>
      </c>
      <c r="U31" s="599">
        <f t="shared" si="55"/>
        <v>0</v>
      </c>
      <c r="V31" s="599">
        <f t="shared" si="55"/>
        <v>0</v>
      </c>
      <c r="W31" s="599">
        <f t="shared" si="55"/>
        <v>0</v>
      </c>
      <c r="X31" s="599">
        <f t="shared" si="55"/>
        <v>0</v>
      </c>
      <c r="Y31" s="599">
        <f t="shared" si="55"/>
        <v>0</v>
      </c>
      <c r="Z31" s="599">
        <f t="shared" si="55"/>
        <v>0</v>
      </c>
      <c r="AA31" s="599">
        <f t="shared" si="55"/>
        <v>0</v>
      </c>
      <c r="AB31" s="599">
        <f t="shared" si="55"/>
        <v>0</v>
      </c>
      <c r="AC31" s="599">
        <f t="shared" si="55"/>
        <v>0</v>
      </c>
      <c r="AD31" s="599">
        <f t="shared" si="55"/>
        <v>0</v>
      </c>
      <c r="AE31" s="599">
        <f t="shared" si="55"/>
        <v>0</v>
      </c>
      <c r="AF31" s="599">
        <f t="shared" si="55"/>
        <v>0</v>
      </c>
      <c r="AG31" s="599">
        <f t="shared" si="55"/>
        <v>0</v>
      </c>
      <c r="AH31" s="599">
        <f t="shared" si="55"/>
        <v>0</v>
      </c>
      <c r="AI31" s="599">
        <f t="shared" si="55"/>
        <v>0</v>
      </c>
      <c r="AJ31" s="599">
        <f t="shared" si="55"/>
        <v>0</v>
      </c>
      <c r="AK31" s="599">
        <f t="shared" si="55"/>
        <v>0</v>
      </c>
      <c r="AL31" s="599">
        <f t="shared" si="55"/>
        <v>0</v>
      </c>
      <c r="AM31" s="599">
        <f t="shared" si="55"/>
        <v>0</v>
      </c>
      <c r="AN31" s="599">
        <f t="shared" si="55"/>
        <v>0</v>
      </c>
      <c r="AO31" s="599">
        <f t="shared" si="55"/>
        <v>0</v>
      </c>
      <c r="AP31" s="599">
        <f t="shared" si="55"/>
        <v>0</v>
      </c>
      <c r="AQ31" s="599">
        <f t="shared" si="55"/>
        <v>0</v>
      </c>
      <c r="AR31" s="599">
        <f t="shared" si="55"/>
        <v>0</v>
      </c>
      <c r="AS31" s="599">
        <f t="shared" si="55"/>
        <v>0</v>
      </c>
      <c r="AT31" s="599">
        <f t="shared" si="55"/>
        <v>0</v>
      </c>
      <c r="AU31" s="599">
        <f t="shared" si="55"/>
        <v>0</v>
      </c>
      <c r="AV31" s="599">
        <f t="shared" si="55"/>
        <v>0</v>
      </c>
      <c r="AW31" s="599">
        <f t="shared" si="55"/>
        <v>0</v>
      </c>
      <c r="AX31" s="599">
        <f t="shared" si="55"/>
        <v>0</v>
      </c>
      <c r="AY31" s="599">
        <f t="shared" si="55"/>
        <v>0</v>
      </c>
      <c r="AZ31" s="599">
        <f t="shared" si="55"/>
        <v>0</v>
      </c>
      <c r="BA31" s="599">
        <f t="shared" si="55"/>
        <v>0</v>
      </c>
      <c r="BB31" s="599">
        <f t="shared" si="55"/>
        <v>0</v>
      </c>
      <c r="BC31" s="599">
        <f t="shared" si="55"/>
        <v>0</v>
      </c>
      <c r="BD31" s="599">
        <f t="shared" si="55"/>
        <v>0</v>
      </c>
      <c r="BE31" s="599">
        <f t="shared" si="55"/>
        <v>0</v>
      </c>
      <c r="BF31" s="599">
        <f t="shared" si="55"/>
        <v>0</v>
      </c>
      <c r="BG31" s="599">
        <f t="shared" si="55"/>
        <v>0</v>
      </c>
      <c r="BH31" s="599">
        <f t="shared" si="55"/>
        <v>0</v>
      </c>
      <c r="BI31" s="599">
        <f t="shared" si="55"/>
        <v>0</v>
      </c>
      <c r="BJ31" s="599">
        <f t="shared" si="55"/>
        <v>0</v>
      </c>
      <c r="BK31" s="599">
        <f t="shared" si="55"/>
        <v>0</v>
      </c>
      <c r="BL31" s="599">
        <f t="shared" si="55"/>
        <v>0</v>
      </c>
      <c r="BM31" s="599">
        <f t="shared" si="55"/>
        <v>0</v>
      </c>
      <c r="BN31" s="599">
        <f t="shared" si="55"/>
        <v>0</v>
      </c>
      <c r="BO31" s="599">
        <f t="shared" si="55"/>
        <v>0</v>
      </c>
      <c r="BP31" s="599">
        <f t="shared" si="55"/>
        <v>0</v>
      </c>
      <c r="BQ31" s="599">
        <f t="shared" si="55"/>
        <v>0</v>
      </c>
      <c r="BR31" s="599">
        <f t="shared" si="55"/>
        <v>0</v>
      </c>
      <c r="BS31" s="599">
        <f t="shared" si="55"/>
        <v>0</v>
      </c>
      <c r="BT31" s="599">
        <f t="shared" si="55"/>
        <v>0</v>
      </c>
      <c r="BU31" s="599">
        <f t="shared" si="55"/>
        <v>0</v>
      </c>
      <c r="BV31" s="599">
        <f t="shared" si="55"/>
        <v>0</v>
      </c>
      <c r="BW31" s="599">
        <f t="shared" si="55"/>
        <v>0</v>
      </c>
      <c r="BX31" s="599">
        <f t="shared" si="55"/>
        <v>0</v>
      </c>
      <c r="BY31" s="599">
        <f t="shared" si="55"/>
        <v>0</v>
      </c>
      <c r="BZ31" s="599">
        <f t="shared" si="55"/>
        <v>0</v>
      </c>
      <c r="CA31" s="599">
        <f t="shared" si="55"/>
        <v>0</v>
      </c>
      <c r="CB31" s="599">
        <f t="shared" si="55"/>
        <v>0</v>
      </c>
      <c r="CC31" s="599">
        <f t="shared" si="55"/>
        <v>0</v>
      </c>
      <c r="CD31" s="599">
        <f t="shared" si="55"/>
        <v>0</v>
      </c>
      <c r="CE31" s="599">
        <f t="shared" si="55"/>
        <v>0</v>
      </c>
      <c r="CF31" s="599">
        <f t="shared" si="55"/>
        <v>0</v>
      </c>
      <c r="CG31" s="599">
        <f t="shared" si="55"/>
        <v>0</v>
      </c>
      <c r="CH31" s="599">
        <f t="shared" si="55"/>
        <v>0</v>
      </c>
      <c r="CI31" s="599">
        <f t="shared" si="55"/>
        <v>0</v>
      </c>
      <c r="CJ31" s="599">
        <f t="shared" si="55"/>
        <v>0</v>
      </c>
      <c r="CK31" s="599">
        <f t="shared" si="55"/>
        <v>0</v>
      </c>
      <c r="CL31" s="599">
        <f t="shared" si="55"/>
        <v>0</v>
      </c>
      <c r="CM31" s="599">
        <f t="shared" si="55"/>
        <v>0</v>
      </c>
      <c r="CN31" s="599">
        <f t="shared" si="55"/>
        <v>0</v>
      </c>
      <c r="CO31" s="599">
        <f t="shared" si="55"/>
        <v>0</v>
      </c>
      <c r="CP31" s="599">
        <f t="shared" si="55"/>
        <v>0</v>
      </c>
      <c r="CQ31" s="599">
        <f t="shared" si="55"/>
        <v>0</v>
      </c>
      <c r="CR31" s="599">
        <f t="shared" si="55"/>
        <v>0</v>
      </c>
      <c r="CS31" s="599">
        <f t="shared" si="55"/>
        <v>0</v>
      </c>
      <c r="CT31" s="599">
        <f t="shared" si="55"/>
        <v>0</v>
      </c>
      <c r="CU31" s="599">
        <f t="shared" si="55"/>
        <v>0</v>
      </c>
      <c r="CV31" s="599">
        <f t="shared" si="55"/>
        <v>0</v>
      </c>
      <c r="CW31" s="599">
        <f t="shared" si="55"/>
        <v>0</v>
      </c>
      <c r="CX31" s="599">
        <f t="shared" si="55"/>
        <v>0</v>
      </c>
      <c r="CY31" s="599">
        <f t="shared" si="55"/>
        <v>0</v>
      </c>
      <c r="CZ31" s="599">
        <f t="shared" si="55"/>
        <v>0</v>
      </c>
      <c r="DA31" s="599">
        <f t="shared" si="55"/>
        <v>0</v>
      </c>
      <c r="DB31" s="599">
        <f t="shared" si="55"/>
        <v>0</v>
      </c>
      <c r="DC31" s="599">
        <f t="shared" si="55"/>
        <v>0</v>
      </c>
      <c r="DD31" s="599">
        <f t="shared" si="55"/>
        <v>0</v>
      </c>
      <c r="DE31" s="599">
        <f t="shared" si="55"/>
        <v>0</v>
      </c>
      <c r="DF31" s="599">
        <f t="shared" si="55"/>
        <v>0</v>
      </c>
      <c r="DG31" s="599">
        <f t="shared" si="55"/>
        <v>0</v>
      </c>
      <c r="DH31" s="599">
        <f t="shared" si="55"/>
        <v>0</v>
      </c>
      <c r="DI31" s="599">
        <f t="shared" si="55"/>
        <v>0</v>
      </c>
      <c r="DJ31" s="599">
        <f t="shared" si="55"/>
        <v>0</v>
      </c>
      <c r="DK31" s="599">
        <f t="shared" si="55"/>
        <v>0</v>
      </c>
      <c r="DL31" s="599">
        <f t="shared" si="55"/>
        <v>0</v>
      </c>
      <c r="DM31" s="599">
        <f t="shared" si="55"/>
        <v>0</v>
      </c>
      <c r="DN31" s="599">
        <f t="shared" si="55"/>
        <v>0</v>
      </c>
      <c r="DO31" s="599">
        <f t="shared" si="55"/>
        <v>0</v>
      </c>
      <c r="DP31" s="599">
        <f t="shared" si="55"/>
        <v>0</v>
      </c>
      <c r="DQ31" s="599">
        <f t="shared" si="55"/>
        <v>0</v>
      </c>
      <c r="DR31" s="599">
        <f t="shared" si="55"/>
        <v>0</v>
      </c>
      <c r="DS31" s="599">
        <f t="shared" si="55"/>
        <v>0</v>
      </c>
      <c r="DT31" s="599">
        <f t="shared" si="55"/>
        <v>0</v>
      </c>
      <c r="DU31" s="599">
        <f t="shared" si="55"/>
        <v>0</v>
      </c>
      <c r="DV31" s="599">
        <f t="shared" si="55"/>
        <v>0</v>
      </c>
      <c r="DW31" s="599">
        <f t="shared" si="55"/>
        <v>0</v>
      </c>
      <c r="DX31" s="599">
        <f t="shared" si="55"/>
        <v>0</v>
      </c>
      <c r="DY31" s="599">
        <f t="shared" si="55"/>
        <v>0</v>
      </c>
      <c r="DZ31" s="599">
        <f t="shared" si="45"/>
        <v>0</v>
      </c>
      <c r="EA31" s="599">
        <f t="shared" si="45"/>
        <v>0</v>
      </c>
      <c r="EB31" s="599">
        <f t="shared" si="45"/>
        <v>0</v>
      </c>
      <c r="EC31" s="599">
        <f t="shared" si="45"/>
        <v>0</v>
      </c>
      <c r="ED31" s="599">
        <f t="shared" si="45"/>
        <v>0</v>
      </c>
      <c r="EE31" s="599">
        <f t="shared" si="45"/>
        <v>0</v>
      </c>
      <c r="EF31" s="599">
        <f t="shared" si="45"/>
        <v>0</v>
      </c>
      <c r="EG31" s="599">
        <f t="shared" si="45"/>
        <v>0</v>
      </c>
      <c r="EH31" s="599">
        <f t="shared" si="45"/>
        <v>0</v>
      </c>
      <c r="EI31" s="599">
        <f t="shared" si="45"/>
        <v>0</v>
      </c>
      <c r="EJ31" s="1117">
        <f t="shared" si="45"/>
        <v>0</v>
      </c>
    </row>
    <row r="32" spans="1:140" ht="15.75" hidden="1" customHeight="1" x14ac:dyDescent="0.25">
      <c r="A32" s="6"/>
      <c r="B32" s="1015" t="str">
        <f>'Unit Mix'!C29</f>
        <v>Type (#BD/#BA)</v>
      </c>
      <c r="C32" s="1016">
        <f>'Unit Mix'!D29</f>
        <v>0</v>
      </c>
      <c r="D32" s="1017">
        <f>'Unit Mix'!E29</f>
        <v>0</v>
      </c>
      <c r="E32" s="1018">
        <f>'Unit Mix'!H29</f>
        <v>0</v>
      </c>
      <c r="F32" s="996">
        <f>'Unit Mix'!G29</f>
        <v>0</v>
      </c>
      <c r="G32" s="1072"/>
      <c r="H32" s="1115">
        <f t="shared" ref="H32:DY32" si="56">IF(H$5&gt;$E$4+12,0,IF(H$3&lt;$C$4,0,ROUNDUP(H$6*$C32,1)*$F32*(1+$G$10)^(H$4)))</f>
        <v>0</v>
      </c>
      <c r="I32" s="599">
        <f t="shared" si="56"/>
        <v>0</v>
      </c>
      <c r="J32" s="599">
        <f t="shared" si="56"/>
        <v>0</v>
      </c>
      <c r="K32" s="599">
        <f t="shared" si="56"/>
        <v>0</v>
      </c>
      <c r="L32" s="599">
        <f t="shared" si="56"/>
        <v>0</v>
      </c>
      <c r="M32" s="599">
        <f t="shared" si="56"/>
        <v>0</v>
      </c>
      <c r="N32" s="599">
        <f t="shared" si="56"/>
        <v>0</v>
      </c>
      <c r="O32" s="599">
        <f t="shared" si="56"/>
        <v>0</v>
      </c>
      <c r="P32" s="599">
        <f t="shared" si="56"/>
        <v>0</v>
      </c>
      <c r="Q32" s="599">
        <f t="shared" si="56"/>
        <v>0</v>
      </c>
      <c r="R32" s="599">
        <f t="shared" si="56"/>
        <v>0</v>
      </c>
      <c r="S32" s="599">
        <f t="shared" si="56"/>
        <v>0</v>
      </c>
      <c r="T32" s="599">
        <f t="shared" si="56"/>
        <v>0</v>
      </c>
      <c r="U32" s="599">
        <f t="shared" si="56"/>
        <v>0</v>
      </c>
      <c r="V32" s="599">
        <f t="shared" si="56"/>
        <v>0</v>
      </c>
      <c r="W32" s="599">
        <f t="shared" si="56"/>
        <v>0</v>
      </c>
      <c r="X32" s="599">
        <f t="shared" si="56"/>
        <v>0</v>
      </c>
      <c r="Y32" s="599">
        <f t="shared" si="56"/>
        <v>0</v>
      </c>
      <c r="Z32" s="599">
        <f t="shared" si="56"/>
        <v>0</v>
      </c>
      <c r="AA32" s="599">
        <f t="shared" si="56"/>
        <v>0</v>
      </c>
      <c r="AB32" s="599">
        <f t="shared" si="56"/>
        <v>0</v>
      </c>
      <c r="AC32" s="599">
        <f t="shared" si="56"/>
        <v>0</v>
      </c>
      <c r="AD32" s="599">
        <f t="shared" si="56"/>
        <v>0</v>
      </c>
      <c r="AE32" s="599">
        <f t="shared" si="56"/>
        <v>0</v>
      </c>
      <c r="AF32" s="599">
        <f t="shared" si="56"/>
        <v>0</v>
      </c>
      <c r="AG32" s="599">
        <f t="shared" si="56"/>
        <v>0</v>
      </c>
      <c r="AH32" s="599">
        <f t="shared" si="56"/>
        <v>0</v>
      </c>
      <c r="AI32" s="599">
        <f t="shared" si="56"/>
        <v>0</v>
      </c>
      <c r="AJ32" s="599">
        <f t="shared" si="56"/>
        <v>0</v>
      </c>
      <c r="AK32" s="599">
        <f t="shared" si="56"/>
        <v>0</v>
      </c>
      <c r="AL32" s="599">
        <f t="shared" si="56"/>
        <v>0</v>
      </c>
      <c r="AM32" s="599">
        <f t="shared" si="56"/>
        <v>0</v>
      </c>
      <c r="AN32" s="599">
        <f t="shared" si="56"/>
        <v>0</v>
      </c>
      <c r="AO32" s="599">
        <f t="shared" si="56"/>
        <v>0</v>
      </c>
      <c r="AP32" s="599">
        <f t="shared" si="56"/>
        <v>0</v>
      </c>
      <c r="AQ32" s="599">
        <f t="shared" si="56"/>
        <v>0</v>
      </c>
      <c r="AR32" s="599">
        <f t="shared" si="56"/>
        <v>0</v>
      </c>
      <c r="AS32" s="599">
        <f t="shared" si="56"/>
        <v>0</v>
      </c>
      <c r="AT32" s="599">
        <f t="shared" si="56"/>
        <v>0</v>
      </c>
      <c r="AU32" s="599">
        <f t="shared" si="56"/>
        <v>0</v>
      </c>
      <c r="AV32" s="599">
        <f t="shared" si="56"/>
        <v>0</v>
      </c>
      <c r="AW32" s="599">
        <f t="shared" si="56"/>
        <v>0</v>
      </c>
      <c r="AX32" s="599">
        <f t="shared" si="56"/>
        <v>0</v>
      </c>
      <c r="AY32" s="599">
        <f t="shared" si="56"/>
        <v>0</v>
      </c>
      <c r="AZ32" s="599">
        <f t="shared" si="56"/>
        <v>0</v>
      </c>
      <c r="BA32" s="599">
        <f t="shared" si="56"/>
        <v>0</v>
      </c>
      <c r="BB32" s="599">
        <f t="shared" si="56"/>
        <v>0</v>
      </c>
      <c r="BC32" s="599">
        <f t="shared" si="56"/>
        <v>0</v>
      </c>
      <c r="BD32" s="599">
        <f t="shared" si="56"/>
        <v>0</v>
      </c>
      <c r="BE32" s="599">
        <f t="shared" si="56"/>
        <v>0</v>
      </c>
      <c r="BF32" s="599">
        <f t="shared" si="56"/>
        <v>0</v>
      </c>
      <c r="BG32" s="599">
        <f t="shared" si="56"/>
        <v>0</v>
      </c>
      <c r="BH32" s="599">
        <f t="shared" si="56"/>
        <v>0</v>
      </c>
      <c r="BI32" s="599">
        <f t="shared" si="56"/>
        <v>0</v>
      </c>
      <c r="BJ32" s="599">
        <f t="shared" si="56"/>
        <v>0</v>
      </c>
      <c r="BK32" s="599">
        <f t="shared" si="56"/>
        <v>0</v>
      </c>
      <c r="BL32" s="599">
        <f t="shared" si="56"/>
        <v>0</v>
      </c>
      <c r="BM32" s="599">
        <f t="shared" si="56"/>
        <v>0</v>
      </c>
      <c r="BN32" s="599">
        <f t="shared" si="56"/>
        <v>0</v>
      </c>
      <c r="BO32" s="599">
        <f t="shared" si="56"/>
        <v>0</v>
      </c>
      <c r="BP32" s="599">
        <f t="shared" si="56"/>
        <v>0</v>
      </c>
      <c r="BQ32" s="599">
        <f t="shared" si="56"/>
        <v>0</v>
      </c>
      <c r="BR32" s="599">
        <f t="shared" si="56"/>
        <v>0</v>
      </c>
      <c r="BS32" s="599">
        <f t="shared" si="56"/>
        <v>0</v>
      </c>
      <c r="BT32" s="599">
        <f t="shared" si="56"/>
        <v>0</v>
      </c>
      <c r="BU32" s="599">
        <f t="shared" si="56"/>
        <v>0</v>
      </c>
      <c r="BV32" s="599">
        <f t="shared" si="56"/>
        <v>0</v>
      </c>
      <c r="BW32" s="599">
        <f t="shared" si="56"/>
        <v>0</v>
      </c>
      <c r="BX32" s="599">
        <f t="shared" si="56"/>
        <v>0</v>
      </c>
      <c r="BY32" s="599">
        <f t="shared" si="56"/>
        <v>0</v>
      </c>
      <c r="BZ32" s="599">
        <f t="shared" si="56"/>
        <v>0</v>
      </c>
      <c r="CA32" s="599">
        <f t="shared" si="56"/>
        <v>0</v>
      </c>
      <c r="CB32" s="599">
        <f t="shared" si="56"/>
        <v>0</v>
      </c>
      <c r="CC32" s="599">
        <f t="shared" si="56"/>
        <v>0</v>
      </c>
      <c r="CD32" s="599">
        <f t="shared" si="56"/>
        <v>0</v>
      </c>
      <c r="CE32" s="599">
        <f t="shared" si="56"/>
        <v>0</v>
      </c>
      <c r="CF32" s="599">
        <f t="shared" si="56"/>
        <v>0</v>
      </c>
      <c r="CG32" s="599">
        <f t="shared" si="56"/>
        <v>0</v>
      </c>
      <c r="CH32" s="599">
        <f t="shared" si="56"/>
        <v>0</v>
      </c>
      <c r="CI32" s="599">
        <f t="shared" si="56"/>
        <v>0</v>
      </c>
      <c r="CJ32" s="599">
        <f t="shared" si="56"/>
        <v>0</v>
      </c>
      <c r="CK32" s="599">
        <f t="shared" si="56"/>
        <v>0</v>
      </c>
      <c r="CL32" s="599">
        <f t="shared" si="56"/>
        <v>0</v>
      </c>
      <c r="CM32" s="599">
        <f t="shared" si="56"/>
        <v>0</v>
      </c>
      <c r="CN32" s="599">
        <f t="shared" si="56"/>
        <v>0</v>
      </c>
      <c r="CO32" s="599">
        <f t="shared" si="56"/>
        <v>0</v>
      </c>
      <c r="CP32" s="599">
        <f t="shared" si="56"/>
        <v>0</v>
      </c>
      <c r="CQ32" s="599">
        <f t="shared" si="56"/>
        <v>0</v>
      </c>
      <c r="CR32" s="599">
        <f t="shared" si="56"/>
        <v>0</v>
      </c>
      <c r="CS32" s="599">
        <f t="shared" si="56"/>
        <v>0</v>
      </c>
      <c r="CT32" s="599">
        <f t="shared" si="56"/>
        <v>0</v>
      </c>
      <c r="CU32" s="599">
        <f t="shared" si="56"/>
        <v>0</v>
      </c>
      <c r="CV32" s="599">
        <f t="shared" si="56"/>
        <v>0</v>
      </c>
      <c r="CW32" s="599">
        <f t="shared" si="56"/>
        <v>0</v>
      </c>
      <c r="CX32" s="599">
        <f t="shared" si="56"/>
        <v>0</v>
      </c>
      <c r="CY32" s="599">
        <f t="shared" si="56"/>
        <v>0</v>
      </c>
      <c r="CZ32" s="599">
        <f t="shared" si="56"/>
        <v>0</v>
      </c>
      <c r="DA32" s="599">
        <f t="shared" si="56"/>
        <v>0</v>
      </c>
      <c r="DB32" s="599">
        <f t="shared" si="56"/>
        <v>0</v>
      </c>
      <c r="DC32" s="599">
        <f t="shared" si="56"/>
        <v>0</v>
      </c>
      <c r="DD32" s="599">
        <f t="shared" si="56"/>
        <v>0</v>
      </c>
      <c r="DE32" s="599">
        <f t="shared" si="56"/>
        <v>0</v>
      </c>
      <c r="DF32" s="599">
        <f t="shared" si="56"/>
        <v>0</v>
      </c>
      <c r="DG32" s="599">
        <f t="shared" si="56"/>
        <v>0</v>
      </c>
      <c r="DH32" s="599">
        <f t="shared" si="56"/>
        <v>0</v>
      </c>
      <c r="DI32" s="599">
        <f t="shared" si="56"/>
        <v>0</v>
      </c>
      <c r="DJ32" s="599">
        <f t="shared" si="56"/>
        <v>0</v>
      </c>
      <c r="DK32" s="599">
        <f t="shared" si="56"/>
        <v>0</v>
      </c>
      <c r="DL32" s="599">
        <f t="shared" si="56"/>
        <v>0</v>
      </c>
      <c r="DM32" s="599">
        <f t="shared" si="56"/>
        <v>0</v>
      </c>
      <c r="DN32" s="599">
        <f t="shared" si="56"/>
        <v>0</v>
      </c>
      <c r="DO32" s="599">
        <f t="shared" si="56"/>
        <v>0</v>
      </c>
      <c r="DP32" s="599">
        <f t="shared" si="56"/>
        <v>0</v>
      </c>
      <c r="DQ32" s="599">
        <f t="shared" si="56"/>
        <v>0</v>
      </c>
      <c r="DR32" s="599">
        <f t="shared" si="56"/>
        <v>0</v>
      </c>
      <c r="DS32" s="599">
        <f t="shared" si="56"/>
        <v>0</v>
      </c>
      <c r="DT32" s="599">
        <f t="shared" si="56"/>
        <v>0</v>
      </c>
      <c r="DU32" s="599">
        <f t="shared" si="56"/>
        <v>0</v>
      </c>
      <c r="DV32" s="599">
        <f t="shared" si="56"/>
        <v>0</v>
      </c>
      <c r="DW32" s="599">
        <f t="shared" si="56"/>
        <v>0</v>
      </c>
      <c r="DX32" s="599">
        <f t="shared" si="56"/>
        <v>0</v>
      </c>
      <c r="DY32" s="599">
        <f t="shared" si="56"/>
        <v>0</v>
      </c>
      <c r="DZ32" s="599">
        <f t="shared" si="45"/>
        <v>0</v>
      </c>
      <c r="EA32" s="599">
        <f t="shared" si="45"/>
        <v>0</v>
      </c>
      <c r="EB32" s="599">
        <f t="shared" si="45"/>
        <v>0</v>
      </c>
      <c r="EC32" s="599">
        <f t="shared" si="45"/>
        <v>0</v>
      </c>
      <c r="ED32" s="599">
        <f t="shared" si="45"/>
        <v>0</v>
      </c>
      <c r="EE32" s="599">
        <f t="shared" si="45"/>
        <v>0</v>
      </c>
      <c r="EF32" s="599">
        <f t="shared" si="45"/>
        <v>0</v>
      </c>
      <c r="EG32" s="599">
        <f t="shared" si="45"/>
        <v>0</v>
      </c>
      <c r="EH32" s="599">
        <f t="shared" si="45"/>
        <v>0</v>
      </c>
      <c r="EI32" s="599">
        <f t="shared" si="45"/>
        <v>0</v>
      </c>
      <c r="EJ32" s="1117">
        <f t="shared" si="45"/>
        <v>0</v>
      </c>
    </row>
    <row r="33" spans="1:141" ht="15.75" hidden="1" customHeight="1" x14ac:dyDescent="0.25">
      <c r="A33" s="6"/>
      <c r="B33" s="1015" t="str">
        <f>'Unit Mix'!C30</f>
        <v>Type (#BD/#BA)</v>
      </c>
      <c r="C33" s="1016">
        <f>'Unit Mix'!D30</f>
        <v>0</v>
      </c>
      <c r="D33" s="1017">
        <f>'Unit Mix'!E30</f>
        <v>0</v>
      </c>
      <c r="E33" s="1018">
        <f>'Unit Mix'!H30</f>
        <v>0</v>
      </c>
      <c r="F33" s="996">
        <f>'Unit Mix'!G30</f>
        <v>0</v>
      </c>
      <c r="G33" s="1072"/>
      <c r="H33" s="1115">
        <f t="shared" ref="H33:DY33" si="57">IF(H$5&gt;$E$4+12,0,IF(H$3&lt;$C$4,0,ROUNDUP(H$6*$C33,1)*$F33*(1+$G$10)^(H$4)))</f>
        <v>0</v>
      </c>
      <c r="I33" s="599">
        <f t="shared" si="57"/>
        <v>0</v>
      </c>
      <c r="J33" s="599">
        <f t="shared" si="57"/>
        <v>0</v>
      </c>
      <c r="K33" s="599">
        <f t="shared" si="57"/>
        <v>0</v>
      </c>
      <c r="L33" s="599">
        <f t="shared" si="57"/>
        <v>0</v>
      </c>
      <c r="M33" s="599">
        <f t="shared" si="57"/>
        <v>0</v>
      </c>
      <c r="N33" s="599">
        <f t="shared" si="57"/>
        <v>0</v>
      </c>
      <c r="O33" s="599">
        <f t="shared" si="57"/>
        <v>0</v>
      </c>
      <c r="P33" s="599">
        <f t="shared" si="57"/>
        <v>0</v>
      </c>
      <c r="Q33" s="599">
        <f t="shared" si="57"/>
        <v>0</v>
      </c>
      <c r="R33" s="599">
        <f t="shared" si="57"/>
        <v>0</v>
      </c>
      <c r="S33" s="599">
        <f t="shared" si="57"/>
        <v>0</v>
      </c>
      <c r="T33" s="599">
        <f t="shared" si="57"/>
        <v>0</v>
      </c>
      <c r="U33" s="599">
        <f t="shared" si="57"/>
        <v>0</v>
      </c>
      <c r="V33" s="599">
        <f t="shared" si="57"/>
        <v>0</v>
      </c>
      <c r="W33" s="599">
        <f t="shared" si="57"/>
        <v>0</v>
      </c>
      <c r="X33" s="599">
        <f t="shared" si="57"/>
        <v>0</v>
      </c>
      <c r="Y33" s="599">
        <f t="shared" si="57"/>
        <v>0</v>
      </c>
      <c r="Z33" s="599">
        <f t="shared" si="57"/>
        <v>0</v>
      </c>
      <c r="AA33" s="599">
        <f t="shared" si="57"/>
        <v>0</v>
      </c>
      <c r="AB33" s="599">
        <f t="shared" si="57"/>
        <v>0</v>
      </c>
      <c r="AC33" s="599">
        <f t="shared" si="57"/>
        <v>0</v>
      </c>
      <c r="AD33" s="599">
        <f t="shared" si="57"/>
        <v>0</v>
      </c>
      <c r="AE33" s="599">
        <f t="shared" si="57"/>
        <v>0</v>
      </c>
      <c r="AF33" s="599">
        <f t="shared" si="57"/>
        <v>0</v>
      </c>
      <c r="AG33" s="599">
        <f t="shared" si="57"/>
        <v>0</v>
      </c>
      <c r="AH33" s="599">
        <f t="shared" si="57"/>
        <v>0</v>
      </c>
      <c r="AI33" s="599">
        <f t="shared" si="57"/>
        <v>0</v>
      </c>
      <c r="AJ33" s="599">
        <f t="shared" si="57"/>
        <v>0</v>
      </c>
      <c r="AK33" s="599">
        <f t="shared" si="57"/>
        <v>0</v>
      </c>
      <c r="AL33" s="599">
        <f t="shared" si="57"/>
        <v>0</v>
      </c>
      <c r="AM33" s="599">
        <f t="shared" si="57"/>
        <v>0</v>
      </c>
      <c r="AN33" s="599">
        <f t="shared" si="57"/>
        <v>0</v>
      </c>
      <c r="AO33" s="599">
        <f t="shared" si="57"/>
        <v>0</v>
      </c>
      <c r="AP33" s="599">
        <f t="shared" si="57"/>
        <v>0</v>
      </c>
      <c r="AQ33" s="599">
        <f t="shared" si="57"/>
        <v>0</v>
      </c>
      <c r="AR33" s="599">
        <f t="shared" si="57"/>
        <v>0</v>
      </c>
      <c r="AS33" s="599">
        <f t="shared" si="57"/>
        <v>0</v>
      </c>
      <c r="AT33" s="599">
        <f t="shared" si="57"/>
        <v>0</v>
      </c>
      <c r="AU33" s="599">
        <f t="shared" si="57"/>
        <v>0</v>
      </c>
      <c r="AV33" s="599">
        <f t="shared" si="57"/>
        <v>0</v>
      </c>
      <c r="AW33" s="599">
        <f t="shared" si="57"/>
        <v>0</v>
      </c>
      <c r="AX33" s="599">
        <f t="shared" si="57"/>
        <v>0</v>
      </c>
      <c r="AY33" s="599">
        <f t="shared" si="57"/>
        <v>0</v>
      </c>
      <c r="AZ33" s="599">
        <f t="shared" si="57"/>
        <v>0</v>
      </c>
      <c r="BA33" s="599">
        <f t="shared" si="57"/>
        <v>0</v>
      </c>
      <c r="BB33" s="599">
        <f t="shared" si="57"/>
        <v>0</v>
      </c>
      <c r="BC33" s="599">
        <f t="shared" si="57"/>
        <v>0</v>
      </c>
      <c r="BD33" s="599">
        <f t="shared" si="57"/>
        <v>0</v>
      </c>
      <c r="BE33" s="599">
        <f t="shared" si="57"/>
        <v>0</v>
      </c>
      <c r="BF33" s="599">
        <f t="shared" si="57"/>
        <v>0</v>
      </c>
      <c r="BG33" s="599">
        <f t="shared" si="57"/>
        <v>0</v>
      </c>
      <c r="BH33" s="599">
        <f t="shared" si="57"/>
        <v>0</v>
      </c>
      <c r="BI33" s="599">
        <f t="shared" si="57"/>
        <v>0</v>
      </c>
      <c r="BJ33" s="599">
        <f t="shared" si="57"/>
        <v>0</v>
      </c>
      <c r="BK33" s="599">
        <f t="shared" si="57"/>
        <v>0</v>
      </c>
      <c r="BL33" s="599">
        <f t="shared" si="57"/>
        <v>0</v>
      </c>
      <c r="BM33" s="599">
        <f t="shared" si="57"/>
        <v>0</v>
      </c>
      <c r="BN33" s="599">
        <f t="shared" si="57"/>
        <v>0</v>
      </c>
      <c r="BO33" s="599">
        <f t="shared" si="57"/>
        <v>0</v>
      </c>
      <c r="BP33" s="599">
        <f t="shared" si="57"/>
        <v>0</v>
      </c>
      <c r="BQ33" s="599">
        <f t="shared" si="57"/>
        <v>0</v>
      </c>
      <c r="BR33" s="599">
        <f t="shared" si="57"/>
        <v>0</v>
      </c>
      <c r="BS33" s="599">
        <f t="shared" si="57"/>
        <v>0</v>
      </c>
      <c r="BT33" s="599">
        <f t="shared" si="57"/>
        <v>0</v>
      </c>
      <c r="BU33" s="599">
        <f t="shared" si="57"/>
        <v>0</v>
      </c>
      <c r="BV33" s="599">
        <f t="shared" si="57"/>
        <v>0</v>
      </c>
      <c r="BW33" s="599">
        <f t="shared" si="57"/>
        <v>0</v>
      </c>
      <c r="BX33" s="599">
        <f t="shared" si="57"/>
        <v>0</v>
      </c>
      <c r="BY33" s="599">
        <f t="shared" si="57"/>
        <v>0</v>
      </c>
      <c r="BZ33" s="599">
        <f t="shared" si="57"/>
        <v>0</v>
      </c>
      <c r="CA33" s="599">
        <f t="shared" si="57"/>
        <v>0</v>
      </c>
      <c r="CB33" s="599">
        <f t="shared" si="57"/>
        <v>0</v>
      </c>
      <c r="CC33" s="599">
        <f t="shared" si="57"/>
        <v>0</v>
      </c>
      <c r="CD33" s="599">
        <f t="shared" si="57"/>
        <v>0</v>
      </c>
      <c r="CE33" s="599">
        <f t="shared" si="57"/>
        <v>0</v>
      </c>
      <c r="CF33" s="599">
        <f t="shared" si="57"/>
        <v>0</v>
      </c>
      <c r="CG33" s="599">
        <f t="shared" si="57"/>
        <v>0</v>
      </c>
      <c r="CH33" s="599">
        <f t="shared" si="57"/>
        <v>0</v>
      </c>
      <c r="CI33" s="599">
        <f t="shared" si="57"/>
        <v>0</v>
      </c>
      <c r="CJ33" s="599">
        <f t="shared" si="57"/>
        <v>0</v>
      </c>
      <c r="CK33" s="599">
        <f t="shared" si="57"/>
        <v>0</v>
      </c>
      <c r="CL33" s="599">
        <f t="shared" si="57"/>
        <v>0</v>
      </c>
      <c r="CM33" s="599">
        <f t="shared" si="57"/>
        <v>0</v>
      </c>
      <c r="CN33" s="599">
        <f t="shared" si="57"/>
        <v>0</v>
      </c>
      <c r="CO33" s="599">
        <f t="shared" si="57"/>
        <v>0</v>
      </c>
      <c r="CP33" s="599">
        <f t="shared" si="57"/>
        <v>0</v>
      </c>
      <c r="CQ33" s="599">
        <f t="shared" si="57"/>
        <v>0</v>
      </c>
      <c r="CR33" s="599">
        <f t="shared" si="57"/>
        <v>0</v>
      </c>
      <c r="CS33" s="599">
        <f t="shared" si="57"/>
        <v>0</v>
      </c>
      <c r="CT33" s="599">
        <f t="shared" si="57"/>
        <v>0</v>
      </c>
      <c r="CU33" s="599">
        <f t="shared" si="57"/>
        <v>0</v>
      </c>
      <c r="CV33" s="599">
        <f t="shared" si="57"/>
        <v>0</v>
      </c>
      <c r="CW33" s="599">
        <f t="shared" si="57"/>
        <v>0</v>
      </c>
      <c r="CX33" s="599">
        <f t="shared" si="57"/>
        <v>0</v>
      </c>
      <c r="CY33" s="599">
        <f t="shared" si="57"/>
        <v>0</v>
      </c>
      <c r="CZ33" s="599">
        <f t="shared" si="57"/>
        <v>0</v>
      </c>
      <c r="DA33" s="599">
        <f t="shared" si="57"/>
        <v>0</v>
      </c>
      <c r="DB33" s="599">
        <f t="shared" si="57"/>
        <v>0</v>
      </c>
      <c r="DC33" s="599">
        <f t="shared" si="57"/>
        <v>0</v>
      </c>
      <c r="DD33" s="599">
        <f t="shared" si="57"/>
        <v>0</v>
      </c>
      <c r="DE33" s="599">
        <f t="shared" si="57"/>
        <v>0</v>
      </c>
      <c r="DF33" s="599">
        <f t="shared" si="57"/>
        <v>0</v>
      </c>
      <c r="DG33" s="599">
        <f t="shared" si="57"/>
        <v>0</v>
      </c>
      <c r="DH33" s="599">
        <f t="shared" si="57"/>
        <v>0</v>
      </c>
      <c r="DI33" s="599">
        <f t="shared" si="57"/>
        <v>0</v>
      </c>
      <c r="DJ33" s="599">
        <f t="shared" si="57"/>
        <v>0</v>
      </c>
      <c r="DK33" s="599">
        <f t="shared" si="57"/>
        <v>0</v>
      </c>
      <c r="DL33" s="599">
        <f t="shared" si="57"/>
        <v>0</v>
      </c>
      <c r="DM33" s="599">
        <f t="shared" si="57"/>
        <v>0</v>
      </c>
      <c r="DN33" s="599">
        <f t="shared" si="57"/>
        <v>0</v>
      </c>
      <c r="DO33" s="599">
        <f t="shared" si="57"/>
        <v>0</v>
      </c>
      <c r="DP33" s="599">
        <f t="shared" si="57"/>
        <v>0</v>
      </c>
      <c r="DQ33" s="599">
        <f t="shared" si="57"/>
        <v>0</v>
      </c>
      <c r="DR33" s="599">
        <f t="shared" si="57"/>
        <v>0</v>
      </c>
      <c r="DS33" s="599">
        <f t="shared" si="57"/>
        <v>0</v>
      </c>
      <c r="DT33" s="599">
        <f t="shared" si="57"/>
        <v>0</v>
      </c>
      <c r="DU33" s="599">
        <f t="shared" si="57"/>
        <v>0</v>
      </c>
      <c r="DV33" s="599">
        <f t="shared" si="57"/>
        <v>0</v>
      </c>
      <c r="DW33" s="599">
        <f t="shared" si="57"/>
        <v>0</v>
      </c>
      <c r="DX33" s="599">
        <f t="shared" si="57"/>
        <v>0</v>
      </c>
      <c r="DY33" s="599">
        <f t="shared" si="57"/>
        <v>0</v>
      </c>
      <c r="DZ33" s="599">
        <f t="shared" si="45"/>
        <v>0</v>
      </c>
      <c r="EA33" s="599">
        <f t="shared" si="45"/>
        <v>0</v>
      </c>
      <c r="EB33" s="599">
        <f t="shared" si="45"/>
        <v>0</v>
      </c>
      <c r="EC33" s="599">
        <f t="shared" si="45"/>
        <v>0</v>
      </c>
      <c r="ED33" s="599">
        <f t="shared" si="45"/>
        <v>0</v>
      </c>
      <c r="EE33" s="599">
        <f t="shared" si="45"/>
        <v>0</v>
      </c>
      <c r="EF33" s="599">
        <f t="shared" si="45"/>
        <v>0</v>
      </c>
      <c r="EG33" s="599">
        <f t="shared" si="45"/>
        <v>0</v>
      </c>
      <c r="EH33" s="599">
        <f t="shared" si="45"/>
        <v>0</v>
      </c>
      <c r="EI33" s="599">
        <f t="shared" si="45"/>
        <v>0</v>
      </c>
      <c r="EJ33" s="1117">
        <f t="shared" si="45"/>
        <v>0</v>
      </c>
    </row>
    <row r="34" spans="1:141" ht="15.75" hidden="1" customHeight="1" x14ac:dyDescent="0.25">
      <c r="A34" s="6"/>
      <c r="B34" s="1015" t="str">
        <f>'Unit Mix'!C31</f>
        <v>Type (#BD/#BA)</v>
      </c>
      <c r="C34" s="1016">
        <f>'Unit Mix'!D31</f>
        <v>0</v>
      </c>
      <c r="D34" s="1017">
        <f>'Unit Mix'!E31</f>
        <v>0</v>
      </c>
      <c r="E34" s="1018">
        <f>'Unit Mix'!H31</f>
        <v>0</v>
      </c>
      <c r="F34" s="996">
        <f>'Unit Mix'!G31</f>
        <v>0</v>
      </c>
      <c r="G34" s="1072"/>
      <c r="H34" s="1115">
        <f t="shared" ref="H34:DY34" si="58">IF(H$5&gt;$E$4+12,0,IF(H$3&lt;$C$4,0,ROUNDUP(H$6*$C34,1)*$F34*(1+$G$10)^(H$4)))</f>
        <v>0</v>
      </c>
      <c r="I34" s="599">
        <f t="shared" si="58"/>
        <v>0</v>
      </c>
      <c r="J34" s="599">
        <f t="shared" si="58"/>
        <v>0</v>
      </c>
      <c r="K34" s="599">
        <f t="shared" si="58"/>
        <v>0</v>
      </c>
      <c r="L34" s="599">
        <f t="shared" si="58"/>
        <v>0</v>
      </c>
      <c r="M34" s="599">
        <f t="shared" si="58"/>
        <v>0</v>
      </c>
      <c r="N34" s="599">
        <f t="shared" si="58"/>
        <v>0</v>
      </c>
      <c r="O34" s="599">
        <f t="shared" si="58"/>
        <v>0</v>
      </c>
      <c r="P34" s="599">
        <f t="shared" si="58"/>
        <v>0</v>
      </c>
      <c r="Q34" s="599">
        <f t="shared" si="58"/>
        <v>0</v>
      </c>
      <c r="R34" s="599">
        <f t="shared" si="58"/>
        <v>0</v>
      </c>
      <c r="S34" s="599">
        <f t="shared" si="58"/>
        <v>0</v>
      </c>
      <c r="T34" s="599">
        <f t="shared" si="58"/>
        <v>0</v>
      </c>
      <c r="U34" s="599">
        <f t="shared" si="58"/>
        <v>0</v>
      </c>
      <c r="V34" s="599">
        <f t="shared" si="58"/>
        <v>0</v>
      </c>
      <c r="W34" s="599">
        <f t="shared" si="58"/>
        <v>0</v>
      </c>
      <c r="X34" s="599">
        <f t="shared" si="58"/>
        <v>0</v>
      </c>
      <c r="Y34" s="599">
        <f t="shared" si="58"/>
        <v>0</v>
      </c>
      <c r="Z34" s="599">
        <f t="shared" si="58"/>
        <v>0</v>
      </c>
      <c r="AA34" s="599">
        <f t="shared" si="58"/>
        <v>0</v>
      </c>
      <c r="AB34" s="599">
        <f t="shared" si="58"/>
        <v>0</v>
      </c>
      <c r="AC34" s="599">
        <f t="shared" si="58"/>
        <v>0</v>
      </c>
      <c r="AD34" s="599">
        <f t="shared" si="58"/>
        <v>0</v>
      </c>
      <c r="AE34" s="599">
        <f t="shared" si="58"/>
        <v>0</v>
      </c>
      <c r="AF34" s="599">
        <f t="shared" si="58"/>
        <v>0</v>
      </c>
      <c r="AG34" s="599">
        <f t="shared" si="58"/>
        <v>0</v>
      </c>
      <c r="AH34" s="599">
        <f t="shared" si="58"/>
        <v>0</v>
      </c>
      <c r="AI34" s="599">
        <f t="shared" si="58"/>
        <v>0</v>
      </c>
      <c r="AJ34" s="599">
        <f t="shared" si="58"/>
        <v>0</v>
      </c>
      <c r="AK34" s="599">
        <f t="shared" si="58"/>
        <v>0</v>
      </c>
      <c r="AL34" s="599">
        <f t="shared" si="58"/>
        <v>0</v>
      </c>
      <c r="AM34" s="599">
        <f t="shared" si="58"/>
        <v>0</v>
      </c>
      <c r="AN34" s="599">
        <f t="shared" si="58"/>
        <v>0</v>
      </c>
      <c r="AO34" s="599">
        <f t="shared" si="58"/>
        <v>0</v>
      </c>
      <c r="AP34" s="599">
        <f t="shared" si="58"/>
        <v>0</v>
      </c>
      <c r="AQ34" s="599">
        <f t="shared" si="58"/>
        <v>0</v>
      </c>
      <c r="AR34" s="599">
        <f t="shared" si="58"/>
        <v>0</v>
      </c>
      <c r="AS34" s="599">
        <f t="shared" si="58"/>
        <v>0</v>
      </c>
      <c r="AT34" s="599">
        <f t="shared" si="58"/>
        <v>0</v>
      </c>
      <c r="AU34" s="599">
        <f t="shared" si="58"/>
        <v>0</v>
      </c>
      <c r="AV34" s="599">
        <f t="shared" si="58"/>
        <v>0</v>
      </c>
      <c r="AW34" s="599">
        <f t="shared" si="58"/>
        <v>0</v>
      </c>
      <c r="AX34" s="599">
        <f t="shared" si="58"/>
        <v>0</v>
      </c>
      <c r="AY34" s="599">
        <f t="shared" si="58"/>
        <v>0</v>
      </c>
      <c r="AZ34" s="599">
        <f t="shared" si="58"/>
        <v>0</v>
      </c>
      <c r="BA34" s="599">
        <f t="shared" si="58"/>
        <v>0</v>
      </c>
      <c r="BB34" s="599">
        <f t="shared" si="58"/>
        <v>0</v>
      </c>
      <c r="BC34" s="599">
        <f t="shared" si="58"/>
        <v>0</v>
      </c>
      <c r="BD34" s="599">
        <f t="shared" si="58"/>
        <v>0</v>
      </c>
      <c r="BE34" s="599">
        <f t="shared" si="58"/>
        <v>0</v>
      </c>
      <c r="BF34" s="599">
        <f t="shared" si="58"/>
        <v>0</v>
      </c>
      <c r="BG34" s="599">
        <f t="shared" si="58"/>
        <v>0</v>
      </c>
      <c r="BH34" s="599">
        <f t="shared" si="58"/>
        <v>0</v>
      </c>
      <c r="BI34" s="599">
        <f t="shared" si="58"/>
        <v>0</v>
      </c>
      <c r="BJ34" s="599">
        <f t="shared" si="58"/>
        <v>0</v>
      </c>
      <c r="BK34" s="599">
        <f t="shared" si="58"/>
        <v>0</v>
      </c>
      <c r="BL34" s="599">
        <f t="shared" si="58"/>
        <v>0</v>
      </c>
      <c r="BM34" s="599">
        <f t="shared" si="58"/>
        <v>0</v>
      </c>
      <c r="BN34" s="599">
        <f t="shared" si="58"/>
        <v>0</v>
      </c>
      <c r="BO34" s="599">
        <f t="shared" si="58"/>
        <v>0</v>
      </c>
      <c r="BP34" s="599">
        <f t="shared" si="58"/>
        <v>0</v>
      </c>
      <c r="BQ34" s="599">
        <f t="shared" si="58"/>
        <v>0</v>
      </c>
      <c r="BR34" s="599">
        <f t="shared" si="58"/>
        <v>0</v>
      </c>
      <c r="BS34" s="599">
        <f t="shared" si="58"/>
        <v>0</v>
      </c>
      <c r="BT34" s="599">
        <f t="shared" si="58"/>
        <v>0</v>
      </c>
      <c r="BU34" s="599">
        <f t="shared" si="58"/>
        <v>0</v>
      </c>
      <c r="BV34" s="599">
        <f t="shared" si="58"/>
        <v>0</v>
      </c>
      <c r="BW34" s="599">
        <f t="shared" si="58"/>
        <v>0</v>
      </c>
      <c r="BX34" s="599">
        <f t="shared" si="58"/>
        <v>0</v>
      </c>
      <c r="BY34" s="599">
        <f t="shared" si="58"/>
        <v>0</v>
      </c>
      <c r="BZ34" s="599">
        <f t="shared" si="58"/>
        <v>0</v>
      </c>
      <c r="CA34" s="599">
        <f t="shared" si="58"/>
        <v>0</v>
      </c>
      <c r="CB34" s="599">
        <f t="shared" si="58"/>
        <v>0</v>
      </c>
      <c r="CC34" s="599">
        <f t="shared" si="58"/>
        <v>0</v>
      </c>
      <c r="CD34" s="599">
        <f t="shared" si="58"/>
        <v>0</v>
      </c>
      <c r="CE34" s="599">
        <f t="shared" si="58"/>
        <v>0</v>
      </c>
      <c r="CF34" s="599">
        <f t="shared" si="58"/>
        <v>0</v>
      </c>
      <c r="CG34" s="599">
        <f t="shared" si="58"/>
        <v>0</v>
      </c>
      <c r="CH34" s="599">
        <f t="shared" si="58"/>
        <v>0</v>
      </c>
      <c r="CI34" s="599">
        <f t="shared" si="58"/>
        <v>0</v>
      </c>
      <c r="CJ34" s="599">
        <f t="shared" si="58"/>
        <v>0</v>
      </c>
      <c r="CK34" s="599">
        <f t="shared" si="58"/>
        <v>0</v>
      </c>
      <c r="CL34" s="599">
        <f t="shared" si="58"/>
        <v>0</v>
      </c>
      <c r="CM34" s="599">
        <f t="shared" si="58"/>
        <v>0</v>
      </c>
      <c r="CN34" s="599">
        <f t="shared" si="58"/>
        <v>0</v>
      </c>
      <c r="CO34" s="599">
        <f t="shared" si="58"/>
        <v>0</v>
      </c>
      <c r="CP34" s="599">
        <f t="shared" si="58"/>
        <v>0</v>
      </c>
      <c r="CQ34" s="599">
        <f t="shared" si="58"/>
        <v>0</v>
      </c>
      <c r="CR34" s="599">
        <f t="shared" si="58"/>
        <v>0</v>
      </c>
      <c r="CS34" s="599">
        <f t="shared" si="58"/>
        <v>0</v>
      </c>
      <c r="CT34" s="599">
        <f t="shared" si="58"/>
        <v>0</v>
      </c>
      <c r="CU34" s="599">
        <f t="shared" si="58"/>
        <v>0</v>
      </c>
      <c r="CV34" s="599">
        <f t="shared" si="58"/>
        <v>0</v>
      </c>
      <c r="CW34" s="599">
        <f t="shared" si="58"/>
        <v>0</v>
      </c>
      <c r="CX34" s="599">
        <f t="shared" si="58"/>
        <v>0</v>
      </c>
      <c r="CY34" s="599">
        <f t="shared" si="58"/>
        <v>0</v>
      </c>
      <c r="CZ34" s="599">
        <f t="shared" si="58"/>
        <v>0</v>
      </c>
      <c r="DA34" s="599">
        <f t="shared" si="58"/>
        <v>0</v>
      </c>
      <c r="DB34" s="599">
        <f t="shared" si="58"/>
        <v>0</v>
      </c>
      <c r="DC34" s="599">
        <f t="shared" si="58"/>
        <v>0</v>
      </c>
      <c r="DD34" s="599">
        <f t="shared" si="58"/>
        <v>0</v>
      </c>
      <c r="DE34" s="599">
        <f t="shared" si="58"/>
        <v>0</v>
      </c>
      <c r="DF34" s="599">
        <f t="shared" si="58"/>
        <v>0</v>
      </c>
      <c r="DG34" s="599">
        <f t="shared" si="58"/>
        <v>0</v>
      </c>
      <c r="DH34" s="599">
        <f t="shared" si="58"/>
        <v>0</v>
      </c>
      <c r="DI34" s="599">
        <f t="shared" si="58"/>
        <v>0</v>
      </c>
      <c r="DJ34" s="599">
        <f t="shared" si="58"/>
        <v>0</v>
      </c>
      <c r="DK34" s="599">
        <f t="shared" si="58"/>
        <v>0</v>
      </c>
      <c r="DL34" s="599">
        <f t="shared" si="58"/>
        <v>0</v>
      </c>
      <c r="DM34" s="599">
        <f t="shared" si="58"/>
        <v>0</v>
      </c>
      <c r="DN34" s="599">
        <f t="shared" si="58"/>
        <v>0</v>
      </c>
      <c r="DO34" s="599">
        <f t="shared" si="58"/>
        <v>0</v>
      </c>
      <c r="DP34" s="599">
        <f t="shared" si="58"/>
        <v>0</v>
      </c>
      <c r="DQ34" s="599">
        <f t="shared" si="58"/>
        <v>0</v>
      </c>
      <c r="DR34" s="599">
        <f t="shared" si="58"/>
        <v>0</v>
      </c>
      <c r="DS34" s="599">
        <f t="shared" si="58"/>
        <v>0</v>
      </c>
      <c r="DT34" s="599">
        <f t="shared" si="58"/>
        <v>0</v>
      </c>
      <c r="DU34" s="599">
        <f t="shared" si="58"/>
        <v>0</v>
      </c>
      <c r="DV34" s="599">
        <f t="shared" si="58"/>
        <v>0</v>
      </c>
      <c r="DW34" s="599">
        <f t="shared" si="58"/>
        <v>0</v>
      </c>
      <c r="DX34" s="599">
        <f t="shared" si="58"/>
        <v>0</v>
      </c>
      <c r="DY34" s="599">
        <f t="shared" si="58"/>
        <v>0</v>
      </c>
      <c r="DZ34" s="599">
        <f t="shared" si="45"/>
        <v>0</v>
      </c>
      <c r="EA34" s="599">
        <f t="shared" si="45"/>
        <v>0</v>
      </c>
      <c r="EB34" s="599">
        <f t="shared" si="45"/>
        <v>0</v>
      </c>
      <c r="EC34" s="599">
        <f t="shared" si="45"/>
        <v>0</v>
      </c>
      <c r="ED34" s="599">
        <f t="shared" si="45"/>
        <v>0</v>
      </c>
      <c r="EE34" s="599">
        <f t="shared" si="45"/>
        <v>0</v>
      </c>
      <c r="EF34" s="599">
        <f t="shared" si="45"/>
        <v>0</v>
      </c>
      <c r="EG34" s="599">
        <f t="shared" si="45"/>
        <v>0</v>
      </c>
      <c r="EH34" s="599">
        <f t="shared" si="45"/>
        <v>0</v>
      </c>
      <c r="EI34" s="599">
        <f t="shared" si="45"/>
        <v>0</v>
      </c>
      <c r="EJ34" s="1117">
        <f t="shared" si="45"/>
        <v>0</v>
      </c>
    </row>
    <row r="35" spans="1:141" ht="15.75" hidden="1" customHeight="1" x14ac:dyDescent="0.25">
      <c r="A35" s="6"/>
      <c r="B35" s="1015" t="str">
        <f>'Unit Mix'!C32</f>
        <v>Type (#BD/#BA)</v>
      </c>
      <c r="C35" s="1016">
        <f>'Unit Mix'!D32</f>
        <v>0</v>
      </c>
      <c r="D35" s="1017">
        <f>'Unit Mix'!E32</f>
        <v>0</v>
      </c>
      <c r="E35" s="1018">
        <f>'Unit Mix'!H32</f>
        <v>0</v>
      </c>
      <c r="F35" s="996">
        <f>'Unit Mix'!G32</f>
        <v>0</v>
      </c>
      <c r="G35" s="1072"/>
      <c r="H35" s="1115">
        <f t="shared" ref="H35:DY35" si="59">IF(H$5&gt;$E$4+12,0,IF(H$3&lt;$C$4,0,ROUNDUP(H$6*$C35,1)*$F35*(1+$G$10)^(H$4)))</f>
        <v>0</v>
      </c>
      <c r="I35" s="599">
        <f t="shared" si="59"/>
        <v>0</v>
      </c>
      <c r="J35" s="599">
        <f t="shared" si="59"/>
        <v>0</v>
      </c>
      <c r="K35" s="599">
        <f t="shared" si="59"/>
        <v>0</v>
      </c>
      <c r="L35" s="599">
        <f t="shared" si="59"/>
        <v>0</v>
      </c>
      <c r="M35" s="599">
        <f t="shared" si="59"/>
        <v>0</v>
      </c>
      <c r="N35" s="599">
        <f t="shared" si="59"/>
        <v>0</v>
      </c>
      <c r="O35" s="599">
        <f t="shared" si="59"/>
        <v>0</v>
      </c>
      <c r="P35" s="599">
        <f t="shared" si="59"/>
        <v>0</v>
      </c>
      <c r="Q35" s="599">
        <f t="shared" si="59"/>
        <v>0</v>
      </c>
      <c r="R35" s="599">
        <f t="shared" si="59"/>
        <v>0</v>
      </c>
      <c r="S35" s="599">
        <f t="shared" si="59"/>
        <v>0</v>
      </c>
      <c r="T35" s="599">
        <f t="shared" si="59"/>
        <v>0</v>
      </c>
      <c r="U35" s="599">
        <f t="shared" si="59"/>
        <v>0</v>
      </c>
      <c r="V35" s="599">
        <f t="shared" si="59"/>
        <v>0</v>
      </c>
      <c r="W35" s="599">
        <f t="shared" si="59"/>
        <v>0</v>
      </c>
      <c r="X35" s="599">
        <f t="shared" si="59"/>
        <v>0</v>
      </c>
      <c r="Y35" s="599">
        <f t="shared" si="59"/>
        <v>0</v>
      </c>
      <c r="Z35" s="599">
        <f t="shared" si="59"/>
        <v>0</v>
      </c>
      <c r="AA35" s="599">
        <f t="shared" si="59"/>
        <v>0</v>
      </c>
      <c r="AB35" s="599">
        <f t="shared" si="59"/>
        <v>0</v>
      </c>
      <c r="AC35" s="599">
        <f t="shared" si="59"/>
        <v>0</v>
      </c>
      <c r="AD35" s="599">
        <f t="shared" si="59"/>
        <v>0</v>
      </c>
      <c r="AE35" s="599">
        <f t="shared" si="59"/>
        <v>0</v>
      </c>
      <c r="AF35" s="599">
        <f t="shared" si="59"/>
        <v>0</v>
      </c>
      <c r="AG35" s="599">
        <f t="shared" si="59"/>
        <v>0</v>
      </c>
      <c r="AH35" s="599">
        <f t="shared" si="59"/>
        <v>0</v>
      </c>
      <c r="AI35" s="599">
        <f t="shared" si="59"/>
        <v>0</v>
      </c>
      <c r="AJ35" s="599">
        <f t="shared" si="59"/>
        <v>0</v>
      </c>
      <c r="AK35" s="599">
        <f t="shared" si="59"/>
        <v>0</v>
      </c>
      <c r="AL35" s="599">
        <f t="shared" si="59"/>
        <v>0</v>
      </c>
      <c r="AM35" s="599">
        <f t="shared" si="59"/>
        <v>0</v>
      </c>
      <c r="AN35" s="599">
        <f t="shared" si="59"/>
        <v>0</v>
      </c>
      <c r="AO35" s="599">
        <f t="shared" si="59"/>
        <v>0</v>
      </c>
      <c r="AP35" s="599">
        <f t="shared" si="59"/>
        <v>0</v>
      </c>
      <c r="AQ35" s="599">
        <f t="shared" si="59"/>
        <v>0</v>
      </c>
      <c r="AR35" s="599">
        <f t="shared" si="59"/>
        <v>0</v>
      </c>
      <c r="AS35" s="599">
        <f t="shared" si="59"/>
        <v>0</v>
      </c>
      <c r="AT35" s="599">
        <f t="shared" si="59"/>
        <v>0</v>
      </c>
      <c r="AU35" s="599">
        <f t="shared" si="59"/>
        <v>0</v>
      </c>
      <c r="AV35" s="599">
        <f t="shared" si="59"/>
        <v>0</v>
      </c>
      <c r="AW35" s="599">
        <f t="shared" si="59"/>
        <v>0</v>
      </c>
      <c r="AX35" s="599">
        <f t="shared" si="59"/>
        <v>0</v>
      </c>
      <c r="AY35" s="599">
        <f t="shared" si="59"/>
        <v>0</v>
      </c>
      <c r="AZ35" s="599">
        <f t="shared" si="59"/>
        <v>0</v>
      </c>
      <c r="BA35" s="599">
        <f t="shared" si="59"/>
        <v>0</v>
      </c>
      <c r="BB35" s="599">
        <f t="shared" si="59"/>
        <v>0</v>
      </c>
      <c r="BC35" s="599">
        <f t="shared" si="59"/>
        <v>0</v>
      </c>
      <c r="BD35" s="599">
        <f t="shared" si="59"/>
        <v>0</v>
      </c>
      <c r="BE35" s="599">
        <f t="shared" si="59"/>
        <v>0</v>
      </c>
      <c r="BF35" s="599">
        <f t="shared" si="59"/>
        <v>0</v>
      </c>
      <c r="BG35" s="599">
        <f t="shared" si="59"/>
        <v>0</v>
      </c>
      <c r="BH35" s="599">
        <f t="shared" si="59"/>
        <v>0</v>
      </c>
      <c r="BI35" s="599">
        <f t="shared" si="59"/>
        <v>0</v>
      </c>
      <c r="BJ35" s="599">
        <f t="shared" si="59"/>
        <v>0</v>
      </c>
      <c r="BK35" s="599">
        <f t="shared" si="59"/>
        <v>0</v>
      </c>
      <c r="BL35" s="599">
        <f t="shared" si="59"/>
        <v>0</v>
      </c>
      <c r="BM35" s="599">
        <f t="shared" si="59"/>
        <v>0</v>
      </c>
      <c r="BN35" s="599">
        <f t="shared" si="59"/>
        <v>0</v>
      </c>
      <c r="BO35" s="599">
        <f t="shared" si="59"/>
        <v>0</v>
      </c>
      <c r="BP35" s="599">
        <f t="shared" si="59"/>
        <v>0</v>
      </c>
      <c r="BQ35" s="599">
        <f t="shared" si="59"/>
        <v>0</v>
      </c>
      <c r="BR35" s="599">
        <f t="shared" si="59"/>
        <v>0</v>
      </c>
      <c r="BS35" s="599">
        <f t="shared" si="59"/>
        <v>0</v>
      </c>
      <c r="BT35" s="599">
        <f t="shared" si="59"/>
        <v>0</v>
      </c>
      <c r="BU35" s="599">
        <f t="shared" si="59"/>
        <v>0</v>
      </c>
      <c r="BV35" s="599">
        <f t="shared" si="59"/>
        <v>0</v>
      </c>
      <c r="BW35" s="599">
        <f t="shared" si="59"/>
        <v>0</v>
      </c>
      <c r="BX35" s="599">
        <f t="shared" si="59"/>
        <v>0</v>
      </c>
      <c r="BY35" s="599">
        <f t="shared" si="59"/>
        <v>0</v>
      </c>
      <c r="BZ35" s="599">
        <f t="shared" si="59"/>
        <v>0</v>
      </c>
      <c r="CA35" s="599">
        <f t="shared" si="59"/>
        <v>0</v>
      </c>
      <c r="CB35" s="599">
        <f t="shared" si="59"/>
        <v>0</v>
      </c>
      <c r="CC35" s="599">
        <f t="shared" si="59"/>
        <v>0</v>
      </c>
      <c r="CD35" s="599">
        <f t="shared" si="59"/>
        <v>0</v>
      </c>
      <c r="CE35" s="599">
        <f t="shared" si="59"/>
        <v>0</v>
      </c>
      <c r="CF35" s="599">
        <f t="shared" si="59"/>
        <v>0</v>
      </c>
      <c r="CG35" s="599">
        <f t="shared" si="59"/>
        <v>0</v>
      </c>
      <c r="CH35" s="599">
        <f t="shared" si="59"/>
        <v>0</v>
      </c>
      <c r="CI35" s="599">
        <f t="shared" si="59"/>
        <v>0</v>
      </c>
      <c r="CJ35" s="599">
        <f t="shared" si="59"/>
        <v>0</v>
      </c>
      <c r="CK35" s="599">
        <f t="shared" si="59"/>
        <v>0</v>
      </c>
      <c r="CL35" s="599">
        <f t="shared" si="59"/>
        <v>0</v>
      </c>
      <c r="CM35" s="599">
        <f t="shared" si="59"/>
        <v>0</v>
      </c>
      <c r="CN35" s="599">
        <f t="shared" si="59"/>
        <v>0</v>
      </c>
      <c r="CO35" s="599">
        <f t="shared" si="59"/>
        <v>0</v>
      </c>
      <c r="CP35" s="599">
        <f t="shared" si="59"/>
        <v>0</v>
      </c>
      <c r="CQ35" s="599">
        <f t="shared" si="59"/>
        <v>0</v>
      </c>
      <c r="CR35" s="599">
        <f t="shared" si="59"/>
        <v>0</v>
      </c>
      <c r="CS35" s="599">
        <f t="shared" si="59"/>
        <v>0</v>
      </c>
      <c r="CT35" s="599">
        <f t="shared" si="59"/>
        <v>0</v>
      </c>
      <c r="CU35" s="599">
        <f t="shared" si="59"/>
        <v>0</v>
      </c>
      <c r="CV35" s="599">
        <f t="shared" si="59"/>
        <v>0</v>
      </c>
      <c r="CW35" s="599">
        <f t="shared" si="59"/>
        <v>0</v>
      </c>
      <c r="CX35" s="599">
        <f t="shared" si="59"/>
        <v>0</v>
      </c>
      <c r="CY35" s="599">
        <f t="shared" si="59"/>
        <v>0</v>
      </c>
      <c r="CZ35" s="599">
        <f t="shared" si="59"/>
        <v>0</v>
      </c>
      <c r="DA35" s="599">
        <f t="shared" si="59"/>
        <v>0</v>
      </c>
      <c r="DB35" s="599">
        <f t="shared" si="59"/>
        <v>0</v>
      </c>
      <c r="DC35" s="599">
        <f t="shared" si="59"/>
        <v>0</v>
      </c>
      <c r="DD35" s="599">
        <f t="shared" si="59"/>
        <v>0</v>
      </c>
      <c r="DE35" s="599">
        <f t="shared" si="59"/>
        <v>0</v>
      </c>
      <c r="DF35" s="599">
        <f t="shared" si="59"/>
        <v>0</v>
      </c>
      <c r="DG35" s="599">
        <f t="shared" si="59"/>
        <v>0</v>
      </c>
      <c r="DH35" s="599">
        <f t="shared" si="59"/>
        <v>0</v>
      </c>
      <c r="DI35" s="599">
        <f t="shared" si="59"/>
        <v>0</v>
      </c>
      <c r="DJ35" s="599">
        <f t="shared" si="59"/>
        <v>0</v>
      </c>
      <c r="DK35" s="599">
        <f t="shared" si="59"/>
        <v>0</v>
      </c>
      <c r="DL35" s="599">
        <f t="shared" si="59"/>
        <v>0</v>
      </c>
      <c r="DM35" s="599">
        <f t="shared" si="59"/>
        <v>0</v>
      </c>
      <c r="DN35" s="599">
        <f t="shared" si="59"/>
        <v>0</v>
      </c>
      <c r="DO35" s="599">
        <f t="shared" si="59"/>
        <v>0</v>
      </c>
      <c r="DP35" s="599">
        <f t="shared" si="59"/>
        <v>0</v>
      </c>
      <c r="DQ35" s="599">
        <f t="shared" si="59"/>
        <v>0</v>
      </c>
      <c r="DR35" s="599">
        <f t="shared" si="59"/>
        <v>0</v>
      </c>
      <c r="DS35" s="599">
        <f t="shared" si="59"/>
        <v>0</v>
      </c>
      <c r="DT35" s="599">
        <f t="shared" si="59"/>
        <v>0</v>
      </c>
      <c r="DU35" s="599">
        <f t="shared" si="59"/>
        <v>0</v>
      </c>
      <c r="DV35" s="599">
        <f t="shared" si="59"/>
        <v>0</v>
      </c>
      <c r="DW35" s="599">
        <f t="shared" si="59"/>
        <v>0</v>
      </c>
      <c r="DX35" s="599">
        <f t="shared" si="59"/>
        <v>0</v>
      </c>
      <c r="DY35" s="599">
        <f t="shared" si="59"/>
        <v>0</v>
      </c>
      <c r="DZ35" s="599">
        <f t="shared" si="45"/>
        <v>0</v>
      </c>
      <c r="EA35" s="599">
        <f t="shared" si="45"/>
        <v>0</v>
      </c>
      <c r="EB35" s="599">
        <f t="shared" si="45"/>
        <v>0</v>
      </c>
      <c r="EC35" s="599">
        <f t="shared" si="45"/>
        <v>0</v>
      </c>
      <c r="ED35" s="599">
        <f t="shared" si="45"/>
        <v>0</v>
      </c>
      <c r="EE35" s="599">
        <f t="shared" si="45"/>
        <v>0</v>
      </c>
      <c r="EF35" s="599">
        <f t="shared" si="45"/>
        <v>0</v>
      </c>
      <c r="EG35" s="599">
        <f t="shared" si="45"/>
        <v>0</v>
      </c>
      <c r="EH35" s="599">
        <f t="shared" si="45"/>
        <v>0</v>
      </c>
      <c r="EI35" s="599">
        <f t="shared" si="45"/>
        <v>0</v>
      </c>
      <c r="EJ35" s="1117">
        <f t="shared" si="45"/>
        <v>0</v>
      </c>
    </row>
    <row r="36" spans="1:141" ht="15.75" hidden="1" customHeight="1" x14ac:dyDescent="0.25">
      <c r="A36" s="6"/>
      <c r="B36" s="1015" t="str">
        <f>'Unit Mix'!C33</f>
        <v>Type (#BD/#BA)</v>
      </c>
      <c r="C36" s="1016">
        <f>'Unit Mix'!D33</f>
        <v>0</v>
      </c>
      <c r="D36" s="1017">
        <f>'Unit Mix'!E33</f>
        <v>0</v>
      </c>
      <c r="E36" s="1018">
        <f>'Unit Mix'!H33</f>
        <v>0</v>
      </c>
      <c r="F36" s="996">
        <f>'Unit Mix'!G33</f>
        <v>0</v>
      </c>
      <c r="G36" s="1072"/>
      <c r="H36" s="1115">
        <f t="shared" ref="H36:DY36" si="60">IF(H$5&gt;$E$4+12,0,IF(H$3&lt;$C$4,0,ROUNDUP(H$6*$C36,1)*$F36*(1+$G$10)^(H$4)))</f>
        <v>0</v>
      </c>
      <c r="I36" s="599">
        <f t="shared" si="60"/>
        <v>0</v>
      </c>
      <c r="J36" s="599">
        <f t="shared" si="60"/>
        <v>0</v>
      </c>
      <c r="K36" s="599">
        <f t="shared" si="60"/>
        <v>0</v>
      </c>
      <c r="L36" s="599">
        <f t="shared" si="60"/>
        <v>0</v>
      </c>
      <c r="M36" s="599">
        <f t="shared" si="60"/>
        <v>0</v>
      </c>
      <c r="N36" s="599">
        <f t="shared" si="60"/>
        <v>0</v>
      </c>
      <c r="O36" s="599">
        <f t="shared" si="60"/>
        <v>0</v>
      </c>
      <c r="P36" s="599">
        <f t="shared" si="60"/>
        <v>0</v>
      </c>
      <c r="Q36" s="599">
        <f t="shared" si="60"/>
        <v>0</v>
      </c>
      <c r="R36" s="599">
        <f t="shared" si="60"/>
        <v>0</v>
      </c>
      <c r="S36" s="599">
        <f t="shared" si="60"/>
        <v>0</v>
      </c>
      <c r="T36" s="599">
        <f t="shared" si="60"/>
        <v>0</v>
      </c>
      <c r="U36" s="599">
        <f t="shared" si="60"/>
        <v>0</v>
      </c>
      <c r="V36" s="599">
        <f t="shared" si="60"/>
        <v>0</v>
      </c>
      <c r="W36" s="599">
        <f t="shared" si="60"/>
        <v>0</v>
      </c>
      <c r="X36" s="599">
        <f t="shared" si="60"/>
        <v>0</v>
      </c>
      <c r="Y36" s="599">
        <f t="shared" si="60"/>
        <v>0</v>
      </c>
      <c r="Z36" s="599">
        <f t="shared" si="60"/>
        <v>0</v>
      </c>
      <c r="AA36" s="599">
        <f t="shared" si="60"/>
        <v>0</v>
      </c>
      <c r="AB36" s="599">
        <f t="shared" si="60"/>
        <v>0</v>
      </c>
      <c r="AC36" s="599">
        <f t="shared" si="60"/>
        <v>0</v>
      </c>
      <c r="AD36" s="599">
        <f t="shared" si="60"/>
        <v>0</v>
      </c>
      <c r="AE36" s="599">
        <f t="shared" si="60"/>
        <v>0</v>
      </c>
      <c r="AF36" s="599">
        <f t="shared" si="60"/>
        <v>0</v>
      </c>
      <c r="AG36" s="599">
        <f t="shared" si="60"/>
        <v>0</v>
      </c>
      <c r="AH36" s="599">
        <f t="shared" si="60"/>
        <v>0</v>
      </c>
      <c r="AI36" s="599">
        <f t="shared" si="60"/>
        <v>0</v>
      </c>
      <c r="AJ36" s="599">
        <f t="shared" si="60"/>
        <v>0</v>
      </c>
      <c r="AK36" s="599">
        <f t="shared" si="60"/>
        <v>0</v>
      </c>
      <c r="AL36" s="599">
        <f t="shared" si="60"/>
        <v>0</v>
      </c>
      <c r="AM36" s="599">
        <f t="shared" si="60"/>
        <v>0</v>
      </c>
      <c r="AN36" s="599">
        <f t="shared" si="60"/>
        <v>0</v>
      </c>
      <c r="AO36" s="599">
        <f t="shared" si="60"/>
        <v>0</v>
      </c>
      <c r="AP36" s="599">
        <f t="shared" si="60"/>
        <v>0</v>
      </c>
      <c r="AQ36" s="599">
        <f t="shared" si="60"/>
        <v>0</v>
      </c>
      <c r="AR36" s="599">
        <f t="shared" si="60"/>
        <v>0</v>
      </c>
      <c r="AS36" s="599">
        <f t="shared" si="60"/>
        <v>0</v>
      </c>
      <c r="AT36" s="599">
        <f t="shared" si="60"/>
        <v>0</v>
      </c>
      <c r="AU36" s="599">
        <f t="shared" si="60"/>
        <v>0</v>
      </c>
      <c r="AV36" s="599">
        <f t="shared" si="60"/>
        <v>0</v>
      </c>
      <c r="AW36" s="599">
        <f t="shared" si="60"/>
        <v>0</v>
      </c>
      <c r="AX36" s="599">
        <f t="shared" si="60"/>
        <v>0</v>
      </c>
      <c r="AY36" s="599">
        <f t="shared" si="60"/>
        <v>0</v>
      </c>
      <c r="AZ36" s="599">
        <f t="shared" si="60"/>
        <v>0</v>
      </c>
      <c r="BA36" s="599">
        <f t="shared" si="60"/>
        <v>0</v>
      </c>
      <c r="BB36" s="599">
        <f t="shared" si="60"/>
        <v>0</v>
      </c>
      <c r="BC36" s="599">
        <f t="shared" si="60"/>
        <v>0</v>
      </c>
      <c r="BD36" s="599">
        <f t="shared" si="60"/>
        <v>0</v>
      </c>
      <c r="BE36" s="599">
        <f t="shared" si="60"/>
        <v>0</v>
      </c>
      <c r="BF36" s="599">
        <f t="shared" si="60"/>
        <v>0</v>
      </c>
      <c r="BG36" s="599">
        <f t="shared" si="60"/>
        <v>0</v>
      </c>
      <c r="BH36" s="599">
        <f t="shared" si="60"/>
        <v>0</v>
      </c>
      <c r="BI36" s="599">
        <f t="shared" si="60"/>
        <v>0</v>
      </c>
      <c r="BJ36" s="599">
        <f t="shared" si="60"/>
        <v>0</v>
      </c>
      <c r="BK36" s="599">
        <f t="shared" si="60"/>
        <v>0</v>
      </c>
      <c r="BL36" s="599">
        <f t="shared" si="60"/>
        <v>0</v>
      </c>
      <c r="BM36" s="599">
        <f t="shared" si="60"/>
        <v>0</v>
      </c>
      <c r="BN36" s="599">
        <f t="shared" si="60"/>
        <v>0</v>
      </c>
      <c r="BO36" s="599">
        <f t="shared" si="60"/>
        <v>0</v>
      </c>
      <c r="BP36" s="599">
        <f t="shared" si="60"/>
        <v>0</v>
      </c>
      <c r="BQ36" s="599">
        <f t="shared" si="60"/>
        <v>0</v>
      </c>
      <c r="BR36" s="599">
        <f t="shared" si="60"/>
        <v>0</v>
      </c>
      <c r="BS36" s="599">
        <f t="shared" si="60"/>
        <v>0</v>
      </c>
      <c r="BT36" s="599">
        <f t="shared" si="60"/>
        <v>0</v>
      </c>
      <c r="BU36" s="599">
        <f t="shared" si="60"/>
        <v>0</v>
      </c>
      <c r="BV36" s="599">
        <f t="shared" si="60"/>
        <v>0</v>
      </c>
      <c r="BW36" s="599">
        <f t="shared" si="60"/>
        <v>0</v>
      </c>
      <c r="BX36" s="599">
        <f t="shared" si="60"/>
        <v>0</v>
      </c>
      <c r="BY36" s="599">
        <f t="shared" si="60"/>
        <v>0</v>
      </c>
      <c r="BZ36" s="599">
        <f t="shared" si="60"/>
        <v>0</v>
      </c>
      <c r="CA36" s="599">
        <f t="shared" si="60"/>
        <v>0</v>
      </c>
      <c r="CB36" s="599">
        <f t="shared" si="60"/>
        <v>0</v>
      </c>
      <c r="CC36" s="599">
        <f t="shared" si="60"/>
        <v>0</v>
      </c>
      <c r="CD36" s="599">
        <f t="shared" si="60"/>
        <v>0</v>
      </c>
      <c r="CE36" s="599">
        <f t="shared" si="60"/>
        <v>0</v>
      </c>
      <c r="CF36" s="599">
        <f t="shared" si="60"/>
        <v>0</v>
      </c>
      <c r="CG36" s="599">
        <f t="shared" si="60"/>
        <v>0</v>
      </c>
      <c r="CH36" s="599">
        <f t="shared" si="60"/>
        <v>0</v>
      </c>
      <c r="CI36" s="599">
        <f t="shared" si="60"/>
        <v>0</v>
      </c>
      <c r="CJ36" s="599">
        <f t="shared" si="60"/>
        <v>0</v>
      </c>
      <c r="CK36" s="599">
        <f t="shared" si="60"/>
        <v>0</v>
      </c>
      <c r="CL36" s="599">
        <f t="shared" si="60"/>
        <v>0</v>
      </c>
      <c r="CM36" s="599">
        <f t="shared" si="60"/>
        <v>0</v>
      </c>
      <c r="CN36" s="599">
        <f t="shared" si="60"/>
        <v>0</v>
      </c>
      <c r="CO36" s="599">
        <f t="shared" si="60"/>
        <v>0</v>
      </c>
      <c r="CP36" s="599">
        <f t="shared" si="60"/>
        <v>0</v>
      </c>
      <c r="CQ36" s="599">
        <f t="shared" si="60"/>
        <v>0</v>
      </c>
      <c r="CR36" s="599">
        <f t="shared" si="60"/>
        <v>0</v>
      </c>
      <c r="CS36" s="599">
        <f t="shared" si="60"/>
        <v>0</v>
      </c>
      <c r="CT36" s="599">
        <f t="shared" si="60"/>
        <v>0</v>
      </c>
      <c r="CU36" s="599">
        <f t="shared" si="60"/>
        <v>0</v>
      </c>
      <c r="CV36" s="599">
        <f t="shared" si="60"/>
        <v>0</v>
      </c>
      <c r="CW36" s="599">
        <f t="shared" si="60"/>
        <v>0</v>
      </c>
      <c r="CX36" s="599">
        <f t="shared" si="60"/>
        <v>0</v>
      </c>
      <c r="CY36" s="599">
        <f t="shared" si="60"/>
        <v>0</v>
      </c>
      <c r="CZ36" s="599">
        <f t="shared" si="60"/>
        <v>0</v>
      </c>
      <c r="DA36" s="599">
        <f t="shared" si="60"/>
        <v>0</v>
      </c>
      <c r="DB36" s="599">
        <f t="shared" si="60"/>
        <v>0</v>
      </c>
      <c r="DC36" s="599">
        <f t="shared" si="60"/>
        <v>0</v>
      </c>
      <c r="DD36" s="599">
        <f t="shared" si="60"/>
        <v>0</v>
      </c>
      <c r="DE36" s="599">
        <f t="shared" si="60"/>
        <v>0</v>
      </c>
      <c r="DF36" s="599">
        <f t="shared" si="60"/>
        <v>0</v>
      </c>
      <c r="DG36" s="599">
        <f t="shared" si="60"/>
        <v>0</v>
      </c>
      <c r="DH36" s="599">
        <f t="shared" si="60"/>
        <v>0</v>
      </c>
      <c r="DI36" s="599">
        <f t="shared" si="60"/>
        <v>0</v>
      </c>
      <c r="DJ36" s="599">
        <f t="shared" si="60"/>
        <v>0</v>
      </c>
      <c r="DK36" s="599">
        <f t="shared" si="60"/>
        <v>0</v>
      </c>
      <c r="DL36" s="599">
        <f t="shared" si="60"/>
        <v>0</v>
      </c>
      <c r="DM36" s="599">
        <f t="shared" si="60"/>
        <v>0</v>
      </c>
      <c r="DN36" s="599">
        <f t="shared" si="60"/>
        <v>0</v>
      </c>
      <c r="DO36" s="599">
        <f t="shared" si="60"/>
        <v>0</v>
      </c>
      <c r="DP36" s="599">
        <f t="shared" si="60"/>
        <v>0</v>
      </c>
      <c r="DQ36" s="599">
        <f t="shared" si="60"/>
        <v>0</v>
      </c>
      <c r="DR36" s="599">
        <f t="shared" si="60"/>
        <v>0</v>
      </c>
      <c r="DS36" s="599">
        <f t="shared" si="60"/>
        <v>0</v>
      </c>
      <c r="DT36" s="599">
        <f t="shared" si="60"/>
        <v>0</v>
      </c>
      <c r="DU36" s="599">
        <f t="shared" si="60"/>
        <v>0</v>
      </c>
      <c r="DV36" s="599">
        <f t="shared" si="60"/>
        <v>0</v>
      </c>
      <c r="DW36" s="599">
        <f t="shared" si="60"/>
        <v>0</v>
      </c>
      <c r="DX36" s="599">
        <f t="shared" si="60"/>
        <v>0</v>
      </c>
      <c r="DY36" s="599">
        <f t="shared" si="60"/>
        <v>0</v>
      </c>
      <c r="DZ36" s="599">
        <f t="shared" si="45"/>
        <v>0</v>
      </c>
      <c r="EA36" s="599">
        <f t="shared" si="45"/>
        <v>0</v>
      </c>
      <c r="EB36" s="599">
        <f t="shared" si="45"/>
        <v>0</v>
      </c>
      <c r="EC36" s="599">
        <f t="shared" si="45"/>
        <v>0</v>
      </c>
      <c r="ED36" s="599">
        <f t="shared" si="45"/>
        <v>0</v>
      </c>
      <c r="EE36" s="599">
        <f t="shared" si="45"/>
        <v>0</v>
      </c>
      <c r="EF36" s="599">
        <f t="shared" si="45"/>
        <v>0</v>
      </c>
      <c r="EG36" s="599">
        <f t="shared" si="45"/>
        <v>0</v>
      </c>
      <c r="EH36" s="599">
        <f t="shared" si="45"/>
        <v>0</v>
      </c>
      <c r="EI36" s="599">
        <f t="shared" si="45"/>
        <v>0</v>
      </c>
      <c r="EJ36" s="1117">
        <f t="shared" si="45"/>
        <v>0</v>
      </c>
    </row>
    <row r="37" spans="1:141" ht="15.75" hidden="1" customHeight="1" x14ac:dyDescent="0.25">
      <c r="A37" s="6"/>
      <c r="B37" s="1015" t="str">
        <f>'Unit Mix'!C34</f>
        <v>Type (#BD/#BA)</v>
      </c>
      <c r="C37" s="1016">
        <f>'Unit Mix'!D34</f>
        <v>0</v>
      </c>
      <c r="D37" s="1017">
        <f>'Unit Mix'!E34</f>
        <v>0</v>
      </c>
      <c r="E37" s="1018">
        <f>'Unit Mix'!H34</f>
        <v>0</v>
      </c>
      <c r="F37" s="996">
        <f>'Unit Mix'!G34</f>
        <v>0</v>
      </c>
      <c r="G37" s="1072"/>
      <c r="H37" s="1115">
        <f t="shared" ref="H37:DY37" si="61">IF(H$5&gt;$E$4+12,0,IF(H$3&lt;$C$4,0,ROUNDUP(H$6*$C37,1)*$F37*(1+$G$10)^(H$4)))</f>
        <v>0</v>
      </c>
      <c r="I37" s="599">
        <f t="shared" si="61"/>
        <v>0</v>
      </c>
      <c r="J37" s="599">
        <f t="shared" si="61"/>
        <v>0</v>
      </c>
      <c r="K37" s="599">
        <f t="shared" si="61"/>
        <v>0</v>
      </c>
      <c r="L37" s="599">
        <f t="shared" si="61"/>
        <v>0</v>
      </c>
      <c r="M37" s="599">
        <f t="shared" si="61"/>
        <v>0</v>
      </c>
      <c r="N37" s="599">
        <f t="shared" si="61"/>
        <v>0</v>
      </c>
      <c r="O37" s="599">
        <f t="shared" si="61"/>
        <v>0</v>
      </c>
      <c r="P37" s="599">
        <f t="shared" si="61"/>
        <v>0</v>
      </c>
      <c r="Q37" s="599">
        <f t="shared" si="61"/>
        <v>0</v>
      </c>
      <c r="R37" s="599">
        <f t="shared" si="61"/>
        <v>0</v>
      </c>
      <c r="S37" s="599">
        <f t="shared" si="61"/>
        <v>0</v>
      </c>
      <c r="T37" s="599">
        <f t="shared" si="61"/>
        <v>0</v>
      </c>
      <c r="U37" s="599">
        <f t="shared" si="61"/>
        <v>0</v>
      </c>
      <c r="V37" s="599">
        <f t="shared" si="61"/>
        <v>0</v>
      </c>
      <c r="W37" s="599">
        <f t="shared" si="61"/>
        <v>0</v>
      </c>
      <c r="X37" s="599">
        <f t="shared" si="61"/>
        <v>0</v>
      </c>
      <c r="Y37" s="599">
        <f t="shared" si="61"/>
        <v>0</v>
      </c>
      <c r="Z37" s="599">
        <f t="shared" si="61"/>
        <v>0</v>
      </c>
      <c r="AA37" s="599">
        <f t="shared" si="61"/>
        <v>0</v>
      </c>
      <c r="AB37" s="599">
        <f t="shared" si="61"/>
        <v>0</v>
      </c>
      <c r="AC37" s="599">
        <f t="shared" si="61"/>
        <v>0</v>
      </c>
      <c r="AD37" s="599">
        <f t="shared" si="61"/>
        <v>0</v>
      </c>
      <c r="AE37" s="599">
        <f t="shared" si="61"/>
        <v>0</v>
      </c>
      <c r="AF37" s="599">
        <f t="shared" si="61"/>
        <v>0</v>
      </c>
      <c r="AG37" s="599">
        <f t="shared" si="61"/>
        <v>0</v>
      </c>
      <c r="AH37" s="599">
        <f t="shared" si="61"/>
        <v>0</v>
      </c>
      <c r="AI37" s="599">
        <f t="shared" si="61"/>
        <v>0</v>
      </c>
      <c r="AJ37" s="599">
        <f t="shared" si="61"/>
        <v>0</v>
      </c>
      <c r="AK37" s="599">
        <f t="shared" si="61"/>
        <v>0</v>
      </c>
      <c r="AL37" s="599">
        <f t="shared" si="61"/>
        <v>0</v>
      </c>
      <c r="AM37" s="599">
        <f t="shared" si="61"/>
        <v>0</v>
      </c>
      <c r="AN37" s="599">
        <f t="shared" si="61"/>
        <v>0</v>
      </c>
      <c r="AO37" s="599">
        <f t="shared" si="61"/>
        <v>0</v>
      </c>
      <c r="AP37" s="599">
        <f t="shared" si="61"/>
        <v>0</v>
      </c>
      <c r="AQ37" s="599">
        <f t="shared" si="61"/>
        <v>0</v>
      </c>
      <c r="AR37" s="599">
        <f t="shared" si="61"/>
        <v>0</v>
      </c>
      <c r="AS37" s="599">
        <f t="shared" si="61"/>
        <v>0</v>
      </c>
      <c r="AT37" s="599">
        <f t="shared" si="61"/>
        <v>0</v>
      </c>
      <c r="AU37" s="599">
        <f t="shared" si="61"/>
        <v>0</v>
      </c>
      <c r="AV37" s="599">
        <f t="shared" si="61"/>
        <v>0</v>
      </c>
      <c r="AW37" s="599">
        <f t="shared" si="61"/>
        <v>0</v>
      </c>
      <c r="AX37" s="599">
        <f t="shared" si="61"/>
        <v>0</v>
      </c>
      <c r="AY37" s="599">
        <f t="shared" si="61"/>
        <v>0</v>
      </c>
      <c r="AZ37" s="599">
        <f t="shared" si="61"/>
        <v>0</v>
      </c>
      <c r="BA37" s="599">
        <f t="shared" si="61"/>
        <v>0</v>
      </c>
      <c r="BB37" s="599">
        <f t="shared" si="61"/>
        <v>0</v>
      </c>
      <c r="BC37" s="599">
        <f t="shared" si="61"/>
        <v>0</v>
      </c>
      <c r="BD37" s="599">
        <f t="shared" si="61"/>
        <v>0</v>
      </c>
      <c r="BE37" s="599">
        <f t="shared" si="61"/>
        <v>0</v>
      </c>
      <c r="BF37" s="599">
        <f t="shared" si="61"/>
        <v>0</v>
      </c>
      <c r="BG37" s="599">
        <f t="shared" si="61"/>
        <v>0</v>
      </c>
      <c r="BH37" s="599">
        <f t="shared" si="61"/>
        <v>0</v>
      </c>
      <c r="BI37" s="599">
        <f t="shared" si="61"/>
        <v>0</v>
      </c>
      <c r="BJ37" s="599">
        <f t="shared" si="61"/>
        <v>0</v>
      </c>
      <c r="BK37" s="599">
        <f t="shared" si="61"/>
        <v>0</v>
      </c>
      <c r="BL37" s="599">
        <f t="shared" si="61"/>
        <v>0</v>
      </c>
      <c r="BM37" s="599">
        <f t="shared" si="61"/>
        <v>0</v>
      </c>
      <c r="BN37" s="599">
        <f t="shared" si="61"/>
        <v>0</v>
      </c>
      <c r="BO37" s="599">
        <f t="shared" si="61"/>
        <v>0</v>
      </c>
      <c r="BP37" s="599">
        <f t="shared" si="61"/>
        <v>0</v>
      </c>
      <c r="BQ37" s="599">
        <f t="shared" si="61"/>
        <v>0</v>
      </c>
      <c r="BR37" s="599">
        <f t="shared" si="61"/>
        <v>0</v>
      </c>
      <c r="BS37" s="599">
        <f t="shared" si="61"/>
        <v>0</v>
      </c>
      <c r="BT37" s="599">
        <f t="shared" si="61"/>
        <v>0</v>
      </c>
      <c r="BU37" s="599">
        <f t="shared" si="61"/>
        <v>0</v>
      </c>
      <c r="BV37" s="599">
        <f t="shared" si="61"/>
        <v>0</v>
      </c>
      <c r="BW37" s="599">
        <f t="shared" si="61"/>
        <v>0</v>
      </c>
      <c r="BX37" s="599">
        <f t="shared" si="61"/>
        <v>0</v>
      </c>
      <c r="BY37" s="599">
        <f t="shared" si="61"/>
        <v>0</v>
      </c>
      <c r="BZ37" s="599">
        <f t="shared" si="61"/>
        <v>0</v>
      </c>
      <c r="CA37" s="599">
        <f t="shared" si="61"/>
        <v>0</v>
      </c>
      <c r="CB37" s="599">
        <f t="shared" si="61"/>
        <v>0</v>
      </c>
      <c r="CC37" s="599">
        <f t="shared" si="61"/>
        <v>0</v>
      </c>
      <c r="CD37" s="599">
        <f t="shared" si="61"/>
        <v>0</v>
      </c>
      <c r="CE37" s="599">
        <f t="shared" si="61"/>
        <v>0</v>
      </c>
      <c r="CF37" s="599">
        <f t="shared" si="61"/>
        <v>0</v>
      </c>
      <c r="CG37" s="599">
        <f t="shared" si="61"/>
        <v>0</v>
      </c>
      <c r="CH37" s="599">
        <f t="shared" si="61"/>
        <v>0</v>
      </c>
      <c r="CI37" s="599">
        <f t="shared" si="61"/>
        <v>0</v>
      </c>
      <c r="CJ37" s="599">
        <f t="shared" si="61"/>
        <v>0</v>
      </c>
      <c r="CK37" s="599">
        <f t="shared" si="61"/>
        <v>0</v>
      </c>
      <c r="CL37" s="599">
        <f t="shared" si="61"/>
        <v>0</v>
      </c>
      <c r="CM37" s="599">
        <f t="shared" si="61"/>
        <v>0</v>
      </c>
      <c r="CN37" s="599">
        <f t="shared" si="61"/>
        <v>0</v>
      </c>
      <c r="CO37" s="599">
        <f t="shared" si="61"/>
        <v>0</v>
      </c>
      <c r="CP37" s="599">
        <f t="shared" si="61"/>
        <v>0</v>
      </c>
      <c r="CQ37" s="599">
        <f t="shared" si="61"/>
        <v>0</v>
      </c>
      <c r="CR37" s="599">
        <f t="shared" si="61"/>
        <v>0</v>
      </c>
      <c r="CS37" s="599">
        <f t="shared" si="61"/>
        <v>0</v>
      </c>
      <c r="CT37" s="599">
        <f t="shared" si="61"/>
        <v>0</v>
      </c>
      <c r="CU37" s="599">
        <f t="shared" si="61"/>
        <v>0</v>
      </c>
      <c r="CV37" s="599">
        <f t="shared" si="61"/>
        <v>0</v>
      </c>
      <c r="CW37" s="599">
        <f t="shared" si="61"/>
        <v>0</v>
      </c>
      <c r="CX37" s="599">
        <f t="shared" si="61"/>
        <v>0</v>
      </c>
      <c r="CY37" s="599">
        <f t="shared" si="61"/>
        <v>0</v>
      </c>
      <c r="CZ37" s="599">
        <f t="shared" si="61"/>
        <v>0</v>
      </c>
      <c r="DA37" s="599">
        <f t="shared" si="61"/>
        <v>0</v>
      </c>
      <c r="DB37" s="599">
        <f t="shared" si="61"/>
        <v>0</v>
      </c>
      <c r="DC37" s="599">
        <f t="shared" si="61"/>
        <v>0</v>
      </c>
      <c r="DD37" s="599">
        <f t="shared" si="61"/>
        <v>0</v>
      </c>
      <c r="DE37" s="599">
        <f t="shared" si="61"/>
        <v>0</v>
      </c>
      <c r="DF37" s="599">
        <f t="shared" si="61"/>
        <v>0</v>
      </c>
      <c r="DG37" s="599">
        <f t="shared" si="61"/>
        <v>0</v>
      </c>
      <c r="DH37" s="599">
        <f t="shared" si="61"/>
        <v>0</v>
      </c>
      <c r="DI37" s="599">
        <f t="shared" si="61"/>
        <v>0</v>
      </c>
      <c r="DJ37" s="599">
        <f t="shared" si="61"/>
        <v>0</v>
      </c>
      <c r="DK37" s="599">
        <f t="shared" si="61"/>
        <v>0</v>
      </c>
      <c r="DL37" s="599">
        <f t="shared" si="61"/>
        <v>0</v>
      </c>
      <c r="DM37" s="599">
        <f t="shared" si="61"/>
        <v>0</v>
      </c>
      <c r="DN37" s="599">
        <f t="shared" si="61"/>
        <v>0</v>
      </c>
      <c r="DO37" s="599">
        <f t="shared" si="61"/>
        <v>0</v>
      </c>
      <c r="DP37" s="599">
        <f t="shared" si="61"/>
        <v>0</v>
      </c>
      <c r="DQ37" s="599">
        <f t="shared" si="61"/>
        <v>0</v>
      </c>
      <c r="DR37" s="599">
        <f t="shared" si="61"/>
        <v>0</v>
      </c>
      <c r="DS37" s="599">
        <f t="shared" si="61"/>
        <v>0</v>
      </c>
      <c r="DT37" s="599">
        <f t="shared" si="61"/>
        <v>0</v>
      </c>
      <c r="DU37" s="599">
        <f t="shared" si="61"/>
        <v>0</v>
      </c>
      <c r="DV37" s="599">
        <f t="shared" si="61"/>
        <v>0</v>
      </c>
      <c r="DW37" s="599">
        <f t="shared" si="61"/>
        <v>0</v>
      </c>
      <c r="DX37" s="599">
        <f t="shared" si="61"/>
        <v>0</v>
      </c>
      <c r="DY37" s="599">
        <f t="shared" si="61"/>
        <v>0</v>
      </c>
      <c r="DZ37" s="599">
        <f t="shared" ref="DZ37:EJ38" si="62">IF(DZ$5&gt;$E$4+12,0,IF(DZ$3&lt;$C$4,0,ROUNDUP(DZ$6*$C37,1)*$F37*(1+$G$10)^(DZ$4)))</f>
        <v>0</v>
      </c>
      <c r="EA37" s="599">
        <f t="shared" si="62"/>
        <v>0</v>
      </c>
      <c r="EB37" s="599">
        <f t="shared" si="62"/>
        <v>0</v>
      </c>
      <c r="EC37" s="599">
        <f t="shared" si="62"/>
        <v>0</v>
      </c>
      <c r="ED37" s="599">
        <f t="shared" si="62"/>
        <v>0</v>
      </c>
      <c r="EE37" s="599">
        <f t="shared" si="62"/>
        <v>0</v>
      </c>
      <c r="EF37" s="599">
        <f t="shared" si="62"/>
        <v>0</v>
      </c>
      <c r="EG37" s="599">
        <f t="shared" si="62"/>
        <v>0</v>
      </c>
      <c r="EH37" s="599">
        <f t="shared" si="62"/>
        <v>0</v>
      </c>
      <c r="EI37" s="599">
        <f t="shared" si="62"/>
        <v>0</v>
      </c>
      <c r="EJ37" s="1117">
        <f t="shared" si="62"/>
        <v>0</v>
      </c>
    </row>
    <row r="38" spans="1:141" ht="17.25" hidden="1" customHeight="1" x14ac:dyDescent="0.25">
      <c r="A38" s="6"/>
      <c r="B38" s="1019" t="str">
        <f>'Unit Mix'!C35</f>
        <v>Type (#BD/#BA)</v>
      </c>
      <c r="C38" s="1020">
        <f>'Unit Mix'!D35</f>
        <v>0</v>
      </c>
      <c r="D38" s="1021">
        <f>'Unit Mix'!E35</f>
        <v>0</v>
      </c>
      <c r="E38" s="1022">
        <f>'Unit Mix'!H35</f>
        <v>0</v>
      </c>
      <c r="F38" s="994">
        <f>'Unit Mix'!G35</f>
        <v>0</v>
      </c>
      <c r="G38" s="1073"/>
      <c r="H38" s="1118">
        <f t="shared" ref="H38:DY38" si="63">IF(H$5&gt;$E$4+12,0,IF(H$3&lt;$C$4,0,ROUNDUP(H$6*$C38,1)*$F38*(1+$G$10)^(H$4)))</f>
        <v>0</v>
      </c>
      <c r="I38" s="1119">
        <f t="shared" si="63"/>
        <v>0</v>
      </c>
      <c r="J38" s="1119">
        <f t="shared" si="63"/>
        <v>0</v>
      </c>
      <c r="K38" s="1119">
        <f t="shared" si="63"/>
        <v>0</v>
      </c>
      <c r="L38" s="1119">
        <f t="shared" si="63"/>
        <v>0</v>
      </c>
      <c r="M38" s="1119">
        <f t="shared" si="63"/>
        <v>0</v>
      </c>
      <c r="N38" s="1119">
        <f t="shared" si="63"/>
        <v>0</v>
      </c>
      <c r="O38" s="1119">
        <f t="shared" si="63"/>
        <v>0</v>
      </c>
      <c r="P38" s="1119">
        <f t="shared" si="63"/>
        <v>0</v>
      </c>
      <c r="Q38" s="1119">
        <f t="shared" si="63"/>
        <v>0</v>
      </c>
      <c r="R38" s="1119">
        <f t="shared" si="63"/>
        <v>0</v>
      </c>
      <c r="S38" s="1119">
        <f t="shared" si="63"/>
        <v>0</v>
      </c>
      <c r="T38" s="1119">
        <f t="shared" si="63"/>
        <v>0</v>
      </c>
      <c r="U38" s="1119">
        <f t="shared" si="63"/>
        <v>0</v>
      </c>
      <c r="V38" s="1119">
        <f t="shared" si="63"/>
        <v>0</v>
      </c>
      <c r="W38" s="1119">
        <f t="shared" si="63"/>
        <v>0</v>
      </c>
      <c r="X38" s="1119">
        <f t="shared" si="63"/>
        <v>0</v>
      </c>
      <c r="Y38" s="1119">
        <f t="shared" si="63"/>
        <v>0</v>
      </c>
      <c r="Z38" s="1119">
        <f t="shared" si="63"/>
        <v>0</v>
      </c>
      <c r="AA38" s="1119">
        <f t="shared" si="63"/>
        <v>0</v>
      </c>
      <c r="AB38" s="1119">
        <f t="shared" si="63"/>
        <v>0</v>
      </c>
      <c r="AC38" s="1119">
        <f t="shared" si="63"/>
        <v>0</v>
      </c>
      <c r="AD38" s="1119">
        <f t="shared" si="63"/>
        <v>0</v>
      </c>
      <c r="AE38" s="1119">
        <f t="shared" si="63"/>
        <v>0</v>
      </c>
      <c r="AF38" s="1119">
        <f t="shared" si="63"/>
        <v>0</v>
      </c>
      <c r="AG38" s="1119">
        <f t="shared" si="63"/>
        <v>0</v>
      </c>
      <c r="AH38" s="1119">
        <f t="shared" si="63"/>
        <v>0</v>
      </c>
      <c r="AI38" s="1119">
        <f t="shared" si="63"/>
        <v>0</v>
      </c>
      <c r="AJ38" s="1119">
        <f t="shared" si="63"/>
        <v>0</v>
      </c>
      <c r="AK38" s="1119">
        <f t="shared" si="63"/>
        <v>0</v>
      </c>
      <c r="AL38" s="1119">
        <f t="shared" si="63"/>
        <v>0</v>
      </c>
      <c r="AM38" s="1119">
        <f t="shared" si="63"/>
        <v>0</v>
      </c>
      <c r="AN38" s="1119">
        <f t="shared" si="63"/>
        <v>0</v>
      </c>
      <c r="AO38" s="1119">
        <f t="shared" si="63"/>
        <v>0</v>
      </c>
      <c r="AP38" s="1119">
        <f t="shared" si="63"/>
        <v>0</v>
      </c>
      <c r="AQ38" s="1119">
        <f t="shared" si="63"/>
        <v>0</v>
      </c>
      <c r="AR38" s="1119">
        <f t="shared" si="63"/>
        <v>0</v>
      </c>
      <c r="AS38" s="1119">
        <f t="shared" si="63"/>
        <v>0</v>
      </c>
      <c r="AT38" s="1119">
        <f t="shared" si="63"/>
        <v>0</v>
      </c>
      <c r="AU38" s="1119">
        <f t="shared" si="63"/>
        <v>0</v>
      </c>
      <c r="AV38" s="1119">
        <f t="shared" si="63"/>
        <v>0</v>
      </c>
      <c r="AW38" s="1119">
        <f t="shared" si="63"/>
        <v>0</v>
      </c>
      <c r="AX38" s="1119">
        <f t="shared" si="63"/>
        <v>0</v>
      </c>
      <c r="AY38" s="1119">
        <f t="shared" si="63"/>
        <v>0</v>
      </c>
      <c r="AZ38" s="1119">
        <f t="shared" si="63"/>
        <v>0</v>
      </c>
      <c r="BA38" s="1119">
        <f t="shared" si="63"/>
        <v>0</v>
      </c>
      <c r="BB38" s="1119">
        <f t="shared" si="63"/>
        <v>0</v>
      </c>
      <c r="BC38" s="1119">
        <f t="shared" si="63"/>
        <v>0</v>
      </c>
      <c r="BD38" s="1119">
        <f t="shared" si="63"/>
        <v>0</v>
      </c>
      <c r="BE38" s="1119">
        <f t="shared" si="63"/>
        <v>0</v>
      </c>
      <c r="BF38" s="1119">
        <f t="shared" si="63"/>
        <v>0</v>
      </c>
      <c r="BG38" s="1119">
        <f t="shared" si="63"/>
        <v>0</v>
      </c>
      <c r="BH38" s="1119">
        <f t="shared" si="63"/>
        <v>0</v>
      </c>
      <c r="BI38" s="1119">
        <f t="shared" si="63"/>
        <v>0</v>
      </c>
      <c r="BJ38" s="1119">
        <f t="shared" si="63"/>
        <v>0</v>
      </c>
      <c r="BK38" s="1119">
        <f t="shared" si="63"/>
        <v>0</v>
      </c>
      <c r="BL38" s="1119">
        <f t="shared" si="63"/>
        <v>0</v>
      </c>
      <c r="BM38" s="1119">
        <f t="shared" si="63"/>
        <v>0</v>
      </c>
      <c r="BN38" s="1119">
        <f t="shared" si="63"/>
        <v>0</v>
      </c>
      <c r="BO38" s="1119">
        <f t="shared" si="63"/>
        <v>0</v>
      </c>
      <c r="BP38" s="1119">
        <f t="shared" si="63"/>
        <v>0</v>
      </c>
      <c r="BQ38" s="1119">
        <f t="shared" si="63"/>
        <v>0</v>
      </c>
      <c r="BR38" s="1119">
        <f t="shared" si="63"/>
        <v>0</v>
      </c>
      <c r="BS38" s="1119">
        <f t="shared" si="63"/>
        <v>0</v>
      </c>
      <c r="BT38" s="1119">
        <f t="shared" si="63"/>
        <v>0</v>
      </c>
      <c r="BU38" s="1119">
        <f t="shared" si="63"/>
        <v>0</v>
      </c>
      <c r="BV38" s="1119">
        <f t="shared" si="63"/>
        <v>0</v>
      </c>
      <c r="BW38" s="1119">
        <f t="shared" si="63"/>
        <v>0</v>
      </c>
      <c r="BX38" s="1119">
        <f t="shared" si="63"/>
        <v>0</v>
      </c>
      <c r="BY38" s="1119">
        <f t="shared" si="63"/>
        <v>0</v>
      </c>
      <c r="BZ38" s="1119">
        <f t="shared" si="63"/>
        <v>0</v>
      </c>
      <c r="CA38" s="1119">
        <f t="shared" si="63"/>
        <v>0</v>
      </c>
      <c r="CB38" s="1119">
        <f t="shared" si="63"/>
        <v>0</v>
      </c>
      <c r="CC38" s="1119">
        <f t="shared" si="63"/>
        <v>0</v>
      </c>
      <c r="CD38" s="1119">
        <f t="shared" si="63"/>
        <v>0</v>
      </c>
      <c r="CE38" s="1119">
        <f t="shared" si="63"/>
        <v>0</v>
      </c>
      <c r="CF38" s="1119">
        <f t="shared" si="63"/>
        <v>0</v>
      </c>
      <c r="CG38" s="1119">
        <f t="shared" si="63"/>
        <v>0</v>
      </c>
      <c r="CH38" s="1119">
        <f t="shared" si="63"/>
        <v>0</v>
      </c>
      <c r="CI38" s="1119">
        <f t="shared" si="63"/>
        <v>0</v>
      </c>
      <c r="CJ38" s="1119">
        <f t="shared" si="63"/>
        <v>0</v>
      </c>
      <c r="CK38" s="1119">
        <f t="shared" si="63"/>
        <v>0</v>
      </c>
      <c r="CL38" s="1119">
        <f t="shared" si="63"/>
        <v>0</v>
      </c>
      <c r="CM38" s="1119">
        <f t="shared" si="63"/>
        <v>0</v>
      </c>
      <c r="CN38" s="1119">
        <f t="shared" si="63"/>
        <v>0</v>
      </c>
      <c r="CO38" s="1119">
        <f t="shared" si="63"/>
        <v>0</v>
      </c>
      <c r="CP38" s="1119">
        <f t="shared" si="63"/>
        <v>0</v>
      </c>
      <c r="CQ38" s="1119">
        <f t="shared" si="63"/>
        <v>0</v>
      </c>
      <c r="CR38" s="1119">
        <f t="shared" si="63"/>
        <v>0</v>
      </c>
      <c r="CS38" s="1119">
        <f t="shared" si="63"/>
        <v>0</v>
      </c>
      <c r="CT38" s="1119">
        <f t="shared" si="63"/>
        <v>0</v>
      </c>
      <c r="CU38" s="1119">
        <f t="shared" si="63"/>
        <v>0</v>
      </c>
      <c r="CV38" s="1119">
        <f t="shared" si="63"/>
        <v>0</v>
      </c>
      <c r="CW38" s="1119">
        <f t="shared" si="63"/>
        <v>0</v>
      </c>
      <c r="CX38" s="1119">
        <f t="shared" si="63"/>
        <v>0</v>
      </c>
      <c r="CY38" s="1119">
        <f t="shared" si="63"/>
        <v>0</v>
      </c>
      <c r="CZ38" s="1119">
        <f t="shared" si="63"/>
        <v>0</v>
      </c>
      <c r="DA38" s="1119">
        <f t="shared" si="63"/>
        <v>0</v>
      </c>
      <c r="DB38" s="1119">
        <f t="shared" si="63"/>
        <v>0</v>
      </c>
      <c r="DC38" s="1119">
        <f t="shared" si="63"/>
        <v>0</v>
      </c>
      <c r="DD38" s="1119">
        <f t="shared" si="63"/>
        <v>0</v>
      </c>
      <c r="DE38" s="1119">
        <f t="shared" si="63"/>
        <v>0</v>
      </c>
      <c r="DF38" s="1119">
        <f t="shared" si="63"/>
        <v>0</v>
      </c>
      <c r="DG38" s="1119">
        <f t="shared" si="63"/>
        <v>0</v>
      </c>
      <c r="DH38" s="1119">
        <f t="shared" si="63"/>
        <v>0</v>
      </c>
      <c r="DI38" s="1119">
        <f t="shared" si="63"/>
        <v>0</v>
      </c>
      <c r="DJ38" s="1119">
        <f t="shared" si="63"/>
        <v>0</v>
      </c>
      <c r="DK38" s="1119">
        <f t="shared" si="63"/>
        <v>0</v>
      </c>
      <c r="DL38" s="1119">
        <f t="shared" si="63"/>
        <v>0</v>
      </c>
      <c r="DM38" s="1119">
        <f t="shared" si="63"/>
        <v>0</v>
      </c>
      <c r="DN38" s="1119">
        <f t="shared" si="63"/>
        <v>0</v>
      </c>
      <c r="DO38" s="1119">
        <f t="shared" si="63"/>
        <v>0</v>
      </c>
      <c r="DP38" s="1119">
        <f t="shared" si="63"/>
        <v>0</v>
      </c>
      <c r="DQ38" s="1119">
        <f t="shared" si="63"/>
        <v>0</v>
      </c>
      <c r="DR38" s="1119">
        <f t="shared" si="63"/>
        <v>0</v>
      </c>
      <c r="DS38" s="1119">
        <f t="shared" si="63"/>
        <v>0</v>
      </c>
      <c r="DT38" s="1119">
        <f t="shared" si="63"/>
        <v>0</v>
      </c>
      <c r="DU38" s="1119">
        <f t="shared" si="63"/>
        <v>0</v>
      </c>
      <c r="DV38" s="1119">
        <f t="shared" si="63"/>
        <v>0</v>
      </c>
      <c r="DW38" s="1119">
        <f t="shared" si="63"/>
        <v>0</v>
      </c>
      <c r="DX38" s="1119">
        <f t="shared" si="63"/>
        <v>0</v>
      </c>
      <c r="DY38" s="1119">
        <f t="shared" si="63"/>
        <v>0</v>
      </c>
      <c r="DZ38" s="1119">
        <f t="shared" si="62"/>
        <v>0</v>
      </c>
      <c r="EA38" s="1119">
        <f t="shared" si="62"/>
        <v>0</v>
      </c>
      <c r="EB38" s="1119">
        <f t="shared" si="62"/>
        <v>0</v>
      </c>
      <c r="EC38" s="1119">
        <f t="shared" si="62"/>
        <v>0</v>
      </c>
      <c r="ED38" s="1119">
        <f t="shared" si="62"/>
        <v>0</v>
      </c>
      <c r="EE38" s="1119">
        <f t="shared" si="62"/>
        <v>0</v>
      </c>
      <c r="EF38" s="1119">
        <f t="shared" si="62"/>
        <v>0</v>
      </c>
      <c r="EG38" s="1119">
        <f t="shared" si="62"/>
        <v>0</v>
      </c>
      <c r="EH38" s="1119">
        <f t="shared" si="62"/>
        <v>0</v>
      </c>
      <c r="EI38" s="1119">
        <f t="shared" si="62"/>
        <v>0</v>
      </c>
      <c r="EJ38" s="1120">
        <f t="shared" si="62"/>
        <v>0</v>
      </c>
    </row>
    <row r="39" spans="1:141" ht="17.25" customHeight="1" x14ac:dyDescent="0.25">
      <c r="A39" s="6"/>
      <c r="B39" s="1023" t="s">
        <v>645</v>
      </c>
      <c r="C39" s="1024">
        <f>ROUND(SUM(C10:C38),0)</f>
        <v>82</v>
      </c>
      <c r="D39" s="1025">
        <f>SUMPRODUCT(C10:C38,D10:D38)</f>
        <v>51887.79</v>
      </c>
      <c r="E39" s="1025"/>
      <c r="F39" s="1026">
        <f>SUMPRODUCT(C10:C38,F10:F38)</f>
        <v>210040</v>
      </c>
      <c r="G39" s="1074"/>
      <c r="H39" s="1121">
        <f t="shared" ref="H39:DX39" si="64">SUM(H10:H38)</f>
        <v>0</v>
      </c>
      <c r="I39" s="1122">
        <f t="shared" si="64"/>
        <v>0</v>
      </c>
      <c r="J39" s="1122">
        <f t="shared" si="64"/>
        <v>0</v>
      </c>
      <c r="K39" s="1122">
        <f t="shared" si="64"/>
        <v>0</v>
      </c>
      <c r="L39" s="1122">
        <f t="shared" si="64"/>
        <v>0</v>
      </c>
      <c r="M39" s="1122">
        <f t="shared" si="64"/>
        <v>0</v>
      </c>
      <c r="N39" s="1122">
        <f t="shared" si="64"/>
        <v>0</v>
      </c>
      <c r="O39" s="1122">
        <f t="shared" si="64"/>
        <v>0</v>
      </c>
      <c r="P39" s="1122">
        <f t="shared" si="64"/>
        <v>0</v>
      </c>
      <c r="Q39" s="1122">
        <f t="shared" si="64"/>
        <v>0</v>
      </c>
      <c r="R39" s="1122">
        <f t="shared" si="64"/>
        <v>0</v>
      </c>
      <c r="S39" s="1122">
        <f t="shared" si="64"/>
        <v>0</v>
      </c>
      <c r="T39" s="1122">
        <f t="shared" si="64"/>
        <v>0</v>
      </c>
      <c r="U39" s="1122">
        <f t="shared" si="64"/>
        <v>0</v>
      </c>
      <c r="V39" s="1122">
        <f t="shared" si="64"/>
        <v>0</v>
      </c>
      <c r="W39" s="1122">
        <f t="shared" si="64"/>
        <v>0</v>
      </c>
      <c r="X39" s="1122">
        <f t="shared" si="64"/>
        <v>0</v>
      </c>
      <c r="Y39" s="1122">
        <f t="shared" si="64"/>
        <v>0</v>
      </c>
      <c r="Z39" s="1122">
        <f t="shared" si="64"/>
        <v>0</v>
      </c>
      <c r="AA39" s="1122">
        <f t="shared" si="64"/>
        <v>0</v>
      </c>
      <c r="AB39" s="1122">
        <f t="shared" si="64"/>
        <v>0</v>
      </c>
      <c r="AC39" s="1122">
        <f t="shared" si="64"/>
        <v>0</v>
      </c>
      <c r="AD39" s="1122">
        <f t="shared" si="64"/>
        <v>0</v>
      </c>
      <c r="AE39" s="1122">
        <f t="shared" si="64"/>
        <v>0</v>
      </c>
      <c r="AF39" s="1122">
        <f t="shared" si="64"/>
        <v>0</v>
      </c>
      <c r="AG39" s="1122">
        <f t="shared" si="64"/>
        <v>22574.132556499997</v>
      </c>
      <c r="AH39" s="1122">
        <f t="shared" si="64"/>
        <v>44875.629726499996</v>
      </c>
      <c r="AI39" s="1122">
        <f t="shared" si="64"/>
        <v>67449.762283000004</v>
      </c>
      <c r="AJ39" s="1122">
        <f t="shared" si="64"/>
        <v>89751.259453000006</v>
      </c>
      <c r="AK39" s="1122">
        <f t="shared" si="64"/>
        <v>111703.19007300001</v>
      </c>
      <c r="AL39" s="1122">
        <f t="shared" si="64"/>
        <v>134277.32262950001</v>
      </c>
      <c r="AM39" s="1122">
        <f t="shared" si="64"/>
        <v>156578.81979950002</v>
      </c>
      <c r="AN39" s="1122">
        <f t="shared" si="64"/>
        <v>178880.31696950001</v>
      </c>
      <c r="AO39" s="1122">
        <f t="shared" si="64"/>
        <v>200887.97666649998</v>
      </c>
      <c r="AP39" s="1122">
        <f t="shared" si="64"/>
        <v>223189.47383649996</v>
      </c>
      <c r="AQ39" s="1122">
        <f t="shared" si="64"/>
        <v>228467.67943000002</v>
      </c>
      <c r="AR39" s="1122">
        <f t="shared" si="64"/>
        <v>228467.67943000002</v>
      </c>
      <c r="AS39" s="1122">
        <f t="shared" si="64"/>
        <v>235321.70981289996</v>
      </c>
      <c r="AT39" s="1122">
        <f t="shared" si="64"/>
        <v>235321.70981289996</v>
      </c>
      <c r="AU39" s="1122">
        <f t="shared" si="64"/>
        <v>235321.70981289996</v>
      </c>
      <c r="AV39" s="1122">
        <f t="shared" si="64"/>
        <v>235321.70981289996</v>
      </c>
      <c r="AW39" s="1122">
        <f t="shared" si="64"/>
        <v>235321.70981289996</v>
      </c>
      <c r="AX39" s="1122">
        <f t="shared" si="64"/>
        <v>235321.70981289996</v>
      </c>
      <c r="AY39" s="1122">
        <f t="shared" si="64"/>
        <v>235321.70981289996</v>
      </c>
      <c r="AZ39" s="1122">
        <f t="shared" si="64"/>
        <v>235321.70981289996</v>
      </c>
      <c r="BA39" s="1122">
        <f t="shared" si="64"/>
        <v>235321.70981289996</v>
      </c>
      <c r="BB39" s="1122">
        <f t="shared" si="64"/>
        <v>235321.70981289996</v>
      </c>
      <c r="BC39" s="1122">
        <f t="shared" si="64"/>
        <v>235321.70981289996</v>
      </c>
      <c r="BD39" s="1122">
        <f t="shared" si="64"/>
        <v>235321.70981289996</v>
      </c>
      <c r="BE39" s="1122">
        <f t="shared" si="64"/>
        <v>242381.36110728697</v>
      </c>
      <c r="BF39" s="1122">
        <f t="shared" si="64"/>
        <v>242381.36110728697</v>
      </c>
      <c r="BG39" s="1122">
        <f t="shared" si="64"/>
        <v>242381.36110728697</v>
      </c>
      <c r="BH39" s="1122">
        <f t="shared" si="64"/>
        <v>242381.36110728697</v>
      </c>
      <c r="BI39" s="1122">
        <f t="shared" si="64"/>
        <v>242381.36110728697</v>
      </c>
      <c r="BJ39" s="1122">
        <f t="shared" si="64"/>
        <v>242381.36110728697</v>
      </c>
      <c r="BK39" s="1122">
        <f t="shared" si="64"/>
        <v>242381.36110728697</v>
      </c>
      <c r="BL39" s="1122">
        <f t="shared" si="64"/>
        <v>242381.36110728697</v>
      </c>
      <c r="BM39" s="1122">
        <f t="shared" si="64"/>
        <v>242381.36110728697</v>
      </c>
      <c r="BN39" s="1122">
        <f t="shared" si="64"/>
        <v>242381.36110728697</v>
      </c>
      <c r="BO39" s="1122">
        <f t="shared" si="64"/>
        <v>242381.36110728697</v>
      </c>
      <c r="BP39" s="1122">
        <f t="shared" si="64"/>
        <v>242381.36110728697</v>
      </c>
      <c r="BQ39" s="1122">
        <f t="shared" si="64"/>
        <v>249652.80194050557</v>
      </c>
      <c r="BR39" s="1122">
        <f t="shared" si="64"/>
        <v>249652.80194050557</v>
      </c>
      <c r="BS39" s="1122">
        <f t="shared" si="64"/>
        <v>249652.80194050557</v>
      </c>
      <c r="BT39" s="1122">
        <f t="shared" si="64"/>
        <v>249652.80194050557</v>
      </c>
      <c r="BU39" s="1122">
        <f t="shared" si="64"/>
        <v>249652.80194050557</v>
      </c>
      <c r="BV39" s="1122">
        <f t="shared" si="64"/>
        <v>249652.80194050557</v>
      </c>
      <c r="BW39" s="1122">
        <f t="shared" si="64"/>
        <v>249652.80194050557</v>
      </c>
      <c r="BX39" s="1122">
        <f t="shared" si="64"/>
        <v>249652.80194050557</v>
      </c>
      <c r="BY39" s="1122">
        <f t="shared" si="64"/>
        <v>249652.80194050557</v>
      </c>
      <c r="BZ39" s="1122">
        <f t="shared" si="64"/>
        <v>249652.80194050557</v>
      </c>
      <c r="CA39" s="1122">
        <f t="shared" si="64"/>
        <v>249652.80194050557</v>
      </c>
      <c r="CB39" s="1122">
        <f t="shared" si="64"/>
        <v>249652.80194050557</v>
      </c>
      <c r="CC39" s="1122">
        <f t="shared" si="64"/>
        <v>0</v>
      </c>
      <c r="CD39" s="1122">
        <f t="shared" si="64"/>
        <v>0</v>
      </c>
      <c r="CE39" s="1122">
        <f t="shared" si="64"/>
        <v>0</v>
      </c>
      <c r="CF39" s="1122">
        <f t="shared" si="64"/>
        <v>0</v>
      </c>
      <c r="CG39" s="1122">
        <f t="shared" si="64"/>
        <v>0</v>
      </c>
      <c r="CH39" s="1122">
        <f t="shared" si="64"/>
        <v>0</v>
      </c>
      <c r="CI39" s="1122">
        <f t="shared" si="64"/>
        <v>0</v>
      </c>
      <c r="CJ39" s="1122">
        <f t="shared" si="64"/>
        <v>0</v>
      </c>
      <c r="CK39" s="1122">
        <f t="shared" si="64"/>
        <v>0</v>
      </c>
      <c r="CL39" s="1122">
        <f t="shared" si="64"/>
        <v>0</v>
      </c>
      <c r="CM39" s="1122">
        <f t="shared" si="64"/>
        <v>0</v>
      </c>
      <c r="CN39" s="1122">
        <f t="shared" si="64"/>
        <v>0</v>
      </c>
      <c r="CO39" s="1122">
        <f t="shared" si="64"/>
        <v>0</v>
      </c>
      <c r="CP39" s="1122">
        <f t="shared" si="64"/>
        <v>0</v>
      </c>
      <c r="CQ39" s="1122">
        <f t="shared" si="64"/>
        <v>0</v>
      </c>
      <c r="CR39" s="1122">
        <f t="shared" si="64"/>
        <v>0</v>
      </c>
      <c r="CS39" s="1122">
        <f t="shared" si="64"/>
        <v>0</v>
      </c>
      <c r="CT39" s="1122">
        <f t="shared" si="64"/>
        <v>0</v>
      </c>
      <c r="CU39" s="1122">
        <f t="shared" si="64"/>
        <v>0</v>
      </c>
      <c r="CV39" s="1122">
        <f t="shared" si="64"/>
        <v>0</v>
      </c>
      <c r="CW39" s="1122">
        <f t="shared" si="64"/>
        <v>0</v>
      </c>
      <c r="CX39" s="1122">
        <f t="shared" si="64"/>
        <v>0</v>
      </c>
      <c r="CY39" s="1122">
        <f t="shared" si="64"/>
        <v>0</v>
      </c>
      <c r="CZ39" s="1122">
        <f t="shared" si="64"/>
        <v>0</v>
      </c>
      <c r="DA39" s="1122">
        <f t="shared" si="64"/>
        <v>0</v>
      </c>
      <c r="DB39" s="1122">
        <f t="shared" si="64"/>
        <v>0</v>
      </c>
      <c r="DC39" s="1122">
        <f t="shared" si="64"/>
        <v>0</v>
      </c>
      <c r="DD39" s="1122">
        <f t="shared" si="64"/>
        <v>0</v>
      </c>
      <c r="DE39" s="1122">
        <f t="shared" si="64"/>
        <v>0</v>
      </c>
      <c r="DF39" s="1122">
        <f t="shared" si="64"/>
        <v>0</v>
      </c>
      <c r="DG39" s="1122">
        <f t="shared" si="64"/>
        <v>0</v>
      </c>
      <c r="DH39" s="1122">
        <f t="shared" si="64"/>
        <v>0</v>
      </c>
      <c r="DI39" s="1122">
        <f t="shared" si="64"/>
        <v>0</v>
      </c>
      <c r="DJ39" s="1122">
        <f t="shared" si="64"/>
        <v>0</v>
      </c>
      <c r="DK39" s="1122">
        <f t="shared" si="64"/>
        <v>0</v>
      </c>
      <c r="DL39" s="1122">
        <f t="shared" si="64"/>
        <v>0</v>
      </c>
      <c r="DM39" s="1122">
        <f t="shared" si="64"/>
        <v>0</v>
      </c>
      <c r="DN39" s="1122">
        <f t="shared" si="64"/>
        <v>0</v>
      </c>
      <c r="DO39" s="1122">
        <f t="shared" si="64"/>
        <v>0</v>
      </c>
      <c r="DP39" s="1122">
        <f t="shared" si="64"/>
        <v>0</v>
      </c>
      <c r="DQ39" s="1122">
        <f t="shared" si="64"/>
        <v>0</v>
      </c>
      <c r="DR39" s="1122">
        <f t="shared" si="64"/>
        <v>0</v>
      </c>
      <c r="DS39" s="1122">
        <f t="shared" si="64"/>
        <v>0</v>
      </c>
      <c r="DT39" s="1122">
        <f t="shared" si="64"/>
        <v>0</v>
      </c>
      <c r="DU39" s="1122">
        <f t="shared" si="64"/>
        <v>0</v>
      </c>
      <c r="DV39" s="1122">
        <f t="shared" si="64"/>
        <v>0</v>
      </c>
      <c r="DW39" s="1122">
        <f t="shared" si="64"/>
        <v>0</v>
      </c>
      <c r="DX39" s="1122">
        <f t="shared" si="64"/>
        <v>0</v>
      </c>
      <c r="DY39" s="1122">
        <f t="shared" ref="DY39:EJ39" si="65">SUM(DY10:DY38)</f>
        <v>0</v>
      </c>
      <c r="DZ39" s="1122">
        <f t="shared" si="65"/>
        <v>0</v>
      </c>
      <c r="EA39" s="1122">
        <f t="shared" si="65"/>
        <v>0</v>
      </c>
      <c r="EB39" s="1122">
        <f t="shared" si="65"/>
        <v>0</v>
      </c>
      <c r="EC39" s="1122">
        <f t="shared" si="65"/>
        <v>0</v>
      </c>
      <c r="ED39" s="1122">
        <f t="shared" si="65"/>
        <v>0</v>
      </c>
      <c r="EE39" s="1122">
        <f t="shared" si="65"/>
        <v>0</v>
      </c>
      <c r="EF39" s="1122">
        <f t="shared" si="65"/>
        <v>0</v>
      </c>
      <c r="EG39" s="1122">
        <f t="shared" si="65"/>
        <v>0</v>
      </c>
      <c r="EH39" s="1122">
        <f t="shared" si="65"/>
        <v>0</v>
      </c>
      <c r="EI39" s="1122">
        <f t="shared" si="65"/>
        <v>0</v>
      </c>
      <c r="EJ39" s="1123">
        <f t="shared" si="65"/>
        <v>0</v>
      </c>
    </row>
    <row r="40" spans="1:141" ht="15.75" customHeight="1" x14ac:dyDescent="0.25">
      <c r="A40" s="6"/>
      <c r="B40" s="1027" t="s">
        <v>646</v>
      </c>
      <c r="C40" s="1028"/>
      <c r="D40" s="1029">
        <f>'Unit Mix'!E36</f>
        <v>632.77792682926827</v>
      </c>
      <c r="E40" s="1030">
        <f>'Unit Mix'!H36</f>
        <v>4.0479658123809097</v>
      </c>
      <c r="F40" s="1031">
        <f>'Unit Mix'!G36</f>
        <v>2561.4634146341464</v>
      </c>
      <c r="G40" s="999"/>
      <c r="H40" s="1115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1116"/>
      <c r="AG40" s="599"/>
      <c r="AH40" s="599"/>
      <c r="AI40" s="599"/>
      <c r="AJ40" s="599"/>
      <c r="AK40" s="599"/>
      <c r="AL40" s="599"/>
      <c r="AM40" s="599"/>
      <c r="AN40" s="599"/>
      <c r="AO40" s="599"/>
      <c r="AP40" s="599"/>
      <c r="AQ40" s="1116"/>
      <c r="AR40" s="1116"/>
      <c r="AS40" s="599"/>
      <c r="AT40" s="599"/>
      <c r="AU40" s="599"/>
      <c r="AV40" s="599"/>
      <c r="AW40" s="599"/>
      <c r="AX40" s="599"/>
      <c r="AY40" s="599"/>
      <c r="AZ40" s="599"/>
      <c r="BA40" s="599"/>
      <c r="BB40" s="599"/>
      <c r="BC40" s="599"/>
      <c r="BD40" s="599"/>
      <c r="BE40" s="599"/>
      <c r="BF40" s="599"/>
      <c r="BG40" s="599"/>
      <c r="BH40" s="599"/>
      <c r="BI40" s="599"/>
      <c r="BJ40" s="599"/>
      <c r="BK40" s="599"/>
      <c r="BL40" s="599"/>
      <c r="BM40" s="599"/>
      <c r="BN40" s="599"/>
      <c r="BO40" s="1116"/>
      <c r="BP40" s="1116"/>
      <c r="BQ40" s="1116"/>
      <c r="BR40" s="1116"/>
      <c r="BS40" s="1116"/>
      <c r="BT40" s="1116"/>
      <c r="BU40" s="1116"/>
      <c r="BV40" s="1116"/>
      <c r="BW40" s="1116"/>
      <c r="BX40" s="1116"/>
      <c r="BY40" s="1116"/>
      <c r="BZ40" s="1116"/>
      <c r="CA40" s="1116"/>
      <c r="CB40" s="1116"/>
      <c r="CC40" s="1116"/>
      <c r="CD40" s="1116"/>
      <c r="CE40" s="1116"/>
      <c r="CF40" s="1116"/>
      <c r="CG40" s="1116"/>
      <c r="CH40" s="1116"/>
      <c r="CI40" s="1116"/>
      <c r="CJ40" s="1116"/>
      <c r="CK40" s="1116"/>
      <c r="CL40" s="1116"/>
      <c r="CM40" s="1116"/>
      <c r="CN40" s="1116"/>
      <c r="CO40" s="1116"/>
      <c r="CP40" s="1116"/>
      <c r="CQ40" s="1116"/>
      <c r="CR40" s="1116"/>
      <c r="CS40" s="1116"/>
      <c r="CT40" s="1116"/>
      <c r="CU40" s="1116"/>
      <c r="CV40" s="1116"/>
      <c r="CW40" s="1116"/>
      <c r="CX40" s="1116"/>
      <c r="CY40" s="1116"/>
      <c r="CZ40" s="1116"/>
      <c r="DA40" s="1116"/>
      <c r="DB40" s="1116"/>
      <c r="DC40" s="1116"/>
      <c r="DD40" s="1116"/>
      <c r="DE40" s="1116"/>
      <c r="DF40" s="1116"/>
      <c r="DG40" s="1116"/>
      <c r="DH40" s="1116"/>
      <c r="DI40" s="1116"/>
      <c r="DJ40" s="1116"/>
      <c r="DK40" s="1116"/>
      <c r="DL40" s="1116"/>
      <c r="DM40" s="1116"/>
      <c r="DN40" s="1116"/>
      <c r="DO40" s="1116"/>
      <c r="DP40" s="1116"/>
      <c r="DQ40" s="1116"/>
      <c r="DR40" s="1116"/>
      <c r="DS40" s="1116"/>
      <c r="DT40" s="1116"/>
      <c r="DU40" s="1116"/>
      <c r="DV40" s="1116"/>
      <c r="DW40" s="1116"/>
      <c r="DX40" s="1116"/>
      <c r="DY40" s="1116"/>
      <c r="DZ40" s="1116"/>
      <c r="EA40" s="1116"/>
      <c r="EB40" s="1116"/>
      <c r="EC40" s="1116"/>
      <c r="ED40" s="1116"/>
      <c r="EE40" s="1116"/>
      <c r="EF40" s="1116"/>
      <c r="EG40" s="1116"/>
      <c r="EH40" s="1116"/>
      <c r="EI40" s="1116"/>
      <c r="EJ40" s="1124"/>
    </row>
    <row r="41" spans="1:141" ht="15.75" customHeight="1" x14ac:dyDescent="0.25">
      <c r="A41" s="6"/>
      <c r="B41" s="1027"/>
      <c r="C41" s="999"/>
      <c r="D41" s="1029"/>
      <c r="E41" s="1032"/>
      <c r="F41" s="1033"/>
      <c r="G41" s="999"/>
      <c r="H41" s="1115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599"/>
      <c r="AJ41" s="599"/>
      <c r="AK41" s="599"/>
      <c r="AL41" s="599"/>
      <c r="AM41" s="599"/>
      <c r="AN41" s="599"/>
      <c r="AO41" s="599"/>
      <c r="AP41" s="599"/>
      <c r="AQ41" s="599"/>
      <c r="AR41" s="599"/>
      <c r="AS41" s="599"/>
      <c r="AT41" s="599"/>
      <c r="AU41" s="599"/>
      <c r="AV41" s="599"/>
      <c r="AW41" s="599"/>
      <c r="AX41" s="599"/>
      <c r="AY41" s="599"/>
      <c r="AZ41" s="599"/>
      <c r="BA41" s="599"/>
      <c r="BB41" s="599"/>
      <c r="BC41" s="599"/>
      <c r="BD41" s="599"/>
      <c r="BE41" s="599"/>
      <c r="BF41" s="599"/>
      <c r="BG41" s="599"/>
      <c r="BH41" s="599"/>
      <c r="BI41" s="599"/>
      <c r="BJ41" s="599"/>
      <c r="BK41" s="599"/>
      <c r="BL41" s="599"/>
      <c r="BM41" s="599"/>
      <c r="BN41" s="599"/>
      <c r="BO41" s="1116"/>
      <c r="BP41" s="1116"/>
      <c r="BQ41" s="1116"/>
      <c r="BR41" s="1116"/>
      <c r="BS41" s="1116"/>
      <c r="BT41" s="1116"/>
      <c r="BU41" s="1116"/>
      <c r="BV41" s="1116"/>
      <c r="BW41" s="1116"/>
      <c r="BX41" s="1116"/>
      <c r="BY41" s="1116"/>
      <c r="BZ41" s="1116"/>
      <c r="CA41" s="1116"/>
      <c r="CB41" s="1116"/>
      <c r="CC41" s="1116"/>
      <c r="CD41" s="1116"/>
      <c r="CE41" s="1116"/>
      <c r="CF41" s="1116"/>
      <c r="CG41" s="1116"/>
      <c r="CH41" s="1116"/>
      <c r="CI41" s="1116"/>
      <c r="CJ41" s="1116"/>
      <c r="CK41" s="1116"/>
      <c r="CL41" s="1116"/>
      <c r="CM41" s="1116"/>
      <c r="CN41" s="1116"/>
      <c r="CO41" s="1116"/>
      <c r="CP41" s="1116"/>
      <c r="CQ41" s="1116"/>
      <c r="CR41" s="1116"/>
      <c r="CS41" s="1116"/>
      <c r="CT41" s="1116"/>
      <c r="CU41" s="1116"/>
      <c r="CV41" s="1116"/>
      <c r="CW41" s="1116"/>
      <c r="CX41" s="1116"/>
      <c r="CY41" s="1116"/>
      <c r="CZ41" s="1116"/>
      <c r="DA41" s="1116"/>
      <c r="DB41" s="1116"/>
      <c r="DC41" s="1116"/>
      <c r="DD41" s="1116"/>
      <c r="DE41" s="1116"/>
      <c r="DF41" s="1116"/>
      <c r="DG41" s="1116"/>
      <c r="DH41" s="1116"/>
      <c r="DI41" s="1116"/>
      <c r="DJ41" s="1116"/>
      <c r="DK41" s="1116"/>
      <c r="DL41" s="1116"/>
      <c r="DM41" s="1116"/>
      <c r="DN41" s="1116"/>
      <c r="DO41" s="1116"/>
      <c r="DP41" s="1116"/>
      <c r="DQ41" s="1116"/>
      <c r="DR41" s="1116"/>
      <c r="DS41" s="1116"/>
      <c r="DT41" s="1116"/>
      <c r="DU41" s="1116"/>
      <c r="DV41" s="1116"/>
      <c r="DW41" s="1116"/>
      <c r="DX41" s="1116"/>
      <c r="DY41" s="1116"/>
      <c r="DZ41" s="1116"/>
      <c r="EA41" s="1116"/>
      <c r="EB41" s="1116"/>
      <c r="EC41" s="1116"/>
      <c r="ED41" s="1116"/>
      <c r="EE41" s="1116"/>
      <c r="EF41" s="1116"/>
      <c r="EG41" s="1116"/>
      <c r="EH41" s="1116"/>
      <c r="EI41" s="1116"/>
      <c r="EJ41" s="1124"/>
    </row>
    <row r="42" spans="1:141" ht="15.75" customHeight="1" x14ac:dyDescent="0.25">
      <c r="A42" s="6"/>
      <c r="B42" s="1012" t="s">
        <v>71</v>
      </c>
      <c r="C42" s="999"/>
      <c r="D42" s="1034" t="s">
        <v>53</v>
      </c>
      <c r="E42" s="1005" t="s">
        <v>293</v>
      </c>
      <c r="F42" s="1005" t="s">
        <v>294</v>
      </c>
      <c r="G42" s="999"/>
      <c r="H42" s="1115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599"/>
      <c r="Z42" s="599"/>
      <c r="AA42" s="599"/>
      <c r="AB42" s="599"/>
      <c r="AC42" s="599"/>
      <c r="AD42" s="599"/>
      <c r="AE42" s="599"/>
      <c r="AF42" s="599"/>
      <c r="AG42" s="599"/>
      <c r="AH42" s="599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1116"/>
      <c r="AT42" s="599"/>
      <c r="AU42" s="599"/>
      <c r="AV42" s="599"/>
      <c r="AW42" s="599"/>
      <c r="AX42" s="599"/>
      <c r="AY42" s="599"/>
      <c r="AZ42" s="599"/>
      <c r="BA42" s="599"/>
      <c r="BB42" s="599"/>
      <c r="BC42" s="599"/>
      <c r="BD42" s="599"/>
      <c r="BE42" s="599"/>
      <c r="BF42" s="599"/>
      <c r="BG42" s="599"/>
      <c r="BH42" s="599"/>
      <c r="BI42" s="599"/>
      <c r="BJ42" s="599"/>
      <c r="BK42" s="599"/>
      <c r="BL42" s="599"/>
      <c r="BM42" s="599"/>
      <c r="BN42" s="599"/>
      <c r="BO42" s="1116"/>
      <c r="BP42" s="1116"/>
      <c r="BQ42" s="1116"/>
      <c r="BR42" s="1116"/>
      <c r="BS42" s="1116"/>
      <c r="BT42" s="1116"/>
      <c r="BU42" s="1116"/>
      <c r="BV42" s="1116"/>
      <c r="BW42" s="1116"/>
      <c r="BX42" s="1116"/>
      <c r="BY42" s="1116"/>
      <c r="BZ42" s="1116"/>
      <c r="CA42" s="1116"/>
      <c r="CB42" s="1116"/>
      <c r="CC42" s="1116"/>
      <c r="CD42" s="1116"/>
      <c r="CE42" s="1116"/>
      <c r="CF42" s="1116"/>
      <c r="CG42" s="1116"/>
      <c r="CH42" s="1116"/>
      <c r="CI42" s="1116"/>
      <c r="CJ42" s="1116"/>
      <c r="CK42" s="1116"/>
      <c r="CL42" s="1116"/>
      <c r="CM42" s="1116"/>
      <c r="CN42" s="1116"/>
      <c r="CO42" s="1116"/>
      <c r="CP42" s="1116"/>
      <c r="CQ42" s="1116"/>
      <c r="CR42" s="1116"/>
      <c r="CS42" s="1116"/>
      <c r="CT42" s="1116"/>
      <c r="CU42" s="1116"/>
      <c r="CV42" s="1116"/>
      <c r="CW42" s="1116"/>
      <c r="CX42" s="1116"/>
      <c r="CY42" s="1116"/>
      <c r="CZ42" s="1116"/>
      <c r="DA42" s="1116"/>
      <c r="DB42" s="1116"/>
      <c r="DC42" s="1116"/>
      <c r="DD42" s="1116"/>
      <c r="DE42" s="1116"/>
      <c r="DF42" s="1116"/>
      <c r="DG42" s="1116"/>
      <c r="DH42" s="1116"/>
      <c r="DI42" s="1116"/>
      <c r="DJ42" s="1116"/>
      <c r="DK42" s="1116"/>
      <c r="DL42" s="1116"/>
      <c r="DM42" s="1116"/>
      <c r="DN42" s="1116"/>
      <c r="DO42" s="1116"/>
      <c r="DP42" s="1116"/>
      <c r="DQ42" s="1116"/>
      <c r="DR42" s="1116"/>
      <c r="DS42" s="1116"/>
      <c r="DT42" s="1116"/>
      <c r="DU42" s="1116"/>
      <c r="DV42" s="1116"/>
      <c r="DW42" s="1116"/>
      <c r="DX42" s="1116"/>
      <c r="DY42" s="1116"/>
      <c r="DZ42" s="1116"/>
      <c r="EA42" s="1116"/>
      <c r="EB42" s="1116"/>
      <c r="EC42" s="1116"/>
      <c r="ED42" s="1116"/>
      <c r="EE42" s="1116"/>
      <c r="EF42" s="1116"/>
      <c r="EG42" s="1116"/>
      <c r="EH42" s="1116"/>
      <c r="EI42" s="1116"/>
      <c r="EJ42" s="1124"/>
    </row>
    <row r="43" spans="1:141" ht="15.75" customHeight="1" x14ac:dyDescent="0.25">
      <c r="A43" s="6"/>
      <c r="B43" s="1035" t="s">
        <v>71</v>
      </c>
      <c r="C43" s="995"/>
      <c r="D43" s="996">
        <f>E43/C39</f>
        <v>25</v>
      </c>
      <c r="E43" s="996">
        <f>F43/12</f>
        <v>2050</v>
      </c>
      <c r="F43" s="996">
        <f>'Unit Mix'!D53</f>
        <v>24600</v>
      </c>
      <c r="G43" s="1075"/>
      <c r="H43" s="1115">
        <f>IF(H5&gt;$E$4+12,0,IF(H3&lt;$C$4,0,IFERROR(($D$43*H7)*(1+$G$10)^(H4),0)))</f>
        <v>0</v>
      </c>
      <c r="I43" s="599">
        <f>IF(I5&gt;$E$4+12,0,IF(I3&lt;$C$4,0,IFERROR(($D$43*I7)*(1+$G$10)^(I4),0)))</f>
        <v>0</v>
      </c>
      <c r="J43" s="599">
        <f t="shared" ref="J43:BT43" si="66">IF(J5&gt;$E$4+12,0,IF(J3&lt;$C$4,0,IFERROR(($D$43*J7)*(1+$G$10)^(J4),0)))</f>
        <v>0</v>
      </c>
      <c r="K43" s="599">
        <f t="shared" si="66"/>
        <v>0</v>
      </c>
      <c r="L43" s="599">
        <f t="shared" si="66"/>
        <v>0</v>
      </c>
      <c r="M43" s="599">
        <f t="shared" si="66"/>
        <v>0</v>
      </c>
      <c r="N43" s="599">
        <f t="shared" si="66"/>
        <v>0</v>
      </c>
      <c r="O43" s="599">
        <f t="shared" si="66"/>
        <v>0</v>
      </c>
      <c r="P43" s="599">
        <f t="shared" si="66"/>
        <v>0</v>
      </c>
      <c r="Q43" s="599">
        <f t="shared" si="66"/>
        <v>0</v>
      </c>
      <c r="R43" s="599">
        <f t="shared" si="66"/>
        <v>0</v>
      </c>
      <c r="S43" s="599">
        <f t="shared" si="66"/>
        <v>0</v>
      </c>
      <c r="T43" s="599">
        <f t="shared" si="66"/>
        <v>0</v>
      </c>
      <c r="U43" s="599">
        <f t="shared" si="66"/>
        <v>0</v>
      </c>
      <c r="V43" s="599">
        <f t="shared" si="66"/>
        <v>0</v>
      </c>
      <c r="W43" s="599">
        <f t="shared" si="66"/>
        <v>0</v>
      </c>
      <c r="X43" s="599">
        <f t="shared" si="66"/>
        <v>0</v>
      </c>
      <c r="Y43" s="599">
        <f t="shared" si="66"/>
        <v>0</v>
      </c>
      <c r="Z43" s="599">
        <f t="shared" si="66"/>
        <v>0</v>
      </c>
      <c r="AA43" s="599">
        <f t="shared" si="66"/>
        <v>0</v>
      </c>
      <c r="AB43" s="599">
        <f t="shared" si="66"/>
        <v>0</v>
      </c>
      <c r="AC43" s="599">
        <f t="shared" si="66"/>
        <v>0</v>
      </c>
      <c r="AD43" s="599">
        <f t="shared" si="66"/>
        <v>0</v>
      </c>
      <c r="AE43" s="599">
        <f t="shared" si="66"/>
        <v>0</v>
      </c>
      <c r="AF43" s="599">
        <f t="shared" si="66"/>
        <v>0</v>
      </c>
      <c r="AG43" s="599">
        <f t="shared" si="66"/>
        <v>218.5454</v>
      </c>
      <c r="AH43" s="599">
        <f t="shared" si="66"/>
        <v>437.0908</v>
      </c>
      <c r="AI43" s="599">
        <f t="shared" si="66"/>
        <v>655.63620000000003</v>
      </c>
      <c r="AJ43" s="599">
        <f t="shared" si="66"/>
        <v>874.1816</v>
      </c>
      <c r="AK43" s="599">
        <f t="shared" si="66"/>
        <v>1092.7270000000001</v>
      </c>
      <c r="AL43" s="599">
        <f t="shared" si="66"/>
        <v>1311.2724000000001</v>
      </c>
      <c r="AM43" s="599">
        <f t="shared" si="66"/>
        <v>1529.8178</v>
      </c>
      <c r="AN43" s="599">
        <f t="shared" si="66"/>
        <v>1748.3632</v>
      </c>
      <c r="AO43" s="599">
        <f t="shared" si="66"/>
        <v>1966.9086</v>
      </c>
      <c r="AP43" s="599">
        <f t="shared" si="66"/>
        <v>2185.4540000000002</v>
      </c>
      <c r="AQ43" s="599">
        <f t="shared" si="66"/>
        <v>2240.0903499999999</v>
      </c>
      <c r="AR43" s="599">
        <f t="shared" si="66"/>
        <v>2240.0903499999999</v>
      </c>
      <c r="AS43" s="599">
        <f t="shared" si="66"/>
        <v>2307.2930604999997</v>
      </c>
      <c r="AT43" s="599">
        <f t="shared" si="66"/>
        <v>2307.2930604999997</v>
      </c>
      <c r="AU43" s="599">
        <f t="shared" si="66"/>
        <v>2307.2930604999997</v>
      </c>
      <c r="AV43" s="599">
        <f t="shared" si="66"/>
        <v>2307.2930604999997</v>
      </c>
      <c r="AW43" s="599">
        <f t="shared" si="66"/>
        <v>2307.2930604999997</v>
      </c>
      <c r="AX43" s="599">
        <f t="shared" si="66"/>
        <v>2307.2930604999997</v>
      </c>
      <c r="AY43" s="599">
        <f t="shared" si="66"/>
        <v>2307.2930604999997</v>
      </c>
      <c r="AZ43" s="599">
        <f t="shared" si="66"/>
        <v>2307.2930604999997</v>
      </c>
      <c r="BA43" s="599">
        <f t="shared" si="66"/>
        <v>2307.2930604999997</v>
      </c>
      <c r="BB43" s="599">
        <f t="shared" si="66"/>
        <v>2307.2930604999997</v>
      </c>
      <c r="BC43" s="599">
        <f t="shared" si="66"/>
        <v>2307.2930604999997</v>
      </c>
      <c r="BD43" s="599">
        <f t="shared" si="66"/>
        <v>2307.2930604999997</v>
      </c>
      <c r="BE43" s="599">
        <f t="shared" si="66"/>
        <v>2376.5118523149995</v>
      </c>
      <c r="BF43" s="599">
        <f t="shared" si="66"/>
        <v>2376.5118523149995</v>
      </c>
      <c r="BG43" s="599">
        <f t="shared" si="66"/>
        <v>2376.5118523149995</v>
      </c>
      <c r="BH43" s="599">
        <f t="shared" si="66"/>
        <v>2376.5118523149995</v>
      </c>
      <c r="BI43" s="599">
        <f t="shared" si="66"/>
        <v>2376.5118523149995</v>
      </c>
      <c r="BJ43" s="599">
        <f t="shared" si="66"/>
        <v>2376.5118523149995</v>
      </c>
      <c r="BK43" s="599">
        <f t="shared" si="66"/>
        <v>2376.5118523149995</v>
      </c>
      <c r="BL43" s="599">
        <f t="shared" si="66"/>
        <v>2376.5118523149995</v>
      </c>
      <c r="BM43" s="599">
        <f t="shared" si="66"/>
        <v>2376.5118523149995</v>
      </c>
      <c r="BN43" s="599">
        <f t="shared" si="66"/>
        <v>2376.5118523149995</v>
      </c>
      <c r="BO43" s="599">
        <f t="shared" si="66"/>
        <v>2376.5118523149995</v>
      </c>
      <c r="BP43" s="599">
        <f t="shared" si="66"/>
        <v>2376.5118523149995</v>
      </c>
      <c r="BQ43" s="599">
        <f t="shared" si="66"/>
        <v>2447.8072078844498</v>
      </c>
      <c r="BR43" s="599">
        <f t="shared" si="66"/>
        <v>2447.8072078844498</v>
      </c>
      <c r="BS43" s="599">
        <f t="shared" si="66"/>
        <v>2447.8072078844498</v>
      </c>
      <c r="BT43" s="599">
        <f t="shared" si="66"/>
        <v>2447.8072078844498</v>
      </c>
      <c r="BU43" s="599">
        <f t="shared" ref="BU43:EF43" si="67">IF(BU5&gt;$E$4+12,0,IF(BU3&lt;$C$4,0,IFERROR(($D$43*BU7)*(1+$G$10)^(BU4),0)))</f>
        <v>2447.8072078844498</v>
      </c>
      <c r="BV43" s="599">
        <f t="shared" si="67"/>
        <v>2447.8072078844498</v>
      </c>
      <c r="BW43" s="599">
        <f t="shared" si="67"/>
        <v>2447.8072078844498</v>
      </c>
      <c r="BX43" s="599">
        <f t="shared" si="67"/>
        <v>2447.8072078844498</v>
      </c>
      <c r="BY43" s="599">
        <f t="shared" si="67"/>
        <v>2447.8072078844498</v>
      </c>
      <c r="BZ43" s="599">
        <f t="shared" si="67"/>
        <v>2447.8072078844498</v>
      </c>
      <c r="CA43" s="599">
        <f t="shared" si="67"/>
        <v>2447.8072078844498</v>
      </c>
      <c r="CB43" s="599">
        <f t="shared" si="67"/>
        <v>2447.8072078844498</v>
      </c>
      <c r="CC43" s="599">
        <f t="shared" si="67"/>
        <v>0</v>
      </c>
      <c r="CD43" s="599">
        <f t="shared" si="67"/>
        <v>0</v>
      </c>
      <c r="CE43" s="599">
        <f t="shared" si="67"/>
        <v>0</v>
      </c>
      <c r="CF43" s="599">
        <f t="shared" si="67"/>
        <v>0</v>
      </c>
      <c r="CG43" s="599">
        <f t="shared" si="67"/>
        <v>0</v>
      </c>
      <c r="CH43" s="599">
        <f t="shared" si="67"/>
        <v>0</v>
      </c>
      <c r="CI43" s="599">
        <f t="shared" si="67"/>
        <v>0</v>
      </c>
      <c r="CJ43" s="599">
        <f t="shared" si="67"/>
        <v>0</v>
      </c>
      <c r="CK43" s="599">
        <f t="shared" si="67"/>
        <v>0</v>
      </c>
      <c r="CL43" s="599">
        <f t="shared" si="67"/>
        <v>0</v>
      </c>
      <c r="CM43" s="599">
        <f t="shared" si="67"/>
        <v>0</v>
      </c>
      <c r="CN43" s="599">
        <f t="shared" si="67"/>
        <v>0</v>
      </c>
      <c r="CO43" s="599">
        <f t="shared" si="67"/>
        <v>0</v>
      </c>
      <c r="CP43" s="599">
        <f t="shared" si="67"/>
        <v>0</v>
      </c>
      <c r="CQ43" s="599">
        <f t="shared" si="67"/>
        <v>0</v>
      </c>
      <c r="CR43" s="599">
        <f t="shared" si="67"/>
        <v>0</v>
      </c>
      <c r="CS43" s="599">
        <f t="shared" si="67"/>
        <v>0</v>
      </c>
      <c r="CT43" s="599">
        <f t="shared" si="67"/>
        <v>0</v>
      </c>
      <c r="CU43" s="599">
        <f t="shared" si="67"/>
        <v>0</v>
      </c>
      <c r="CV43" s="599">
        <f t="shared" si="67"/>
        <v>0</v>
      </c>
      <c r="CW43" s="599">
        <f t="shared" si="67"/>
        <v>0</v>
      </c>
      <c r="CX43" s="599">
        <f t="shared" si="67"/>
        <v>0</v>
      </c>
      <c r="CY43" s="599">
        <f t="shared" si="67"/>
        <v>0</v>
      </c>
      <c r="CZ43" s="599">
        <f t="shared" si="67"/>
        <v>0</v>
      </c>
      <c r="DA43" s="599">
        <f t="shared" si="67"/>
        <v>0</v>
      </c>
      <c r="DB43" s="599">
        <f t="shared" si="67"/>
        <v>0</v>
      </c>
      <c r="DC43" s="599">
        <f t="shared" si="67"/>
        <v>0</v>
      </c>
      <c r="DD43" s="599">
        <f t="shared" si="67"/>
        <v>0</v>
      </c>
      <c r="DE43" s="599">
        <f t="shared" si="67"/>
        <v>0</v>
      </c>
      <c r="DF43" s="599">
        <f t="shared" si="67"/>
        <v>0</v>
      </c>
      <c r="DG43" s="599">
        <f t="shared" si="67"/>
        <v>0</v>
      </c>
      <c r="DH43" s="599">
        <f t="shared" si="67"/>
        <v>0</v>
      </c>
      <c r="DI43" s="599">
        <f t="shared" si="67"/>
        <v>0</v>
      </c>
      <c r="DJ43" s="599">
        <f t="shared" si="67"/>
        <v>0</v>
      </c>
      <c r="DK43" s="599">
        <f t="shared" si="67"/>
        <v>0</v>
      </c>
      <c r="DL43" s="599">
        <f t="shared" si="67"/>
        <v>0</v>
      </c>
      <c r="DM43" s="599">
        <f t="shared" si="67"/>
        <v>0</v>
      </c>
      <c r="DN43" s="599">
        <f t="shared" si="67"/>
        <v>0</v>
      </c>
      <c r="DO43" s="599">
        <f t="shared" si="67"/>
        <v>0</v>
      </c>
      <c r="DP43" s="599">
        <f t="shared" si="67"/>
        <v>0</v>
      </c>
      <c r="DQ43" s="599">
        <f t="shared" si="67"/>
        <v>0</v>
      </c>
      <c r="DR43" s="599">
        <f t="shared" si="67"/>
        <v>0</v>
      </c>
      <c r="DS43" s="599">
        <f t="shared" si="67"/>
        <v>0</v>
      </c>
      <c r="DT43" s="599">
        <f t="shared" si="67"/>
        <v>0</v>
      </c>
      <c r="DU43" s="599">
        <f t="shared" si="67"/>
        <v>0</v>
      </c>
      <c r="DV43" s="599">
        <f t="shared" si="67"/>
        <v>0</v>
      </c>
      <c r="DW43" s="599">
        <f t="shared" si="67"/>
        <v>0</v>
      </c>
      <c r="DX43" s="599">
        <f t="shared" si="67"/>
        <v>0</v>
      </c>
      <c r="DY43" s="599">
        <f t="shared" si="67"/>
        <v>0</v>
      </c>
      <c r="DZ43" s="599">
        <f t="shared" si="67"/>
        <v>0</v>
      </c>
      <c r="EA43" s="599">
        <f t="shared" si="67"/>
        <v>0</v>
      </c>
      <c r="EB43" s="599">
        <f t="shared" si="67"/>
        <v>0</v>
      </c>
      <c r="EC43" s="599">
        <f t="shared" si="67"/>
        <v>0</v>
      </c>
      <c r="ED43" s="599">
        <f t="shared" si="67"/>
        <v>0</v>
      </c>
      <c r="EE43" s="599">
        <f t="shared" si="67"/>
        <v>0</v>
      </c>
      <c r="EF43" s="599">
        <f t="shared" si="67"/>
        <v>0</v>
      </c>
      <c r="EG43" s="599">
        <f t="shared" ref="EG43:EJ43" si="68">IF(EG5&gt;$E$4+12,0,IF(EG3&lt;$C$4,0,IFERROR(($D$43*EG7)*(1+$G$10)^(EG4),0)))</f>
        <v>0</v>
      </c>
      <c r="EH43" s="599">
        <f t="shared" si="68"/>
        <v>0</v>
      </c>
      <c r="EI43" s="599">
        <f t="shared" si="68"/>
        <v>0</v>
      </c>
      <c r="EJ43" s="1117">
        <f t="shared" si="68"/>
        <v>0</v>
      </c>
      <c r="EK43" s="553"/>
    </row>
    <row r="44" spans="1:141" ht="15.75" customHeight="1" x14ac:dyDescent="0.25">
      <c r="A44" s="6"/>
      <c r="B44" s="1012" t="s">
        <v>599</v>
      </c>
      <c r="C44" s="995"/>
      <c r="D44" s="996"/>
      <c r="E44" s="996"/>
      <c r="F44" s="996"/>
      <c r="G44" s="1075"/>
      <c r="H44" s="1115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599"/>
      <c r="T44" s="599"/>
      <c r="U44" s="599"/>
      <c r="V44" s="599"/>
      <c r="W44" s="599"/>
      <c r="X44" s="599"/>
      <c r="Y44" s="599"/>
      <c r="Z44" s="599"/>
      <c r="AA44" s="599"/>
      <c r="AB44" s="599"/>
      <c r="AC44" s="599"/>
      <c r="AD44" s="599"/>
      <c r="AE44" s="599"/>
      <c r="AF44" s="599"/>
      <c r="AG44" s="599"/>
      <c r="AH44" s="599"/>
      <c r="AI44" s="599"/>
      <c r="AJ44" s="599"/>
      <c r="AK44" s="599"/>
      <c r="AL44" s="599"/>
      <c r="AM44" s="599"/>
      <c r="AN44" s="599"/>
      <c r="AO44" s="599"/>
      <c r="AP44" s="599"/>
      <c r="AQ44" s="599"/>
      <c r="AR44" s="599"/>
      <c r="AS44" s="599"/>
      <c r="AT44" s="599"/>
      <c r="AU44" s="599"/>
      <c r="AV44" s="599"/>
      <c r="AW44" s="599"/>
      <c r="AX44" s="599"/>
      <c r="AY44" s="599"/>
      <c r="AZ44" s="599"/>
      <c r="BA44" s="599"/>
      <c r="BB44" s="599"/>
      <c r="BC44" s="599"/>
      <c r="BD44" s="599"/>
      <c r="BE44" s="599"/>
      <c r="BF44" s="599"/>
      <c r="BG44" s="599"/>
      <c r="BH44" s="599"/>
      <c r="BI44" s="599"/>
      <c r="BJ44" s="599"/>
      <c r="BK44" s="599"/>
      <c r="BL44" s="599"/>
      <c r="BM44" s="599"/>
      <c r="BN44" s="599"/>
      <c r="BO44" s="599"/>
      <c r="BP44" s="599"/>
      <c r="BQ44" s="599"/>
      <c r="BR44" s="599"/>
      <c r="BS44" s="599"/>
      <c r="BT44" s="599"/>
      <c r="BU44" s="599"/>
      <c r="BV44" s="599"/>
      <c r="BW44" s="599"/>
      <c r="BX44" s="599"/>
      <c r="BY44" s="599"/>
      <c r="BZ44" s="599"/>
      <c r="CA44" s="599"/>
      <c r="CB44" s="599"/>
      <c r="CC44" s="599"/>
      <c r="CD44" s="599"/>
      <c r="CE44" s="599"/>
      <c r="CF44" s="599"/>
      <c r="CG44" s="599"/>
      <c r="CH44" s="599"/>
      <c r="CI44" s="599"/>
      <c r="CJ44" s="599"/>
      <c r="CK44" s="599"/>
      <c r="CL44" s="599"/>
      <c r="CM44" s="599"/>
      <c r="CN44" s="599"/>
      <c r="CO44" s="599"/>
      <c r="CP44" s="599"/>
      <c r="CQ44" s="599"/>
      <c r="CR44" s="599"/>
      <c r="CS44" s="599"/>
      <c r="CT44" s="599"/>
      <c r="CU44" s="599"/>
      <c r="CV44" s="599"/>
      <c r="CW44" s="599"/>
      <c r="CX44" s="599"/>
      <c r="CY44" s="599"/>
      <c r="CZ44" s="599"/>
      <c r="DA44" s="599"/>
      <c r="DB44" s="599"/>
      <c r="DC44" s="599"/>
      <c r="DD44" s="599"/>
      <c r="DE44" s="599"/>
      <c r="DF44" s="599"/>
      <c r="DG44" s="599"/>
      <c r="DH44" s="599"/>
      <c r="DI44" s="599"/>
      <c r="DJ44" s="599"/>
      <c r="DK44" s="599"/>
      <c r="DL44" s="599"/>
      <c r="DM44" s="599"/>
      <c r="DN44" s="599"/>
      <c r="DO44" s="599"/>
      <c r="DP44" s="599"/>
      <c r="DQ44" s="599"/>
      <c r="DR44" s="599"/>
      <c r="DS44" s="599"/>
      <c r="DT44" s="599"/>
      <c r="DU44" s="599"/>
      <c r="DV44" s="599"/>
      <c r="DW44" s="599"/>
      <c r="DX44" s="599"/>
      <c r="DY44" s="599"/>
      <c r="DZ44" s="599"/>
      <c r="EA44" s="599"/>
      <c r="EB44" s="599"/>
      <c r="EC44" s="599"/>
      <c r="ED44" s="599"/>
      <c r="EE44" s="599"/>
      <c r="EF44" s="599"/>
      <c r="EG44" s="599"/>
      <c r="EH44" s="599"/>
      <c r="EI44" s="599"/>
      <c r="EJ44" s="1117"/>
      <c r="EK44" s="553"/>
    </row>
    <row r="45" spans="1:141" ht="15.75" customHeight="1" x14ac:dyDescent="0.25">
      <c r="A45" s="6"/>
      <c r="B45" s="1035" t="s">
        <v>601</v>
      </c>
      <c r="C45" s="995"/>
      <c r="D45" s="1018">
        <f>'Retail Rent Roll'!I7</f>
        <v>1.75</v>
      </c>
      <c r="E45" s="996">
        <f>'Retail Rent Roll'!G7</f>
        <v>9828</v>
      </c>
      <c r="F45" s="996">
        <f>'Retail Rent Roll'!F7</f>
        <v>117936</v>
      </c>
      <c r="G45" s="1075"/>
      <c r="H45" s="1115">
        <f>IF(H5&gt;$E$4+12,0,IF(H3&lt;$C$4,0,IFERROR(($E$45)*(1+$G$10)^(H4),0)))</f>
        <v>0</v>
      </c>
      <c r="I45" s="599">
        <f t="shared" ref="I45:BT45" si="69">IF(I5&gt;$E$4+12,0,IF(I3&lt;$C$4,0,IFERROR(($E$45)*(1+$G$10)^(I4),0)))</f>
        <v>0</v>
      </c>
      <c r="J45" s="599">
        <f t="shared" si="69"/>
        <v>0</v>
      </c>
      <c r="K45" s="599">
        <f t="shared" si="69"/>
        <v>0</v>
      </c>
      <c r="L45" s="599">
        <f t="shared" si="69"/>
        <v>0</v>
      </c>
      <c r="M45" s="599">
        <f t="shared" si="69"/>
        <v>0</v>
      </c>
      <c r="N45" s="599">
        <f t="shared" si="69"/>
        <v>0</v>
      </c>
      <c r="O45" s="599">
        <f t="shared" si="69"/>
        <v>0</v>
      </c>
      <c r="P45" s="599">
        <f t="shared" si="69"/>
        <v>0</v>
      </c>
      <c r="Q45" s="599">
        <f t="shared" si="69"/>
        <v>0</v>
      </c>
      <c r="R45" s="599">
        <f t="shared" si="69"/>
        <v>0</v>
      </c>
      <c r="S45" s="599">
        <f t="shared" si="69"/>
        <v>0</v>
      </c>
      <c r="T45" s="599">
        <f t="shared" si="69"/>
        <v>0</v>
      </c>
      <c r="U45" s="599">
        <f t="shared" si="69"/>
        <v>0</v>
      </c>
      <c r="V45" s="599">
        <f t="shared" si="69"/>
        <v>0</v>
      </c>
      <c r="W45" s="599">
        <f t="shared" si="69"/>
        <v>0</v>
      </c>
      <c r="X45" s="599">
        <f t="shared" si="69"/>
        <v>0</v>
      </c>
      <c r="Y45" s="599">
        <f t="shared" si="69"/>
        <v>0</v>
      </c>
      <c r="Z45" s="599">
        <f t="shared" si="69"/>
        <v>0</v>
      </c>
      <c r="AA45" s="599">
        <f t="shared" si="69"/>
        <v>0</v>
      </c>
      <c r="AB45" s="599">
        <f t="shared" si="69"/>
        <v>0</v>
      </c>
      <c r="AC45" s="599">
        <f t="shared" si="69"/>
        <v>0</v>
      </c>
      <c r="AD45" s="599">
        <f t="shared" si="69"/>
        <v>0</v>
      </c>
      <c r="AE45" s="599">
        <f t="shared" si="69"/>
        <v>0</v>
      </c>
      <c r="AF45" s="599">
        <f t="shared" si="69"/>
        <v>0</v>
      </c>
      <c r="AG45" s="599">
        <f>IF(AG5&gt;$E$4+12,0,IF(AG3&lt;$C$4,0,IFERROR(($E$45)*(1+$G$10)^(AG4),0)))</f>
        <v>10739.320956</v>
      </c>
      <c r="AH45" s="599">
        <f t="shared" si="69"/>
        <v>10739.320956</v>
      </c>
      <c r="AI45" s="599">
        <f t="shared" si="69"/>
        <v>10739.320956</v>
      </c>
      <c r="AJ45" s="599">
        <f t="shared" si="69"/>
        <v>10739.320956</v>
      </c>
      <c r="AK45" s="599">
        <f t="shared" si="69"/>
        <v>10739.320956</v>
      </c>
      <c r="AL45" s="599">
        <f t="shared" si="69"/>
        <v>10739.320956</v>
      </c>
      <c r="AM45" s="599">
        <f t="shared" si="69"/>
        <v>10739.320956</v>
      </c>
      <c r="AN45" s="599">
        <f t="shared" si="69"/>
        <v>10739.320956</v>
      </c>
      <c r="AO45" s="599">
        <f t="shared" si="69"/>
        <v>10739.320956</v>
      </c>
      <c r="AP45" s="599">
        <f t="shared" si="69"/>
        <v>10739.320956</v>
      </c>
      <c r="AQ45" s="599">
        <f t="shared" si="69"/>
        <v>10739.320956</v>
      </c>
      <c r="AR45" s="599">
        <f t="shared" si="69"/>
        <v>10739.320956</v>
      </c>
      <c r="AS45" s="599">
        <f t="shared" si="69"/>
        <v>11061.50058468</v>
      </c>
      <c r="AT45" s="599">
        <f t="shared" si="69"/>
        <v>11061.50058468</v>
      </c>
      <c r="AU45" s="599">
        <f t="shared" si="69"/>
        <v>11061.50058468</v>
      </c>
      <c r="AV45" s="599">
        <f t="shared" si="69"/>
        <v>11061.50058468</v>
      </c>
      <c r="AW45" s="599">
        <f t="shared" si="69"/>
        <v>11061.50058468</v>
      </c>
      <c r="AX45" s="599">
        <f t="shared" si="69"/>
        <v>11061.50058468</v>
      </c>
      <c r="AY45" s="599">
        <f t="shared" si="69"/>
        <v>11061.50058468</v>
      </c>
      <c r="AZ45" s="599">
        <f t="shared" si="69"/>
        <v>11061.50058468</v>
      </c>
      <c r="BA45" s="599">
        <f t="shared" si="69"/>
        <v>11061.50058468</v>
      </c>
      <c r="BB45" s="599">
        <f t="shared" si="69"/>
        <v>11061.50058468</v>
      </c>
      <c r="BC45" s="599">
        <f t="shared" si="69"/>
        <v>11061.50058468</v>
      </c>
      <c r="BD45" s="599">
        <f t="shared" si="69"/>
        <v>11061.50058468</v>
      </c>
      <c r="BE45" s="599">
        <f t="shared" si="69"/>
        <v>11393.345602220399</v>
      </c>
      <c r="BF45" s="599">
        <f t="shared" si="69"/>
        <v>11393.345602220399</v>
      </c>
      <c r="BG45" s="599">
        <f t="shared" si="69"/>
        <v>11393.345602220399</v>
      </c>
      <c r="BH45" s="599">
        <f t="shared" si="69"/>
        <v>11393.345602220399</v>
      </c>
      <c r="BI45" s="599">
        <f t="shared" si="69"/>
        <v>11393.345602220399</v>
      </c>
      <c r="BJ45" s="599">
        <f t="shared" si="69"/>
        <v>11393.345602220399</v>
      </c>
      <c r="BK45" s="599">
        <f t="shared" si="69"/>
        <v>11393.345602220399</v>
      </c>
      <c r="BL45" s="599">
        <f t="shared" si="69"/>
        <v>11393.345602220399</v>
      </c>
      <c r="BM45" s="599">
        <f t="shared" si="69"/>
        <v>11393.345602220399</v>
      </c>
      <c r="BN45" s="599">
        <f t="shared" si="69"/>
        <v>11393.345602220399</v>
      </c>
      <c r="BO45" s="599">
        <f t="shared" si="69"/>
        <v>11393.345602220399</v>
      </c>
      <c r="BP45" s="599">
        <f t="shared" si="69"/>
        <v>11393.345602220399</v>
      </c>
      <c r="BQ45" s="599">
        <f t="shared" si="69"/>
        <v>11735.145970287011</v>
      </c>
      <c r="BR45" s="599">
        <f t="shared" si="69"/>
        <v>11735.145970287011</v>
      </c>
      <c r="BS45" s="599">
        <f t="shared" si="69"/>
        <v>11735.145970287011</v>
      </c>
      <c r="BT45" s="599">
        <f t="shared" si="69"/>
        <v>11735.145970287011</v>
      </c>
      <c r="BU45" s="599">
        <f t="shared" ref="BU45:EF45" si="70">IF(BU5&gt;$E$4+12,0,IF(BU3&lt;$C$4,0,IFERROR(($E$45)*(1+$G$10)^(BU4),0)))</f>
        <v>11735.145970287011</v>
      </c>
      <c r="BV45" s="599">
        <f t="shared" si="70"/>
        <v>11735.145970287011</v>
      </c>
      <c r="BW45" s="599">
        <f t="shared" si="70"/>
        <v>11735.145970287011</v>
      </c>
      <c r="BX45" s="599">
        <f t="shared" si="70"/>
        <v>11735.145970287011</v>
      </c>
      <c r="BY45" s="599">
        <f t="shared" si="70"/>
        <v>11735.145970287011</v>
      </c>
      <c r="BZ45" s="599">
        <f t="shared" si="70"/>
        <v>11735.145970287011</v>
      </c>
      <c r="CA45" s="599">
        <f t="shared" si="70"/>
        <v>11735.145970287011</v>
      </c>
      <c r="CB45" s="599">
        <f t="shared" si="70"/>
        <v>11735.145970287011</v>
      </c>
      <c r="CC45" s="599">
        <f t="shared" si="70"/>
        <v>0</v>
      </c>
      <c r="CD45" s="599">
        <f t="shared" si="70"/>
        <v>0</v>
      </c>
      <c r="CE45" s="599">
        <f t="shared" si="70"/>
        <v>0</v>
      </c>
      <c r="CF45" s="599">
        <f t="shared" si="70"/>
        <v>0</v>
      </c>
      <c r="CG45" s="599">
        <f t="shared" si="70"/>
        <v>0</v>
      </c>
      <c r="CH45" s="599">
        <f t="shared" si="70"/>
        <v>0</v>
      </c>
      <c r="CI45" s="599">
        <f t="shared" si="70"/>
        <v>0</v>
      </c>
      <c r="CJ45" s="599">
        <f t="shared" si="70"/>
        <v>0</v>
      </c>
      <c r="CK45" s="599">
        <f t="shared" si="70"/>
        <v>0</v>
      </c>
      <c r="CL45" s="599">
        <f t="shared" si="70"/>
        <v>0</v>
      </c>
      <c r="CM45" s="599">
        <f t="shared" si="70"/>
        <v>0</v>
      </c>
      <c r="CN45" s="599">
        <f t="shared" si="70"/>
        <v>0</v>
      </c>
      <c r="CO45" s="599">
        <f t="shared" si="70"/>
        <v>0</v>
      </c>
      <c r="CP45" s="599">
        <f t="shared" si="70"/>
        <v>0</v>
      </c>
      <c r="CQ45" s="599">
        <f t="shared" si="70"/>
        <v>0</v>
      </c>
      <c r="CR45" s="599">
        <f t="shared" si="70"/>
        <v>0</v>
      </c>
      <c r="CS45" s="599">
        <f t="shared" si="70"/>
        <v>0</v>
      </c>
      <c r="CT45" s="599">
        <f t="shared" si="70"/>
        <v>0</v>
      </c>
      <c r="CU45" s="599">
        <f t="shared" si="70"/>
        <v>0</v>
      </c>
      <c r="CV45" s="599">
        <f t="shared" si="70"/>
        <v>0</v>
      </c>
      <c r="CW45" s="599">
        <f t="shared" si="70"/>
        <v>0</v>
      </c>
      <c r="CX45" s="599">
        <f t="shared" si="70"/>
        <v>0</v>
      </c>
      <c r="CY45" s="599">
        <f t="shared" si="70"/>
        <v>0</v>
      </c>
      <c r="CZ45" s="599">
        <f t="shared" si="70"/>
        <v>0</v>
      </c>
      <c r="DA45" s="599">
        <f t="shared" si="70"/>
        <v>0</v>
      </c>
      <c r="DB45" s="599">
        <f t="shared" si="70"/>
        <v>0</v>
      </c>
      <c r="DC45" s="599">
        <f t="shared" si="70"/>
        <v>0</v>
      </c>
      <c r="DD45" s="599">
        <f t="shared" si="70"/>
        <v>0</v>
      </c>
      <c r="DE45" s="599">
        <f t="shared" si="70"/>
        <v>0</v>
      </c>
      <c r="DF45" s="599">
        <f t="shared" si="70"/>
        <v>0</v>
      </c>
      <c r="DG45" s="599">
        <f t="shared" si="70"/>
        <v>0</v>
      </c>
      <c r="DH45" s="599">
        <f t="shared" si="70"/>
        <v>0</v>
      </c>
      <c r="DI45" s="599">
        <f t="shared" si="70"/>
        <v>0</v>
      </c>
      <c r="DJ45" s="599">
        <f t="shared" si="70"/>
        <v>0</v>
      </c>
      <c r="DK45" s="599">
        <f t="shared" si="70"/>
        <v>0</v>
      </c>
      <c r="DL45" s="599">
        <f t="shared" si="70"/>
        <v>0</v>
      </c>
      <c r="DM45" s="599">
        <f t="shared" si="70"/>
        <v>0</v>
      </c>
      <c r="DN45" s="599">
        <f t="shared" si="70"/>
        <v>0</v>
      </c>
      <c r="DO45" s="599">
        <f t="shared" si="70"/>
        <v>0</v>
      </c>
      <c r="DP45" s="599">
        <f t="shared" si="70"/>
        <v>0</v>
      </c>
      <c r="DQ45" s="599">
        <f t="shared" si="70"/>
        <v>0</v>
      </c>
      <c r="DR45" s="599">
        <f t="shared" si="70"/>
        <v>0</v>
      </c>
      <c r="DS45" s="599">
        <f t="shared" si="70"/>
        <v>0</v>
      </c>
      <c r="DT45" s="599">
        <f t="shared" si="70"/>
        <v>0</v>
      </c>
      <c r="DU45" s="599">
        <f t="shared" si="70"/>
        <v>0</v>
      </c>
      <c r="DV45" s="599">
        <f t="shared" si="70"/>
        <v>0</v>
      </c>
      <c r="DW45" s="599">
        <f t="shared" si="70"/>
        <v>0</v>
      </c>
      <c r="DX45" s="599">
        <f t="shared" si="70"/>
        <v>0</v>
      </c>
      <c r="DY45" s="599">
        <f t="shared" si="70"/>
        <v>0</v>
      </c>
      <c r="DZ45" s="599">
        <f t="shared" si="70"/>
        <v>0</v>
      </c>
      <c r="EA45" s="599">
        <f t="shared" si="70"/>
        <v>0</v>
      </c>
      <c r="EB45" s="599">
        <f t="shared" si="70"/>
        <v>0</v>
      </c>
      <c r="EC45" s="599">
        <f t="shared" si="70"/>
        <v>0</v>
      </c>
      <c r="ED45" s="599">
        <f t="shared" si="70"/>
        <v>0</v>
      </c>
      <c r="EE45" s="599">
        <f t="shared" si="70"/>
        <v>0</v>
      </c>
      <c r="EF45" s="599">
        <f t="shared" si="70"/>
        <v>0</v>
      </c>
      <c r="EG45" s="599">
        <f t="shared" ref="EG45:EJ45" si="71">IF(EG5&gt;$E$4+12,0,IF(EG3&lt;$C$4,0,IFERROR(($E$45)*(1+$G$10)^(EG4),0)))</f>
        <v>0</v>
      </c>
      <c r="EH45" s="599">
        <f t="shared" si="71"/>
        <v>0</v>
      </c>
      <c r="EI45" s="599">
        <f t="shared" si="71"/>
        <v>0</v>
      </c>
      <c r="EJ45" s="1117">
        <f t="shared" si="71"/>
        <v>0</v>
      </c>
      <c r="EK45" s="553"/>
    </row>
    <row r="46" spans="1:141" ht="15.75" customHeight="1" x14ac:dyDescent="0.25">
      <c r="A46" s="6"/>
      <c r="B46" s="1036"/>
      <c r="C46" s="1000"/>
      <c r="D46" s="1001"/>
      <c r="E46" s="1001"/>
      <c r="F46" s="1001"/>
      <c r="G46" s="1076"/>
      <c r="H46" s="1125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600"/>
      <c r="AA46" s="600"/>
      <c r="AB46" s="600"/>
      <c r="AC46" s="600"/>
      <c r="AD46" s="600"/>
      <c r="AE46" s="600"/>
      <c r="AF46" s="600"/>
      <c r="AG46" s="600"/>
      <c r="AH46" s="600"/>
      <c r="AI46" s="600"/>
      <c r="AJ46" s="600"/>
      <c r="AK46" s="600"/>
      <c r="AL46" s="600"/>
      <c r="AM46" s="600"/>
      <c r="AN46" s="600"/>
      <c r="AO46" s="600"/>
      <c r="AP46" s="600"/>
      <c r="AQ46" s="600"/>
      <c r="AR46" s="600"/>
      <c r="AS46" s="600"/>
      <c r="AT46" s="600"/>
      <c r="AU46" s="600"/>
      <c r="AV46" s="600"/>
      <c r="AW46" s="600"/>
      <c r="AX46" s="600"/>
      <c r="AY46" s="600"/>
      <c r="AZ46" s="600"/>
      <c r="BA46" s="600"/>
      <c r="BB46" s="600"/>
      <c r="BC46" s="600"/>
      <c r="BD46" s="600"/>
      <c r="BE46" s="600"/>
      <c r="BF46" s="600"/>
      <c r="BG46" s="600"/>
      <c r="BH46" s="600"/>
      <c r="BI46" s="600"/>
      <c r="BJ46" s="600"/>
      <c r="BK46" s="600"/>
      <c r="BL46" s="600"/>
      <c r="BM46" s="600"/>
      <c r="BN46" s="600"/>
      <c r="BO46" s="600"/>
      <c r="BP46" s="600"/>
      <c r="BQ46" s="600"/>
      <c r="BR46" s="600"/>
      <c r="BS46" s="600"/>
      <c r="BT46" s="600"/>
      <c r="BU46" s="600"/>
      <c r="BV46" s="600"/>
      <c r="BW46" s="600"/>
      <c r="BX46" s="600"/>
      <c r="BY46" s="600"/>
      <c r="BZ46" s="600"/>
      <c r="CA46" s="600"/>
      <c r="CB46" s="600"/>
      <c r="CC46" s="600"/>
      <c r="CD46" s="600"/>
      <c r="CE46" s="600"/>
      <c r="CF46" s="600"/>
      <c r="CG46" s="600"/>
      <c r="CH46" s="600"/>
      <c r="CI46" s="600"/>
      <c r="CJ46" s="600"/>
      <c r="CK46" s="600"/>
      <c r="CL46" s="600"/>
      <c r="CM46" s="600"/>
      <c r="CN46" s="600"/>
      <c r="CO46" s="600"/>
      <c r="CP46" s="600"/>
      <c r="CQ46" s="600"/>
      <c r="CR46" s="600"/>
      <c r="CS46" s="600"/>
      <c r="CT46" s="600"/>
      <c r="CU46" s="600"/>
      <c r="CV46" s="600"/>
      <c r="CW46" s="600"/>
      <c r="CX46" s="600"/>
      <c r="CY46" s="600"/>
      <c r="CZ46" s="600"/>
      <c r="DA46" s="600"/>
      <c r="DB46" s="600"/>
      <c r="DC46" s="600"/>
      <c r="DD46" s="600"/>
      <c r="DE46" s="600"/>
      <c r="DF46" s="600"/>
      <c r="DG46" s="600"/>
      <c r="DH46" s="600"/>
      <c r="DI46" s="600"/>
      <c r="DJ46" s="600"/>
      <c r="DK46" s="600"/>
      <c r="DL46" s="600"/>
      <c r="DM46" s="600"/>
      <c r="DN46" s="600"/>
      <c r="DO46" s="600"/>
      <c r="DP46" s="600"/>
      <c r="DQ46" s="600"/>
      <c r="DR46" s="600"/>
      <c r="DS46" s="600"/>
      <c r="DT46" s="600"/>
      <c r="DU46" s="600"/>
      <c r="DV46" s="600"/>
      <c r="DW46" s="600"/>
      <c r="DX46" s="600"/>
      <c r="DY46" s="600"/>
      <c r="DZ46" s="600"/>
      <c r="EA46" s="600"/>
      <c r="EB46" s="600"/>
      <c r="EC46" s="600"/>
      <c r="ED46" s="600"/>
      <c r="EE46" s="600"/>
      <c r="EF46" s="600"/>
      <c r="EG46" s="600"/>
      <c r="EH46" s="600"/>
      <c r="EI46" s="600"/>
      <c r="EJ46" s="1126"/>
      <c r="EK46" s="903"/>
    </row>
    <row r="47" spans="1:141" ht="21" customHeight="1" x14ac:dyDescent="0.25">
      <c r="A47" s="6"/>
      <c r="B47" s="1037" t="s">
        <v>636</v>
      </c>
      <c r="C47" s="997"/>
      <c r="D47" s="997"/>
      <c r="E47" s="997"/>
      <c r="F47" s="997"/>
      <c r="G47" s="1077"/>
      <c r="H47" s="1127">
        <f>H39+H43+H45</f>
        <v>0</v>
      </c>
      <c r="I47" s="998">
        <f t="shared" ref="I47:BT47" si="72">I39+I43+I45</f>
        <v>0</v>
      </c>
      <c r="J47" s="998">
        <f t="shared" si="72"/>
        <v>0</v>
      </c>
      <c r="K47" s="998">
        <f t="shared" si="72"/>
        <v>0</v>
      </c>
      <c r="L47" s="998">
        <f t="shared" si="72"/>
        <v>0</v>
      </c>
      <c r="M47" s="998">
        <f t="shared" si="72"/>
        <v>0</v>
      </c>
      <c r="N47" s="998">
        <f t="shared" si="72"/>
        <v>0</v>
      </c>
      <c r="O47" s="998">
        <f t="shared" si="72"/>
        <v>0</v>
      </c>
      <c r="P47" s="998">
        <f t="shared" si="72"/>
        <v>0</v>
      </c>
      <c r="Q47" s="998">
        <f t="shared" si="72"/>
        <v>0</v>
      </c>
      <c r="R47" s="998">
        <f t="shared" si="72"/>
        <v>0</v>
      </c>
      <c r="S47" s="998">
        <f t="shared" si="72"/>
        <v>0</v>
      </c>
      <c r="T47" s="998">
        <f t="shared" si="72"/>
        <v>0</v>
      </c>
      <c r="U47" s="998">
        <f t="shared" si="72"/>
        <v>0</v>
      </c>
      <c r="V47" s="998">
        <f t="shared" si="72"/>
        <v>0</v>
      </c>
      <c r="W47" s="998">
        <f t="shared" si="72"/>
        <v>0</v>
      </c>
      <c r="X47" s="998">
        <f t="shared" si="72"/>
        <v>0</v>
      </c>
      <c r="Y47" s="998">
        <f t="shared" si="72"/>
        <v>0</v>
      </c>
      <c r="Z47" s="998">
        <f t="shared" si="72"/>
        <v>0</v>
      </c>
      <c r="AA47" s="998">
        <f t="shared" si="72"/>
        <v>0</v>
      </c>
      <c r="AB47" s="998">
        <f t="shared" si="72"/>
        <v>0</v>
      </c>
      <c r="AC47" s="998">
        <f t="shared" si="72"/>
        <v>0</v>
      </c>
      <c r="AD47" s="998">
        <f t="shared" si="72"/>
        <v>0</v>
      </c>
      <c r="AE47" s="998">
        <f t="shared" si="72"/>
        <v>0</v>
      </c>
      <c r="AF47" s="998">
        <f t="shared" si="72"/>
        <v>0</v>
      </c>
      <c r="AG47" s="998">
        <f t="shared" si="72"/>
        <v>33531.998912499999</v>
      </c>
      <c r="AH47" s="998">
        <f t="shared" si="72"/>
        <v>56052.04148249999</v>
      </c>
      <c r="AI47" s="998">
        <f t="shared" si="72"/>
        <v>78844.719438999993</v>
      </c>
      <c r="AJ47" s="998">
        <f t="shared" si="72"/>
        <v>101364.762009</v>
      </c>
      <c r="AK47" s="998">
        <f t="shared" si="72"/>
        <v>123535.238029</v>
      </c>
      <c r="AL47" s="998">
        <f t="shared" si="72"/>
        <v>146327.9159855</v>
      </c>
      <c r="AM47" s="998">
        <f t="shared" si="72"/>
        <v>168847.95855550002</v>
      </c>
      <c r="AN47" s="998">
        <f t="shared" si="72"/>
        <v>191368.00112550001</v>
      </c>
      <c r="AO47" s="998">
        <f t="shared" si="72"/>
        <v>213594.20622249998</v>
      </c>
      <c r="AP47" s="998">
        <f t="shared" si="72"/>
        <v>236114.24879249997</v>
      </c>
      <c r="AQ47" s="998">
        <f t="shared" si="72"/>
        <v>241447.09073600004</v>
      </c>
      <c r="AR47" s="998">
        <f t="shared" si="72"/>
        <v>241447.09073600004</v>
      </c>
      <c r="AS47" s="998">
        <f t="shared" si="72"/>
        <v>248690.50345807997</v>
      </c>
      <c r="AT47" s="998">
        <f t="shared" si="72"/>
        <v>248690.50345807997</v>
      </c>
      <c r="AU47" s="998">
        <f t="shared" si="72"/>
        <v>248690.50345807997</v>
      </c>
      <c r="AV47" s="998">
        <f t="shared" si="72"/>
        <v>248690.50345807997</v>
      </c>
      <c r="AW47" s="998">
        <f t="shared" si="72"/>
        <v>248690.50345807997</v>
      </c>
      <c r="AX47" s="998">
        <f t="shared" si="72"/>
        <v>248690.50345807997</v>
      </c>
      <c r="AY47" s="998">
        <f t="shared" si="72"/>
        <v>248690.50345807997</v>
      </c>
      <c r="AZ47" s="998">
        <f t="shared" si="72"/>
        <v>248690.50345807997</v>
      </c>
      <c r="BA47" s="998">
        <f t="shared" si="72"/>
        <v>248690.50345807997</v>
      </c>
      <c r="BB47" s="998">
        <f t="shared" si="72"/>
        <v>248690.50345807997</v>
      </c>
      <c r="BC47" s="998">
        <f t="shared" si="72"/>
        <v>248690.50345807997</v>
      </c>
      <c r="BD47" s="998">
        <f t="shared" si="72"/>
        <v>248690.50345807997</v>
      </c>
      <c r="BE47" s="998">
        <f t="shared" si="72"/>
        <v>256151.21856182234</v>
      </c>
      <c r="BF47" s="998">
        <f t="shared" si="72"/>
        <v>256151.21856182234</v>
      </c>
      <c r="BG47" s="998">
        <f t="shared" si="72"/>
        <v>256151.21856182234</v>
      </c>
      <c r="BH47" s="998">
        <f t="shared" si="72"/>
        <v>256151.21856182234</v>
      </c>
      <c r="BI47" s="998">
        <f t="shared" si="72"/>
        <v>256151.21856182234</v>
      </c>
      <c r="BJ47" s="998">
        <f t="shared" si="72"/>
        <v>256151.21856182234</v>
      </c>
      <c r="BK47" s="998">
        <f t="shared" si="72"/>
        <v>256151.21856182234</v>
      </c>
      <c r="BL47" s="998">
        <f t="shared" si="72"/>
        <v>256151.21856182234</v>
      </c>
      <c r="BM47" s="998">
        <f t="shared" si="72"/>
        <v>256151.21856182234</v>
      </c>
      <c r="BN47" s="998">
        <f t="shared" si="72"/>
        <v>256151.21856182234</v>
      </c>
      <c r="BO47" s="998">
        <f t="shared" si="72"/>
        <v>256151.21856182234</v>
      </c>
      <c r="BP47" s="998">
        <f t="shared" si="72"/>
        <v>256151.21856182234</v>
      </c>
      <c r="BQ47" s="998">
        <f t="shared" si="72"/>
        <v>263835.75511867704</v>
      </c>
      <c r="BR47" s="998">
        <f t="shared" si="72"/>
        <v>263835.75511867704</v>
      </c>
      <c r="BS47" s="998">
        <f t="shared" si="72"/>
        <v>263835.75511867704</v>
      </c>
      <c r="BT47" s="998">
        <f t="shared" si="72"/>
        <v>263835.75511867704</v>
      </c>
      <c r="BU47" s="998">
        <f t="shared" ref="BU47:EF47" si="73">BU39+BU43+BU45</f>
        <v>263835.75511867704</v>
      </c>
      <c r="BV47" s="998">
        <f t="shared" si="73"/>
        <v>263835.75511867704</v>
      </c>
      <c r="BW47" s="998">
        <f t="shared" si="73"/>
        <v>263835.75511867704</v>
      </c>
      <c r="BX47" s="998">
        <f t="shared" si="73"/>
        <v>263835.75511867704</v>
      </c>
      <c r="BY47" s="998">
        <f t="shared" si="73"/>
        <v>263835.75511867704</v>
      </c>
      <c r="BZ47" s="998">
        <f t="shared" si="73"/>
        <v>263835.75511867704</v>
      </c>
      <c r="CA47" s="998">
        <f t="shared" si="73"/>
        <v>263835.75511867704</v>
      </c>
      <c r="CB47" s="998">
        <f t="shared" si="73"/>
        <v>263835.75511867704</v>
      </c>
      <c r="CC47" s="998">
        <f t="shared" si="73"/>
        <v>0</v>
      </c>
      <c r="CD47" s="998">
        <f t="shared" si="73"/>
        <v>0</v>
      </c>
      <c r="CE47" s="998">
        <f t="shared" si="73"/>
        <v>0</v>
      </c>
      <c r="CF47" s="998">
        <f t="shared" si="73"/>
        <v>0</v>
      </c>
      <c r="CG47" s="998">
        <f t="shared" si="73"/>
        <v>0</v>
      </c>
      <c r="CH47" s="998">
        <f t="shared" si="73"/>
        <v>0</v>
      </c>
      <c r="CI47" s="998">
        <f t="shared" si="73"/>
        <v>0</v>
      </c>
      <c r="CJ47" s="998">
        <f t="shared" si="73"/>
        <v>0</v>
      </c>
      <c r="CK47" s="998">
        <f t="shared" si="73"/>
        <v>0</v>
      </c>
      <c r="CL47" s="998">
        <f t="shared" si="73"/>
        <v>0</v>
      </c>
      <c r="CM47" s="998">
        <f t="shared" si="73"/>
        <v>0</v>
      </c>
      <c r="CN47" s="998">
        <f t="shared" si="73"/>
        <v>0</v>
      </c>
      <c r="CO47" s="998">
        <f t="shared" si="73"/>
        <v>0</v>
      </c>
      <c r="CP47" s="998">
        <f t="shared" si="73"/>
        <v>0</v>
      </c>
      <c r="CQ47" s="998">
        <f t="shared" si="73"/>
        <v>0</v>
      </c>
      <c r="CR47" s="998">
        <f t="shared" si="73"/>
        <v>0</v>
      </c>
      <c r="CS47" s="998">
        <f t="shared" si="73"/>
        <v>0</v>
      </c>
      <c r="CT47" s="998">
        <f t="shared" si="73"/>
        <v>0</v>
      </c>
      <c r="CU47" s="998">
        <f t="shared" si="73"/>
        <v>0</v>
      </c>
      <c r="CV47" s="998">
        <f t="shared" si="73"/>
        <v>0</v>
      </c>
      <c r="CW47" s="998">
        <f t="shared" si="73"/>
        <v>0</v>
      </c>
      <c r="CX47" s="998">
        <f t="shared" si="73"/>
        <v>0</v>
      </c>
      <c r="CY47" s="998">
        <f t="shared" si="73"/>
        <v>0</v>
      </c>
      <c r="CZ47" s="998">
        <f t="shared" si="73"/>
        <v>0</v>
      </c>
      <c r="DA47" s="998">
        <f t="shared" si="73"/>
        <v>0</v>
      </c>
      <c r="DB47" s="998">
        <f t="shared" si="73"/>
        <v>0</v>
      </c>
      <c r="DC47" s="998">
        <f t="shared" si="73"/>
        <v>0</v>
      </c>
      <c r="DD47" s="998">
        <f t="shared" si="73"/>
        <v>0</v>
      </c>
      <c r="DE47" s="998">
        <f t="shared" si="73"/>
        <v>0</v>
      </c>
      <c r="DF47" s="998">
        <f t="shared" si="73"/>
        <v>0</v>
      </c>
      <c r="DG47" s="998">
        <f t="shared" si="73"/>
        <v>0</v>
      </c>
      <c r="DH47" s="998">
        <f t="shared" si="73"/>
        <v>0</v>
      </c>
      <c r="DI47" s="998">
        <f t="shared" si="73"/>
        <v>0</v>
      </c>
      <c r="DJ47" s="998">
        <f t="shared" si="73"/>
        <v>0</v>
      </c>
      <c r="DK47" s="998">
        <f t="shared" si="73"/>
        <v>0</v>
      </c>
      <c r="DL47" s="998">
        <f t="shared" si="73"/>
        <v>0</v>
      </c>
      <c r="DM47" s="998">
        <f t="shared" si="73"/>
        <v>0</v>
      </c>
      <c r="DN47" s="998">
        <f t="shared" si="73"/>
        <v>0</v>
      </c>
      <c r="DO47" s="998">
        <f t="shared" si="73"/>
        <v>0</v>
      </c>
      <c r="DP47" s="998">
        <f t="shared" si="73"/>
        <v>0</v>
      </c>
      <c r="DQ47" s="998">
        <f t="shared" si="73"/>
        <v>0</v>
      </c>
      <c r="DR47" s="998">
        <f t="shared" si="73"/>
        <v>0</v>
      </c>
      <c r="DS47" s="998">
        <f t="shared" si="73"/>
        <v>0</v>
      </c>
      <c r="DT47" s="998">
        <f t="shared" si="73"/>
        <v>0</v>
      </c>
      <c r="DU47" s="998">
        <f t="shared" si="73"/>
        <v>0</v>
      </c>
      <c r="DV47" s="998">
        <f t="shared" si="73"/>
        <v>0</v>
      </c>
      <c r="DW47" s="998">
        <f t="shared" si="73"/>
        <v>0</v>
      </c>
      <c r="DX47" s="998">
        <f t="shared" si="73"/>
        <v>0</v>
      </c>
      <c r="DY47" s="998">
        <f t="shared" si="73"/>
        <v>0</v>
      </c>
      <c r="DZ47" s="998">
        <f t="shared" si="73"/>
        <v>0</v>
      </c>
      <c r="EA47" s="998">
        <f t="shared" si="73"/>
        <v>0</v>
      </c>
      <c r="EB47" s="998">
        <f t="shared" si="73"/>
        <v>0</v>
      </c>
      <c r="EC47" s="998">
        <f t="shared" si="73"/>
        <v>0</v>
      </c>
      <c r="ED47" s="998">
        <f t="shared" si="73"/>
        <v>0</v>
      </c>
      <c r="EE47" s="998">
        <f t="shared" si="73"/>
        <v>0</v>
      </c>
      <c r="EF47" s="998">
        <f t="shared" si="73"/>
        <v>0</v>
      </c>
      <c r="EG47" s="998">
        <f t="shared" ref="EG47:EJ47" si="74">EG39+EG43+EG45</f>
        <v>0</v>
      </c>
      <c r="EH47" s="998">
        <f t="shared" si="74"/>
        <v>0</v>
      </c>
      <c r="EI47" s="998">
        <f t="shared" si="74"/>
        <v>0</v>
      </c>
      <c r="EJ47" s="1128">
        <f t="shared" si="74"/>
        <v>0</v>
      </c>
      <c r="EK47" s="553"/>
    </row>
    <row r="48" spans="1:141" ht="15.75" hidden="1" customHeight="1" x14ac:dyDescent="0.25">
      <c r="A48" s="6"/>
      <c r="B48" s="1038" t="s">
        <v>295</v>
      </c>
      <c r="C48" s="1011"/>
      <c r="D48" s="1011"/>
      <c r="E48" s="999"/>
      <c r="F48" s="1011"/>
      <c r="G48" s="1078">
        <v>0</v>
      </c>
      <c r="H48" s="1129">
        <f t="shared" ref="H48:DX48" si="75">$G$48*-H70</f>
        <v>0</v>
      </c>
      <c r="I48" s="1130">
        <f t="shared" si="75"/>
        <v>0</v>
      </c>
      <c r="J48" s="1130">
        <f t="shared" si="75"/>
        <v>0</v>
      </c>
      <c r="K48" s="1130">
        <f t="shared" si="75"/>
        <v>0</v>
      </c>
      <c r="L48" s="1130">
        <f t="shared" si="75"/>
        <v>0</v>
      </c>
      <c r="M48" s="1130">
        <f t="shared" si="75"/>
        <v>0</v>
      </c>
      <c r="N48" s="1130">
        <f t="shared" si="75"/>
        <v>0</v>
      </c>
      <c r="O48" s="1130">
        <f t="shared" si="75"/>
        <v>0</v>
      </c>
      <c r="P48" s="1130">
        <f t="shared" si="75"/>
        <v>0</v>
      </c>
      <c r="Q48" s="1130">
        <f t="shared" si="75"/>
        <v>0</v>
      </c>
      <c r="R48" s="1130">
        <f t="shared" si="75"/>
        <v>0</v>
      </c>
      <c r="S48" s="1130">
        <f t="shared" si="75"/>
        <v>0</v>
      </c>
      <c r="T48" s="1130">
        <f t="shared" si="75"/>
        <v>0</v>
      </c>
      <c r="U48" s="1130">
        <f t="shared" si="75"/>
        <v>0</v>
      </c>
      <c r="V48" s="1130">
        <f t="shared" si="75"/>
        <v>0</v>
      </c>
      <c r="W48" s="1130">
        <f t="shared" si="75"/>
        <v>0</v>
      </c>
      <c r="X48" s="1130">
        <f t="shared" si="75"/>
        <v>0</v>
      </c>
      <c r="Y48" s="1130">
        <f t="shared" si="75"/>
        <v>0</v>
      </c>
      <c r="Z48" s="1130">
        <f t="shared" si="75"/>
        <v>0</v>
      </c>
      <c r="AA48" s="1130">
        <f t="shared" si="75"/>
        <v>0</v>
      </c>
      <c r="AB48" s="1130">
        <f t="shared" si="75"/>
        <v>0</v>
      </c>
      <c r="AC48" s="1130">
        <f t="shared" si="75"/>
        <v>0</v>
      </c>
      <c r="AD48" s="1130">
        <f t="shared" si="75"/>
        <v>0</v>
      </c>
      <c r="AE48" s="1130">
        <f t="shared" si="75"/>
        <v>0</v>
      </c>
      <c r="AF48" s="1130">
        <f t="shared" si="75"/>
        <v>0</v>
      </c>
      <c r="AG48" s="1130">
        <f t="shared" si="75"/>
        <v>0</v>
      </c>
      <c r="AH48" s="1130">
        <f t="shared" si="75"/>
        <v>0</v>
      </c>
      <c r="AI48" s="1130">
        <f t="shared" si="75"/>
        <v>0</v>
      </c>
      <c r="AJ48" s="1130">
        <f t="shared" si="75"/>
        <v>0</v>
      </c>
      <c r="AK48" s="1130">
        <f t="shared" si="75"/>
        <v>0</v>
      </c>
      <c r="AL48" s="1130">
        <f t="shared" si="75"/>
        <v>0</v>
      </c>
      <c r="AM48" s="1130">
        <f t="shared" si="75"/>
        <v>0</v>
      </c>
      <c r="AN48" s="1130">
        <f t="shared" si="75"/>
        <v>0</v>
      </c>
      <c r="AO48" s="1130">
        <f t="shared" si="75"/>
        <v>0</v>
      </c>
      <c r="AP48" s="1130">
        <f t="shared" si="75"/>
        <v>0</v>
      </c>
      <c r="AQ48" s="1130">
        <f t="shared" si="75"/>
        <v>0</v>
      </c>
      <c r="AR48" s="1130">
        <f t="shared" si="75"/>
        <v>0</v>
      </c>
      <c r="AS48" s="1130">
        <f t="shared" si="75"/>
        <v>0</v>
      </c>
      <c r="AT48" s="1130">
        <f t="shared" si="75"/>
        <v>0</v>
      </c>
      <c r="AU48" s="1130">
        <f t="shared" si="75"/>
        <v>0</v>
      </c>
      <c r="AV48" s="1130">
        <f t="shared" si="75"/>
        <v>0</v>
      </c>
      <c r="AW48" s="1130">
        <f t="shared" si="75"/>
        <v>0</v>
      </c>
      <c r="AX48" s="1130">
        <f t="shared" si="75"/>
        <v>0</v>
      </c>
      <c r="AY48" s="1130">
        <f t="shared" si="75"/>
        <v>0</v>
      </c>
      <c r="AZ48" s="1130">
        <f t="shared" si="75"/>
        <v>0</v>
      </c>
      <c r="BA48" s="1130">
        <f t="shared" si="75"/>
        <v>0</v>
      </c>
      <c r="BB48" s="1130">
        <f t="shared" si="75"/>
        <v>0</v>
      </c>
      <c r="BC48" s="1130">
        <f t="shared" si="75"/>
        <v>0</v>
      </c>
      <c r="BD48" s="1130">
        <f t="shared" si="75"/>
        <v>0</v>
      </c>
      <c r="BE48" s="1130">
        <f t="shared" si="75"/>
        <v>0</v>
      </c>
      <c r="BF48" s="1130">
        <f t="shared" si="75"/>
        <v>0</v>
      </c>
      <c r="BG48" s="1130">
        <f t="shared" si="75"/>
        <v>0</v>
      </c>
      <c r="BH48" s="1130">
        <f t="shared" si="75"/>
        <v>0</v>
      </c>
      <c r="BI48" s="1130">
        <f t="shared" si="75"/>
        <v>0</v>
      </c>
      <c r="BJ48" s="1130">
        <f t="shared" si="75"/>
        <v>0</v>
      </c>
      <c r="BK48" s="1130">
        <f t="shared" si="75"/>
        <v>0</v>
      </c>
      <c r="BL48" s="1130">
        <f t="shared" si="75"/>
        <v>0</v>
      </c>
      <c r="BM48" s="1130">
        <f t="shared" si="75"/>
        <v>0</v>
      </c>
      <c r="BN48" s="1130">
        <f t="shared" si="75"/>
        <v>0</v>
      </c>
      <c r="BO48" s="1130">
        <f t="shared" si="75"/>
        <v>0</v>
      </c>
      <c r="BP48" s="1130">
        <f t="shared" si="75"/>
        <v>0</v>
      </c>
      <c r="BQ48" s="1130">
        <f t="shared" si="75"/>
        <v>0</v>
      </c>
      <c r="BR48" s="1130">
        <f t="shared" si="75"/>
        <v>0</v>
      </c>
      <c r="BS48" s="1130">
        <f t="shared" si="75"/>
        <v>0</v>
      </c>
      <c r="BT48" s="1130">
        <f t="shared" si="75"/>
        <v>0</v>
      </c>
      <c r="BU48" s="1130">
        <f t="shared" si="75"/>
        <v>0</v>
      </c>
      <c r="BV48" s="1130">
        <f t="shared" si="75"/>
        <v>0</v>
      </c>
      <c r="BW48" s="1130">
        <f t="shared" si="75"/>
        <v>0</v>
      </c>
      <c r="BX48" s="1130">
        <f t="shared" si="75"/>
        <v>0</v>
      </c>
      <c r="BY48" s="1130">
        <f t="shared" si="75"/>
        <v>0</v>
      </c>
      <c r="BZ48" s="1130">
        <f t="shared" si="75"/>
        <v>0</v>
      </c>
      <c r="CA48" s="1130">
        <f t="shared" si="75"/>
        <v>0</v>
      </c>
      <c r="CB48" s="1130">
        <f t="shared" si="75"/>
        <v>0</v>
      </c>
      <c r="CC48" s="1130">
        <f t="shared" si="75"/>
        <v>0</v>
      </c>
      <c r="CD48" s="1130">
        <f t="shared" si="75"/>
        <v>0</v>
      </c>
      <c r="CE48" s="1130">
        <f t="shared" si="75"/>
        <v>0</v>
      </c>
      <c r="CF48" s="1130">
        <f t="shared" si="75"/>
        <v>0</v>
      </c>
      <c r="CG48" s="1130">
        <f t="shared" si="75"/>
        <v>0</v>
      </c>
      <c r="CH48" s="1130">
        <f t="shared" si="75"/>
        <v>0</v>
      </c>
      <c r="CI48" s="1130">
        <f t="shared" si="75"/>
        <v>0</v>
      </c>
      <c r="CJ48" s="1130">
        <f t="shared" si="75"/>
        <v>0</v>
      </c>
      <c r="CK48" s="1130">
        <f t="shared" si="75"/>
        <v>0</v>
      </c>
      <c r="CL48" s="1130">
        <f t="shared" si="75"/>
        <v>0</v>
      </c>
      <c r="CM48" s="1130">
        <f t="shared" si="75"/>
        <v>0</v>
      </c>
      <c r="CN48" s="1130">
        <f t="shared" si="75"/>
        <v>0</v>
      </c>
      <c r="CO48" s="1130">
        <f t="shared" si="75"/>
        <v>0</v>
      </c>
      <c r="CP48" s="1130">
        <f t="shared" si="75"/>
        <v>0</v>
      </c>
      <c r="CQ48" s="1130">
        <f t="shared" si="75"/>
        <v>0</v>
      </c>
      <c r="CR48" s="1130">
        <f t="shared" si="75"/>
        <v>0</v>
      </c>
      <c r="CS48" s="1130">
        <f t="shared" si="75"/>
        <v>0</v>
      </c>
      <c r="CT48" s="1130">
        <f t="shared" si="75"/>
        <v>0</v>
      </c>
      <c r="CU48" s="1130">
        <f t="shared" si="75"/>
        <v>0</v>
      </c>
      <c r="CV48" s="1130">
        <f t="shared" si="75"/>
        <v>0</v>
      </c>
      <c r="CW48" s="1130">
        <f t="shared" si="75"/>
        <v>0</v>
      </c>
      <c r="CX48" s="1130">
        <f t="shared" si="75"/>
        <v>0</v>
      </c>
      <c r="CY48" s="1130">
        <f t="shared" si="75"/>
        <v>0</v>
      </c>
      <c r="CZ48" s="1130">
        <f t="shared" si="75"/>
        <v>0</v>
      </c>
      <c r="DA48" s="1130">
        <f t="shared" si="75"/>
        <v>0</v>
      </c>
      <c r="DB48" s="1130">
        <f t="shared" si="75"/>
        <v>0</v>
      </c>
      <c r="DC48" s="1130">
        <f t="shared" si="75"/>
        <v>0</v>
      </c>
      <c r="DD48" s="1130">
        <f t="shared" si="75"/>
        <v>0</v>
      </c>
      <c r="DE48" s="1130">
        <f t="shared" si="75"/>
        <v>0</v>
      </c>
      <c r="DF48" s="1130">
        <f t="shared" si="75"/>
        <v>0</v>
      </c>
      <c r="DG48" s="1130">
        <f t="shared" si="75"/>
        <v>0</v>
      </c>
      <c r="DH48" s="1130">
        <f t="shared" si="75"/>
        <v>0</v>
      </c>
      <c r="DI48" s="1130">
        <f t="shared" si="75"/>
        <v>0</v>
      </c>
      <c r="DJ48" s="1130">
        <f t="shared" si="75"/>
        <v>0</v>
      </c>
      <c r="DK48" s="1130">
        <f t="shared" si="75"/>
        <v>0</v>
      </c>
      <c r="DL48" s="1130">
        <f t="shared" si="75"/>
        <v>0</v>
      </c>
      <c r="DM48" s="1130">
        <f t="shared" si="75"/>
        <v>0</v>
      </c>
      <c r="DN48" s="1130">
        <f t="shared" si="75"/>
        <v>0</v>
      </c>
      <c r="DO48" s="1130">
        <f t="shared" si="75"/>
        <v>0</v>
      </c>
      <c r="DP48" s="1130">
        <f t="shared" si="75"/>
        <v>0</v>
      </c>
      <c r="DQ48" s="1130">
        <f t="shared" si="75"/>
        <v>0</v>
      </c>
      <c r="DR48" s="1130">
        <f t="shared" si="75"/>
        <v>0</v>
      </c>
      <c r="DS48" s="1130">
        <f t="shared" si="75"/>
        <v>0</v>
      </c>
      <c r="DT48" s="1130">
        <f t="shared" si="75"/>
        <v>0</v>
      </c>
      <c r="DU48" s="1130">
        <f t="shared" si="75"/>
        <v>0</v>
      </c>
      <c r="DV48" s="1130">
        <f t="shared" si="75"/>
        <v>0</v>
      </c>
      <c r="DW48" s="1130">
        <f t="shared" si="75"/>
        <v>0</v>
      </c>
      <c r="DX48" s="1130">
        <f t="shared" si="75"/>
        <v>0</v>
      </c>
      <c r="DY48" s="1130">
        <f t="shared" ref="DY48:EJ48" si="76">$G$48*-DY70</f>
        <v>0</v>
      </c>
      <c r="DZ48" s="1130">
        <f t="shared" si="76"/>
        <v>0</v>
      </c>
      <c r="EA48" s="1130">
        <f t="shared" si="76"/>
        <v>0</v>
      </c>
      <c r="EB48" s="1130">
        <f t="shared" si="76"/>
        <v>0</v>
      </c>
      <c r="EC48" s="1130">
        <f t="shared" si="76"/>
        <v>0</v>
      </c>
      <c r="ED48" s="1130">
        <f t="shared" si="76"/>
        <v>0</v>
      </c>
      <c r="EE48" s="1130">
        <f t="shared" si="76"/>
        <v>0</v>
      </c>
      <c r="EF48" s="1130">
        <f t="shared" si="76"/>
        <v>0</v>
      </c>
      <c r="EG48" s="1130">
        <f t="shared" si="76"/>
        <v>0</v>
      </c>
      <c r="EH48" s="1130">
        <f t="shared" si="76"/>
        <v>0</v>
      </c>
      <c r="EI48" s="1130">
        <f t="shared" si="76"/>
        <v>0</v>
      </c>
      <c r="EJ48" s="1131">
        <f t="shared" si="76"/>
        <v>0</v>
      </c>
    </row>
    <row r="49" spans="1:140" ht="15.75" customHeight="1" x14ac:dyDescent="0.25">
      <c r="A49" s="6"/>
      <c r="B49" s="1038" t="s">
        <v>235</v>
      </c>
      <c r="C49" s="999"/>
      <c r="D49" s="999"/>
      <c r="E49" s="999"/>
      <c r="F49" s="1005"/>
      <c r="G49" s="1079">
        <f>VAC</f>
        <v>0.05</v>
      </c>
      <c r="H49" s="1129">
        <f t="shared" ref="H49:DX49" si="77">IF(H5&gt;$E$4+12,0,-IF(H6=1,H39*$G$49,0))</f>
        <v>0</v>
      </c>
      <c r="I49" s="1130">
        <f t="shared" si="77"/>
        <v>0</v>
      </c>
      <c r="J49" s="1130">
        <f t="shared" si="77"/>
        <v>0</v>
      </c>
      <c r="K49" s="1130">
        <f t="shared" si="77"/>
        <v>0</v>
      </c>
      <c r="L49" s="1130">
        <f t="shared" si="77"/>
        <v>0</v>
      </c>
      <c r="M49" s="1130">
        <f t="shared" si="77"/>
        <v>0</v>
      </c>
      <c r="N49" s="1130">
        <f t="shared" si="77"/>
        <v>0</v>
      </c>
      <c r="O49" s="1130">
        <f t="shared" si="77"/>
        <v>0</v>
      </c>
      <c r="P49" s="1130">
        <f t="shared" si="77"/>
        <v>0</v>
      </c>
      <c r="Q49" s="1130">
        <f t="shared" si="77"/>
        <v>0</v>
      </c>
      <c r="R49" s="1130">
        <f t="shared" si="77"/>
        <v>0</v>
      </c>
      <c r="S49" s="1130">
        <f t="shared" si="77"/>
        <v>0</v>
      </c>
      <c r="T49" s="1130">
        <f t="shared" si="77"/>
        <v>0</v>
      </c>
      <c r="U49" s="1130">
        <f t="shared" si="77"/>
        <v>0</v>
      </c>
      <c r="V49" s="1130">
        <f t="shared" si="77"/>
        <v>0</v>
      </c>
      <c r="W49" s="1130">
        <f t="shared" si="77"/>
        <v>0</v>
      </c>
      <c r="X49" s="1130">
        <f t="shared" si="77"/>
        <v>0</v>
      </c>
      <c r="Y49" s="1130">
        <f t="shared" si="77"/>
        <v>0</v>
      </c>
      <c r="Z49" s="1130">
        <f t="shared" si="77"/>
        <v>0</v>
      </c>
      <c r="AA49" s="1130">
        <f t="shared" si="77"/>
        <v>0</v>
      </c>
      <c r="AB49" s="1130">
        <f t="shared" si="77"/>
        <v>0</v>
      </c>
      <c r="AC49" s="1130">
        <f t="shared" si="77"/>
        <v>0</v>
      </c>
      <c r="AD49" s="1130">
        <f t="shared" si="77"/>
        <v>0</v>
      </c>
      <c r="AE49" s="1130">
        <f t="shared" si="77"/>
        <v>0</v>
      </c>
      <c r="AF49" s="1130">
        <f t="shared" si="77"/>
        <v>0</v>
      </c>
      <c r="AG49" s="1130">
        <f t="shared" si="77"/>
        <v>0</v>
      </c>
      <c r="AH49" s="1130">
        <f t="shared" si="77"/>
        <v>0</v>
      </c>
      <c r="AI49" s="1130">
        <f t="shared" si="77"/>
        <v>0</v>
      </c>
      <c r="AJ49" s="1130">
        <f t="shared" si="77"/>
        <v>0</v>
      </c>
      <c r="AK49" s="1130">
        <f t="shared" si="77"/>
        <v>0</v>
      </c>
      <c r="AL49" s="1130">
        <f t="shared" si="77"/>
        <v>0</v>
      </c>
      <c r="AM49" s="1130">
        <f t="shared" si="77"/>
        <v>0</v>
      </c>
      <c r="AN49" s="1130">
        <f t="shared" si="77"/>
        <v>0</v>
      </c>
      <c r="AO49" s="1130">
        <f t="shared" si="77"/>
        <v>0</v>
      </c>
      <c r="AP49" s="1130">
        <f t="shared" si="77"/>
        <v>0</v>
      </c>
      <c r="AQ49" s="1130">
        <f t="shared" si="77"/>
        <v>-11423.383971500001</v>
      </c>
      <c r="AR49" s="1130">
        <f>IF(AR5&gt;$E$4+12,0,-IF(AR6=1,AR39*$G$49,0))</f>
        <v>-11423.383971500001</v>
      </c>
      <c r="AS49" s="1130">
        <f t="shared" si="77"/>
        <v>-11766.085490644999</v>
      </c>
      <c r="AT49" s="1130">
        <f t="shared" si="77"/>
        <v>-11766.085490644999</v>
      </c>
      <c r="AU49" s="1130">
        <f t="shared" si="77"/>
        <v>-11766.085490644999</v>
      </c>
      <c r="AV49" s="1130">
        <f t="shared" si="77"/>
        <v>-11766.085490644999</v>
      </c>
      <c r="AW49" s="1130">
        <f t="shared" si="77"/>
        <v>-11766.085490644999</v>
      </c>
      <c r="AX49" s="1130">
        <f t="shared" si="77"/>
        <v>-11766.085490644999</v>
      </c>
      <c r="AY49" s="1130">
        <f t="shared" si="77"/>
        <v>-11766.085490644999</v>
      </c>
      <c r="AZ49" s="1130">
        <f t="shared" si="77"/>
        <v>-11766.085490644999</v>
      </c>
      <c r="BA49" s="1130">
        <f t="shared" si="77"/>
        <v>-11766.085490644999</v>
      </c>
      <c r="BB49" s="1130">
        <f t="shared" si="77"/>
        <v>-11766.085490644999</v>
      </c>
      <c r="BC49" s="1130">
        <f t="shared" si="77"/>
        <v>-11766.085490644999</v>
      </c>
      <c r="BD49" s="1130">
        <f t="shared" si="77"/>
        <v>-11766.085490644999</v>
      </c>
      <c r="BE49" s="1130">
        <f t="shared" si="77"/>
        <v>-12119.068055364349</v>
      </c>
      <c r="BF49" s="1130">
        <f t="shared" si="77"/>
        <v>-12119.068055364349</v>
      </c>
      <c r="BG49" s="1130">
        <f t="shared" si="77"/>
        <v>-12119.068055364349</v>
      </c>
      <c r="BH49" s="1130">
        <f t="shared" si="77"/>
        <v>-12119.068055364349</v>
      </c>
      <c r="BI49" s="1130">
        <f t="shared" si="77"/>
        <v>-12119.068055364349</v>
      </c>
      <c r="BJ49" s="1130">
        <f t="shared" si="77"/>
        <v>-12119.068055364349</v>
      </c>
      <c r="BK49" s="1130">
        <f t="shared" si="77"/>
        <v>-12119.068055364349</v>
      </c>
      <c r="BL49" s="1130">
        <f t="shared" si="77"/>
        <v>-12119.068055364349</v>
      </c>
      <c r="BM49" s="1130">
        <f t="shared" si="77"/>
        <v>-12119.068055364349</v>
      </c>
      <c r="BN49" s="1130">
        <f t="shared" si="77"/>
        <v>-12119.068055364349</v>
      </c>
      <c r="BO49" s="1130">
        <f t="shared" si="77"/>
        <v>-12119.068055364349</v>
      </c>
      <c r="BP49" s="1130">
        <f t="shared" si="77"/>
        <v>-12119.068055364349</v>
      </c>
      <c r="BQ49" s="1130">
        <f t="shared" si="77"/>
        <v>-12482.64009702528</v>
      </c>
      <c r="BR49" s="1130">
        <f t="shared" si="77"/>
        <v>-12482.64009702528</v>
      </c>
      <c r="BS49" s="1130">
        <f t="shared" si="77"/>
        <v>-12482.64009702528</v>
      </c>
      <c r="BT49" s="1130">
        <f t="shared" si="77"/>
        <v>-12482.64009702528</v>
      </c>
      <c r="BU49" s="1130">
        <f t="shared" si="77"/>
        <v>-12482.64009702528</v>
      </c>
      <c r="BV49" s="1130">
        <f t="shared" si="77"/>
        <v>-12482.64009702528</v>
      </c>
      <c r="BW49" s="1130">
        <f t="shared" si="77"/>
        <v>-12482.64009702528</v>
      </c>
      <c r="BX49" s="1130">
        <f t="shared" si="77"/>
        <v>-12482.64009702528</v>
      </c>
      <c r="BY49" s="1130">
        <f t="shared" si="77"/>
        <v>-12482.64009702528</v>
      </c>
      <c r="BZ49" s="1130">
        <f t="shared" si="77"/>
        <v>-12482.64009702528</v>
      </c>
      <c r="CA49" s="1130">
        <f t="shared" si="77"/>
        <v>-12482.64009702528</v>
      </c>
      <c r="CB49" s="1130">
        <f t="shared" si="77"/>
        <v>-12482.64009702528</v>
      </c>
      <c r="CC49" s="1130">
        <f t="shared" si="77"/>
        <v>0</v>
      </c>
      <c r="CD49" s="1130">
        <f t="shared" si="77"/>
        <v>0</v>
      </c>
      <c r="CE49" s="1130">
        <f t="shared" si="77"/>
        <v>0</v>
      </c>
      <c r="CF49" s="1130">
        <f t="shared" si="77"/>
        <v>0</v>
      </c>
      <c r="CG49" s="1130">
        <f t="shared" si="77"/>
        <v>0</v>
      </c>
      <c r="CH49" s="1130">
        <f t="shared" si="77"/>
        <v>0</v>
      </c>
      <c r="CI49" s="1130">
        <f t="shared" si="77"/>
        <v>0</v>
      </c>
      <c r="CJ49" s="1130">
        <f t="shared" si="77"/>
        <v>0</v>
      </c>
      <c r="CK49" s="1130">
        <f t="shared" si="77"/>
        <v>0</v>
      </c>
      <c r="CL49" s="1130">
        <f t="shared" si="77"/>
        <v>0</v>
      </c>
      <c r="CM49" s="1130">
        <f t="shared" si="77"/>
        <v>0</v>
      </c>
      <c r="CN49" s="1130">
        <f t="shared" si="77"/>
        <v>0</v>
      </c>
      <c r="CO49" s="1130">
        <f t="shared" si="77"/>
        <v>0</v>
      </c>
      <c r="CP49" s="1130">
        <f t="shared" si="77"/>
        <v>0</v>
      </c>
      <c r="CQ49" s="1130">
        <f t="shared" si="77"/>
        <v>0</v>
      </c>
      <c r="CR49" s="1130">
        <f t="shared" si="77"/>
        <v>0</v>
      </c>
      <c r="CS49" s="1130">
        <f t="shared" si="77"/>
        <v>0</v>
      </c>
      <c r="CT49" s="1130">
        <f t="shared" si="77"/>
        <v>0</v>
      </c>
      <c r="CU49" s="1130">
        <f t="shared" si="77"/>
        <v>0</v>
      </c>
      <c r="CV49" s="1130">
        <f t="shared" si="77"/>
        <v>0</v>
      </c>
      <c r="CW49" s="1130">
        <f t="shared" si="77"/>
        <v>0</v>
      </c>
      <c r="CX49" s="1130">
        <f t="shared" si="77"/>
        <v>0</v>
      </c>
      <c r="CY49" s="1130">
        <f t="shared" si="77"/>
        <v>0</v>
      </c>
      <c r="CZ49" s="1130">
        <f t="shared" si="77"/>
        <v>0</v>
      </c>
      <c r="DA49" s="1130">
        <f t="shared" si="77"/>
        <v>0</v>
      </c>
      <c r="DB49" s="1130">
        <f t="shared" si="77"/>
        <v>0</v>
      </c>
      <c r="DC49" s="1130">
        <f t="shared" si="77"/>
        <v>0</v>
      </c>
      <c r="DD49" s="1130">
        <f t="shared" si="77"/>
        <v>0</v>
      </c>
      <c r="DE49" s="1130">
        <f t="shared" si="77"/>
        <v>0</v>
      </c>
      <c r="DF49" s="1130">
        <f t="shared" si="77"/>
        <v>0</v>
      </c>
      <c r="DG49" s="1130">
        <f t="shared" si="77"/>
        <v>0</v>
      </c>
      <c r="DH49" s="1130">
        <f t="shared" si="77"/>
        <v>0</v>
      </c>
      <c r="DI49" s="1130">
        <f t="shared" si="77"/>
        <v>0</v>
      </c>
      <c r="DJ49" s="1130">
        <f t="shared" si="77"/>
        <v>0</v>
      </c>
      <c r="DK49" s="1130">
        <f t="shared" si="77"/>
        <v>0</v>
      </c>
      <c r="DL49" s="1130">
        <f t="shared" si="77"/>
        <v>0</v>
      </c>
      <c r="DM49" s="1130">
        <f t="shared" si="77"/>
        <v>0</v>
      </c>
      <c r="DN49" s="1130">
        <f t="shared" si="77"/>
        <v>0</v>
      </c>
      <c r="DO49" s="1130">
        <f t="shared" si="77"/>
        <v>0</v>
      </c>
      <c r="DP49" s="1130">
        <f t="shared" si="77"/>
        <v>0</v>
      </c>
      <c r="DQ49" s="1130">
        <f t="shared" si="77"/>
        <v>0</v>
      </c>
      <c r="DR49" s="1130">
        <f t="shared" si="77"/>
        <v>0</v>
      </c>
      <c r="DS49" s="1130">
        <f t="shared" si="77"/>
        <v>0</v>
      </c>
      <c r="DT49" s="1130">
        <f t="shared" si="77"/>
        <v>0</v>
      </c>
      <c r="DU49" s="1130">
        <f t="shared" si="77"/>
        <v>0</v>
      </c>
      <c r="DV49" s="1130">
        <f t="shared" si="77"/>
        <v>0</v>
      </c>
      <c r="DW49" s="1130">
        <f t="shared" si="77"/>
        <v>0</v>
      </c>
      <c r="DX49" s="1130">
        <f t="shared" si="77"/>
        <v>0</v>
      </c>
      <c r="DY49" s="1130">
        <f t="shared" ref="DY49:EJ49" si="78">IF(DY5&gt;$E$4+12,0,-IF(DY6=1,DY39*$G$49,0))</f>
        <v>0</v>
      </c>
      <c r="DZ49" s="1130">
        <f t="shared" si="78"/>
        <v>0</v>
      </c>
      <c r="EA49" s="1130">
        <f t="shared" si="78"/>
        <v>0</v>
      </c>
      <c r="EB49" s="1130">
        <f t="shared" si="78"/>
        <v>0</v>
      </c>
      <c r="EC49" s="1130">
        <f t="shared" si="78"/>
        <v>0</v>
      </c>
      <c r="ED49" s="1130">
        <f t="shared" si="78"/>
        <v>0</v>
      </c>
      <c r="EE49" s="1130">
        <f t="shared" si="78"/>
        <v>0</v>
      </c>
      <c r="EF49" s="1130">
        <f t="shared" si="78"/>
        <v>0</v>
      </c>
      <c r="EG49" s="1130">
        <f t="shared" si="78"/>
        <v>0</v>
      </c>
      <c r="EH49" s="1130">
        <f t="shared" si="78"/>
        <v>0</v>
      </c>
      <c r="EI49" s="1130">
        <f t="shared" si="78"/>
        <v>0</v>
      </c>
      <c r="EJ49" s="1131">
        <f t="shared" si="78"/>
        <v>0</v>
      </c>
    </row>
    <row r="50" spans="1:140" ht="19.5" customHeight="1" x14ac:dyDescent="0.25">
      <c r="A50" s="6"/>
      <c r="B50" s="1314" t="s">
        <v>600</v>
      </c>
      <c r="C50" s="993"/>
      <c r="D50" s="993"/>
      <c r="E50" s="993"/>
      <c r="F50" s="993"/>
      <c r="G50" s="1315">
        <f>'Untrended Proforma'!E11</f>
        <v>0.05</v>
      </c>
      <c r="H50" s="1132">
        <f>IF(H5&gt;$E$4+12,0,-$G$50*H45)</f>
        <v>0</v>
      </c>
      <c r="I50" s="1133">
        <f t="shared" ref="I50:BT50" si="79">IF(I5&gt;$E$4+12,0,-$G$50*I45)</f>
        <v>0</v>
      </c>
      <c r="J50" s="1133">
        <f t="shared" si="79"/>
        <v>0</v>
      </c>
      <c r="K50" s="1133">
        <f t="shared" si="79"/>
        <v>0</v>
      </c>
      <c r="L50" s="1133">
        <f t="shared" si="79"/>
        <v>0</v>
      </c>
      <c r="M50" s="1133">
        <f t="shared" si="79"/>
        <v>0</v>
      </c>
      <c r="N50" s="1133">
        <f t="shared" si="79"/>
        <v>0</v>
      </c>
      <c r="O50" s="1133">
        <f t="shared" si="79"/>
        <v>0</v>
      </c>
      <c r="P50" s="1133">
        <f t="shared" si="79"/>
        <v>0</v>
      </c>
      <c r="Q50" s="1133">
        <f t="shared" si="79"/>
        <v>0</v>
      </c>
      <c r="R50" s="1133">
        <f t="shared" si="79"/>
        <v>0</v>
      </c>
      <c r="S50" s="1133">
        <f t="shared" si="79"/>
        <v>0</v>
      </c>
      <c r="T50" s="1133">
        <f t="shared" si="79"/>
        <v>0</v>
      </c>
      <c r="U50" s="1133">
        <f t="shared" si="79"/>
        <v>0</v>
      </c>
      <c r="V50" s="1133">
        <f t="shared" si="79"/>
        <v>0</v>
      </c>
      <c r="W50" s="1133">
        <f t="shared" si="79"/>
        <v>0</v>
      </c>
      <c r="X50" s="1133">
        <f t="shared" si="79"/>
        <v>0</v>
      </c>
      <c r="Y50" s="1133">
        <f t="shared" si="79"/>
        <v>0</v>
      </c>
      <c r="Z50" s="1133">
        <f t="shared" si="79"/>
        <v>0</v>
      </c>
      <c r="AA50" s="1133">
        <f t="shared" si="79"/>
        <v>0</v>
      </c>
      <c r="AB50" s="1133">
        <f t="shared" si="79"/>
        <v>0</v>
      </c>
      <c r="AC50" s="1133">
        <f t="shared" si="79"/>
        <v>0</v>
      </c>
      <c r="AD50" s="1133">
        <f t="shared" si="79"/>
        <v>0</v>
      </c>
      <c r="AE50" s="1133">
        <f t="shared" si="79"/>
        <v>0</v>
      </c>
      <c r="AF50" s="1133">
        <f t="shared" si="79"/>
        <v>0</v>
      </c>
      <c r="AG50" s="1133">
        <f t="shared" si="79"/>
        <v>-536.96604779999996</v>
      </c>
      <c r="AH50" s="1133">
        <f t="shared" si="79"/>
        <v>-536.96604779999996</v>
      </c>
      <c r="AI50" s="1133">
        <f t="shared" si="79"/>
        <v>-536.96604779999996</v>
      </c>
      <c r="AJ50" s="1133">
        <f t="shared" si="79"/>
        <v>-536.96604779999996</v>
      </c>
      <c r="AK50" s="1133">
        <f t="shared" si="79"/>
        <v>-536.96604779999996</v>
      </c>
      <c r="AL50" s="1133">
        <f t="shared" si="79"/>
        <v>-536.96604779999996</v>
      </c>
      <c r="AM50" s="1133">
        <f>IF(AM5&gt;$E$4+12,0,-$G$50*AM45)</f>
        <v>-536.96604779999996</v>
      </c>
      <c r="AN50" s="1133">
        <f t="shared" si="79"/>
        <v>-536.96604779999996</v>
      </c>
      <c r="AO50" s="1133">
        <f t="shared" si="79"/>
        <v>-536.96604779999996</v>
      </c>
      <c r="AP50" s="1133">
        <f t="shared" si="79"/>
        <v>-536.96604779999996</v>
      </c>
      <c r="AQ50" s="1133">
        <f t="shared" si="79"/>
        <v>-536.96604779999996</v>
      </c>
      <c r="AR50" s="1133">
        <f t="shared" si="79"/>
        <v>-536.96604779999996</v>
      </c>
      <c r="AS50" s="1133">
        <f t="shared" si="79"/>
        <v>-553.075029234</v>
      </c>
      <c r="AT50" s="1133">
        <f t="shared" si="79"/>
        <v>-553.075029234</v>
      </c>
      <c r="AU50" s="1133">
        <f t="shared" si="79"/>
        <v>-553.075029234</v>
      </c>
      <c r="AV50" s="1133">
        <f t="shared" si="79"/>
        <v>-553.075029234</v>
      </c>
      <c r="AW50" s="1133">
        <f t="shared" si="79"/>
        <v>-553.075029234</v>
      </c>
      <c r="AX50" s="1133">
        <f t="shared" si="79"/>
        <v>-553.075029234</v>
      </c>
      <c r="AY50" s="1133">
        <f t="shared" si="79"/>
        <v>-553.075029234</v>
      </c>
      <c r="AZ50" s="1133">
        <f t="shared" si="79"/>
        <v>-553.075029234</v>
      </c>
      <c r="BA50" s="1133">
        <f t="shared" si="79"/>
        <v>-553.075029234</v>
      </c>
      <c r="BB50" s="1133">
        <f t="shared" si="79"/>
        <v>-553.075029234</v>
      </c>
      <c r="BC50" s="1133">
        <f t="shared" si="79"/>
        <v>-553.075029234</v>
      </c>
      <c r="BD50" s="1133">
        <f>IF(BD5&gt;$E$4+12,0,-$G$50*BD45)</f>
        <v>-553.075029234</v>
      </c>
      <c r="BE50" s="1133">
        <f t="shared" si="79"/>
        <v>-569.66728011101998</v>
      </c>
      <c r="BF50" s="1133">
        <f t="shared" si="79"/>
        <v>-569.66728011101998</v>
      </c>
      <c r="BG50" s="1133">
        <f t="shared" si="79"/>
        <v>-569.66728011101998</v>
      </c>
      <c r="BH50" s="1133">
        <f t="shared" si="79"/>
        <v>-569.66728011101998</v>
      </c>
      <c r="BI50" s="1133">
        <f t="shared" si="79"/>
        <v>-569.66728011101998</v>
      </c>
      <c r="BJ50" s="1133">
        <f t="shared" si="79"/>
        <v>-569.66728011101998</v>
      </c>
      <c r="BK50" s="1133">
        <f t="shared" si="79"/>
        <v>-569.66728011101998</v>
      </c>
      <c r="BL50" s="1133">
        <f t="shared" si="79"/>
        <v>-569.66728011101998</v>
      </c>
      <c r="BM50" s="1133">
        <f t="shared" si="79"/>
        <v>-569.66728011101998</v>
      </c>
      <c r="BN50" s="1133">
        <f t="shared" si="79"/>
        <v>-569.66728011101998</v>
      </c>
      <c r="BO50" s="1133">
        <f t="shared" si="79"/>
        <v>-569.66728011101998</v>
      </c>
      <c r="BP50" s="1133">
        <f t="shared" si="79"/>
        <v>-569.66728011101998</v>
      </c>
      <c r="BQ50" s="1133">
        <f t="shared" si="79"/>
        <v>-586.75729851435051</v>
      </c>
      <c r="BR50" s="1133">
        <f t="shared" si="79"/>
        <v>-586.75729851435051</v>
      </c>
      <c r="BS50" s="1133">
        <f t="shared" si="79"/>
        <v>-586.75729851435051</v>
      </c>
      <c r="BT50" s="1133">
        <f t="shared" si="79"/>
        <v>-586.75729851435051</v>
      </c>
      <c r="BU50" s="1133">
        <f t="shared" ref="BU50:EF50" si="80">IF(BU5&gt;$E$4+12,0,-$G$50*BU45)</f>
        <v>-586.75729851435051</v>
      </c>
      <c r="BV50" s="1133">
        <f t="shared" si="80"/>
        <v>-586.75729851435051</v>
      </c>
      <c r="BW50" s="1133">
        <f t="shared" si="80"/>
        <v>-586.75729851435051</v>
      </c>
      <c r="BX50" s="1133">
        <f t="shared" si="80"/>
        <v>-586.75729851435051</v>
      </c>
      <c r="BY50" s="1133">
        <f t="shared" si="80"/>
        <v>-586.75729851435051</v>
      </c>
      <c r="BZ50" s="1133">
        <f t="shared" si="80"/>
        <v>-586.75729851435051</v>
      </c>
      <c r="CA50" s="1133">
        <f t="shared" si="80"/>
        <v>-586.75729851435051</v>
      </c>
      <c r="CB50" s="1133">
        <f t="shared" si="80"/>
        <v>-586.75729851435051</v>
      </c>
      <c r="CC50" s="1133">
        <f t="shared" si="80"/>
        <v>0</v>
      </c>
      <c r="CD50" s="1133">
        <f t="shared" si="80"/>
        <v>0</v>
      </c>
      <c r="CE50" s="1133">
        <f t="shared" si="80"/>
        <v>0</v>
      </c>
      <c r="CF50" s="1133">
        <f t="shared" si="80"/>
        <v>0</v>
      </c>
      <c r="CG50" s="1133">
        <f t="shared" si="80"/>
        <v>0</v>
      </c>
      <c r="CH50" s="1133">
        <f t="shared" si="80"/>
        <v>0</v>
      </c>
      <c r="CI50" s="1133">
        <f t="shared" si="80"/>
        <v>0</v>
      </c>
      <c r="CJ50" s="1133">
        <f t="shared" si="80"/>
        <v>0</v>
      </c>
      <c r="CK50" s="1133">
        <f t="shared" si="80"/>
        <v>0</v>
      </c>
      <c r="CL50" s="1133">
        <f t="shared" si="80"/>
        <v>0</v>
      </c>
      <c r="CM50" s="1133">
        <f t="shared" si="80"/>
        <v>0</v>
      </c>
      <c r="CN50" s="1133">
        <f t="shared" si="80"/>
        <v>0</v>
      </c>
      <c r="CO50" s="1133">
        <f t="shared" si="80"/>
        <v>0</v>
      </c>
      <c r="CP50" s="1133">
        <f t="shared" si="80"/>
        <v>0</v>
      </c>
      <c r="CQ50" s="1133">
        <f t="shared" si="80"/>
        <v>0</v>
      </c>
      <c r="CR50" s="1133">
        <f t="shared" si="80"/>
        <v>0</v>
      </c>
      <c r="CS50" s="1133">
        <f t="shared" si="80"/>
        <v>0</v>
      </c>
      <c r="CT50" s="1133">
        <f t="shared" si="80"/>
        <v>0</v>
      </c>
      <c r="CU50" s="1133">
        <f t="shared" si="80"/>
        <v>0</v>
      </c>
      <c r="CV50" s="1133">
        <f t="shared" si="80"/>
        <v>0</v>
      </c>
      <c r="CW50" s="1133">
        <f t="shared" si="80"/>
        <v>0</v>
      </c>
      <c r="CX50" s="1133">
        <f t="shared" si="80"/>
        <v>0</v>
      </c>
      <c r="CY50" s="1133">
        <f t="shared" si="80"/>
        <v>0</v>
      </c>
      <c r="CZ50" s="1133">
        <f t="shared" si="80"/>
        <v>0</v>
      </c>
      <c r="DA50" s="1133">
        <f t="shared" si="80"/>
        <v>0</v>
      </c>
      <c r="DB50" s="1133">
        <f t="shared" si="80"/>
        <v>0</v>
      </c>
      <c r="DC50" s="1133">
        <f t="shared" si="80"/>
        <v>0</v>
      </c>
      <c r="DD50" s="1133">
        <f t="shared" si="80"/>
        <v>0</v>
      </c>
      <c r="DE50" s="1133">
        <f t="shared" si="80"/>
        <v>0</v>
      </c>
      <c r="DF50" s="1133">
        <f t="shared" si="80"/>
        <v>0</v>
      </c>
      <c r="DG50" s="1133">
        <f t="shared" si="80"/>
        <v>0</v>
      </c>
      <c r="DH50" s="1133">
        <f t="shared" si="80"/>
        <v>0</v>
      </c>
      <c r="DI50" s="1133">
        <f t="shared" si="80"/>
        <v>0</v>
      </c>
      <c r="DJ50" s="1133">
        <f t="shared" si="80"/>
        <v>0</v>
      </c>
      <c r="DK50" s="1133">
        <f t="shared" si="80"/>
        <v>0</v>
      </c>
      <c r="DL50" s="1133">
        <f t="shared" si="80"/>
        <v>0</v>
      </c>
      <c r="DM50" s="1133">
        <f t="shared" si="80"/>
        <v>0</v>
      </c>
      <c r="DN50" s="1133">
        <f t="shared" si="80"/>
        <v>0</v>
      </c>
      <c r="DO50" s="1133">
        <f t="shared" si="80"/>
        <v>0</v>
      </c>
      <c r="DP50" s="1133">
        <f t="shared" si="80"/>
        <v>0</v>
      </c>
      <c r="DQ50" s="1133">
        <f t="shared" si="80"/>
        <v>0</v>
      </c>
      <c r="DR50" s="1133">
        <f t="shared" si="80"/>
        <v>0</v>
      </c>
      <c r="DS50" s="1133">
        <f t="shared" si="80"/>
        <v>0</v>
      </c>
      <c r="DT50" s="1133">
        <f t="shared" si="80"/>
        <v>0</v>
      </c>
      <c r="DU50" s="1133">
        <f t="shared" si="80"/>
        <v>0</v>
      </c>
      <c r="DV50" s="1133">
        <f t="shared" si="80"/>
        <v>0</v>
      </c>
      <c r="DW50" s="1133">
        <f t="shared" si="80"/>
        <v>0</v>
      </c>
      <c r="DX50" s="1133">
        <f t="shared" si="80"/>
        <v>0</v>
      </c>
      <c r="DY50" s="1133">
        <f t="shared" si="80"/>
        <v>0</v>
      </c>
      <c r="DZ50" s="1133">
        <f t="shared" si="80"/>
        <v>0</v>
      </c>
      <c r="EA50" s="1133">
        <f t="shared" si="80"/>
        <v>0</v>
      </c>
      <c r="EB50" s="1133">
        <f t="shared" si="80"/>
        <v>0</v>
      </c>
      <c r="EC50" s="1133">
        <f t="shared" si="80"/>
        <v>0</v>
      </c>
      <c r="ED50" s="1133">
        <f t="shared" si="80"/>
        <v>0</v>
      </c>
      <c r="EE50" s="1133">
        <f t="shared" si="80"/>
        <v>0</v>
      </c>
      <c r="EF50" s="1133">
        <f t="shared" si="80"/>
        <v>0</v>
      </c>
      <c r="EG50" s="1133">
        <f t="shared" ref="EG50:EJ50" si="81">IF(EG5&gt;$E$4+12,0,-$G$50*EG45)</f>
        <v>0</v>
      </c>
      <c r="EH50" s="1133">
        <f t="shared" si="81"/>
        <v>0</v>
      </c>
      <c r="EI50" s="1133">
        <f t="shared" si="81"/>
        <v>0</v>
      </c>
      <c r="EJ50" s="1134">
        <f t="shared" si="81"/>
        <v>0</v>
      </c>
    </row>
    <row r="51" spans="1:140" ht="19.5" customHeight="1" thickBot="1" x14ac:dyDescent="0.3">
      <c r="A51" s="6"/>
      <c r="B51" s="364"/>
      <c r="C51" s="358"/>
      <c r="D51" s="358"/>
      <c r="E51" s="368"/>
      <c r="F51" s="358"/>
      <c r="G51" s="999"/>
      <c r="H51" s="1129"/>
      <c r="I51" s="1130"/>
      <c r="J51" s="599"/>
      <c r="K51" s="599"/>
      <c r="L51" s="599"/>
      <c r="M51" s="599"/>
      <c r="N51" s="599"/>
      <c r="O51" s="599"/>
      <c r="P51" s="599"/>
      <c r="Q51" s="599"/>
      <c r="R51" s="599"/>
      <c r="S51" s="599"/>
      <c r="T51" s="599"/>
      <c r="U51" s="599"/>
      <c r="V51" s="599"/>
      <c r="W51" s="599"/>
      <c r="X51" s="599"/>
      <c r="Y51" s="599"/>
      <c r="Z51" s="599"/>
      <c r="AA51" s="599"/>
      <c r="AB51" s="599"/>
      <c r="AC51" s="599"/>
      <c r="AD51" s="599"/>
      <c r="AE51" s="599"/>
      <c r="AF51" s="599"/>
      <c r="AG51" s="599"/>
      <c r="AH51" s="1135"/>
      <c r="AI51" s="1136"/>
      <c r="AJ51" s="1136"/>
      <c r="AK51" s="1136"/>
      <c r="AL51" s="1136"/>
      <c r="AM51" s="1136"/>
      <c r="AN51" s="1136"/>
      <c r="AO51" s="1136"/>
      <c r="AP51" s="1136"/>
      <c r="AQ51" s="1136"/>
      <c r="AR51" s="1136"/>
      <c r="AS51" s="1136"/>
      <c r="AT51" s="1136"/>
      <c r="AU51" s="1136"/>
      <c r="AV51" s="1136"/>
      <c r="AW51" s="1136"/>
      <c r="AX51" s="1136"/>
      <c r="AY51" s="1136"/>
      <c r="AZ51" s="1136"/>
      <c r="BA51" s="1136"/>
      <c r="BB51" s="1136"/>
      <c r="BC51" s="1136"/>
      <c r="BD51" s="1136"/>
      <c r="BE51" s="1136"/>
      <c r="BF51" s="1136"/>
      <c r="BG51" s="1136"/>
      <c r="BH51" s="1136"/>
      <c r="BI51" s="1136"/>
      <c r="BJ51" s="1136"/>
      <c r="BK51" s="1136"/>
      <c r="BL51" s="1136"/>
      <c r="BM51" s="1136"/>
      <c r="BN51" s="1136"/>
      <c r="BO51" s="1136"/>
      <c r="BP51" s="1136"/>
      <c r="BQ51" s="1136"/>
      <c r="BR51" s="1136"/>
      <c r="BS51" s="1136"/>
      <c r="BT51" s="1136"/>
      <c r="BU51" s="1136"/>
      <c r="BV51" s="1136"/>
      <c r="BW51" s="1136"/>
      <c r="BX51" s="1136"/>
      <c r="BY51" s="1136"/>
      <c r="BZ51" s="1136"/>
      <c r="CA51" s="1136"/>
      <c r="CB51" s="1136"/>
      <c r="CC51" s="1136"/>
      <c r="CD51" s="1136"/>
      <c r="CE51" s="1136"/>
      <c r="CF51" s="1136"/>
      <c r="CG51" s="1136"/>
      <c r="CH51" s="1136"/>
      <c r="CI51" s="1136"/>
      <c r="CJ51" s="1136"/>
      <c r="CK51" s="1136"/>
      <c r="CL51" s="1136"/>
      <c r="CM51" s="1136"/>
      <c r="CN51" s="1136"/>
      <c r="CO51" s="1136"/>
      <c r="CP51" s="1136"/>
      <c r="CQ51" s="1136"/>
      <c r="CR51" s="1136"/>
      <c r="CS51" s="1136"/>
      <c r="CT51" s="1136"/>
      <c r="CU51" s="1136"/>
      <c r="CV51" s="1136"/>
      <c r="CW51" s="1136"/>
      <c r="CX51" s="1136"/>
      <c r="CY51" s="1136"/>
      <c r="CZ51" s="1136"/>
      <c r="DA51" s="1136"/>
      <c r="DB51" s="1136"/>
      <c r="DC51" s="1136"/>
      <c r="DD51" s="1136"/>
      <c r="DE51" s="1136"/>
      <c r="DF51" s="1136"/>
      <c r="DG51" s="1136"/>
      <c r="DH51" s="1136"/>
      <c r="DI51" s="1136"/>
      <c r="DJ51" s="1136"/>
      <c r="DK51" s="1136"/>
      <c r="DL51" s="1136"/>
      <c r="DM51" s="1136"/>
      <c r="DN51" s="1136"/>
      <c r="DO51" s="1136"/>
      <c r="DP51" s="1136"/>
      <c r="DQ51" s="1136"/>
      <c r="DR51" s="1136"/>
      <c r="DS51" s="1136"/>
      <c r="DT51" s="1136"/>
      <c r="DU51" s="1136"/>
      <c r="DV51" s="1136"/>
      <c r="DW51" s="1136"/>
      <c r="DX51" s="1136"/>
      <c r="DY51" s="1136"/>
      <c r="DZ51" s="1136"/>
      <c r="EA51" s="1136"/>
      <c r="EB51" s="1136"/>
      <c r="EC51" s="1136"/>
      <c r="ED51" s="1136"/>
      <c r="EE51" s="1136"/>
      <c r="EF51" s="1136"/>
      <c r="EG51" s="1136"/>
      <c r="EH51" s="1136"/>
      <c r="EI51" s="1136"/>
      <c r="EJ51" s="1137"/>
    </row>
    <row r="52" spans="1:140" ht="23.25" customHeight="1" thickBot="1" x14ac:dyDescent="0.3">
      <c r="A52" s="371"/>
      <c r="B52" s="372" t="s">
        <v>78</v>
      </c>
      <c r="C52" s="373"/>
      <c r="D52" s="373"/>
      <c r="E52" s="373"/>
      <c r="F52" s="373"/>
      <c r="G52" s="1080"/>
      <c r="H52" s="1138">
        <f t="shared" ref="H52:DX52" si="82">SUM(H47:H50)</f>
        <v>0</v>
      </c>
      <c r="I52" s="1139">
        <f t="shared" si="82"/>
        <v>0</v>
      </c>
      <c r="J52" s="1139">
        <f t="shared" si="82"/>
        <v>0</v>
      </c>
      <c r="K52" s="1139">
        <f t="shared" si="82"/>
        <v>0</v>
      </c>
      <c r="L52" s="1139">
        <f t="shared" si="82"/>
        <v>0</v>
      </c>
      <c r="M52" s="1139">
        <f t="shared" si="82"/>
        <v>0</v>
      </c>
      <c r="N52" s="1139">
        <f t="shared" si="82"/>
        <v>0</v>
      </c>
      <c r="O52" s="1139">
        <f t="shared" si="82"/>
        <v>0</v>
      </c>
      <c r="P52" s="1139">
        <f t="shared" si="82"/>
        <v>0</v>
      </c>
      <c r="Q52" s="1139">
        <f t="shared" si="82"/>
        <v>0</v>
      </c>
      <c r="R52" s="1139">
        <f t="shared" si="82"/>
        <v>0</v>
      </c>
      <c r="S52" s="1139">
        <f t="shared" si="82"/>
        <v>0</v>
      </c>
      <c r="T52" s="1139">
        <f t="shared" si="82"/>
        <v>0</v>
      </c>
      <c r="U52" s="1139">
        <f t="shared" si="82"/>
        <v>0</v>
      </c>
      <c r="V52" s="1139">
        <f t="shared" si="82"/>
        <v>0</v>
      </c>
      <c r="W52" s="1139">
        <f t="shared" si="82"/>
        <v>0</v>
      </c>
      <c r="X52" s="1139">
        <f t="shared" si="82"/>
        <v>0</v>
      </c>
      <c r="Y52" s="1139">
        <f t="shared" si="82"/>
        <v>0</v>
      </c>
      <c r="Z52" s="1139">
        <f t="shared" si="82"/>
        <v>0</v>
      </c>
      <c r="AA52" s="1139">
        <f t="shared" si="82"/>
        <v>0</v>
      </c>
      <c r="AB52" s="1139">
        <f t="shared" si="82"/>
        <v>0</v>
      </c>
      <c r="AC52" s="1139">
        <f t="shared" si="82"/>
        <v>0</v>
      </c>
      <c r="AD52" s="1139">
        <f t="shared" si="82"/>
        <v>0</v>
      </c>
      <c r="AE52" s="1139">
        <f t="shared" si="82"/>
        <v>0</v>
      </c>
      <c r="AF52" s="1139">
        <f t="shared" si="82"/>
        <v>0</v>
      </c>
      <c r="AG52" s="1139">
        <f t="shared" si="82"/>
        <v>32995.032864699999</v>
      </c>
      <c r="AH52" s="1139">
        <f t="shared" si="82"/>
        <v>55515.075434699989</v>
      </c>
      <c r="AI52" s="1139">
        <f t="shared" si="82"/>
        <v>78307.753391199993</v>
      </c>
      <c r="AJ52" s="1139">
        <f t="shared" si="82"/>
        <v>100827.7959612</v>
      </c>
      <c r="AK52" s="1139">
        <f t="shared" si="82"/>
        <v>122998.2719812</v>
      </c>
      <c r="AL52" s="1139">
        <f t="shared" si="82"/>
        <v>145790.9499377</v>
      </c>
      <c r="AM52" s="1139">
        <f t="shared" si="82"/>
        <v>168310.99250770002</v>
      </c>
      <c r="AN52" s="1139">
        <f t="shared" si="82"/>
        <v>190831.03507770001</v>
      </c>
      <c r="AO52" s="1139">
        <f t="shared" si="82"/>
        <v>213057.24017469998</v>
      </c>
      <c r="AP52" s="1139">
        <f t="shared" si="82"/>
        <v>235577.28274469997</v>
      </c>
      <c r="AQ52" s="1139">
        <f t="shared" si="82"/>
        <v>229486.74071670003</v>
      </c>
      <c r="AR52" s="1139">
        <f t="shared" si="82"/>
        <v>229486.74071670003</v>
      </c>
      <c r="AS52" s="1139">
        <f t="shared" si="82"/>
        <v>236371.34293820098</v>
      </c>
      <c r="AT52" s="1139">
        <f t="shared" si="82"/>
        <v>236371.34293820098</v>
      </c>
      <c r="AU52" s="1139">
        <f t="shared" si="82"/>
        <v>236371.34293820098</v>
      </c>
      <c r="AV52" s="1139">
        <f t="shared" si="82"/>
        <v>236371.34293820098</v>
      </c>
      <c r="AW52" s="1139">
        <f t="shared" si="82"/>
        <v>236371.34293820098</v>
      </c>
      <c r="AX52" s="1139">
        <f t="shared" si="82"/>
        <v>236371.34293820098</v>
      </c>
      <c r="AY52" s="1139">
        <f t="shared" si="82"/>
        <v>236371.34293820098</v>
      </c>
      <c r="AZ52" s="1139">
        <f t="shared" si="82"/>
        <v>236371.34293820098</v>
      </c>
      <c r="BA52" s="1139">
        <f t="shared" si="82"/>
        <v>236371.34293820098</v>
      </c>
      <c r="BB52" s="1139">
        <f t="shared" si="82"/>
        <v>236371.34293820098</v>
      </c>
      <c r="BC52" s="1139">
        <f t="shared" si="82"/>
        <v>236371.34293820098</v>
      </c>
      <c r="BD52" s="1139">
        <f>SUM(BD47:BD50)</f>
        <v>236371.34293820098</v>
      </c>
      <c r="BE52" s="1139">
        <f t="shared" si="82"/>
        <v>243462.48322634696</v>
      </c>
      <c r="BF52" s="1139">
        <f t="shared" si="82"/>
        <v>243462.48322634696</v>
      </c>
      <c r="BG52" s="1139">
        <f t="shared" si="82"/>
        <v>243462.48322634696</v>
      </c>
      <c r="BH52" s="1139">
        <f t="shared" si="82"/>
        <v>243462.48322634696</v>
      </c>
      <c r="BI52" s="1139">
        <f t="shared" si="82"/>
        <v>243462.48322634696</v>
      </c>
      <c r="BJ52" s="1139">
        <f t="shared" si="82"/>
        <v>243462.48322634696</v>
      </c>
      <c r="BK52" s="1139">
        <f t="shared" si="82"/>
        <v>243462.48322634696</v>
      </c>
      <c r="BL52" s="1139">
        <f t="shared" si="82"/>
        <v>243462.48322634696</v>
      </c>
      <c r="BM52" s="1139">
        <f t="shared" si="82"/>
        <v>243462.48322634696</v>
      </c>
      <c r="BN52" s="1139">
        <f t="shared" si="82"/>
        <v>243462.48322634696</v>
      </c>
      <c r="BO52" s="1139">
        <f t="shared" si="82"/>
        <v>243462.48322634696</v>
      </c>
      <c r="BP52" s="1139">
        <f t="shared" si="82"/>
        <v>243462.48322634696</v>
      </c>
      <c r="BQ52" s="1139">
        <f t="shared" si="82"/>
        <v>250766.35772313739</v>
      </c>
      <c r="BR52" s="1139">
        <f t="shared" si="82"/>
        <v>250766.35772313739</v>
      </c>
      <c r="BS52" s="1139">
        <f t="shared" si="82"/>
        <v>250766.35772313739</v>
      </c>
      <c r="BT52" s="1139">
        <f t="shared" si="82"/>
        <v>250766.35772313739</v>
      </c>
      <c r="BU52" s="1139">
        <f t="shared" si="82"/>
        <v>250766.35772313739</v>
      </c>
      <c r="BV52" s="1139">
        <f t="shared" si="82"/>
        <v>250766.35772313739</v>
      </c>
      <c r="BW52" s="1139">
        <f t="shared" si="82"/>
        <v>250766.35772313739</v>
      </c>
      <c r="BX52" s="1139">
        <f t="shared" si="82"/>
        <v>250766.35772313739</v>
      </c>
      <c r="BY52" s="1139">
        <f t="shared" si="82"/>
        <v>250766.35772313739</v>
      </c>
      <c r="BZ52" s="1139">
        <f t="shared" si="82"/>
        <v>250766.35772313739</v>
      </c>
      <c r="CA52" s="1139">
        <f t="shared" si="82"/>
        <v>250766.35772313739</v>
      </c>
      <c r="CB52" s="1139">
        <f t="shared" si="82"/>
        <v>250766.35772313739</v>
      </c>
      <c r="CC52" s="1139">
        <f t="shared" si="82"/>
        <v>0</v>
      </c>
      <c r="CD52" s="1139">
        <f t="shared" si="82"/>
        <v>0</v>
      </c>
      <c r="CE52" s="1139">
        <f t="shared" si="82"/>
        <v>0</v>
      </c>
      <c r="CF52" s="1139">
        <f t="shared" si="82"/>
        <v>0</v>
      </c>
      <c r="CG52" s="1139">
        <f t="shared" si="82"/>
        <v>0</v>
      </c>
      <c r="CH52" s="1139">
        <f t="shared" si="82"/>
        <v>0</v>
      </c>
      <c r="CI52" s="1139">
        <f t="shared" si="82"/>
        <v>0</v>
      </c>
      <c r="CJ52" s="1139">
        <f t="shared" si="82"/>
        <v>0</v>
      </c>
      <c r="CK52" s="1139">
        <f t="shared" si="82"/>
        <v>0</v>
      </c>
      <c r="CL52" s="1139">
        <f t="shared" si="82"/>
        <v>0</v>
      </c>
      <c r="CM52" s="1139">
        <f t="shared" si="82"/>
        <v>0</v>
      </c>
      <c r="CN52" s="1139">
        <f t="shared" si="82"/>
        <v>0</v>
      </c>
      <c r="CO52" s="1139">
        <f t="shared" si="82"/>
        <v>0</v>
      </c>
      <c r="CP52" s="1139">
        <f t="shared" si="82"/>
        <v>0</v>
      </c>
      <c r="CQ52" s="1139">
        <f t="shared" si="82"/>
        <v>0</v>
      </c>
      <c r="CR52" s="1139">
        <f t="shared" si="82"/>
        <v>0</v>
      </c>
      <c r="CS52" s="1139">
        <f t="shared" si="82"/>
        <v>0</v>
      </c>
      <c r="CT52" s="1139">
        <f t="shared" si="82"/>
        <v>0</v>
      </c>
      <c r="CU52" s="1139">
        <f t="shared" si="82"/>
        <v>0</v>
      </c>
      <c r="CV52" s="1139">
        <f t="shared" si="82"/>
        <v>0</v>
      </c>
      <c r="CW52" s="1139">
        <f t="shared" si="82"/>
        <v>0</v>
      </c>
      <c r="CX52" s="1139">
        <f t="shared" si="82"/>
        <v>0</v>
      </c>
      <c r="CY52" s="1139">
        <f t="shared" si="82"/>
        <v>0</v>
      </c>
      <c r="CZ52" s="1139">
        <f t="shared" si="82"/>
        <v>0</v>
      </c>
      <c r="DA52" s="1139">
        <f t="shared" si="82"/>
        <v>0</v>
      </c>
      <c r="DB52" s="1139">
        <f t="shared" si="82"/>
        <v>0</v>
      </c>
      <c r="DC52" s="1139">
        <f t="shared" si="82"/>
        <v>0</v>
      </c>
      <c r="DD52" s="1139">
        <f t="shared" si="82"/>
        <v>0</v>
      </c>
      <c r="DE52" s="1139">
        <f t="shared" si="82"/>
        <v>0</v>
      </c>
      <c r="DF52" s="1139">
        <f t="shared" si="82"/>
        <v>0</v>
      </c>
      <c r="DG52" s="1139">
        <f t="shared" si="82"/>
        <v>0</v>
      </c>
      <c r="DH52" s="1139">
        <f t="shared" si="82"/>
        <v>0</v>
      </c>
      <c r="DI52" s="1139">
        <f t="shared" si="82"/>
        <v>0</v>
      </c>
      <c r="DJ52" s="1139">
        <f t="shared" si="82"/>
        <v>0</v>
      </c>
      <c r="DK52" s="1139">
        <f t="shared" si="82"/>
        <v>0</v>
      </c>
      <c r="DL52" s="1139">
        <f t="shared" si="82"/>
        <v>0</v>
      </c>
      <c r="DM52" s="1139">
        <f t="shared" si="82"/>
        <v>0</v>
      </c>
      <c r="DN52" s="1139">
        <f t="shared" si="82"/>
        <v>0</v>
      </c>
      <c r="DO52" s="1139">
        <f t="shared" si="82"/>
        <v>0</v>
      </c>
      <c r="DP52" s="1139">
        <f t="shared" si="82"/>
        <v>0</v>
      </c>
      <c r="DQ52" s="1139">
        <f t="shared" si="82"/>
        <v>0</v>
      </c>
      <c r="DR52" s="1139">
        <f t="shared" si="82"/>
        <v>0</v>
      </c>
      <c r="DS52" s="1139">
        <f t="shared" si="82"/>
        <v>0</v>
      </c>
      <c r="DT52" s="1139">
        <f t="shared" si="82"/>
        <v>0</v>
      </c>
      <c r="DU52" s="1139">
        <f t="shared" si="82"/>
        <v>0</v>
      </c>
      <c r="DV52" s="1139">
        <f t="shared" si="82"/>
        <v>0</v>
      </c>
      <c r="DW52" s="1139">
        <f t="shared" si="82"/>
        <v>0</v>
      </c>
      <c r="DX52" s="1139">
        <f t="shared" si="82"/>
        <v>0</v>
      </c>
      <c r="DY52" s="1139">
        <f t="shared" ref="DY52:EJ52" si="83">SUM(DY47:DY50)</f>
        <v>0</v>
      </c>
      <c r="DZ52" s="1139">
        <f t="shared" si="83"/>
        <v>0</v>
      </c>
      <c r="EA52" s="1139">
        <f t="shared" si="83"/>
        <v>0</v>
      </c>
      <c r="EB52" s="1139">
        <f t="shared" si="83"/>
        <v>0</v>
      </c>
      <c r="EC52" s="1139">
        <f t="shared" si="83"/>
        <v>0</v>
      </c>
      <c r="ED52" s="1139">
        <f t="shared" si="83"/>
        <v>0</v>
      </c>
      <c r="EE52" s="1139">
        <f t="shared" si="83"/>
        <v>0</v>
      </c>
      <c r="EF52" s="1139">
        <f t="shared" si="83"/>
        <v>0</v>
      </c>
      <c r="EG52" s="1139">
        <f t="shared" si="83"/>
        <v>0</v>
      </c>
      <c r="EH52" s="1139">
        <f t="shared" si="83"/>
        <v>0</v>
      </c>
      <c r="EI52" s="1139">
        <f t="shared" si="83"/>
        <v>0</v>
      </c>
      <c r="EJ52" s="1140">
        <f t="shared" si="83"/>
        <v>0</v>
      </c>
    </row>
    <row r="53" spans="1:140" ht="15.75" customHeight="1" x14ac:dyDescent="0.25">
      <c r="A53" s="6"/>
      <c r="B53" s="364"/>
      <c r="C53" s="359"/>
      <c r="D53" s="374"/>
      <c r="E53" s="358"/>
      <c r="F53" s="358"/>
      <c r="G53" s="999"/>
      <c r="H53" s="1141"/>
      <c r="I53" s="1116"/>
      <c r="J53" s="1116"/>
      <c r="K53" s="1116"/>
      <c r="L53" s="1116"/>
      <c r="M53" s="1116"/>
      <c r="N53" s="1116"/>
      <c r="O53" s="1116"/>
      <c r="P53" s="1116"/>
      <c r="Q53" s="1116"/>
      <c r="R53" s="1116"/>
      <c r="S53" s="1116"/>
      <c r="T53" s="1116"/>
      <c r="U53" s="1116"/>
      <c r="V53" s="1116"/>
      <c r="W53" s="1116"/>
      <c r="X53" s="1116"/>
      <c r="Y53" s="1116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  <c r="AX53" s="1116"/>
      <c r="AY53" s="1116"/>
      <c r="AZ53" s="1116"/>
      <c r="BA53" s="1116"/>
      <c r="BB53" s="1116"/>
      <c r="BC53" s="1116"/>
      <c r="BD53" s="1116"/>
      <c r="BE53" s="1116"/>
      <c r="BF53" s="1116"/>
      <c r="BG53" s="1116"/>
      <c r="BH53" s="1116"/>
      <c r="BI53" s="1116"/>
      <c r="BJ53" s="1116"/>
      <c r="BK53" s="1116"/>
      <c r="BL53" s="1116"/>
      <c r="BM53" s="1116"/>
      <c r="BN53" s="1116"/>
      <c r="BO53" s="1116"/>
      <c r="BP53" s="1116"/>
      <c r="BQ53" s="1116"/>
      <c r="BR53" s="1116"/>
      <c r="BS53" s="1116"/>
      <c r="BT53" s="1116"/>
      <c r="BU53" s="1116"/>
      <c r="BV53" s="1116"/>
      <c r="BW53" s="1116"/>
      <c r="BX53" s="1116"/>
      <c r="BY53" s="1116"/>
      <c r="BZ53" s="1116"/>
      <c r="CA53" s="1116"/>
      <c r="CB53" s="1116"/>
      <c r="CC53" s="1116"/>
      <c r="CD53" s="1116"/>
      <c r="CE53" s="1116"/>
      <c r="CF53" s="1116"/>
      <c r="CG53" s="1116"/>
      <c r="CH53" s="1116"/>
      <c r="CI53" s="1116"/>
      <c r="CJ53" s="1116"/>
      <c r="CK53" s="1116"/>
      <c r="CL53" s="1116"/>
      <c r="CM53" s="1116"/>
      <c r="CN53" s="1116"/>
      <c r="CO53" s="1116"/>
      <c r="CP53" s="1116"/>
      <c r="CQ53" s="1116"/>
      <c r="CR53" s="1116"/>
      <c r="CS53" s="1116"/>
      <c r="CT53" s="1116"/>
      <c r="CU53" s="1116"/>
      <c r="CV53" s="1116"/>
      <c r="CW53" s="1116"/>
      <c r="CX53" s="1116"/>
      <c r="CY53" s="1116"/>
      <c r="CZ53" s="1116"/>
      <c r="DA53" s="1116"/>
      <c r="DB53" s="1116"/>
      <c r="DC53" s="1116"/>
      <c r="DD53" s="1116"/>
      <c r="DE53" s="1116"/>
      <c r="DF53" s="1116"/>
      <c r="DG53" s="1116"/>
      <c r="DH53" s="1116"/>
      <c r="DI53" s="1116"/>
      <c r="DJ53" s="1116"/>
      <c r="DK53" s="1116"/>
      <c r="DL53" s="1116"/>
      <c r="DM53" s="1116"/>
      <c r="DN53" s="1116"/>
      <c r="DO53" s="1116"/>
      <c r="DP53" s="1116"/>
      <c r="DQ53" s="1116"/>
      <c r="DR53" s="1116"/>
      <c r="DS53" s="1116"/>
      <c r="DT53" s="1116"/>
      <c r="DU53" s="1116"/>
      <c r="DV53" s="1116"/>
      <c r="DW53" s="1116"/>
      <c r="DX53" s="1116"/>
      <c r="DY53" s="1116"/>
      <c r="DZ53" s="1116"/>
      <c r="EA53" s="1116"/>
      <c r="EB53" s="1116"/>
      <c r="EC53" s="1116"/>
      <c r="ED53" s="1116"/>
      <c r="EE53" s="1116"/>
      <c r="EF53" s="1116"/>
      <c r="EG53" s="1116"/>
      <c r="EH53" s="1116"/>
      <c r="EI53" s="1116"/>
      <c r="EJ53" s="1124"/>
    </row>
    <row r="54" spans="1:140" ht="15.75" customHeight="1" x14ac:dyDescent="0.25">
      <c r="A54" s="6"/>
      <c r="B54" s="357" t="s">
        <v>637</v>
      </c>
      <c r="C54" s="358"/>
      <c r="D54" s="358"/>
      <c r="E54" s="375"/>
      <c r="F54" s="358"/>
      <c r="G54" s="999"/>
      <c r="H54" s="1110"/>
      <c r="I54" s="579"/>
      <c r="J54" s="1116"/>
      <c r="K54" s="1116"/>
      <c r="L54" s="1116"/>
      <c r="M54" s="1116"/>
      <c r="N54" s="1116"/>
      <c r="O54" s="1116"/>
      <c r="P54" s="1116"/>
      <c r="Q54" s="1116"/>
      <c r="R54" s="1116"/>
      <c r="S54" s="1116"/>
      <c r="T54" s="987"/>
      <c r="U54" s="1116"/>
      <c r="V54" s="1116"/>
      <c r="W54" s="1116"/>
      <c r="X54" s="1116"/>
      <c r="Y54" s="1116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  <c r="AX54" s="1116"/>
      <c r="AY54" s="1116"/>
      <c r="AZ54" s="1116"/>
      <c r="BA54" s="1116"/>
      <c r="BB54" s="1116"/>
      <c r="BC54" s="1116"/>
      <c r="BD54" s="1116"/>
      <c r="BE54" s="1116"/>
      <c r="BF54" s="1116"/>
      <c r="BG54" s="1116"/>
      <c r="BH54" s="1116"/>
      <c r="BI54" s="1116"/>
      <c r="BJ54" s="1116"/>
      <c r="BK54" s="1116"/>
      <c r="BL54" s="1116"/>
      <c r="BM54" s="1116"/>
      <c r="BN54" s="1116"/>
      <c r="BO54" s="1116"/>
      <c r="BP54" s="1116"/>
      <c r="BQ54" s="1116"/>
      <c r="BR54" s="1116"/>
      <c r="BS54" s="1116"/>
      <c r="BT54" s="1116"/>
      <c r="BU54" s="1116"/>
      <c r="BV54" s="1116"/>
      <c r="BW54" s="1116"/>
      <c r="BX54" s="1116"/>
      <c r="BY54" s="1116"/>
      <c r="BZ54" s="1116"/>
      <c r="CA54" s="1116"/>
      <c r="CB54" s="1116"/>
      <c r="CC54" s="1116"/>
      <c r="CD54" s="1116"/>
      <c r="CE54" s="1116"/>
      <c r="CF54" s="1116"/>
      <c r="CG54" s="1116"/>
      <c r="CH54" s="1116"/>
      <c r="CI54" s="1116"/>
      <c r="CJ54" s="1116"/>
      <c r="CK54" s="1116"/>
      <c r="CL54" s="1116"/>
      <c r="CM54" s="1116"/>
      <c r="CN54" s="1116"/>
      <c r="CO54" s="1116"/>
      <c r="CP54" s="1116"/>
      <c r="CQ54" s="1116"/>
      <c r="CR54" s="1116"/>
      <c r="CS54" s="1116"/>
      <c r="CT54" s="1116"/>
      <c r="CU54" s="1116"/>
      <c r="CV54" s="1116"/>
      <c r="CW54" s="1116"/>
      <c r="CX54" s="1116"/>
      <c r="CY54" s="1116"/>
      <c r="CZ54" s="1116"/>
      <c r="DA54" s="1116"/>
      <c r="DB54" s="1116"/>
      <c r="DC54" s="1116"/>
      <c r="DD54" s="1116"/>
      <c r="DE54" s="1116"/>
      <c r="DF54" s="1116"/>
      <c r="DG54" s="1116"/>
      <c r="DH54" s="1116"/>
      <c r="DI54" s="1116"/>
      <c r="DJ54" s="1116"/>
      <c r="DK54" s="1116"/>
      <c r="DL54" s="1116"/>
      <c r="DM54" s="1116"/>
      <c r="DN54" s="1116"/>
      <c r="DO54" s="1116"/>
      <c r="DP54" s="1116"/>
      <c r="DQ54" s="1116"/>
      <c r="DR54" s="1116"/>
      <c r="DS54" s="1116"/>
      <c r="DT54" s="1116"/>
      <c r="DU54" s="1116"/>
      <c r="DV54" s="1116"/>
      <c r="DW54" s="1116"/>
      <c r="DX54" s="1116"/>
      <c r="DY54" s="1116"/>
      <c r="DZ54" s="1116"/>
      <c r="EA54" s="1116"/>
      <c r="EB54" s="1116"/>
      <c r="EC54" s="1116"/>
      <c r="ED54" s="1116"/>
      <c r="EE54" s="1116"/>
      <c r="EF54" s="1116"/>
      <c r="EG54" s="1116"/>
      <c r="EH54" s="1116"/>
      <c r="EI54" s="1116"/>
      <c r="EJ54" s="1124"/>
    </row>
    <row r="55" spans="1:140" ht="15.75" customHeight="1" x14ac:dyDescent="0.25">
      <c r="A55" s="6"/>
      <c r="B55" s="376"/>
      <c r="C55" s="1309" t="s">
        <v>626</v>
      </c>
      <c r="D55" s="211" t="s">
        <v>296</v>
      </c>
      <c r="E55" s="211" t="s">
        <v>297</v>
      </c>
      <c r="F55" s="358"/>
      <c r="G55" s="1070" t="s">
        <v>298</v>
      </c>
      <c r="H55" s="1110"/>
      <c r="I55" s="579"/>
      <c r="J55" s="579"/>
      <c r="K55" s="579"/>
      <c r="L55" s="579"/>
      <c r="M55" s="579"/>
      <c r="N55" s="579"/>
      <c r="O55" s="579"/>
      <c r="P55" s="579"/>
      <c r="Q55" s="579"/>
      <c r="R55" s="579"/>
      <c r="S55" s="579"/>
      <c r="T55" s="579"/>
      <c r="U55" s="579"/>
      <c r="V55" s="579"/>
      <c r="W55" s="579"/>
      <c r="X55" s="579"/>
      <c r="Y55" s="579"/>
      <c r="Z55" s="579"/>
      <c r="AA55" s="579"/>
      <c r="AB55" s="579"/>
      <c r="AC55" s="1116"/>
      <c r="AD55" s="579"/>
      <c r="AE55" s="579"/>
      <c r="AF55" s="579"/>
      <c r="AG55" s="579"/>
      <c r="AH55" s="579"/>
      <c r="AI55" s="579"/>
      <c r="AJ55" s="579"/>
      <c r="AK55" s="579"/>
      <c r="AL55" s="579"/>
      <c r="AM55" s="579"/>
      <c r="AN55" s="579"/>
      <c r="AO55" s="579"/>
      <c r="AP55" s="579"/>
      <c r="AQ55" s="579"/>
      <c r="AR55" s="579"/>
      <c r="AS55" s="579"/>
      <c r="AT55" s="579"/>
      <c r="AU55" s="579"/>
      <c r="AV55" s="579"/>
      <c r="AW55" s="599"/>
      <c r="AX55" s="579"/>
      <c r="AY55" s="579"/>
      <c r="AZ55" s="579"/>
      <c r="BA55" s="579"/>
      <c r="BB55" s="579"/>
      <c r="BC55" s="579"/>
      <c r="BD55" s="579"/>
      <c r="BE55" s="579"/>
      <c r="BF55" s="579"/>
      <c r="BG55" s="579"/>
      <c r="BH55" s="579"/>
      <c r="BI55" s="579"/>
      <c r="BJ55" s="579"/>
      <c r="BK55" s="579"/>
      <c r="BL55" s="579"/>
      <c r="BM55" s="579"/>
      <c r="BN55" s="579"/>
      <c r="BO55" s="579"/>
      <c r="BP55" s="579"/>
      <c r="BQ55" s="579"/>
      <c r="BR55" s="579"/>
      <c r="BS55" s="579"/>
      <c r="BT55" s="579"/>
      <c r="BU55" s="579"/>
      <c r="BV55" s="579"/>
      <c r="BW55" s="579"/>
      <c r="BX55" s="579"/>
      <c r="BY55" s="579"/>
      <c r="BZ55" s="579"/>
      <c r="CA55" s="579"/>
      <c r="CB55" s="579"/>
      <c r="CC55" s="579"/>
      <c r="CD55" s="579"/>
      <c r="CE55" s="579"/>
      <c r="CF55" s="579"/>
      <c r="CG55" s="579"/>
      <c r="CH55" s="579"/>
      <c r="CI55" s="579"/>
      <c r="CJ55" s="579"/>
      <c r="CK55" s="579"/>
      <c r="CL55" s="579"/>
      <c r="CM55" s="579"/>
      <c r="CN55" s="579"/>
      <c r="CO55" s="579"/>
      <c r="CP55" s="579"/>
      <c r="CQ55" s="579"/>
      <c r="CR55" s="579"/>
      <c r="CS55" s="579"/>
      <c r="CT55" s="579"/>
      <c r="CU55" s="579"/>
      <c r="CV55" s="579"/>
      <c r="CW55" s="579"/>
      <c r="CX55" s="579"/>
      <c r="CY55" s="579"/>
      <c r="CZ55" s="579"/>
      <c r="DA55" s="579"/>
      <c r="DB55" s="579"/>
      <c r="DC55" s="579"/>
      <c r="DD55" s="579"/>
      <c r="DE55" s="579"/>
      <c r="DF55" s="579"/>
      <c r="DG55" s="579"/>
      <c r="DH55" s="579"/>
      <c r="DI55" s="579"/>
      <c r="DJ55" s="579"/>
      <c r="DK55" s="579"/>
      <c r="DL55" s="579"/>
      <c r="DM55" s="579"/>
      <c r="DN55" s="579"/>
      <c r="DO55" s="579"/>
      <c r="DP55" s="579"/>
      <c r="DQ55" s="579"/>
      <c r="DR55" s="579"/>
      <c r="DS55" s="579"/>
      <c r="DT55" s="579"/>
      <c r="DU55" s="579"/>
      <c r="DV55" s="579"/>
      <c r="DW55" s="579"/>
      <c r="DX55" s="579"/>
      <c r="DY55" s="579"/>
      <c r="DZ55" s="579"/>
      <c r="EA55" s="579"/>
      <c r="EB55" s="579"/>
      <c r="EC55" s="579"/>
      <c r="ED55" s="579"/>
      <c r="EE55" s="579"/>
      <c r="EF55" s="579"/>
      <c r="EG55" s="579"/>
      <c r="EH55" s="579"/>
      <c r="EI55" s="579"/>
      <c r="EJ55" s="1114"/>
    </row>
    <row r="56" spans="1:140" ht="15.75" customHeight="1" x14ac:dyDescent="0.25">
      <c r="A56" s="6"/>
      <c r="B56" s="378" t="str">
        <f>'Untrended Proforma'!C17</f>
        <v>Repairs and Maintenance</v>
      </c>
      <c r="C56" s="989">
        <f>'Untrended Proforma'!F17</f>
        <v>75382.728671785691</v>
      </c>
      <c r="D56" s="379">
        <f t="shared" ref="D56:D69" si="84">$G$56</f>
        <v>0.03</v>
      </c>
      <c r="E56" s="380" t="s">
        <v>299</v>
      </c>
      <c r="F56" s="358"/>
      <c r="G56" s="1071">
        <f>Summary!D20</f>
        <v>0.03</v>
      </c>
      <c r="H56" s="1115">
        <f>IF(H$5&gt;$E$4+12,0,IF($E56="YES",-IF(H$3&lt;$C$4,0,H$6*($C56/12)*(1+$D56)^(H$4)),-IF(H$3&lt;$C$4,0,($C56/12)*(1+$D56)^(H$4))))</f>
        <v>0</v>
      </c>
      <c r="I56" s="599">
        <f t="shared" ref="I56:BT57" si="85">IF(I$5&gt;$E$4+12,0,IF($E56="YES",-IF(I$3&lt;$C$4,0,I$6*($C56/12)*(1+$D56)^(I$4)),-IF(I$3&lt;$C$4,0,($C56/12)*(1+$D56)^(I$4))))</f>
        <v>0</v>
      </c>
      <c r="J56" s="599">
        <f t="shared" si="85"/>
        <v>0</v>
      </c>
      <c r="K56" s="599">
        <f t="shared" si="85"/>
        <v>0</v>
      </c>
      <c r="L56" s="599">
        <f t="shared" si="85"/>
        <v>0</v>
      </c>
      <c r="M56" s="599">
        <f t="shared" si="85"/>
        <v>0</v>
      </c>
      <c r="N56" s="599">
        <f t="shared" si="85"/>
        <v>0</v>
      </c>
      <c r="O56" s="599">
        <f t="shared" si="85"/>
        <v>0</v>
      </c>
      <c r="P56" s="599">
        <f t="shared" si="85"/>
        <v>0</v>
      </c>
      <c r="Q56" s="599">
        <f t="shared" si="85"/>
        <v>0</v>
      </c>
      <c r="R56" s="599">
        <f t="shared" si="85"/>
        <v>0</v>
      </c>
      <c r="S56" s="599">
        <f t="shared" si="85"/>
        <v>0</v>
      </c>
      <c r="T56" s="599">
        <f t="shared" si="85"/>
        <v>0</v>
      </c>
      <c r="U56" s="599">
        <f t="shared" si="85"/>
        <v>0</v>
      </c>
      <c r="V56" s="599">
        <f t="shared" si="85"/>
        <v>0</v>
      </c>
      <c r="W56" s="599">
        <f t="shared" si="85"/>
        <v>0</v>
      </c>
      <c r="X56" s="599">
        <f t="shared" si="85"/>
        <v>0</v>
      </c>
      <c r="Y56" s="599">
        <f t="shared" si="85"/>
        <v>0</v>
      </c>
      <c r="Z56" s="599">
        <f t="shared" si="85"/>
        <v>0</v>
      </c>
      <c r="AA56" s="599">
        <f t="shared" si="85"/>
        <v>0</v>
      </c>
      <c r="AB56" s="599">
        <f t="shared" si="85"/>
        <v>0</v>
      </c>
      <c r="AC56" s="599">
        <f t="shared" si="85"/>
        <v>0</v>
      </c>
      <c r="AD56" s="599">
        <f t="shared" si="85"/>
        <v>0</v>
      </c>
      <c r="AE56" s="599">
        <f t="shared" si="85"/>
        <v>0</v>
      </c>
      <c r="AF56" s="599">
        <f t="shared" si="85"/>
        <v>0</v>
      </c>
      <c r="AG56" s="599">
        <f t="shared" si="85"/>
        <v>-669.69709718158026</v>
      </c>
      <c r="AH56" s="599">
        <f t="shared" si="85"/>
        <v>-1339.3941943631605</v>
      </c>
      <c r="AI56" s="599">
        <f>IF(AI$5&gt;$E$4+12,0,IF($E56="YES",-IF(AI$3&lt;$C$4,0,AI$6*($C56/12)*(1+$D56)^(AI$4)),-IF(AI$3&lt;$C$4,0,($C56/12)*(1+$D56)^(AI$4))))</f>
        <v>-2009.0912915447404</v>
      </c>
      <c r="AJ56" s="599">
        <f t="shared" si="85"/>
        <v>-2678.788388726321</v>
      </c>
      <c r="AK56" s="599">
        <f t="shared" si="85"/>
        <v>-3348.485485907901</v>
      </c>
      <c r="AL56" s="599">
        <f t="shared" si="85"/>
        <v>-4018.1825830894809</v>
      </c>
      <c r="AM56" s="599">
        <f>IF(AM$5&gt;$E$4+12,0,IF($E56="YES",-IF(AM$3&lt;$C$4,0,AM$6*($C56/12)*(1+$D56)^(AM$4)),-IF(AM$3&lt;$C$4,0,($C56/12)*(1+$D56)^(AM$4))))</f>
        <v>-4687.8796802710622</v>
      </c>
      <c r="AN56" s="599">
        <f t="shared" si="85"/>
        <v>-5357.5767774526421</v>
      </c>
      <c r="AO56" s="599">
        <f t="shared" si="85"/>
        <v>-6027.273874634222</v>
      </c>
      <c r="AP56" s="599">
        <f t="shared" si="85"/>
        <v>-6696.9709718158019</v>
      </c>
      <c r="AQ56" s="599">
        <f t="shared" si="85"/>
        <v>-6864.3952461111976</v>
      </c>
      <c r="AR56" s="599">
        <f t="shared" si="85"/>
        <v>-6864.3952461111976</v>
      </c>
      <c r="AS56" s="599">
        <f t="shared" si="85"/>
        <v>-7070.3271034945328</v>
      </c>
      <c r="AT56" s="599">
        <f t="shared" si="85"/>
        <v>-7070.3271034945328</v>
      </c>
      <c r="AU56" s="599">
        <f t="shared" si="85"/>
        <v>-7070.3271034945328</v>
      </c>
      <c r="AV56" s="599">
        <f t="shared" si="85"/>
        <v>-7070.3271034945328</v>
      </c>
      <c r="AW56" s="599">
        <f t="shared" si="85"/>
        <v>-7070.3271034945328</v>
      </c>
      <c r="AX56" s="599">
        <f t="shared" si="85"/>
        <v>-7070.3271034945328</v>
      </c>
      <c r="AY56" s="599">
        <f t="shared" si="85"/>
        <v>-7070.3271034945328</v>
      </c>
      <c r="AZ56" s="599">
        <f t="shared" si="85"/>
        <v>-7070.3271034945328</v>
      </c>
      <c r="BA56" s="599">
        <f t="shared" si="85"/>
        <v>-7070.3271034945328</v>
      </c>
      <c r="BB56" s="599">
        <f t="shared" si="85"/>
        <v>-7070.3271034945328</v>
      </c>
      <c r="BC56" s="599">
        <f t="shared" si="85"/>
        <v>-7070.3271034945328</v>
      </c>
      <c r="BD56" s="599">
        <f t="shared" si="85"/>
        <v>-7070.3271034945328</v>
      </c>
      <c r="BE56" s="599">
        <f t="shared" si="85"/>
        <v>-7282.4369165993685</v>
      </c>
      <c r="BF56" s="599">
        <f t="shared" si="85"/>
        <v>-7282.4369165993685</v>
      </c>
      <c r="BG56" s="599">
        <f t="shared" si="85"/>
        <v>-7282.4369165993685</v>
      </c>
      <c r="BH56" s="599">
        <f t="shared" si="85"/>
        <v>-7282.4369165993685</v>
      </c>
      <c r="BI56" s="599">
        <f t="shared" si="85"/>
        <v>-7282.4369165993685</v>
      </c>
      <c r="BJ56" s="599">
        <f t="shared" si="85"/>
        <v>-7282.4369165993685</v>
      </c>
      <c r="BK56" s="599">
        <f t="shared" si="85"/>
        <v>-7282.4369165993685</v>
      </c>
      <c r="BL56" s="599">
        <f t="shared" si="85"/>
        <v>-7282.4369165993685</v>
      </c>
      <c r="BM56" s="599">
        <f t="shared" si="85"/>
        <v>-7282.4369165993685</v>
      </c>
      <c r="BN56" s="599">
        <f t="shared" si="85"/>
        <v>-7282.4369165993685</v>
      </c>
      <c r="BO56" s="599">
        <f t="shared" si="85"/>
        <v>-7282.4369165993685</v>
      </c>
      <c r="BP56" s="599">
        <f t="shared" si="85"/>
        <v>-7282.4369165993685</v>
      </c>
      <c r="BQ56" s="599">
        <f t="shared" si="85"/>
        <v>-7500.9100240973494</v>
      </c>
      <c r="BR56" s="599">
        <f t="shared" si="85"/>
        <v>-7500.9100240973494</v>
      </c>
      <c r="BS56" s="599">
        <f t="shared" si="85"/>
        <v>-7500.9100240973494</v>
      </c>
      <c r="BT56" s="599">
        <f t="shared" si="85"/>
        <v>-7500.9100240973494</v>
      </c>
      <c r="BU56" s="599">
        <f t="shared" ref="BU56:EF59" si="86">IF(BU$5&gt;$E$4+12,0,IF($E56="YES",-IF(BU$3&lt;$C$4,0,BU$6*($C56/12)*(1+$D56)^(BU$4)),-IF(BU$3&lt;$C$4,0,($C56/12)*(1+$D56)^(BU$4))))</f>
        <v>-7500.9100240973494</v>
      </c>
      <c r="BV56" s="599">
        <f t="shared" si="86"/>
        <v>-7500.9100240973494</v>
      </c>
      <c r="BW56" s="599">
        <f t="shared" si="86"/>
        <v>-7500.9100240973494</v>
      </c>
      <c r="BX56" s="599">
        <f t="shared" si="86"/>
        <v>-7500.9100240973494</v>
      </c>
      <c r="BY56" s="599">
        <f t="shared" si="86"/>
        <v>-7500.9100240973494</v>
      </c>
      <c r="BZ56" s="599">
        <f t="shared" si="86"/>
        <v>-7500.9100240973494</v>
      </c>
      <c r="CA56" s="599">
        <f t="shared" si="86"/>
        <v>-7500.9100240973494</v>
      </c>
      <c r="CB56" s="599">
        <f t="shared" si="86"/>
        <v>-7500.9100240973494</v>
      </c>
      <c r="CC56" s="599">
        <f t="shared" si="86"/>
        <v>0</v>
      </c>
      <c r="CD56" s="599">
        <f t="shared" si="86"/>
        <v>0</v>
      </c>
      <c r="CE56" s="599">
        <f t="shared" si="86"/>
        <v>0</v>
      </c>
      <c r="CF56" s="599">
        <f t="shared" si="86"/>
        <v>0</v>
      </c>
      <c r="CG56" s="599">
        <f t="shared" si="86"/>
        <v>0</v>
      </c>
      <c r="CH56" s="599">
        <f t="shared" si="86"/>
        <v>0</v>
      </c>
      <c r="CI56" s="599">
        <f t="shared" si="86"/>
        <v>0</v>
      </c>
      <c r="CJ56" s="599">
        <f t="shared" si="86"/>
        <v>0</v>
      </c>
      <c r="CK56" s="599">
        <f t="shared" si="86"/>
        <v>0</v>
      </c>
      <c r="CL56" s="599">
        <f t="shared" si="86"/>
        <v>0</v>
      </c>
      <c r="CM56" s="599">
        <f t="shared" si="86"/>
        <v>0</v>
      </c>
      <c r="CN56" s="599">
        <f t="shared" si="86"/>
        <v>0</v>
      </c>
      <c r="CO56" s="599">
        <f t="shared" si="86"/>
        <v>0</v>
      </c>
      <c r="CP56" s="599">
        <f t="shared" si="86"/>
        <v>0</v>
      </c>
      <c r="CQ56" s="599">
        <f t="shared" si="86"/>
        <v>0</v>
      </c>
      <c r="CR56" s="599">
        <f t="shared" si="86"/>
        <v>0</v>
      </c>
      <c r="CS56" s="599">
        <f t="shared" si="86"/>
        <v>0</v>
      </c>
      <c r="CT56" s="599">
        <f t="shared" si="86"/>
        <v>0</v>
      </c>
      <c r="CU56" s="599">
        <f t="shared" si="86"/>
        <v>0</v>
      </c>
      <c r="CV56" s="599">
        <f t="shared" si="86"/>
        <v>0</v>
      </c>
      <c r="CW56" s="599">
        <f t="shared" si="86"/>
        <v>0</v>
      </c>
      <c r="CX56" s="599">
        <f t="shared" si="86"/>
        <v>0</v>
      </c>
      <c r="CY56" s="599">
        <f t="shared" si="86"/>
        <v>0</v>
      </c>
      <c r="CZ56" s="599">
        <f t="shared" si="86"/>
        <v>0</v>
      </c>
      <c r="DA56" s="599">
        <f t="shared" si="86"/>
        <v>0</v>
      </c>
      <c r="DB56" s="599">
        <f t="shared" si="86"/>
        <v>0</v>
      </c>
      <c r="DC56" s="599">
        <f t="shared" si="86"/>
        <v>0</v>
      </c>
      <c r="DD56" s="599">
        <f t="shared" si="86"/>
        <v>0</v>
      </c>
      <c r="DE56" s="599">
        <f t="shared" si="86"/>
        <v>0</v>
      </c>
      <c r="DF56" s="599">
        <f t="shared" si="86"/>
        <v>0</v>
      </c>
      <c r="DG56" s="599">
        <f t="shared" si="86"/>
        <v>0</v>
      </c>
      <c r="DH56" s="599">
        <f t="shared" si="86"/>
        <v>0</v>
      </c>
      <c r="DI56" s="599">
        <f t="shared" si="86"/>
        <v>0</v>
      </c>
      <c r="DJ56" s="599">
        <f t="shared" si="86"/>
        <v>0</v>
      </c>
      <c r="DK56" s="599">
        <f t="shared" si="86"/>
        <v>0</v>
      </c>
      <c r="DL56" s="599">
        <f t="shared" si="86"/>
        <v>0</v>
      </c>
      <c r="DM56" s="599">
        <f t="shared" si="86"/>
        <v>0</v>
      </c>
      <c r="DN56" s="599">
        <f t="shared" si="86"/>
        <v>0</v>
      </c>
      <c r="DO56" s="599">
        <f t="shared" si="86"/>
        <v>0</v>
      </c>
      <c r="DP56" s="599">
        <f t="shared" si="86"/>
        <v>0</v>
      </c>
      <c r="DQ56" s="599">
        <f t="shared" si="86"/>
        <v>0</v>
      </c>
      <c r="DR56" s="599">
        <f t="shared" si="86"/>
        <v>0</v>
      </c>
      <c r="DS56" s="599">
        <f t="shared" si="86"/>
        <v>0</v>
      </c>
      <c r="DT56" s="599">
        <f t="shared" si="86"/>
        <v>0</v>
      </c>
      <c r="DU56" s="599">
        <f t="shared" si="86"/>
        <v>0</v>
      </c>
      <c r="DV56" s="599">
        <f t="shared" si="86"/>
        <v>0</v>
      </c>
      <c r="DW56" s="599">
        <f t="shared" si="86"/>
        <v>0</v>
      </c>
      <c r="DX56" s="599">
        <f t="shared" si="86"/>
        <v>0</v>
      </c>
      <c r="DY56" s="599">
        <f t="shared" si="86"/>
        <v>0</v>
      </c>
      <c r="DZ56" s="599">
        <f t="shared" si="86"/>
        <v>0</v>
      </c>
      <c r="EA56" s="599">
        <f t="shared" si="86"/>
        <v>0</v>
      </c>
      <c r="EB56" s="599">
        <f t="shared" si="86"/>
        <v>0</v>
      </c>
      <c r="EC56" s="599">
        <f t="shared" si="86"/>
        <v>0</v>
      </c>
      <c r="ED56" s="599">
        <f t="shared" si="86"/>
        <v>0</v>
      </c>
      <c r="EE56" s="599">
        <f t="shared" si="86"/>
        <v>0</v>
      </c>
      <c r="EF56" s="599">
        <f t="shared" si="86"/>
        <v>0</v>
      </c>
      <c r="EG56" s="599">
        <f t="shared" ref="EG56:EJ58" si="87">IF(EG$5&gt;$E$4+12,0,IF($E56="YES",-IF(EG$3&lt;$C$4,0,EG$6*($C56/12)*(1+$D56)^(EG$4)),-IF(EG$3&lt;$C$4,0,($C56/12)*(1+$D56)^(EG$4))))</f>
        <v>0</v>
      </c>
      <c r="EH56" s="599">
        <f t="shared" si="87"/>
        <v>0</v>
      </c>
      <c r="EI56" s="599">
        <f t="shared" si="87"/>
        <v>0</v>
      </c>
      <c r="EJ56" s="1117">
        <f t="shared" si="87"/>
        <v>0</v>
      </c>
    </row>
    <row r="57" spans="1:140" ht="15.75" customHeight="1" x14ac:dyDescent="0.25">
      <c r="A57" s="6"/>
      <c r="B57" s="378" t="str">
        <f>'Untrended Proforma'!C18</f>
        <v>Security</v>
      </c>
      <c r="C57" s="989">
        <f>'Untrended Proforma'!F18</f>
        <v>65200.498182214265</v>
      </c>
      <c r="D57" s="381">
        <f t="shared" si="84"/>
        <v>0.03</v>
      </c>
      <c r="E57" s="382" t="s">
        <v>299</v>
      </c>
      <c r="F57" s="358"/>
      <c r="G57" s="999"/>
      <c r="H57" s="1115">
        <f t="shared" ref="H57:W69" si="88">IF(H$5&gt;$E$4+12,0,IF($E57="YES",-IF(H$3&lt;$C$4,0,H$6*($C57/12)*(1+$D57)^(H$4)),-IF(H$3&lt;$C$4,0,($C57/12)*(1+$D57)^(H$4))))</f>
        <v>0</v>
      </c>
      <c r="I57" s="599">
        <f t="shared" si="88"/>
        <v>0</v>
      </c>
      <c r="J57" s="599">
        <f t="shared" si="88"/>
        <v>0</v>
      </c>
      <c r="K57" s="599">
        <f t="shared" si="88"/>
        <v>0</v>
      </c>
      <c r="L57" s="599">
        <f t="shared" si="88"/>
        <v>0</v>
      </c>
      <c r="M57" s="599">
        <f t="shared" si="88"/>
        <v>0</v>
      </c>
      <c r="N57" s="599">
        <f t="shared" si="88"/>
        <v>0</v>
      </c>
      <c r="O57" s="599">
        <f t="shared" si="88"/>
        <v>0</v>
      </c>
      <c r="P57" s="599">
        <f t="shared" si="88"/>
        <v>0</v>
      </c>
      <c r="Q57" s="599">
        <f t="shared" si="88"/>
        <v>0</v>
      </c>
      <c r="R57" s="599">
        <f t="shared" si="88"/>
        <v>0</v>
      </c>
      <c r="S57" s="599">
        <f t="shared" si="88"/>
        <v>0</v>
      </c>
      <c r="T57" s="599">
        <f t="shared" si="88"/>
        <v>0</v>
      </c>
      <c r="U57" s="599">
        <f t="shared" si="88"/>
        <v>0</v>
      </c>
      <c r="V57" s="599">
        <f t="shared" si="88"/>
        <v>0</v>
      </c>
      <c r="W57" s="599">
        <f t="shared" si="88"/>
        <v>0</v>
      </c>
      <c r="X57" s="599">
        <f t="shared" si="85"/>
        <v>0</v>
      </c>
      <c r="Y57" s="599">
        <f t="shared" si="85"/>
        <v>0</v>
      </c>
      <c r="Z57" s="599">
        <f t="shared" si="85"/>
        <v>0</v>
      </c>
      <c r="AA57" s="599">
        <f t="shared" si="85"/>
        <v>0</v>
      </c>
      <c r="AB57" s="599">
        <f t="shared" si="85"/>
        <v>0</v>
      </c>
      <c r="AC57" s="599">
        <f t="shared" si="85"/>
        <v>0</v>
      </c>
      <c r="AD57" s="599">
        <f t="shared" si="85"/>
        <v>0</v>
      </c>
      <c r="AE57" s="599">
        <f t="shared" si="85"/>
        <v>0</v>
      </c>
      <c r="AF57" s="599">
        <f t="shared" si="85"/>
        <v>0</v>
      </c>
      <c r="AG57" s="599">
        <f t="shared" si="85"/>
        <v>-579.23857542403618</v>
      </c>
      <c r="AH57" s="599">
        <f t="shared" si="85"/>
        <v>-1158.4771508480724</v>
      </c>
      <c r="AI57" s="599">
        <f t="shared" si="85"/>
        <v>-1737.7157262721087</v>
      </c>
      <c r="AJ57" s="599">
        <f t="shared" si="85"/>
        <v>-2316.9543016961447</v>
      </c>
      <c r="AK57" s="599">
        <f t="shared" si="85"/>
        <v>-2896.1928771201806</v>
      </c>
      <c r="AL57" s="599">
        <f t="shared" si="85"/>
        <v>-3475.4314525442173</v>
      </c>
      <c r="AM57" s="599">
        <f t="shared" si="85"/>
        <v>-4054.6700279682536</v>
      </c>
      <c r="AN57" s="599">
        <f t="shared" si="85"/>
        <v>-4633.9086033922895</v>
      </c>
      <c r="AO57" s="599">
        <f t="shared" si="85"/>
        <v>-5213.1471788163262</v>
      </c>
      <c r="AP57" s="599">
        <f t="shared" si="85"/>
        <v>-5792.3857542403612</v>
      </c>
      <c r="AQ57" s="599">
        <f t="shared" si="85"/>
        <v>-5937.1953980963708</v>
      </c>
      <c r="AR57" s="599">
        <f t="shared" si="85"/>
        <v>-5937.1953980963708</v>
      </c>
      <c r="AS57" s="599">
        <f t="shared" si="85"/>
        <v>-6115.3112600392615</v>
      </c>
      <c r="AT57" s="599">
        <f t="shared" si="85"/>
        <v>-6115.3112600392615</v>
      </c>
      <c r="AU57" s="599">
        <f t="shared" si="85"/>
        <v>-6115.3112600392615</v>
      </c>
      <c r="AV57" s="599">
        <f t="shared" si="85"/>
        <v>-6115.3112600392615</v>
      </c>
      <c r="AW57" s="599">
        <f t="shared" si="85"/>
        <v>-6115.3112600392615</v>
      </c>
      <c r="AX57" s="599">
        <f t="shared" si="85"/>
        <v>-6115.3112600392615</v>
      </c>
      <c r="AY57" s="599">
        <f t="shared" si="85"/>
        <v>-6115.3112600392615</v>
      </c>
      <c r="AZ57" s="599">
        <f t="shared" si="85"/>
        <v>-6115.3112600392615</v>
      </c>
      <c r="BA57" s="599">
        <f t="shared" si="85"/>
        <v>-6115.3112600392615</v>
      </c>
      <c r="BB57" s="599">
        <f t="shared" si="85"/>
        <v>-6115.3112600392615</v>
      </c>
      <c r="BC57" s="599">
        <f t="shared" si="85"/>
        <v>-6115.3112600392615</v>
      </c>
      <c r="BD57" s="599">
        <f t="shared" si="85"/>
        <v>-6115.3112600392615</v>
      </c>
      <c r="BE57" s="599">
        <f t="shared" si="85"/>
        <v>-6298.7705978404392</v>
      </c>
      <c r="BF57" s="599">
        <f t="shared" si="85"/>
        <v>-6298.7705978404392</v>
      </c>
      <c r="BG57" s="599">
        <f t="shared" si="85"/>
        <v>-6298.7705978404392</v>
      </c>
      <c r="BH57" s="599">
        <f t="shared" si="85"/>
        <v>-6298.7705978404392</v>
      </c>
      <c r="BI57" s="599">
        <f t="shared" si="85"/>
        <v>-6298.7705978404392</v>
      </c>
      <c r="BJ57" s="599">
        <f t="shared" si="85"/>
        <v>-6298.7705978404392</v>
      </c>
      <c r="BK57" s="599">
        <f t="shared" si="85"/>
        <v>-6298.7705978404392</v>
      </c>
      <c r="BL57" s="599">
        <f t="shared" si="85"/>
        <v>-6298.7705978404392</v>
      </c>
      <c r="BM57" s="599">
        <f t="shared" si="85"/>
        <v>-6298.7705978404392</v>
      </c>
      <c r="BN57" s="599">
        <f t="shared" si="85"/>
        <v>-6298.7705978404392</v>
      </c>
      <c r="BO57" s="599">
        <f t="shared" si="85"/>
        <v>-6298.7705978404392</v>
      </c>
      <c r="BP57" s="599">
        <f t="shared" si="85"/>
        <v>-6298.7705978404392</v>
      </c>
      <c r="BQ57" s="599">
        <f t="shared" si="85"/>
        <v>-6487.7337157756529</v>
      </c>
      <c r="BR57" s="599">
        <f t="shared" si="85"/>
        <v>-6487.7337157756529</v>
      </c>
      <c r="BS57" s="599">
        <f t="shared" si="85"/>
        <v>-6487.7337157756529</v>
      </c>
      <c r="BT57" s="599">
        <f t="shared" si="85"/>
        <v>-6487.7337157756529</v>
      </c>
      <c r="BU57" s="599">
        <f t="shared" si="86"/>
        <v>-6487.7337157756529</v>
      </c>
      <c r="BV57" s="599">
        <f t="shared" si="86"/>
        <v>-6487.7337157756529</v>
      </c>
      <c r="BW57" s="599">
        <f t="shared" si="86"/>
        <v>-6487.7337157756529</v>
      </c>
      <c r="BX57" s="599">
        <f t="shared" si="86"/>
        <v>-6487.7337157756529</v>
      </c>
      <c r="BY57" s="599">
        <f t="shared" si="86"/>
        <v>-6487.7337157756529</v>
      </c>
      <c r="BZ57" s="599">
        <f t="shared" si="86"/>
        <v>-6487.7337157756529</v>
      </c>
      <c r="CA57" s="599">
        <f t="shared" si="86"/>
        <v>-6487.7337157756529</v>
      </c>
      <c r="CB57" s="599">
        <f t="shared" si="86"/>
        <v>-6487.7337157756529</v>
      </c>
      <c r="CC57" s="599">
        <f t="shared" si="86"/>
        <v>0</v>
      </c>
      <c r="CD57" s="599">
        <f t="shared" si="86"/>
        <v>0</v>
      </c>
      <c r="CE57" s="599">
        <f t="shared" si="86"/>
        <v>0</v>
      </c>
      <c r="CF57" s="599">
        <f t="shared" si="86"/>
        <v>0</v>
      </c>
      <c r="CG57" s="599">
        <f t="shared" si="86"/>
        <v>0</v>
      </c>
      <c r="CH57" s="599">
        <f t="shared" si="86"/>
        <v>0</v>
      </c>
      <c r="CI57" s="599">
        <f t="shared" si="86"/>
        <v>0</v>
      </c>
      <c r="CJ57" s="599">
        <f t="shared" si="86"/>
        <v>0</v>
      </c>
      <c r="CK57" s="599">
        <f t="shared" si="86"/>
        <v>0</v>
      </c>
      <c r="CL57" s="599">
        <f t="shared" si="86"/>
        <v>0</v>
      </c>
      <c r="CM57" s="599">
        <f t="shared" si="86"/>
        <v>0</v>
      </c>
      <c r="CN57" s="599">
        <f t="shared" si="86"/>
        <v>0</v>
      </c>
      <c r="CO57" s="599">
        <f t="shared" si="86"/>
        <v>0</v>
      </c>
      <c r="CP57" s="599">
        <f t="shared" si="86"/>
        <v>0</v>
      </c>
      <c r="CQ57" s="599">
        <f t="shared" si="86"/>
        <v>0</v>
      </c>
      <c r="CR57" s="599">
        <f t="shared" si="86"/>
        <v>0</v>
      </c>
      <c r="CS57" s="599">
        <f t="shared" si="86"/>
        <v>0</v>
      </c>
      <c r="CT57" s="599">
        <f t="shared" si="86"/>
        <v>0</v>
      </c>
      <c r="CU57" s="599">
        <f t="shared" si="86"/>
        <v>0</v>
      </c>
      <c r="CV57" s="599">
        <f t="shared" si="86"/>
        <v>0</v>
      </c>
      <c r="CW57" s="599">
        <f t="shared" si="86"/>
        <v>0</v>
      </c>
      <c r="CX57" s="599">
        <f t="shared" si="86"/>
        <v>0</v>
      </c>
      <c r="CY57" s="599">
        <f t="shared" si="86"/>
        <v>0</v>
      </c>
      <c r="CZ57" s="599">
        <f t="shared" si="86"/>
        <v>0</v>
      </c>
      <c r="DA57" s="599">
        <f t="shared" si="86"/>
        <v>0</v>
      </c>
      <c r="DB57" s="599">
        <f t="shared" si="86"/>
        <v>0</v>
      </c>
      <c r="DC57" s="599">
        <f t="shared" si="86"/>
        <v>0</v>
      </c>
      <c r="DD57" s="599">
        <f t="shared" si="86"/>
        <v>0</v>
      </c>
      <c r="DE57" s="599">
        <f t="shared" si="86"/>
        <v>0</v>
      </c>
      <c r="DF57" s="599">
        <f t="shared" si="86"/>
        <v>0</v>
      </c>
      <c r="DG57" s="599">
        <f t="shared" si="86"/>
        <v>0</v>
      </c>
      <c r="DH57" s="599">
        <f t="shared" si="86"/>
        <v>0</v>
      </c>
      <c r="DI57" s="599">
        <f t="shared" si="86"/>
        <v>0</v>
      </c>
      <c r="DJ57" s="599">
        <f t="shared" si="86"/>
        <v>0</v>
      </c>
      <c r="DK57" s="599">
        <f t="shared" si="86"/>
        <v>0</v>
      </c>
      <c r="DL57" s="599">
        <f t="shared" si="86"/>
        <v>0</v>
      </c>
      <c r="DM57" s="599">
        <f t="shared" si="86"/>
        <v>0</v>
      </c>
      <c r="DN57" s="599">
        <f t="shared" si="86"/>
        <v>0</v>
      </c>
      <c r="DO57" s="599">
        <f t="shared" si="86"/>
        <v>0</v>
      </c>
      <c r="DP57" s="599">
        <f t="shared" si="86"/>
        <v>0</v>
      </c>
      <c r="DQ57" s="599">
        <f t="shared" si="86"/>
        <v>0</v>
      </c>
      <c r="DR57" s="599">
        <f t="shared" si="86"/>
        <v>0</v>
      </c>
      <c r="DS57" s="599">
        <f t="shared" si="86"/>
        <v>0</v>
      </c>
      <c r="DT57" s="599">
        <f t="shared" si="86"/>
        <v>0</v>
      </c>
      <c r="DU57" s="599">
        <f t="shared" si="86"/>
        <v>0</v>
      </c>
      <c r="DV57" s="599">
        <f t="shared" si="86"/>
        <v>0</v>
      </c>
      <c r="DW57" s="599">
        <f t="shared" si="86"/>
        <v>0</v>
      </c>
      <c r="DX57" s="599">
        <f t="shared" si="86"/>
        <v>0</v>
      </c>
      <c r="DY57" s="599">
        <f t="shared" si="86"/>
        <v>0</v>
      </c>
      <c r="DZ57" s="599">
        <f t="shared" si="86"/>
        <v>0</v>
      </c>
      <c r="EA57" s="599">
        <f t="shared" si="86"/>
        <v>0</v>
      </c>
      <c r="EB57" s="599">
        <f t="shared" si="86"/>
        <v>0</v>
      </c>
      <c r="EC57" s="599">
        <f t="shared" si="86"/>
        <v>0</v>
      </c>
      <c r="ED57" s="599">
        <f t="shared" si="86"/>
        <v>0</v>
      </c>
      <c r="EE57" s="599">
        <f t="shared" si="86"/>
        <v>0</v>
      </c>
      <c r="EF57" s="599">
        <f t="shared" si="86"/>
        <v>0</v>
      </c>
      <c r="EG57" s="599">
        <f t="shared" si="87"/>
        <v>0</v>
      </c>
      <c r="EH57" s="599">
        <f t="shared" si="87"/>
        <v>0</v>
      </c>
      <c r="EI57" s="599">
        <f t="shared" si="87"/>
        <v>0</v>
      </c>
      <c r="EJ57" s="1117">
        <f t="shared" si="87"/>
        <v>0</v>
      </c>
    </row>
    <row r="58" spans="1:140" ht="15.75" customHeight="1" x14ac:dyDescent="0.25">
      <c r="A58" s="6"/>
      <c r="B58" s="378" t="str">
        <f>'Untrended Proforma'!C19</f>
        <v>Landscaping</v>
      </c>
      <c r="C58" s="989">
        <f>'Untrended Proforma'!F19</f>
        <v>75382.728671785691</v>
      </c>
      <c r="D58" s="381">
        <f t="shared" si="84"/>
        <v>0.03</v>
      </c>
      <c r="E58" s="382" t="s">
        <v>299</v>
      </c>
      <c r="F58" s="358"/>
      <c r="G58" s="999"/>
      <c r="H58" s="1115">
        <f t="shared" si="88"/>
        <v>0</v>
      </c>
      <c r="I58" s="599">
        <f t="shared" ref="I58:BT61" si="89">IF(I$5&gt;$E$4+12,0,IF($E58="YES",-IF(I$3&lt;$C$4,0,I$6*($C58/12)*(1+$D58)^(I$4)),-IF(I$3&lt;$C$4,0,($C58/12)*(1+$D58)^(I$4))))</f>
        <v>0</v>
      </c>
      <c r="J58" s="599">
        <f t="shared" si="89"/>
        <v>0</v>
      </c>
      <c r="K58" s="599">
        <f t="shared" si="89"/>
        <v>0</v>
      </c>
      <c r="L58" s="599">
        <f t="shared" si="89"/>
        <v>0</v>
      </c>
      <c r="M58" s="599">
        <f t="shared" si="89"/>
        <v>0</v>
      </c>
      <c r="N58" s="599">
        <f t="shared" si="89"/>
        <v>0</v>
      </c>
      <c r="O58" s="599">
        <f t="shared" si="89"/>
        <v>0</v>
      </c>
      <c r="P58" s="599">
        <f t="shared" si="89"/>
        <v>0</v>
      </c>
      <c r="Q58" s="599">
        <f t="shared" si="89"/>
        <v>0</v>
      </c>
      <c r="R58" s="599">
        <f t="shared" si="89"/>
        <v>0</v>
      </c>
      <c r="S58" s="599">
        <f t="shared" si="89"/>
        <v>0</v>
      </c>
      <c r="T58" s="599">
        <f t="shared" si="89"/>
        <v>0</v>
      </c>
      <c r="U58" s="599">
        <f t="shared" si="89"/>
        <v>0</v>
      </c>
      <c r="V58" s="599">
        <f t="shared" si="89"/>
        <v>0</v>
      </c>
      <c r="W58" s="599">
        <f t="shared" si="89"/>
        <v>0</v>
      </c>
      <c r="X58" s="599">
        <f t="shared" si="89"/>
        <v>0</v>
      </c>
      <c r="Y58" s="599">
        <f t="shared" si="89"/>
        <v>0</v>
      </c>
      <c r="Z58" s="599">
        <f t="shared" si="89"/>
        <v>0</v>
      </c>
      <c r="AA58" s="599">
        <f t="shared" si="89"/>
        <v>0</v>
      </c>
      <c r="AB58" s="599">
        <f t="shared" si="89"/>
        <v>0</v>
      </c>
      <c r="AC58" s="599">
        <f t="shared" si="89"/>
        <v>0</v>
      </c>
      <c r="AD58" s="599">
        <f t="shared" si="89"/>
        <v>0</v>
      </c>
      <c r="AE58" s="599">
        <f t="shared" si="89"/>
        <v>0</v>
      </c>
      <c r="AF58" s="599">
        <f t="shared" si="89"/>
        <v>0</v>
      </c>
      <c r="AG58" s="599">
        <f t="shared" si="89"/>
        <v>-669.69709718158026</v>
      </c>
      <c r="AH58" s="599">
        <f t="shared" si="89"/>
        <v>-1339.3941943631605</v>
      </c>
      <c r="AI58" s="599">
        <f t="shared" si="89"/>
        <v>-2009.0912915447404</v>
      </c>
      <c r="AJ58" s="599">
        <f t="shared" si="89"/>
        <v>-2678.788388726321</v>
      </c>
      <c r="AK58" s="599">
        <f t="shared" si="89"/>
        <v>-3348.485485907901</v>
      </c>
      <c r="AL58" s="599">
        <f t="shared" si="89"/>
        <v>-4018.1825830894809</v>
      </c>
      <c r="AM58" s="599">
        <f t="shared" si="89"/>
        <v>-4687.8796802710622</v>
      </c>
      <c r="AN58" s="599">
        <f t="shared" si="89"/>
        <v>-5357.5767774526421</v>
      </c>
      <c r="AO58" s="599">
        <f t="shared" si="89"/>
        <v>-6027.273874634222</v>
      </c>
      <c r="AP58" s="599">
        <f t="shared" si="89"/>
        <v>-6696.9709718158019</v>
      </c>
      <c r="AQ58" s="599">
        <f t="shared" si="89"/>
        <v>-6864.3952461111976</v>
      </c>
      <c r="AR58" s="599">
        <f t="shared" si="89"/>
        <v>-6864.3952461111976</v>
      </c>
      <c r="AS58" s="599">
        <f t="shared" si="89"/>
        <v>-7070.3271034945328</v>
      </c>
      <c r="AT58" s="599">
        <f t="shared" si="89"/>
        <v>-7070.3271034945328</v>
      </c>
      <c r="AU58" s="599">
        <f t="shared" si="89"/>
        <v>-7070.3271034945328</v>
      </c>
      <c r="AV58" s="599">
        <f t="shared" si="89"/>
        <v>-7070.3271034945328</v>
      </c>
      <c r="AW58" s="599">
        <f t="shared" si="89"/>
        <v>-7070.3271034945328</v>
      </c>
      <c r="AX58" s="599">
        <f t="shared" si="89"/>
        <v>-7070.3271034945328</v>
      </c>
      <c r="AY58" s="599">
        <f t="shared" si="89"/>
        <v>-7070.3271034945328</v>
      </c>
      <c r="AZ58" s="599">
        <f t="shared" si="89"/>
        <v>-7070.3271034945328</v>
      </c>
      <c r="BA58" s="599">
        <f t="shared" si="89"/>
        <v>-7070.3271034945328</v>
      </c>
      <c r="BB58" s="599">
        <f t="shared" si="89"/>
        <v>-7070.3271034945328</v>
      </c>
      <c r="BC58" s="599">
        <f t="shared" si="89"/>
        <v>-7070.3271034945328</v>
      </c>
      <c r="BD58" s="599">
        <f t="shared" si="89"/>
        <v>-7070.3271034945328</v>
      </c>
      <c r="BE58" s="599">
        <f t="shared" si="89"/>
        <v>-7282.4369165993685</v>
      </c>
      <c r="BF58" s="599">
        <f t="shared" si="89"/>
        <v>-7282.4369165993685</v>
      </c>
      <c r="BG58" s="599">
        <f t="shared" si="89"/>
        <v>-7282.4369165993685</v>
      </c>
      <c r="BH58" s="599">
        <f t="shared" si="89"/>
        <v>-7282.4369165993685</v>
      </c>
      <c r="BI58" s="599">
        <f t="shared" si="89"/>
        <v>-7282.4369165993685</v>
      </c>
      <c r="BJ58" s="599">
        <f t="shared" si="89"/>
        <v>-7282.4369165993685</v>
      </c>
      <c r="BK58" s="599">
        <f t="shared" si="89"/>
        <v>-7282.4369165993685</v>
      </c>
      <c r="BL58" s="599">
        <f t="shared" si="89"/>
        <v>-7282.4369165993685</v>
      </c>
      <c r="BM58" s="599">
        <f t="shared" si="89"/>
        <v>-7282.4369165993685</v>
      </c>
      <c r="BN58" s="599">
        <f t="shared" si="89"/>
        <v>-7282.4369165993685</v>
      </c>
      <c r="BO58" s="599">
        <f t="shared" si="89"/>
        <v>-7282.4369165993685</v>
      </c>
      <c r="BP58" s="599">
        <f t="shared" si="89"/>
        <v>-7282.4369165993685</v>
      </c>
      <c r="BQ58" s="599">
        <f t="shared" si="89"/>
        <v>-7500.9100240973494</v>
      </c>
      <c r="BR58" s="599">
        <f t="shared" si="89"/>
        <v>-7500.9100240973494</v>
      </c>
      <c r="BS58" s="599">
        <f t="shared" si="89"/>
        <v>-7500.9100240973494</v>
      </c>
      <c r="BT58" s="599">
        <f t="shared" si="89"/>
        <v>-7500.9100240973494</v>
      </c>
      <c r="BU58" s="599">
        <f t="shared" si="86"/>
        <v>-7500.9100240973494</v>
      </c>
      <c r="BV58" s="599">
        <f t="shared" si="86"/>
        <v>-7500.9100240973494</v>
      </c>
      <c r="BW58" s="599">
        <f t="shared" si="86"/>
        <v>-7500.9100240973494</v>
      </c>
      <c r="BX58" s="599">
        <f t="shared" si="86"/>
        <v>-7500.9100240973494</v>
      </c>
      <c r="BY58" s="599">
        <f t="shared" si="86"/>
        <v>-7500.9100240973494</v>
      </c>
      <c r="BZ58" s="599">
        <f t="shared" si="86"/>
        <v>-7500.9100240973494</v>
      </c>
      <c r="CA58" s="599">
        <f t="shared" si="86"/>
        <v>-7500.9100240973494</v>
      </c>
      <c r="CB58" s="599">
        <f t="shared" si="86"/>
        <v>-7500.9100240973494</v>
      </c>
      <c r="CC58" s="599">
        <f t="shared" si="86"/>
        <v>0</v>
      </c>
      <c r="CD58" s="599">
        <f t="shared" si="86"/>
        <v>0</v>
      </c>
      <c r="CE58" s="599">
        <f t="shared" si="86"/>
        <v>0</v>
      </c>
      <c r="CF58" s="599">
        <f t="shared" si="86"/>
        <v>0</v>
      </c>
      <c r="CG58" s="599">
        <f t="shared" si="86"/>
        <v>0</v>
      </c>
      <c r="CH58" s="599">
        <f t="shared" si="86"/>
        <v>0</v>
      </c>
      <c r="CI58" s="599">
        <f t="shared" si="86"/>
        <v>0</v>
      </c>
      <c r="CJ58" s="599">
        <f t="shared" si="86"/>
        <v>0</v>
      </c>
      <c r="CK58" s="599">
        <f t="shared" si="86"/>
        <v>0</v>
      </c>
      <c r="CL58" s="599">
        <f t="shared" si="86"/>
        <v>0</v>
      </c>
      <c r="CM58" s="599">
        <f t="shared" si="86"/>
        <v>0</v>
      </c>
      <c r="CN58" s="599">
        <f t="shared" si="86"/>
        <v>0</v>
      </c>
      <c r="CO58" s="599">
        <f t="shared" si="86"/>
        <v>0</v>
      </c>
      <c r="CP58" s="599">
        <f t="shared" si="86"/>
        <v>0</v>
      </c>
      <c r="CQ58" s="599">
        <f t="shared" si="86"/>
        <v>0</v>
      </c>
      <c r="CR58" s="599">
        <f t="shared" si="86"/>
        <v>0</v>
      </c>
      <c r="CS58" s="599">
        <f t="shared" si="86"/>
        <v>0</v>
      </c>
      <c r="CT58" s="599">
        <f t="shared" si="86"/>
        <v>0</v>
      </c>
      <c r="CU58" s="599">
        <f t="shared" si="86"/>
        <v>0</v>
      </c>
      <c r="CV58" s="599">
        <f t="shared" si="86"/>
        <v>0</v>
      </c>
      <c r="CW58" s="599">
        <f t="shared" si="86"/>
        <v>0</v>
      </c>
      <c r="CX58" s="599">
        <f t="shared" si="86"/>
        <v>0</v>
      </c>
      <c r="CY58" s="599">
        <f t="shared" si="86"/>
        <v>0</v>
      </c>
      <c r="CZ58" s="599">
        <f t="shared" si="86"/>
        <v>0</v>
      </c>
      <c r="DA58" s="599">
        <f t="shared" si="86"/>
        <v>0</v>
      </c>
      <c r="DB58" s="599">
        <f t="shared" si="86"/>
        <v>0</v>
      </c>
      <c r="DC58" s="599">
        <f t="shared" si="86"/>
        <v>0</v>
      </c>
      <c r="DD58" s="599">
        <f t="shared" si="86"/>
        <v>0</v>
      </c>
      <c r="DE58" s="599">
        <f t="shared" si="86"/>
        <v>0</v>
      </c>
      <c r="DF58" s="599">
        <f t="shared" si="86"/>
        <v>0</v>
      </c>
      <c r="DG58" s="599">
        <f t="shared" si="86"/>
        <v>0</v>
      </c>
      <c r="DH58" s="599">
        <f t="shared" si="86"/>
        <v>0</v>
      </c>
      <c r="DI58" s="599">
        <f t="shared" si="86"/>
        <v>0</v>
      </c>
      <c r="DJ58" s="599">
        <f t="shared" si="86"/>
        <v>0</v>
      </c>
      <c r="DK58" s="599">
        <f t="shared" si="86"/>
        <v>0</v>
      </c>
      <c r="DL58" s="599">
        <f t="shared" si="86"/>
        <v>0</v>
      </c>
      <c r="DM58" s="599">
        <f t="shared" si="86"/>
        <v>0</v>
      </c>
      <c r="DN58" s="599">
        <f t="shared" si="86"/>
        <v>0</v>
      </c>
      <c r="DO58" s="599">
        <f t="shared" si="86"/>
        <v>0</v>
      </c>
      <c r="DP58" s="599">
        <f t="shared" si="86"/>
        <v>0</v>
      </c>
      <c r="DQ58" s="599">
        <f t="shared" si="86"/>
        <v>0</v>
      </c>
      <c r="DR58" s="599">
        <f t="shared" si="86"/>
        <v>0</v>
      </c>
      <c r="DS58" s="599">
        <f t="shared" si="86"/>
        <v>0</v>
      </c>
      <c r="DT58" s="599">
        <f t="shared" si="86"/>
        <v>0</v>
      </c>
      <c r="DU58" s="599">
        <f t="shared" si="86"/>
        <v>0</v>
      </c>
      <c r="DV58" s="599">
        <f t="shared" si="86"/>
        <v>0</v>
      </c>
      <c r="DW58" s="599">
        <f t="shared" si="86"/>
        <v>0</v>
      </c>
      <c r="DX58" s="599">
        <f t="shared" si="86"/>
        <v>0</v>
      </c>
      <c r="DY58" s="599">
        <f t="shared" si="86"/>
        <v>0</v>
      </c>
      <c r="DZ58" s="599">
        <f t="shared" si="86"/>
        <v>0</v>
      </c>
      <c r="EA58" s="599">
        <f t="shared" si="86"/>
        <v>0</v>
      </c>
      <c r="EB58" s="599">
        <f t="shared" si="86"/>
        <v>0</v>
      </c>
      <c r="EC58" s="599">
        <f t="shared" si="86"/>
        <v>0</v>
      </c>
      <c r="ED58" s="599">
        <f t="shared" si="86"/>
        <v>0</v>
      </c>
      <c r="EE58" s="599">
        <f t="shared" si="86"/>
        <v>0</v>
      </c>
      <c r="EF58" s="599">
        <f t="shared" si="86"/>
        <v>0</v>
      </c>
      <c r="EG58" s="599">
        <f t="shared" si="87"/>
        <v>0</v>
      </c>
      <c r="EH58" s="599">
        <f t="shared" si="87"/>
        <v>0</v>
      </c>
      <c r="EI58" s="599">
        <f t="shared" si="87"/>
        <v>0</v>
      </c>
      <c r="EJ58" s="1117">
        <f t="shared" si="87"/>
        <v>0</v>
      </c>
    </row>
    <row r="59" spans="1:140" ht="15.75" customHeight="1" x14ac:dyDescent="0.25">
      <c r="A59" s="6"/>
      <c r="B59" s="378" t="str">
        <f>'Untrended Proforma'!C20</f>
        <v>Administrative</v>
      </c>
      <c r="C59" s="989">
        <f>'Untrended Proforma'!F20</f>
        <v>20364.460979142852</v>
      </c>
      <c r="D59" s="381">
        <f t="shared" si="84"/>
        <v>0.03</v>
      </c>
      <c r="E59" s="382" t="s">
        <v>299</v>
      </c>
      <c r="F59" s="358"/>
      <c r="G59" s="999"/>
      <c r="H59" s="1115">
        <f t="shared" si="88"/>
        <v>0</v>
      </c>
      <c r="I59" s="599">
        <f t="shared" si="89"/>
        <v>0</v>
      </c>
      <c r="J59" s="599">
        <f t="shared" si="89"/>
        <v>0</v>
      </c>
      <c r="K59" s="599">
        <f t="shared" si="89"/>
        <v>0</v>
      </c>
      <c r="L59" s="599">
        <f t="shared" si="89"/>
        <v>0</v>
      </c>
      <c r="M59" s="599">
        <f t="shared" si="89"/>
        <v>0</v>
      </c>
      <c r="N59" s="599">
        <f t="shared" si="89"/>
        <v>0</v>
      </c>
      <c r="O59" s="599">
        <f t="shared" si="89"/>
        <v>0</v>
      </c>
      <c r="P59" s="599">
        <f t="shared" si="89"/>
        <v>0</v>
      </c>
      <c r="Q59" s="599">
        <f t="shared" si="89"/>
        <v>0</v>
      </c>
      <c r="R59" s="599">
        <f t="shared" si="89"/>
        <v>0</v>
      </c>
      <c r="S59" s="599">
        <f t="shared" si="89"/>
        <v>0</v>
      </c>
      <c r="T59" s="599">
        <f t="shared" si="89"/>
        <v>0</v>
      </c>
      <c r="U59" s="599">
        <f t="shared" si="89"/>
        <v>0</v>
      </c>
      <c r="V59" s="599">
        <f t="shared" si="89"/>
        <v>0</v>
      </c>
      <c r="W59" s="599">
        <f t="shared" si="89"/>
        <v>0</v>
      </c>
      <c r="X59" s="599">
        <f t="shared" si="89"/>
        <v>0</v>
      </c>
      <c r="Y59" s="599">
        <f t="shared" si="89"/>
        <v>0</v>
      </c>
      <c r="Z59" s="599">
        <f t="shared" si="89"/>
        <v>0</v>
      </c>
      <c r="AA59" s="599">
        <f t="shared" si="89"/>
        <v>0</v>
      </c>
      <c r="AB59" s="599">
        <f t="shared" si="89"/>
        <v>0</v>
      </c>
      <c r="AC59" s="599">
        <f t="shared" si="89"/>
        <v>0</v>
      </c>
      <c r="AD59" s="599">
        <f t="shared" si="89"/>
        <v>0</v>
      </c>
      <c r="AE59" s="599">
        <f t="shared" si="89"/>
        <v>0</v>
      </c>
      <c r="AF59" s="599">
        <f t="shared" si="89"/>
        <v>0</v>
      </c>
      <c r="AG59" s="599">
        <f t="shared" si="89"/>
        <v>-180.91704351508807</v>
      </c>
      <c r="AH59" s="599">
        <f t="shared" si="89"/>
        <v>-361.83408703017614</v>
      </c>
      <c r="AI59" s="599">
        <f t="shared" si="89"/>
        <v>-542.75113054526412</v>
      </c>
      <c r="AJ59" s="599">
        <f t="shared" si="89"/>
        <v>-723.66817406035227</v>
      </c>
      <c r="AK59" s="599">
        <f t="shared" si="89"/>
        <v>-904.5852175754402</v>
      </c>
      <c r="AL59" s="599">
        <f t="shared" si="89"/>
        <v>-1085.5022610905282</v>
      </c>
      <c r="AM59" s="599">
        <f t="shared" si="89"/>
        <v>-1266.4193046056164</v>
      </c>
      <c r="AN59" s="599">
        <f t="shared" si="89"/>
        <v>-1447.3363481207045</v>
      </c>
      <c r="AO59" s="599">
        <f t="shared" si="89"/>
        <v>-1628.2533916357927</v>
      </c>
      <c r="AP59" s="599">
        <f t="shared" si="89"/>
        <v>-1809.1704351508804</v>
      </c>
      <c r="AQ59" s="599">
        <f t="shared" si="89"/>
        <v>-1854.3996960296527</v>
      </c>
      <c r="AR59" s="599">
        <f t="shared" si="89"/>
        <v>-1854.3996960296527</v>
      </c>
      <c r="AS59" s="599">
        <f t="shared" si="89"/>
        <v>-1910.031686910542</v>
      </c>
      <c r="AT59" s="599">
        <f t="shared" si="89"/>
        <v>-1910.031686910542</v>
      </c>
      <c r="AU59" s="599">
        <f t="shared" si="89"/>
        <v>-1910.031686910542</v>
      </c>
      <c r="AV59" s="599">
        <f t="shared" si="89"/>
        <v>-1910.031686910542</v>
      </c>
      <c r="AW59" s="599">
        <f t="shared" si="89"/>
        <v>-1910.031686910542</v>
      </c>
      <c r="AX59" s="599">
        <f t="shared" si="89"/>
        <v>-1910.031686910542</v>
      </c>
      <c r="AY59" s="599">
        <f t="shared" si="89"/>
        <v>-1910.031686910542</v>
      </c>
      <c r="AZ59" s="599">
        <f t="shared" si="89"/>
        <v>-1910.031686910542</v>
      </c>
      <c r="BA59" s="599">
        <f t="shared" si="89"/>
        <v>-1910.031686910542</v>
      </c>
      <c r="BB59" s="599">
        <f t="shared" si="89"/>
        <v>-1910.031686910542</v>
      </c>
      <c r="BC59" s="599">
        <f t="shared" si="89"/>
        <v>-1910.031686910542</v>
      </c>
      <c r="BD59" s="599">
        <f t="shared" si="89"/>
        <v>-1910.031686910542</v>
      </c>
      <c r="BE59" s="599">
        <f t="shared" si="89"/>
        <v>-1967.3326375178581</v>
      </c>
      <c r="BF59" s="599">
        <f t="shared" si="89"/>
        <v>-1967.3326375178581</v>
      </c>
      <c r="BG59" s="599">
        <f t="shared" si="89"/>
        <v>-1967.3326375178581</v>
      </c>
      <c r="BH59" s="599">
        <f t="shared" si="89"/>
        <v>-1967.3326375178581</v>
      </c>
      <c r="BI59" s="599">
        <f t="shared" si="89"/>
        <v>-1967.3326375178581</v>
      </c>
      <c r="BJ59" s="599">
        <f t="shared" si="89"/>
        <v>-1967.3326375178581</v>
      </c>
      <c r="BK59" s="599">
        <f t="shared" si="89"/>
        <v>-1967.3326375178581</v>
      </c>
      <c r="BL59" s="599">
        <f t="shared" si="89"/>
        <v>-1967.3326375178581</v>
      </c>
      <c r="BM59" s="599">
        <f t="shared" si="89"/>
        <v>-1967.3326375178581</v>
      </c>
      <c r="BN59" s="599">
        <f t="shared" si="89"/>
        <v>-1967.3326375178581</v>
      </c>
      <c r="BO59" s="599">
        <f t="shared" si="89"/>
        <v>-1967.3326375178581</v>
      </c>
      <c r="BP59" s="599">
        <f t="shared" si="89"/>
        <v>-1967.3326375178581</v>
      </c>
      <c r="BQ59" s="599">
        <f t="shared" si="89"/>
        <v>-2026.352616643394</v>
      </c>
      <c r="BR59" s="599">
        <f t="shared" si="89"/>
        <v>-2026.352616643394</v>
      </c>
      <c r="BS59" s="599">
        <f t="shared" si="89"/>
        <v>-2026.352616643394</v>
      </c>
      <c r="BT59" s="599">
        <f t="shared" si="89"/>
        <v>-2026.352616643394</v>
      </c>
      <c r="BU59" s="599">
        <f t="shared" si="86"/>
        <v>-2026.352616643394</v>
      </c>
      <c r="BV59" s="599">
        <f t="shared" si="86"/>
        <v>-2026.352616643394</v>
      </c>
      <c r="BW59" s="599">
        <f t="shared" si="86"/>
        <v>-2026.352616643394</v>
      </c>
      <c r="BX59" s="599">
        <f t="shared" si="86"/>
        <v>-2026.352616643394</v>
      </c>
      <c r="BY59" s="599">
        <f t="shared" si="86"/>
        <v>-2026.352616643394</v>
      </c>
      <c r="BZ59" s="599">
        <f t="shared" si="86"/>
        <v>-2026.352616643394</v>
      </c>
      <c r="CA59" s="599">
        <f t="shared" si="86"/>
        <v>-2026.352616643394</v>
      </c>
      <c r="CB59" s="599">
        <f t="shared" si="86"/>
        <v>-2026.352616643394</v>
      </c>
      <c r="CC59" s="599">
        <f t="shared" si="86"/>
        <v>0</v>
      </c>
      <c r="CD59" s="599">
        <f t="shared" si="86"/>
        <v>0</v>
      </c>
      <c r="CE59" s="599">
        <f t="shared" si="86"/>
        <v>0</v>
      </c>
      <c r="CF59" s="599">
        <f t="shared" si="86"/>
        <v>0</v>
      </c>
      <c r="CG59" s="599">
        <f t="shared" si="86"/>
        <v>0</v>
      </c>
      <c r="CH59" s="599">
        <f t="shared" si="86"/>
        <v>0</v>
      </c>
      <c r="CI59" s="599">
        <f t="shared" si="86"/>
        <v>0</v>
      </c>
      <c r="CJ59" s="599">
        <f t="shared" si="86"/>
        <v>0</v>
      </c>
      <c r="CK59" s="599">
        <f t="shared" si="86"/>
        <v>0</v>
      </c>
      <c r="CL59" s="599">
        <f t="shared" si="86"/>
        <v>0</v>
      </c>
      <c r="CM59" s="599">
        <f t="shared" si="86"/>
        <v>0</v>
      </c>
      <c r="CN59" s="599">
        <f t="shared" si="86"/>
        <v>0</v>
      </c>
      <c r="CO59" s="599">
        <f t="shared" si="86"/>
        <v>0</v>
      </c>
      <c r="CP59" s="599">
        <f t="shared" si="86"/>
        <v>0</v>
      </c>
      <c r="CQ59" s="599">
        <f t="shared" si="86"/>
        <v>0</v>
      </c>
      <c r="CR59" s="599">
        <f t="shared" si="86"/>
        <v>0</v>
      </c>
      <c r="CS59" s="599">
        <f t="shared" si="86"/>
        <v>0</v>
      </c>
      <c r="CT59" s="599">
        <f t="shared" si="86"/>
        <v>0</v>
      </c>
      <c r="CU59" s="599">
        <f t="shared" si="86"/>
        <v>0</v>
      </c>
      <c r="CV59" s="599">
        <f t="shared" si="86"/>
        <v>0</v>
      </c>
      <c r="CW59" s="599">
        <f t="shared" si="86"/>
        <v>0</v>
      </c>
      <c r="CX59" s="599">
        <f t="shared" si="86"/>
        <v>0</v>
      </c>
      <c r="CY59" s="599">
        <f t="shared" si="86"/>
        <v>0</v>
      </c>
      <c r="CZ59" s="599">
        <f t="shared" si="86"/>
        <v>0</v>
      </c>
      <c r="DA59" s="599">
        <f t="shared" si="86"/>
        <v>0</v>
      </c>
      <c r="DB59" s="599">
        <f t="shared" si="86"/>
        <v>0</v>
      </c>
      <c r="DC59" s="599">
        <f t="shared" si="86"/>
        <v>0</v>
      </c>
      <c r="DD59" s="599">
        <f t="shared" si="86"/>
        <v>0</v>
      </c>
      <c r="DE59" s="599">
        <f t="shared" si="86"/>
        <v>0</v>
      </c>
      <c r="DF59" s="599">
        <f t="shared" si="86"/>
        <v>0</v>
      </c>
      <c r="DG59" s="599">
        <f t="shared" si="86"/>
        <v>0</v>
      </c>
      <c r="DH59" s="599">
        <f t="shared" si="86"/>
        <v>0</v>
      </c>
      <c r="DI59" s="599">
        <f t="shared" si="86"/>
        <v>0</v>
      </c>
      <c r="DJ59" s="599">
        <f t="shared" si="86"/>
        <v>0</v>
      </c>
      <c r="DK59" s="599">
        <f t="shared" si="86"/>
        <v>0</v>
      </c>
      <c r="DL59" s="599">
        <f t="shared" si="86"/>
        <v>0</v>
      </c>
      <c r="DM59" s="599">
        <f t="shared" si="86"/>
        <v>0</v>
      </c>
      <c r="DN59" s="599">
        <f t="shared" si="86"/>
        <v>0</v>
      </c>
      <c r="DO59" s="599">
        <f t="shared" si="86"/>
        <v>0</v>
      </c>
      <c r="DP59" s="599">
        <f t="shared" si="86"/>
        <v>0</v>
      </c>
      <c r="DQ59" s="599">
        <f t="shared" si="86"/>
        <v>0</v>
      </c>
      <c r="DR59" s="599">
        <f t="shared" si="86"/>
        <v>0</v>
      </c>
      <c r="DS59" s="599">
        <f t="shared" si="86"/>
        <v>0</v>
      </c>
      <c r="DT59" s="599">
        <f t="shared" si="86"/>
        <v>0</v>
      </c>
      <c r="DU59" s="599">
        <f t="shared" si="86"/>
        <v>0</v>
      </c>
      <c r="DV59" s="599">
        <f t="shared" si="86"/>
        <v>0</v>
      </c>
      <c r="DW59" s="599">
        <f t="shared" si="86"/>
        <v>0</v>
      </c>
      <c r="DX59" s="599">
        <f t="shared" si="86"/>
        <v>0</v>
      </c>
      <c r="DY59" s="599">
        <f t="shared" si="86"/>
        <v>0</v>
      </c>
      <c r="DZ59" s="599">
        <f t="shared" si="86"/>
        <v>0</v>
      </c>
      <c r="EA59" s="599">
        <f t="shared" si="86"/>
        <v>0</v>
      </c>
      <c r="EB59" s="599">
        <f t="shared" si="86"/>
        <v>0</v>
      </c>
      <c r="EC59" s="599">
        <f t="shared" si="86"/>
        <v>0</v>
      </c>
      <c r="ED59" s="599">
        <f t="shared" si="86"/>
        <v>0</v>
      </c>
      <c r="EE59" s="599">
        <f t="shared" si="86"/>
        <v>0</v>
      </c>
      <c r="EF59" s="599">
        <f t="shared" ref="EF59:EJ69" si="90">IF(EF$5&gt;$E$4+12,0,IF($E59="YES",-IF(EF$3&lt;$C$4,0,EF$6*($C59/12)*(1+$D59)^(EF$4)),-IF(EF$3&lt;$C$4,0,($C59/12)*(1+$D59)^(EF$4))))</f>
        <v>0</v>
      </c>
      <c r="EG59" s="599">
        <f t="shared" si="90"/>
        <v>0</v>
      </c>
      <c r="EH59" s="599">
        <f t="shared" si="90"/>
        <v>0</v>
      </c>
      <c r="EI59" s="599">
        <f t="shared" si="90"/>
        <v>0</v>
      </c>
      <c r="EJ59" s="1117">
        <f t="shared" si="90"/>
        <v>0</v>
      </c>
    </row>
    <row r="60" spans="1:140" ht="15.75" customHeight="1" x14ac:dyDescent="0.25">
      <c r="A60" s="6"/>
      <c r="B60" s="378" t="str">
        <f>'Untrended Proforma'!C21</f>
        <v>Advertising/Marketing</v>
      </c>
      <c r="C60" s="989">
        <f>'Untrended Proforma'!F21</f>
        <v>34653.806713499987</v>
      </c>
      <c r="D60" s="381">
        <f t="shared" si="84"/>
        <v>0.03</v>
      </c>
      <c r="E60" s="382" t="s">
        <v>299</v>
      </c>
      <c r="F60" s="358"/>
      <c r="G60" s="999"/>
      <c r="H60" s="1115">
        <f t="shared" si="88"/>
        <v>0</v>
      </c>
      <c r="I60" s="599">
        <f t="shared" si="89"/>
        <v>0</v>
      </c>
      <c r="J60" s="599">
        <f t="shared" si="89"/>
        <v>0</v>
      </c>
      <c r="K60" s="599">
        <f t="shared" si="89"/>
        <v>0</v>
      </c>
      <c r="L60" s="599">
        <f t="shared" si="89"/>
        <v>0</v>
      </c>
      <c r="M60" s="599">
        <f t="shared" si="89"/>
        <v>0</v>
      </c>
      <c r="N60" s="599">
        <f t="shared" si="89"/>
        <v>0</v>
      </c>
      <c r="O60" s="599">
        <f t="shared" si="89"/>
        <v>0</v>
      </c>
      <c r="P60" s="599">
        <f t="shared" si="89"/>
        <v>0</v>
      </c>
      <c r="Q60" s="599">
        <f t="shared" si="89"/>
        <v>0</v>
      </c>
      <c r="R60" s="599">
        <f t="shared" si="89"/>
        <v>0</v>
      </c>
      <c r="S60" s="599">
        <f t="shared" si="89"/>
        <v>0</v>
      </c>
      <c r="T60" s="599">
        <f t="shared" si="89"/>
        <v>0</v>
      </c>
      <c r="U60" s="599">
        <f t="shared" si="89"/>
        <v>0</v>
      </c>
      <c r="V60" s="599">
        <f t="shared" si="89"/>
        <v>0</v>
      </c>
      <c r="W60" s="599">
        <f t="shared" si="89"/>
        <v>0</v>
      </c>
      <c r="X60" s="599">
        <f t="shared" si="89"/>
        <v>0</v>
      </c>
      <c r="Y60" s="599">
        <f t="shared" si="89"/>
        <v>0</v>
      </c>
      <c r="Z60" s="599">
        <f t="shared" si="89"/>
        <v>0</v>
      </c>
      <c r="AA60" s="599">
        <f t="shared" si="89"/>
        <v>0</v>
      </c>
      <c r="AB60" s="599">
        <f t="shared" si="89"/>
        <v>0</v>
      </c>
      <c r="AC60" s="599">
        <f t="shared" si="89"/>
        <v>0</v>
      </c>
      <c r="AD60" s="599">
        <f t="shared" si="89"/>
        <v>0</v>
      </c>
      <c r="AE60" s="599">
        <f t="shared" si="89"/>
        <v>0</v>
      </c>
      <c r="AF60" s="599">
        <f t="shared" si="89"/>
        <v>0</v>
      </c>
      <c r="AG60" s="599">
        <f t="shared" si="89"/>
        <v>-307.86301015140407</v>
      </c>
      <c r="AH60" s="599">
        <f t="shared" si="89"/>
        <v>-615.72602030280814</v>
      </c>
      <c r="AI60" s="599">
        <f t="shared" si="89"/>
        <v>-923.58903045421209</v>
      </c>
      <c r="AJ60" s="599">
        <f t="shared" si="89"/>
        <v>-1231.4520406056163</v>
      </c>
      <c r="AK60" s="599">
        <f t="shared" si="89"/>
        <v>-1539.3150507570201</v>
      </c>
      <c r="AL60" s="599">
        <f t="shared" si="89"/>
        <v>-1847.1780609084242</v>
      </c>
      <c r="AM60" s="599">
        <f t="shared" si="89"/>
        <v>-2155.0410710598285</v>
      </c>
      <c r="AN60" s="599">
        <f t="shared" si="89"/>
        <v>-2462.9040812112326</v>
      </c>
      <c r="AO60" s="599">
        <f t="shared" si="89"/>
        <v>-2770.7670913626362</v>
      </c>
      <c r="AP60" s="599">
        <f t="shared" si="89"/>
        <v>-3078.6301015140402</v>
      </c>
      <c r="AQ60" s="599">
        <f t="shared" si="89"/>
        <v>-3155.5958540518914</v>
      </c>
      <c r="AR60" s="599">
        <f t="shared" si="89"/>
        <v>-3155.5958540518914</v>
      </c>
      <c r="AS60" s="599">
        <f t="shared" si="89"/>
        <v>-3250.2637296734479</v>
      </c>
      <c r="AT60" s="599">
        <f t="shared" si="89"/>
        <v>-3250.2637296734479</v>
      </c>
      <c r="AU60" s="599">
        <f t="shared" si="89"/>
        <v>-3250.2637296734479</v>
      </c>
      <c r="AV60" s="599">
        <f t="shared" si="89"/>
        <v>-3250.2637296734479</v>
      </c>
      <c r="AW60" s="599">
        <f t="shared" si="89"/>
        <v>-3250.2637296734479</v>
      </c>
      <c r="AX60" s="599">
        <f t="shared" si="89"/>
        <v>-3250.2637296734479</v>
      </c>
      <c r="AY60" s="599">
        <f t="shared" si="89"/>
        <v>-3250.2637296734479</v>
      </c>
      <c r="AZ60" s="599">
        <f t="shared" si="89"/>
        <v>-3250.2637296734479</v>
      </c>
      <c r="BA60" s="599">
        <f t="shared" si="89"/>
        <v>-3250.2637296734479</v>
      </c>
      <c r="BB60" s="599">
        <f t="shared" si="89"/>
        <v>-3250.2637296734479</v>
      </c>
      <c r="BC60" s="599">
        <f t="shared" si="89"/>
        <v>-3250.2637296734479</v>
      </c>
      <c r="BD60" s="599">
        <f t="shared" si="89"/>
        <v>-3250.2637296734479</v>
      </c>
      <c r="BE60" s="599">
        <f t="shared" si="89"/>
        <v>-3347.7716415636514</v>
      </c>
      <c r="BF60" s="599">
        <f t="shared" si="89"/>
        <v>-3347.7716415636514</v>
      </c>
      <c r="BG60" s="599">
        <f t="shared" si="89"/>
        <v>-3347.7716415636514</v>
      </c>
      <c r="BH60" s="599">
        <f t="shared" si="89"/>
        <v>-3347.7716415636514</v>
      </c>
      <c r="BI60" s="599">
        <f t="shared" si="89"/>
        <v>-3347.7716415636514</v>
      </c>
      <c r="BJ60" s="599">
        <f t="shared" si="89"/>
        <v>-3347.7716415636514</v>
      </c>
      <c r="BK60" s="599">
        <f t="shared" si="89"/>
        <v>-3347.7716415636514</v>
      </c>
      <c r="BL60" s="599">
        <f t="shared" si="89"/>
        <v>-3347.7716415636514</v>
      </c>
      <c r="BM60" s="599">
        <f t="shared" si="89"/>
        <v>-3347.7716415636514</v>
      </c>
      <c r="BN60" s="599">
        <f t="shared" si="89"/>
        <v>-3347.7716415636514</v>
      </c>
      <c r="BO60" s="599">
        <f t="shared" si="89"/>
        <v>-3347.7716415636514</v>
      </c>
      <c r="BP60" s="599">
        <f t="shared" si="89"/>
        <v>-3347.7716415636514</v>
      </c>
      <c r="BQ60" s="599">
        <f t="shared" si="89"/>
        <v>-3448.204790810561</v>
      </c>
      <c r="BR60" s="599">
        <f t="shared" si="89"/>
        <v>-3448.204790810561</v>
      </c>
      <c r="BS60" s="599">
        <f t="shared" si="89"/>
        <v>-3448.204790810561</v>
      </c>
      <c r="BT60" s="599">
        <f t="shared" si="89"/>
        <v>-3448.204790810561</v>
      </c>
      <c r="BU60" s="599">
        <f t="shared" ref="BU60:EF69" si="91">IF(BU$5&gt;$E$4+12,0,IF($E60="YES",-IF(BU$3&lt;$C$4,0,BU$6*($C60/12)*(1+$D60)^(BU$4)),-IF(BU$3&lt;$C$4,0,($C60/12)*(1+$D60)^(BU$4))))</f>
        <v>-3448.204790810561</v>
      </c>
      <c r="BV60" s="599">
        <f t="shared" si="91"/>
        <v>-3448.204790810561</v>
      </c>
      <c r="BW60" s="599">
        <f t="shared" si="91"/>
        <v>-3448.204790810561</v>
      </c>
      <c r="BX60" s="599">
        <f t="shared" si="91"/>
        <v>-3448.204790810561</v>
      </c>
      <c r="BY60" s="599">
        <f t="shared" si="91"/>
        <v>-3448.204790810561</v>
      </c>
      <c r="BZ60" s="599">
        <f t="shared" si="91"/>
        <v>-3448.204790810561</v>
      </c>
      <c r="CA60" s="599">
        <f t="shared" si="91"/>
        <v>-3448.204790810561</v>
      </c>
      <c r="CB60" s="599">
        <f t="shared" si="91"/>
        <v>-3448.204790810561</v>
      </c>
      <c r="CC60" s="599">
        <f t="shared" si="91"/>
        <v>0</v>
      </c>
      <c r="CD60" s="599">
        <f t="shared" si="91"/>
        <v>0</v>
      </c>
      <c r="CE60" s="599">
        <f t="shared" si="91"/>
        <v>0</v>
      </c>
      <c r="CF60" s="599">
        <f t="shared" si="91"/>
        <v>0</v>
      </c>
      <c r="CG60" s="599">
        <f t="shared" si="91"/>
        <v>0</v>
      </c>
      <c r="CH60" s="599">
        <f t="shared" si="91"/>
        <v>0</v>
      </c>
      <c r="CI60" s="599">
        <f t="shared" si="91"/>
        <v>0</v>
      </c>
      <c r="CJ60" s="599">
        <f t="shared" si="91"/>
        <v>0</v>
      </c>
      <c r="CK60" s="599">
        <f t="shared" si="91"/>
        <v>0</v>
      </c>
      <c r="CL60" s="599">
        <f t="shared" si="91"/>
        <v>0</v>
      </c>
      <c r="CM60" s="599">
        <f t="shared" si="91"/>
        <v>0</v>
      </c>
      <c r="CN60" s="599">
        <f t="shared" si="91"/>
        <v>0</v>
      </c>
      <c r="CO60" s="599">
        <f t="shared" si="91"/>
        <v>0</v>
      </c>
      <c r="CP60" s="599">
        <f t="shared" si="91"/>
        <v>0</v>
      </c>
      <c r="CQ60" s="599">
        <f t="shared" si="91"/>
        <v>0</v>
      </c>
      <c r="CR60" s="599">
        <f t="shared" si="91"/>
        <v>0</v>
      </c>
      <c r="CS60" s="599">
        <f t="shared" si="91"/>
        <v>0</v>
      </c>
      <c r="CT60" s="599">
        <f t="shared" si="91"/>
        <v>0</v>
      </c>
      <c r="CU60" s="599">
        <f t="shared" si="91"/>
        <v>0</v>
      </c>
      <c r="CV60" s="599">
        <f t="shared" si="91"/>
        <v>0</v>
      </c>
      <c r="CW60" s="599">
        <f t="shared" si="91"/>
        <v>0</v>
      </c>
      <c r="CX60" s="599">
        <f t="shared" si="91"/>
        <v>0</v>
      </c>
      <c r="CY60" s="599">
        <f t="shared" si="91"/>
        <v>0</v>
      </c>
      <c r="CZ60" s="599">
        <f t="shared" si="91"/>
        <v>0</v>
      </c>
      <c r="DA60" s="599">
        <f t="shared" si="91"/>
        <v>0</v>
      </c>
      <c r="DB60" s="599">
        <f t="shared" si="91"/>
        <v>0</v>
      </c>
      <c r="DC60" s="599">
        <f t="shared" si="91"/>
        <v>0</v>
      </c>
      <c r="DD60" s="599">
        <f t="shared" si="91"/>
        <v>0</v>
      </c>
      <c r="DE60" s="599">
        <f t="shared" si="91"/>
        <v>0</v>
      </c>
      <c r="DF60" s="599">
        <f t="shared" si="91"/>
        <v>0</v>
      </c>
      <c r="DG60" s="599">
        <f t="shared" si="91"/>
        <v>0</v>
      </c>
      <c r="DH60" s="599">
        <f t="shared" si="91"/>
        <v>0</v>
      </c>
      <c r="DI60" s="599">
        <f t="shared" si="91"/>
        <v>0</v>
      </c>
      <c r="DJ60" s="599">
        <f t="shared" si="91"/>
        <v>0</v>
      </c>
      <c r="DK60" s="599">
        <f t="shared" si="91"/>
        <v>0</v>
      </c>
      <c r="DL60" s="599">
        <f t="shared" si="91"/>
        <v>0</v>
      </c>
      <c r="DM60" s="599">
        <f t="shared" si="91"/>
        <v>0</v>
      </c>
      <c r="DN60" s="599">
        <f t="shared" si="91"/>
        <v>0</v>
      </c>
      <c r="DO60" s="599">
        <f t="shared" si="91"/>
        <v>0</v>
      </c>
      <c r="DP60" s="599">
        <f t="shared" si="91"/>
        <v>0</v>
      </c>
      <c r="DQ60" s="599">
        <f t="shared" si="91"/>
        <v>0</v>
      </c>
      <c r="DR60" s="599">
        <f t="shared" si="91"/>
        <v>0</v>
      </c>
      <c r="DS60" s="599">
        <f t="shared" si="91"/>
        <v>0</v>
      </c>
      <c r="DT60" s="599">
        <f t="shared" si="91"/>
        <v>0</v>
      </c>
      <c r="DU60" s="599">
        <f t="shared" si="91"/>
        <v>0</v>
      </c>
      <c r="DV60" s="599">
        <f t="shared" si="91"/>
        <v>0</v>
      </c>
      <c r="DW60" s="599">
        <f t="shared" si="91"/>
        <v>0</v>
      </c>
      <c r="DX60" s="599">
        <f t="shared" si="91"/>
        <v>0</v>
      </c>
      <c r="DY60" s="599">
        <f t="shared" si="91"/>
        <v>0</v>
      </c>
      <c r="DZ60" s="599">
        <f t="shared" si="91"/>
        <v>0</v>
      </c>
      <c r="EA60" s="599">
        <f t="shared" si="91"/>
        <v>0</v>
      </c>
      <c r="EB60" s="599">
        <f t="shared" si="91"/>
        <v>0</v>
      </c>
      <c r="EC60" s="599">
        <f t="shared" si="91"/>
        <v>0</v>
      </c>
      <c r="ED60" s="599">
        <f t="shared" si="91"/>
        <v>0</v>
      </c>
      <c r="EE60" s="599">
        <f t="shared" si="91"/>
        <v>0</v>
      </c>
      <c r="EF60" s="599">
        <f t="shared" si="91"/>
        <v>0</v>
      </c>
      <c r="EG60" s="599">
        <f t="shared" si="90"/>
        <v>0</v>
      </c>
      <c r="EH60" s="599">
        <f t="shared" si="90"/>
        <v>0</v>
      </c>
      <c r="EI60" s="599">
        <f t="shared" si="90"/>
        <v>0</v>
      </c>
      <c r="EJ60" s="1117">
        <f t="shared" si="90"/>
        <v>0</v>
      </c>
    </row>
    <row r="61" spans="1:140" ht="15.75" customHeight="1" x14ac:dyDescent="0.25">
      <c r="A61" s="6"/>
      <c r="B61" s="378" t="str">
        <f>'Untrended Proforma'!C22</f>
        <v>Payroll</v>
      </c>
      <c r="C61" s="989">
        <f>'Untrended Proforma'!F22</f>
        <v>120218.76587485711</v>
      </c>
      <c r="D61" s="381">
        <f t="shared" si="84"/>
        <v>0.03</v>
      </c>
      <c r="E61" s="382" t="s">
        <v>299</v>
      </c>
      <c r="F61" s="358"/>
      <c r="G61" s="999"/>
      <c r="H61" s="1115">
        <f t="shared" si="88"/>
        <v>0</v>
      </c>
      <c r="I61" s="599">
        <f t="shared" si="89"/>
        <v>0</v>
      </c>
      <c r="J61" s="599">
        <f t="shared" si="89"/>
        <v>0</v>
      </c>
      <c r="K61" s="599">
        <f t="shared" si="89"/>
        <v>0</v>
      </c>
      <c r="L61" s="599">
        <f t="shared" si="89"/>
        <v>0</v>
      </c>
      <c r="M61" s="599">
        <f t="shared" si="89"/>
        <v>0</v>
      </c>
      <c r="N61" s="599">
        <f t="shared" si="89"/>
        <v>0</v>
      </c>
      <c r="O61" s="599">
        <f t="shared" si="89"/>
        <v>0</v>
      </c>
      <c r="P61" s="599">
        <f t="shared" si="89"/>
        <v>0</v>
      </c>
      <c r="Q61" s="599">
        <f t="shared" si="89"/>
        <v>0</v>
      </c>
      <c r="R61" s="599">
        <f t="shared" si="89"/>
        <v>0</v>
      </c>
      <c r="S61" s="599">
        <f t="shared" si="89"/>
        <v>0</v>
      </c>
      <c r="T61" s="599">
        <f t="shared" si="89"/>
        <v>0</v>
      </c>
      <c r="U61" s="599">
        <f t="shared" si="89"/>
        <v>0</v>
      </c>
      <c r="V61" s="599">
        <f t="shared" si="89"/>
        <v>0</v>
      </c>
      <c r="W61" s="599">
        <f t="shared" si="89"/>
        <v>0</v>
      </c>
      <c r="X61" s="599">
        <f t="shared" si="89"/>
        <v>0</v>
      </c>
      <c r="Y61" s="599">
        <f t="shared" si="89"/>
        <v>0</v>
      </c>
      <c r="Z61" s="599">
        <f t="shared" si="89"/>
        <v>0</v>
      </c>
      <c r="AA61" s="599">
        <f t="shared" si="89"/>
        <v>0</v>
      </c>
      <c r="AB61" s="599">
        <f t="shared" si="89"/>
        <v>0</v>
      </c>
      <c r="AC61" s="599">
        <f t="shared" si="89"/>
        <v>0</v>
      </c>
      <c r="AD61" s="599">
        <f t="shared" si="89"/>
        <v>0</v>
      </c>
      <c r="AE61" s="599">
        <f t="shared" si="89"/>
        <v>0</v>
      </c>
      <c r="AF61" s="599">
        <f t="shared" si="89"/>
        <v>0</v>
      </c>
      <c r="AG61" s="599">
        <f t="shared" si="89"/>
        <v>-1068.0186290905285</v>
      </c>
      <c r="AH61" s="599">
        <f t="shared" si="89"/>
        <v>-2136.037258181057</v>
      </c>
      <c r="AI61" s="599">
        <f t="shared" si="89"/>
        <v>-3204.0558872715847</v>
      </c>
      <c r="AJ61" s="599">
        <f t="shared" si="89"/>
        <v>-4272.0745163621141</v>
      </c>
      <c r="AK61" s="599">
        <f t="shared" si="89"/>
        <v>-5340.0931454526417</v>
      </c>
      <c r="AL61" s="599">
        <f t="shared" si="89"/>
        <v>-6408.1117745431693</v>
      </c>
      <c r="AM61" s="599">
        <f t="shared" si="89"/>
        <v>-7476.1304036336987</v>
      </c>
      <c r="AN61" s="599">
        <f t="shared" si="89"/>
        <v>-8544.1490327242282</v>
      </c>
      <c r="AO61" s="599">
        <f t="shared" si="89"/>
        <v>-9612.1676618147558</v>
      </c>
      <c r="AP61" s="599">
        <f t="shared" si="89"/>
        <v>-10680.186290905283</v>
      </c>
      <c r="AQ61" s="599">
        <f t="shared" si="89"/>
        <v>-10947.190948177915</v>
      </c>
      <c r="AR61" s="599">
        <f t="shared" si="89"/>
        <v>-10947.190948177915</v>
      </c>
      <c r="AS61" s="599">
        <f t="shared" si="89"/>
        <v>-11275.606676623252</v>
      </c>
      <c r="AT61" s="599">
        <f t="shared" si="89"/>
        <v>-11275.606676623252</v>
      </c>
      <c r="AU61" s="599">
        <f t="shared" si="89"/>
        <v>-11275.606676623252</v>
      </c>
      <c r="AV61" s="599">
        <f t="shared" si="89"/>
        <v>-11275.606676623252</v>
      </c>
      <c r="AW61" s="599">
        <f t="shared" si="89"/>
        <v>-11275.606676623252</v>
      </c>
      <c r="AX61" s="599">
        <f t="shared" si="89"/>
        <v>-11275.606676623252</v>
      </c>
      <c r="AY61" s="599">
        <f t="shared" si="89"/>
        <v>-11275.606676623252</v>
      </c>
      <c r="AZ61" s="599">
        <f t="shared" si="89"/>
        <v>-11275.606676623252</v>
      </c>
      <c r="BA61" s="599">
        <f t="shared" si="89"/>
        <v>-11275.606676623252</v>
      </c>
      <c r="BB61" s="599">
        <f t="shared" si="89"/>
        <v>-11275.606676623252</v>
      </c>
      <c r="BC61" s="599">
        <f t="shared" si="89"/>
        <v>-11275.606676623252</v>
      </c>
      <c r="BD61" s="599">
        <f t="shared" si="89"/>
        <v>-11275.606676623252</v>
      </c>
      <c r="BE61" s="599">
        <f t="shared" si="89"/>
        <v>-11613.874876921949</v>
      </c>
      <c r="BF61" s="599">
        <f t="shared" si="89"/>
        <v>-11613.874876921949</v>
      </c>
      <c r="BG61" s="599">
        <f t="shared" si="89"/>
        <v>-11613.874876921949</v>
      </c>
      <c r="BH61" s="599">
        <f t="shared" si="89"/>
        <v>-11613.874876921949</v>
      </c>
      <c r="BI61" s="599">
        <f t="shared" si="89"/>
        <v>-11613.874876921949</v>
      </c>
      <c r="BJ61" s="599">
        <f t="shared" si="89"/>
        <v>-11613.874876921949</v>
      </c>
      <c r="BK61" s="599">
        <f t="shared" si="89"/>
        <v>-11613.874876921949</v>
      </c>
      <c r="BL61" s="599">
        <f t="shared" si="89"/>
        <v>-11613.874876921949</v>
      </c>
      <c r="BM61" s="599">
        <f t="shared" si="89"/>
        <v>-11613.874876921949</v>
      </c>
      <c r="BN61" s="599">
        <f t="shared" si="89"/>
        <v>-11613.874876921949</v>
      </c>
      <c r="BO61" s="599">
        <f t="shared" si="89"/>
        <v>-11613.874876921949</v>
      </c>
      <c r="BP61" s="599">
        <f t="shared" si="89"/>
        <v>-11613.874876921949</v>
      </c>
      <c r="BQ61" s="599">
        <f t="shared" si="89"/>
        <v>-11962.291123229608</v>
      </c>
      <c r="BR61" s="599">
        <f t="shared" si="89"/>
        <v>-11962.291123229608</v>
      </c>
      <c r="BS61" s="599">
        <f t="shared" si="89"/>
        <v>-11962.291123229608</v>
      </c>
      <c r="BT61" s="599">
        <f t="shared" ref="BT61:EE64" si="92">IF(BT$5&gt;$E$4+12,0,IF($E61="YES",-IF(BT$3&lt;$C$4,0,BT$6*($C61/12)*(1+$D61)^(BT$4)),-IF(BT$3&lt;$C$4,0,($C61/12)*(1+$D61)^(BT$4))))</f>
        <v>-11962.291123229608</v>
      </c>
      <c r="BU61" s="599">
        <f t="shared" si="92"/>
        <v>-11962.291123229608</v>
      </c>
      <c r="BV61" s="599">
        <f t="shared" si="92"/>
        <v>-11962.291123229608</v>
      </c>
      <c r="BW61" s="599">
        <f t="shared" si="92"/>
        <v>-11962.291123229608</v>
      </c>
      <c r="BX61" s="599">
        <f t="shared" si="92"/>
        <v>-11962.291123229608</v>
      </c>
      <c r="BY61" s="599">
        <f t="shared" si="92"/>
        <v>-11962.291123229608</v>
      </c>
      <c r="BZ61" s="599">
        <f t="shared" si="92"/>
        <v>-11962.291123229608</v>
      </c>
      <c r="CA61" s="599">
        <f t="shared" si="92"/>
        <v>-11962.291123229608</v>
      </c>
      <c r="CB61" s="599">
        <f t="shared" si="92"/>
        <v>-11962.291123229608</v>
      </c>
      <c r="CC61" s="599">
        <f t="shared" si="92"/>
        <v>0</v>
      </c>
      <c r="CD61" s="599">
        <f t="shared" si="92"/>
        <v>0</v>
      </c>
      <c r="CE61" s="599">
        <f t="shared" si="92"/>
        <v>0</v>
      </c>
      <c r="CF61" s="599">
        <f t="shared" si="92"/>
        <v>0</v>
      </c>
      <c r="CG61" s="599">
        <f t="shared" si="92"/>
        <v>0</v>
      </c>
      <c r="CH61" s="599">
        <f t="shared" si="92"/>
        <v>0</v>
      </c>
      <c r="CI61" s="599">
        <f t="shared" si="92"/>
        <v>0</v>
      </c>
      <c r="CJ61" s="599">
        <f t="shared" si="92"/>
        <v>0</v>
      </c>
      <c r="CK61" s="599">
        <f t="shared" si="92"/>
        <v>0</v>
      </c>
      <c r="CL61" s="599">
        <f t="shared" si="92"/>
        <v>0</v>
      </c>
      <c r="CM61" s="599">
        <f t="shared" si="92"/>
        <v>0</v>
      </c>
      <c r="CN61" s="599">
        <f t="shared" si="92"/>
        <v>0</v>
      </c>
      <c r="CO61" s="599">
        <f t="shared" si="92"/>
        <v>0</v>
      </c>
      <c r="CP61" s="599">
        <f t="shared" si="92"/>
        <v>0</v>
      </c>
      <c r="CQ61" s="599">
        <f t="shared" si="92"/>
        <v>0</v>
      </c>
      <c r="CR61" s="599">
        <f t="shared" si="92"/>
        <v>0</v>
      </c>
      <c r="CS61" s="599">
        <f t="shared" si="92"/>
        <v>0</v>
      </c>
      <c r="CT61" s="599">
        <f t="shared" si="92"/>
        <v>0</v>
      </c>
      <c r="CU61" s="599">
        <f t="shared" si="92"/>
        <v>0</v>
      </c>
      <c r="CV61" s="599">
        <f t="shared" si="92"/>
        <v>0</v>
      </c>
      <c r="CW61" s="599">
        <f t="shared" si="92"/>
        <v>0</v>
      </c>
      <c r="CX61" s="599">
        <f t="shared" si="92"/>
        <v>0</v>
      </c>
      <c r="CY61" s="599">
        <f t="shared" si="92"/>
        <v>0</v>
      </c>
      <c r="CZ61" s="599">
        <f t="shared" si="92"/>
        <v>0</v>
      </c>
      <c r="DA61" s="599">
        <f t="shared" si="92"/>
        <v>0</v>
      </c>
      <c r="DB61" s="599">
        <f t="shared" si="92"/>
        <v>0</v>
      </c>
      <c r="DC61" s="599">
        <f t="shared" si="92"/>
        <v>0</v>
      </c>
      <c r="DD61" s="599">
        <f t="shared" si="92"/>
        <v>0</v>
      </c>
      <c r="DE61" s="599">
        <f t="shared" si="92"/>
        <v>0</v>
      </c>
      <c r="DF61" s="599">
        <f t="shared" si="92"/>
        <v>0</v>
      </c>
      <c r="DG61" s="599">
        <f t="shared" si="92"/>
        <v>0</v>
      </c>
      <c r="DH61" s="599">
        <f t="shared" si="92"/>
        <v>0</v>
      </c>
      <c r="DI61" s="599">
        <f t="shared" si="92"/>
        <v>0</v>
      </c>
      <c r="DJ61" s="599">
        <f t="shared" si="92"/>
        <v>0</v>
      </c>
      <c r="DK61" s="599">
        <f t="shared" si="92"/>
        <v>0</v>
      </c>
      <c r="DL61" s="599">
        <f t="shared" si="92"/>
        <v>0</v>
      </c>
      <c r="DM61" s="599">
        <f t="shared" si="92"/>
        <v>0</v>
      </c>
      <c r="DN61" s="599">
        <f t="shared" si="92"/>
        <v>0</v>
      </c>
      <c r="DO61" s="599">
        <f t="shared" si="92"/>
        <v>0</v>
      </c>
      <c r="DP61" s="599">
        <f t="shared" si="92"/>
        <v>0</v>
      </c>
      <c r="DQ61" s="599">
        <f t="shared" si="92"/>
        <v>0</v>
      </c>
      <c r="DR61" s="599">
        <f t="shared" si="92"/>
        <v>0</v>
      </c>
      <c r="DS61" s="599">
        <f t="shared" si="92"/>
        <v>0</v>
      </c>
      <c r="DT61" s="599">
        <f t="shared" si="92"/>
        <v>0</v>
      </c>
      <c r="DU61" s="599">
        <f t="shared" si="92"/>
        <v>0</v>
      </c>
      <c r="DV61" s="599">
        <f t="shared" si="92"/>
        <v>0</v>
      </c>
      <c r="DW61" s="599">
        <f t="shared" si="92"/>
        <v>0</v>
      </c>
      <c r="DX61" s="599">
        <f t="shared" si="92"/>
        <v>0</v>
      </c>
      <c r="DY61" s="599">
        <f t="shared" si="92"/>
        <v>0</v>
      </c>
      <c r="DZ61" s="599">
        <f t="shared" si="92"/>
        <v>0</v>
      </c>
      <c r="EA61" s="599">
        <f t="shared" si="92"/>
        <v>0</v>
      </c>
      <c r="EB61" s="599">
        <f t="shared" si="92"/>
        <v>0</v>
      </c>
      <c r="EC61" s="599">
        <f t="shared" si="92"/>
        <v>0</v>
      </c>
      <c r="ED61" s="599">
        <f t="shared" si="92"/>
        <v>0</v>
      </c>
      <c r="EE61" s="599">
        <f t="shared" si="92"/>
        <v>0</v>
      </c>
      <c r="EF61" s="599">
        <f t="shared" si="91"/>
        <v>0</v>
      </c>
      <c r="EG61" s="599">
        <f t="shared" si="90"/>
        <v>0</v>
      </c>
      <c r="EH61" s="599">
        <f t="shared" si="90"/>
        <v>0</v>
      </c>
      <c r="EI61" s="599">
        <f t="shared" si="90"/>
        <v>0</v>
      </c>
      <c r="EJ61" s="1117">
        <f t="shared" si="90"/>
        <v>0</v>
      </c>
    </row>
    <row r="62" spans="1:140" ht="15.75" customHeight="1" x14ac:dyDescent="0.25">
      <c r="A62" s="6"/>
      <c r="B62" s="378" t="str">
        <f>'Untrended Proforma'!C23</f>
        <v>Utilities</v>
      </c>
      <c r="C62" s="989">
        <f>'Untrended Proforma'!F23</f>
        <v>85564.959161357125</v>
      </c>
      <c r="D62" s="381">
        <f t="shared" si="84"/>
        <v>0.03</v>
      </c>
      <c r="E62" s="382" t="s">
        <v>299</v>
      </c>
      <c r="F62" s="359"/>
      <c r="G62" s="1014"/>
      <c r="H62" s="1115">
        <f t="shared" si="88"/>
        <v>0</v>
      </c>
      <c r="I62" s="599">
        <f t="shared" ref="I62:BT65" si="93">IF(I$5&gt;$E$4+12,0,IF($E62="YES",-IF(I$3&lt;$C$4,0,I$6*($C62/12)*(1+$D62)^(I$4)),-IF(I$3&lt;$C$4,0,($C62/12)*(1+$D62)^(I$4))))</f>
        <v>0</v>
      </c>
      <c r="J62" s="599">
        <f t="shared" si="93"/>
        <v>0</v>
      </c>
      <c r="K62" s="599">
        <f t="shared" si="93"/>
        <v>0</v>
      </c>
      <c r="L62" s="599">
        <f t="shared" si="93"/>
        <v>0</v>
      </c>
      <c r="M62" s="599">
        <f t="shared" si="93"/>
        <v>0</v>
      </c>
      <c r="N62" s="599">
        <f t="shared" si="93"/>
        <v>0</v>
      </c>
      <c r="O62" s="599">
        <f t="shared" si="93"/>
        <v>0</v>
      </c>
      <c r="P62" s="599">
        <f t="shared" si="93"/>
        <v>0</v>
      </c>
      <c r="Q62" s="599">
        <f t="shared" si="93"/>
        <v>0</v>
      </c>
      <c r="R62" s="599">
        <f t="shared" si="93"/>
        <v>0</v>
      </c>
      <c r="S62" s="599">
        <f t="shared" si="93"/>
        <v>0</v>
      </c>
      <c r="T62" s="599">
        <f t="shared" si="93"/>
        <v>0</v>
      </c>
      <c r="U62" s="599">
        <f t="shared" si="93"/>
        <v>0</v>
      </c>
      <c r="V62" s="599">
        <f t="shared" si="93"/>
        <v>0</v>
      </c>
      <c r="W62" s="599">
        <f t="shared" si="93"/>
        <v>0</v>
      </c>
      <c r="X62" s="599">
        <f t="shared" si="93"/>
        <v>0</v>
      </c>
      <c r="Y62" s="599">
        <f t="shared" si="93"/>
        <v>0</v>
      </c>
      <c r="Z62" s="599">
        <f t="shared" si="93"/>
        <v>0</v>
      </c>
      <c r="AA62" s="599">
        <f t="shared" si="93"/>
        <v>0</v>
      </c>
      <c r="AB62" s="599">
        <f t="shared" si="93"/>
        <v>0</v>
      </c>
      <c r="AC62" s="599">
        <f t="shared" si="93"/>
        <v>0</v>
      </c>
      <c r="AD62" s="599">
        <f t="shared" si="93"/>
        <v>0</v>
      </c>
      <c r="AE62" s="599">
        <f t="shared" si="93"/>
        <v>0</v>
      </c>
      <c r="AF62" s="599">
        <f t="shared" si="93"/>
        <v>0</v>
      </c>
      <c r="AG62" s="599">
        <f t="shared" si="93"/>
        <v>-760.15561893912434</v>
      </c>
      <c r="AH62" s="599">
        <f t="shared" si="93"/>
        <v>-1520.3112378782487</v>
      </c>
      <c r="AI62" s="599">
        <f t="shared" si="93"/>
        <v>-2280.4668568173724</v>
      </c>
      <c r="AJ62" s="599">
        <f t="shared" si="93"/>
        <v>-3040.6224757564974</v>
      </c>
      <c r="AK62" s="599">
        <f t="shared" si="93"/>
        <v>-3800.7780946956213</v>
      </c>
      <c r="AL62" s="599">
        <f t="shared" si="93"/>
        <v>-4560.9337136347449</v>
      </c>
      <c r="AM62" s="599">
        <f t="shared" si="93"/>
        <v>-5321.0893325738698</v>
      </c>
      <c r="AN62" s="599">
        <f t="shared" si="93"/>
        <v>-6081.2449515129947</v>
      </c>
      <c r="AO62" s="599">
        <f t="shared" si="93"/>
        <v>-6841.4005704521187</v>
      </c>
      <c r="AP62" s="599">
        <f t="shared" si="93"/>
        <v>-7601.5561893912427</v>
      </c>
      <c r="AQ62" s="599">
        <f t="shared" si="93"/>
        <v>-7791.5950941260235</v>
      </c>
      <c r="AR62" s="599">
        <f t="shared" si="93"/>
        <v>-7791.5950941260235</v>
      </c>
      <c r="AS62" s="599">
        <f t="shared" si="93"/>
        <v>-8025.3429469498033</v>
      </c>
      <c r="AT62" s="599">
        <f t="shared" si="93"/>
        <v>-8025.3429469498033</v>
      </c>
      <c r="AU62" s="599">
        <f t="shared" si="93"/>
        <v>-8025.3429469498033</v>
      </c>
      <c r="AV62" s="599">
        <f t="shared" si="93"/>
        <v>-8025.3429469498033</v>
      </c>
      <c r="AW62" s="599">
        <f t="shared" si="93"/>
        <v>-8025.3429469498033</v>
      </c>
      <c r="AX62" s="599">
        <f t="shared" si="93"/>
        <v>-8025.3429469498033</v>
      </c>
      <c r="AY62" s="599">
        <f t="shared" si="93"/>
        <v>-8025.3429469498033</v>
      </c>
      <c r="AZ62" s="599">
        <f t="shared" si="93"/>
        <v>-8025.3429469498033</v>
      </c>
      <c r="BA62" s="599">
        <f t="shared" si="93"/>
        <v>-8025.3429469498033</v>
      </c>
      <c r="BB62" s="599">
        <f t="shared" si="93"/>
        <v>-8025.3429469498033</v>
      </c>
      <c r="BC62" s="599">
        <f t="shared" si="93"/>
        <v>-8025.3429469498033</v>
      </c>
      <c r="BD62" s="599">
        <f t="shared" si="93"/>
        <v>-8025.3429469498033</v>
      </c>
      <c r="BE62" s="599">
        <f t="shared" si="93"/>
        <v>-8266.1032353582978</v>
      </c>
      <c r="BF62" s="599">
        <f t="shared" si="93"/>
        <v>-8266.1032353582978</v>
      </c>
      <c r="BG62" s="599">
        <f t="shared" si="93"/>
        <v>-8266.1032353582978</v>
      </c>
      <c r="BH62" s="599">
        <f t="shared" si="93"/>
        <v>-8266.1032353582978</v>
      </c>
      <c r="BI62" s="599">
        <f t="shared" si="93"/>
        <v>-8266.1032353582978</v>
      </c>
      <c r="BJ62" s="599">
        <f t="shared" si="93"/>
        <v>-8266.1032353582978</v>
      </c>
      <c r="BK62" s="599">
        <f t="shared" si="93"/>
        <v>-8266.1032353582978</v>
      </c>
      <c r="BL62" s="599">
        <f t="shared" si="93"/>
        <v>-8266.1032353582978</v>
      </c>
      <c r="BM62" s="599">
        <f t="shared" si="93"/>
        <v>-8266.1032353582978</v>
      </c>
      <c r="BN62" s="599">
        <f t="shared" si="93"/>
        <v>-8266.1032353582978</v>
      </c>
      <c r="BO62" s="599">
        <f t="shared" si="93"/>
        <v>-8266.1032353582978</v>
      </c>
      <c r="BP62" s="599">
        <f t="shared" si="93"/>
        <v>-8266.1032353582978</v>
      </c>
      <c r="BQ62" s="599">
        <f t="shared" si="93"/>
        <v>-8514.0863324190468</v>
      </c>
      <c r="BR62" s="599">
        <f t="shared" si="93"/>
        <v>-8514.0863324190468</v>
      </c>
      <c r="BS62" s="599">
        <f t="shared" si="93"/>
        <v>-8514.0863324190468</v>
      </c>
      <c r="BT62" s="599">
        <f t="shared" si="93"/>
        <v>-8514.0863324190468</v>
      </c>
      <c r="BU62" s="599">
        <f t="shared" si="92"/>
        <v>-8514.0863324190468</v>
      </c>
      <c r="BV62" s="599">
        <f t="shared" si="92"/>
        <v>-8514.0863324190468</v>
      </c>
      <c r="BW62" s="599">
        <f t="shared" si="92"/>
        <v>-8514.0863324190468</v>
      </c>
      <c r="BX62" s="599">
        <f t="shared" si="92"/>
        <v>-8514.0863324190468</v>
      </c>
      <c r="BY62" s="599">
        <f t="shared" si="92"/>
        <v>-8514.0863324190468</v>
      </c>
      <c r="BZ62" s="599">
        <f t="shared" si="92"/>
        <v>-8514.0863324190468</v>
      </c>
      <c r="CA62" s="599">
        <f t="shared" si="92"/>
        <v>-8514.0863324190468</v>
      </c>
      <c r="CB62" s="599">
        <f t="shared" si="92"/>
        <v>-8514.0863324190468</v>
      </c>
      <c r="CC62" s="599">
        <f t="shared" si="92"/>
        <v>0</v>
      </c>
      <c r="CD62" s="599">
        <f t="shared" si="92"/>
        <v>0</v>
      </c>
      <c r="CE62" s="599">
        <f t="shared" si="92"/>
        <v>0</v>
      </c>
      <c r="CF62" s="599">
        <f t="shared" si="92"/>
        <v>0</v>
      </c>
      <c r="CG62" s="599">
        <f t="shared" si="92"/>
        <v>0</v>
      </c>
      <c r="CH62" s="599">
        <f t="shared" si="92"/>
        <v>0</v>
      </c>
      <c r="CI62" s="599">
        <f t="shared" si="92"/>
        <v>0</v>
      </c>
      <c r="CJ62" s="599">
        <f t="shared" si="92"/>
        <v>0</v>
      </c>
      <c r="CK62" s="599">
        <f t="shared" si="92"/>
        <v>0</v>
      </c>
      <c r="CL62" s="599">
        <f t="shared" si="92"/>
        <v>0</v>
      </c>
      <c r="CM62" s="599">
        <f t="shared" si="92"/>
        <v>0</v>
      </c>
      <c r="CN62" s="599">
        <f t="shared" si="92"/>
        <v>0</v>
      </c>
      <c r="CO62" s="599">
        <f t="shared" si="92"/>
        <v>0</v>
      </c>
      <c r="CP62" s="599">
        <f t="shared" si="92"/>
        <v>0</v>
      </c>
      <c r="CQ62" s="599">
        <f t="shared" si="92"/>
        <v>0</v>
      </c>
      <c r="CR62" s="599">
        <f t="shared" si="92"/>
        <v>0</v>
      </c>
      <c r="CS62" s="599">
        <f t="shared" si="92"/>
        <v>0</v>
      </c>
      <c r="CT62" s="599">
        <f t="shared" si="92"/>
        <v>0</v>
      </c>
      <c r="CU62" s="599">
        <f t="shared" si="92"/>
        <v>0</v>
      </c>
      <c r="CV62" s="599">
        <f t="shared" si="92"/>
        <v>0</v>
      </c>
      <c r="CW62" s="599">
        <f t="shared" si="92"/>
        <v>0</v>
      </c>
      <c r="CX62" s="599">
        <f t="shared" si="92"/>
        <v>0</v>
      </c>
      <c r="CY62" s="599">
        <f t="shared" si="92"/>
        <v>0</v>
      </c>
      <c r="CZ62" s="599">
        <f t="shared" si="92"/>
        <v>0</v>
      </c>
      <c r="DA62" s="599">
        <f t="shared" si="92"/>
        <v>0</v>
      </c>
      <c r="DB62" s="599">
        <f t="shared" si="92"/>
        <v>0</v>
      </c>
      <c r="DC62" s="599">
        <f t="shared" si="92"/>
        <v>0</v>
      </c>
      <c r="DD62" s="599">
        <f t="shared" si="92"/>
        <v>0</v>
      </c>
      <c r="DE62" s="599">
        <f t="shared" si="92"/>
        <v>0</v>
      </c>
      <c r="DF62" s="599">
        <f t="shared" si="92"/>
        <v>0</v>
      </c>
      <c r="DG62" s="599">
        <f t="shared" si="92"/>
        <v>0</v>
      </c>
      <c r="DH62" s="599">
        <f t="shared" si="92"/>
        <v>0</v>
      </c>
      <c r="DI62" s="599">
        <f t="shared" si="92"/>
        <v>0</v>
      </c>
      <c r="DJ62" s="599">
        <f t="shared" si="92"/>
        <v>0</v>
      </c>
      <c r="DK62" s="599">
        <f t="shared" si="92"/>
        <v>0</v>
      </c>
      <c r="DL62" s="599">
        <f t="shared" si="92"/>
        <v>0</v>
      </c>
      <c r="DM62" s="599">
        <f t="shared" si="92"/>
        <v>0</v>
      </c>
      <c r="DN62" s="599">
        <f t="shared" si="92"/>
        <v>0</v>
      </c>
      <c r="DO62" s="599">
        <f t="shared" si="92"/>
        <v>0</v>
      </c>
      <c r="DP62" s="599">
        <f t="shared" si="92"/>
        <v>0</v>
      </c>
      <c r="DQ62" s="599">
        <f t="shared" si="92"/>
        <v>0</v>
      </c>
      <c r="DR62" s="599">
        <f t="shared" si="92"/>
        <v>0</v>
      </c>
      <c r="DS62" s="599">
        <f t="shared" si="92"/>
        <v>0</v>
      </c>
      <c r="DT62" s="599">
        <f t="shared" si="92"/>
        <v>0</v>
      </c>
      <c r="DU62" s="599">
        <f t="shared" si="92"/>
        <v>0</v>
      </c>
      <c r="DV62" s="599">
        <f t="shared" si="92"/>
        <v>0</v>
      </c>
      <c r="DW62" s="599">
        <f t="shared" si="92"/>
        <v>0</v>
      </c>
      <c r="DX62" s="599">
        <f t="shared" si="92"/>
        <v>0</v>
      </c>
      <c r="DY62" s="599">
        <f t="shared" si="92"/>
        <v>0</v>
      </c>
      <c r="DZ62" s="599">
        <f t="shared" si="92"/>
        <v>0</v>
      </c>
      <c r="EA62" s="599">
        <f t="shared" si="92"/>
        <v>0</v>
      </c>
      <c r="EB62" s="599">
        <f t="shared" si="92"/>
        <v>0</v>
      </c>
      <c r="EC62" s="599">
        <f t="shared" si="92"/>
        <v>0</v>
      </c>
      <c r="ED62" s="599">
        <f t="shared" si="92"/>
        <v>0</v>
      </c>
      <c r="EE62" s="599">
        <f t="shared" si="92"/>
        <v>0</v>
      </c>
      <c r="EF62" s="599">
        <f t="shared" si="91"/>
        <v>0</v>
      </c>
      <c r="EG62" s="599">
        <f t="shared" si="90"/>
        <v>0</v>
      </c>
      <c r="EH62" s="599">
        <f t="shared" si="90"/>
        <v>0</v>
      </c>
      <c r="EI62" s="599">
        <f t="shared" si="90"/>
        <v>0</v>
      </c>
      <c r="EJ62" s="1117">
        <f t="shared" si="90"/>
        <v>0</v>
      </c>
    </row>
    <row r="63" spans="1:140" ht="15.75" customHeight="1" x14ac:dyDescent="0.25">
      <c r="A63" s="6"/>
      <c r="B63" s="378" t="str">
        <f>'Untrended Proforma'!C24</f>
        <v>Property Insurance</v>
      </c>
      <c r="C63" s="989">
        <f>'Untrended Proforma'!F24</f>
        <v>25455.576223928565</v>
      </c>
      <c r="D63" s="381">
        <f t="shared" si="84"/>
        <v>0.03</v>
      </c>
      <c r="E63" s="382" t="s">
        <v>299</v>
      </c>
      <c r="F63" s="358"/>
      <c r="G63" s="999"/>
      <c r="H63" s="1115">
        <f t="shared" si="88"/>
        <v>0</v>
      </c>
      <c r="I63" s="599">
        <f t="shared" si="93"/>
        <v>0</v>
      </c>
      <c r="J63" s="599">
        <f t="shared" si="93"/>
        <v>0</v>
      </c>
      <c r="K63" s="599">
        <f t="shared" si="93"/>
        <v>0</v>
      </c>
      <c r="L63" s="599">
        <f t="shared" si="93"/>
        <v>0</v>
      </c>
      <c r="M63" s="599">
        <f t="shared" si="93"/>
        <v>0</v>
      </c>
      <c r="N63" s="599">
        <f t="shared" si="93"/>
        <v>0</v>
      </c>
      <c r="O63" s="599">
        <f t="shared" si="93"/>
        <v>0</v>
      </c>
      <c r="P63" s="599">
        <f t="shared" si="93"/>
        <v>0</v>
      </c>
      <c r="Q63" s="599">
        <f t="shared" si="93"/>
        <v>0</v>
      </c>
      <c r="R63" s="599">
        <f t="shared" si="93"/>
        <v>0</v>
      </c>
      <c r="S63" s="599">
        <f t="shared" si="93"/>
        <v>0</v>
      </c>
      <c r="T63" s="599">
        <f t="shared" si="93"/>
        <v>0</v>
      </c>
      <c r="U63" s="599">
        <f t="shared" si="93"/>
        <v>0</v>
      </c>
      <c r="V63" s="599">
        <f t="shared" si="93"/>
        <v>0</v>
      </c>
      <c r="W63" s="599">
        <f t="shared" si="93"/>
        <v>0</v>
      </c>
      <c r="X63" s="599">
        <f t="shared" si="93"/>
        <v>0</v>
      </c>
      <c r="Y63" s="599">
        <f t="shared" si="93"/>
        <v>0</v>
      </c>
      <c r="Z63" s="599">
        <f t="shared" si="93"/>
        <v>0</v>
      </c>
      <c r="AA63" s="599">
        <f t="shared" si="93"/>
        <v>0</v>
      </c>
      <c r="AB63" s="599">
        <f t="shared" si="93"/>
        <v>0</v>
      </c>
      <c r="AC63" s="599">
        <f t="shared" si="93"/>
        <v>0</v>
      </c>
      <c r="AD63" s="599">
        <f t="shared" si="93"/>
        <v>0</v>
      </c>
      <c r="AE63" s="599">
        <f t="shared" si="93"/>
        <v>0</v>
      </c>
      <c r="AF63" s="599">
        <f t="shared" si="93"/>
        <v>0</v>
      </c>
      <c r="AG63" s="599">
        <f t="shared" si="93"/>
        <v>-226.14630439386008</v>
      </c>
      <c r="AH63" s="599">
        <f t="shared" si="93"/>
        <v>-452.29260878772016</v>
      </c>
      <c r="AI63" s="599">
        <f t="shared" si="93"/>
        <v>-678.43891318158023</v>
      </c>
      <c r="AJ63" s="599">
        <f t="shared" si="93"/>
        <v>-904.58521757544031</v>
      </c>
      <c r="AK63" s="599">
        <f t="shared" si="93"/>
        <v>-1130.7315219693003</v>
      </c>
      <c r="AL63" s="599">
        <f t="shared" si="93"/>
        <v>-1356.8778263631605</v>
      </c>
      <c r="AM63" s="599">
        <f t="shared" si="93"/>
        <v>-1583.0241307570207</v>
      </c>
      <c r="AN63" s="599">
        <f t="shared" si="93"/>
        <v>-1809.1704351508806</v>
      </c>
      <c r="AO63" s="599">
        <f t="shared" si="93"/>
        <v>-2035.3167395447408</v>
      </c>
      <c r="AP63" s="599">
        <f t="shared" si="93"/>
        <v>-2261.4630439386005</v>
      </c>
      <c r="AQ63" s="599">
        <f t="shared" si="93"/>
        <v>-2317.9996200370656</v>
      </c>
      <c r="AR63" s="599">
        <f t="shared" si="93"/>
        <v>-2317.9996200370656</v>
      </c>
      <c r="AS63" s="599">
        <f t="shared" si="93"/>
        <v>-2387.5396086381775</v>
      </c>
      <c r="AT63" s="599">
        <f t="shared" si="93"/>
        <v>-2387.5396086381775</v>
      </c>
      <c r="AU63" s="599">
        <f t="shared" si="93"/>
        <v>-2387.5396086381775</v>
      </c>
      <c r="AV63" s="599">
        <f t="shared" si="93"/>
        <v>-2387.5396086381775</v>
      </c>
      <c r="AW63" s="599">
        <f t="shared" si="93"/>
        <v>-2387.5396086381775</v>
      </c>
      <c r="AX63" s="599">
        <f t="shared" si="93"/>
        <v>-2387.5396086381775</v>
      </c>
      <c r="AY63" s="599">
        <f t="shared" si="93"/>
        <v>-2387.5396086381775</v>
      </c>
      <c r="AZ63" s="599">
        <f t="shared" si="93"/>
        <v>-2387.5396086381775</v>
      </c>
      <c r="BA63" s="599">
        <f t="shared" si="93"/>
        <v>-2387.5396086381775</v>
      </c>
      <c r="BB63" s="599">
        <f t="shared" si="93"/>
        <v>-2387.5396086381775</v>
      </c>
      <c r="BC63" s="599">
        <f t="shared" si="93"/>
        <v>-2387.5396086381775</v>
      </c>
      <c r="BD63" s="599">
        <f t="shared" si="93"/>
        <v>-2387.5396086381775</v>
      </c>
      <c r="BE63" s="599">
        <f t="shared" si="93"/>
        <v>-2459.1657968973227</v>
      </c>
      <c r="BF63" s="599">
        <f t="shared" si="93"/>
        <v>-2459.1657968973227</v>
      </c>
      <c r="BG63" s="599">
        <f t="shared" si="93"/>
        <v>-2459.1657968973227</v>
      </c>
      <c r="BH63" s="599">
        <f t="shared" si="93"/>
        <v>-2459.1657968973227</v>
      </c>
      <c r="BI63" s="599">
        <f t="shared" si="93"/>
        <v>-2459.1657968973227</v>
      </c>
      <c r="BJ63" s="599">
        <f t="shared" si="93"/>
        <v>-2459.1657968973227</v>
      </c>
      <c r="BK63" s="599">
        <f t="shared" si="93"/>
        <v>-2459.1657968973227</v>
      </c>
      <c r="BL63" s="599">
        <f t="shared" si="93"/>
        <v>-2459.1657968973227</v>
      </c>
      <c r="BM63" s="599">
        <f t="shared" si="93"/>
        <v>-2459.1657968973227</v>
      </c>
      <c r="BN63" s="599">
        <f t="shared" si="93"/>
        <v>-2459.1657968973227</v>
      </c>
      <c r="BO63" s="599">
        <f t="shared" si="93"/>
        <v>-2459.1657968973227</v>
      </c>
      <c r="BP63" s="599">
        <f t="shared" si="93"/>
        <v>-2459.1657968973227</v>
      </c>
      <c r="BQ63" s="599">
        <f t="shared" si="93"/>
        <v>-2532.9407708042427</v>
      </c>
      <c r="BR63" s="599">
        <f t="shared" si="93"/>
        <v>-2532.9407708042427</v>
      </c>
      <c r="BS63" s="599">
        <f t="shared" si="93"/>
        <v>-2532.9407708042427</v>
      </c>
      <c r="BT63" s="599">
        <f t="shared" si="93"/>
        <v>-2532.9407708042427</v>
      </c>
      <c r="BU63" s="599">
        <f t="shared" si="92"/>
        <v>-2532.9407708042427</v>
      </c>
      <c r="BV63" s="599">
        <f t="shared" si="92"/>
        <v>-2532.9407708042427</v>
      </c>
      <c r="BW63" s="599">
        <f t="shared" si="92"/>
        <v>-2532.9407708042427</v>
      </c>
      <c r="BX63" s="599">
        <f t="shared" si="92"/>
        <v>-2532.9407708042427</v>
      </c>
      <c r="BY63" s="599">
        <f t="shared" si="92"/>
        <v>-2532.9407708042427</v>
      </c>
      <c r="BZ63" s="599">
        <f t="shared" si="92"/>
        <v>-2532.9407708042427</v>
      </c>
      <c r="CA63" s="599">
        <f t="shared" si="92"/>
        <v>-2532.9407708042427</v>
      </c>
      <c r="CB63" s="599">
        <f t="shared" si="92"/>
        <v>-2532.9407708042427</v>
      </c>
      <c r="CC63" s="599">
        <f t="shared" si="92"/>
        <v>0</v>
      </c>
      <c r="CD63" s="599">
        <f t="shared" si="92"/>
        <v>0</v>
      </c>
      <c r="CE63" s="599">
        <f t="shared" si="92"/>
        <v>0</v>
      </c>
      <c r="CF63" s="599">
        <f t="shared" si="92"/>
        <v>0</v>
      </c>
      <c r="CG63" s="599">
        <f t="shared" si="92"/>
        <v>0</v>
      </c>
      <c r="CH63" s="599">
        <f t="shared" si="92"/>
        <v>0</v>
      </c>
      <c r="CI63" s="599">
        <f t="shared" si="92"/>
        <v>0</v>
      </c>
      <c r="CJ63" s="599">
        <f t="shared" si="92"/>
        <v>0</v>
      </c>
      <c r="CK63" s="599">
        <f t="shared" si="92"/>
        <v>0</v>
      </c>
      <c r="CL63" s="599">
        <f t="shared" si="92"/>
        <v>0</v>
      </c>
      <c r="CM63" s="599">
        <f t="shared" si="92"/>
        <v>0</v>
      </c>
      <c r="CN63" s="599">
        <f t="shared" si="92"/>
        <v>0</v>
      </c>
      <c r="CO63" s="599">
        <f t="shared" si="92"/>
        <v>0</v>
      </c>
      <c r="CP63" s="599">
        <f t="shared" si="92"/>
        <v>0</v>
      </c>
      <c r="CQ63" s="599">
        <f t="shared" si="92"/>
        <v>0</v>
      </c>
      <c r="CR63" s="599">
        <f t="shared" si="92"/>
        <v>0</v>
      </c>
      <c r="CS63" s="599">
        <f t="shared" si="92"/>
        <v>0</v>
      </c>
      <c r="CT63" s="599">
        <f t="shared" si="92"/>
        <v>0</v>
      </c>
      <c r="CU63" s="599">
        <f t="shared" si="92"/>
        <v>0</v>
      </c>
      <c r="CV63" s="599">
        <f t="shared" si="92"/>
        <v>0</v>
      </c>
      <c r="CW63" s="599">
        <f t="shared" si="92"/>
        <v>0</v>
      </c>
      <c r="CX63" s="599">
        <f t="shared" si="92"/>
        <v>0</v>
      </c>
      <c r="CY63" s="599">
        <f t="shared" si="92"/>
        <v>0</v>
      </c>
      <c r="CZ63" s="599">
        <f t="shared" si="92"/>
        <v>0</v>
      </c>
      <c r="DA63" s="599">
        <f t="shared" si="92"/>
        <v>0</v>
      </c>
      <c r="DB63" s="599">
        <f t="shared" si="92"/>
        <v>0</v>
      </c>
      <c r="DC63" s="599">
        <f t="shared" si="92"/>
        <v>0</v>
      </c>
      <c r="DD63" s="599">
        <f t="shared" si="92"/>
        <v>0</v>
      </c>
      <c r="DE63" s="599">
        <f t="shared" si="92"/>
        <v>0</v>
      </c>
      <c r="DF63" s="599">
        <f t="shared" si="92"/>
        <v>0</v>
      </c>
      <c r="DG63" s="599">
        <f t="shared" si="92"/>
        <v>0</v>
      </c>
      <c r="DH63" s="599">
        <f t="shared" si="92"/>
        <v>0</v>
      </c>
      <c r="DI63" s="599">
        <f t="shared" si="92"/>
        <v>0</v>
      </c>
      <c r="DJ63" s="599">
        <f t="shared" si="92"/>
        <v>0</v>
      </c>
      <c r="DK63" s="599">
        <f t="shared" si="92"/>
        <v>0</v>
      </c>
      <c r="DL63" s="599">
        <f t="shared" si="92"/>
        <v>0</v>
      </c>
      <c r="DM63" s="599">
        <f t="shared" si="92"/>
        <v>0</v>
      </c>
      <c r="DN63" s="599">
        <f t="shared" si="92"/>
        <v>0</v>
      </c>
      <c r="DO63" s="599">
        <f t="shared" si="92"/>
        <v>0</v>
      </c>
      <c r="DP63" s="599">
        <f t="shared" si="92"/>
        <v>0</v>
      </c>
      <c r="DQ63" s="599">
        <f t="shared" si="92"/>
        <v>0</v>
      </c>
      <c r="DR63" s="599">
        <f t="shared" si="92"/>
        <v>0</v>
      </c>
      <c r="DS63" s="599">
        <f t="shared" si="92"/>
        <v>0</v>
      </c>
      <c r="DT63" s="599">
        <f t="shared" si="92"/>
        <v>0</v>
      </c>
      <c r="DU63" s="599">
        <f t="shared" si="92"/>
        <v>0</v>
      </c>
      <c r="DV63" s="599">
        <f t="shared" si="92"/>
        <v>0</v>
      </c>
      <c r="DW63" s="599">
        <f t="shared" si="92"/>
        <v>0</v>
      </c>
      <c r="DX63" s="599">
        <f t="shared" si="92"/>
        <v>0</v>
      </c>
      <c r="DY63" s="599">
        <f t="shared" si="92"/>
        <v>0</v>
      </c>
      <c r="DZ63" s="599">
        <f t="shared" si="92"/>
        <v>0</v>
      </c>
      <c r="EA63" s="599">
        <f t="shared" si="92"/>
        <v>0</v>
      </c>
      <c r="EB63" s="599">
        <f t="shared" si="92"/>
        <v>0</v>
      </c>
      <c r="EC63" s="599">
        <f t="shared" si="92"/>
        <v>0</v>
      </c>
      <c r="ED63" s="599">
        <f t="shared" si="92"/>
        <v>0</v>
      </c>
      <c r="EE63" s="599">
        <f t="shared" si="92"/>
        <v>0</v>
      </c>
      <c r="EF63" s="599">
        <f t="shared" si="91"/>
        <v>0</v>
      </c>
      <c r="EG63" s="599">
        <f t="shared" si="90"/>
        <v>0</v>
      </c>
      <c r="EH63" s="599">
        <f t="shared" si="90"/>
        <v>0</v>
      </c>
      <c r="EI63" s="599">
        <f t="shared" si="90"/>
        <v>0</v>
      </c>
      <c r="EJ63" s="1117">
        <f t="shared" si="90"/>
        <v>0</v>
      </c>
    </row>
    <row r="64" spans="1:140" ht="15.75" customHeight="1" x14ac:dyDescent="0.25">
      <c r="A64" s="6"/>
      <c r="B64" s="378" t="str">
        <f>'Untrended Proforma'!C25</f>
        <v>Property Management</v>
      </c>
      <c r="C64" s="989">
        <f>'Untrended Proforma'!F25</f>
        <v>105659.808</v>
      </c>
      <c r="D64" s="381">
        <f t="shared" si="84"/>
        <v>0.03</v>
      </c>
      <c r="E64" s="382" t="s">
        <v>299</v>
      </c>
      <c r="F64" s="358"/>
      <c r="G64" s="999"/>
      <c r="H64" s="1115">
        <f t="shared" si="88"/>
        <v>0</v>
      </c>
      <c r="I64" s="599">
        <f t="shared" si="93"/>
        <v>0</v>
      </c>
      <c r="J64" s="599">
        <f t="shared" si="93"/>
        <v>0</v>
      </c>
      <c r="K64" s="599">
        <f t="shared" si="93"/>
        <v>0</v>
      </c>
      <c r="L64" s="599">
        <f t="shared" si="93"/>
        <v>0</v>
      </c>
      <c r="M64" s="599">
        <f t="shared" si="93"/>
        <v>0</v>
      </c>
      <c r="N64" s="599">
        <f t="shared" si="93"/>
        <v>0</v>
      </c>
      <c r="O64" s="599">
        <f t="shared" si="93"/>
        <v>0</v>
      </c>
      <c r="P64" s="599">
        <f t="shared" si="93"/>
        <v>0</v>
      </c>
      <c r="Q64" s="599">
        <f t="shared" si="93"/>
        <v>0</v>
      </c>
      <c r="R64" s="599">
        <f t="shared" si="93"/>
        <v>0</v>
      </c>
      <c r="S64" s="599">
        <f t="shared" si="93"/>
        <v>0</v>
      </c>
      <c r="T64" s="599">
        <f t="shared" si="93"/>
        <v>0</v>
      </c>
      <c r="U64" s="599">
        <f t="shared" si="93"/>
        <v>0</v>
      </c>
      <c r="V64" s="599">
        <f t="shared" si="93"/>
        <v>0</v>
      </c>
      <c r="W64" s="599">
        <f t="shared" si="93"/>
        <v>0</v>
      </c>
      <c r="X64" s="599">
        <f t="shared" si="93"/>
        <v>0</v>
      </c>
      <c r="Y64" s="599">
        <f t="shared" si="93"/>
        <v>0</v>
      </c>
      <c r="Z64" s="599">
        <f t="shared" si="93"/>
        <v>0</v>
      </c>
      <c r="AA64" s="599">
        <f t="shared" si="93"/>
        <v>0</v>
      </c>
      <c r="AB64" s="599">
        <f t="shared" si="93"/>
        <v>0</v>
      </c>
      <c r="AC64" s="599">
        <f t="shared" si="93"/>
        <v>0</v>
      </c>
      <c r="AD64" s="599">
        <f t="shared" si="93"/>
        <v>0</v>
      </c>
      <c r="AE64" s="599">
        <f t="shared" si="93"/>
        <v>0</v>
      </c>
      <c r="AF64" s="599">
        <f t="shared" si="93"/>
        <v>0</v>
      </c>
      <c r="AG64" s="599">
        <f t="shared" si="93"/>
        <v>-938.67743915785377</v>
      </c>
      <c r="AH64" s="599">
        <f t="shared" si="93"/>
        <v>-1877.3548783157075</v>
      </c>
      <c r="AI64" s="599">
        <f t="shared" si="93"/>
        <v>-2816.0323174735609</v>
      </c>
      <c r="AJ64" s="599">
        <f t="shared" si="93"/>
        <v>-3754.7097566314151</v>
      </c>
      <c r="AK64" s="599">
        <f t="shared" si="93"/>
        <v>-4693.3871957892679</v>
      </c>
      <c r="AL64" s="599">
        <f t="shared" si="93"/>
        <v>-5632.0646349471217</v>
      </c>
      <c r="AM64" s="599">
        <f t="shared" si="93"/>
        <v>-6570.7420741049764</v>
      </c>
      <c r="AN64" s="599">
        <f t="shared" si="93"/>
        <v>-7509.4195132628302</v>
      </c>
      <c r="AO64" s="599">
        <f t="shared" si="93"/>
        <v>-8448.096952420683</v>
      </c>
      <c r="AP64" s="599">
        <f t="shared" si="93"/>
        <v>-9386.7743915785359</v>
      </c>
      <c r="AQ64" s="599">
        <f t="shared" si="93"/>
        <v>-9621.4437513680004</v>
      </c>
      <c r="AR64" s="599">
        <f t="shared" si="93"/>
        <v>-9621.4437513680004</v>
      </c>
      <c r="AS64" s="599">
        <f t="shared" si="93"/>
        <v>-9910.087063909039</v>
      </c>
      <c r="AT64" s="599">
        <f t="shared" si="93"/>
        <v>-9910.087063909039</v>
      </c>
      <c r="AU64" s="599">
        <f t="shared" si="93"/>
        <v>-9910.087063909039</v>
      </c>
      <c r="AV64" s="599">
        <f t="shared" si="93"/>
        <v>-9910.087063909039</v>
      </c>
      <c r="AW64" s="599">
        <f t="shared" si="93"/>
        <v>-9910.087063909039</v>
      </c>
      <c r="AX64" s="599">
        <f t="shared" si="93"/>
        <v>-9910.087063909039</v>
      </c>
      <c r="AY64" s="599">
        <f t="shared" si="93"/>
        <v>-9910.087063909039</v>
      </c>
      <c r="AZ64" s="599">
        <f t="shared" si="93"/>
        <v>-9910.087063909039</v>
      </c>
      <c r="BA64" s="599">
        <f t="shared" si="93"/>
        <v>-9910.087063909039</v>
      </c>
      <c r="BB64" s="599">
        <f t="shared" si="93"/>
        <v>-9910.087063909039</v>
      </c>
      <c r="BC64" s="599">
        <f t="shared" si="93"/>
        <v>-9910.087063909039</v>
      </c>
      <c r="BD64" s="599">
        <f t="shared" si="93"/>
        <v>-9910.087063909039</v>
      </c>
      <c r="BE64" s="599">
        <f t="shared" si="93"/>
        <v>-10207.389675826311</v>
      </c>
      <c r="BF64" s="599">
        <f t="shared" si="93"/>
        <v>-10207.389675826311</v>
      </c>
      <c r="BG64" s="599">
        <f t="shared" si="93"/>
        <v>-10207.389675826311</v>
      </c>
      <c r="BH64" s="599">
        <f t="shared" si="93"/>
        <v>-10207.389675826311</v>
      </c>
      <c r="BI64" s="599">
        <f t="shared" si="93"/>
        <v>-10207.389675826311</v>
      </c>
      <c r="BJ64" s="599">
        <f t="shared" si="93"/>
        <v>-10207.389675826311</v>
      </c>
      <c r="BK64" s="599">
        <f t="shared" si="93"/>
        <v>-10207.389675826311</v>
      </c>
      <c r="BL64" s="599">
        <f t="shared" si="93"/>
        <v>-10207.389675826311</v>
      </c>
      <c r="BM64" s="599">
        <f t="shared" si="93"/>
        <v>-10207.389675826311</v>
      </c>
      <c r="BN64" s="599">
        <f t="shared" si="93"/>
        <v>-10207.389675826311</v>
      </c>
      <c r="BO64" s="599">
        <f t="shared" si="93"/>
        <v>-10207.389675826311</v>
      </c>
      <c r="BP64" s="599">
        <f t="shared" si="93"/>
        <v>-10207.389675826311</v>
      </c>
      <c r="BQ64" s="599">
        <f t="shared" si="93"/>
        <v>-10513.6113661011</v>
      </c>
      <c r="BR64" s="599">
        <f t="shared" si="93"/>
        <v>-10513.6113661011</v>
      </c>
      <c r="BS64" s="599">
        <f t="shared" si="93"/>
        <v>-10513.6113661011</v>
      </c>
      <c r="BT64" s="599">
        <f t="shared" si="93"/>
        <v>-10513.6113661011</v>
      </c>
      <c r="BU64" s="599">
        <f t="shared" si="92"/>
        <v>-10513.6113661011</v>
      </c>
      <c r="BV64" s="599">
        <f t="shared" si="92"/>
        <v>-10513.6113661011</v>
      </c>
      <c r="BW64" s="599">
        <f t="shared" si="92"/>
        <v>-10513.6113661011</v>
      </c>
      <c r="BX64" s="599">
        <f t="shared" si="92"/>
        <v>-10513.6113661011</v>
      </c>
      <c r="BY64" s="599">
        <f t="shared" si="92"/>
        <v>-10513.6113661011</v>
      </c>
      <c r="BZ64" s="599">
        <f t="shared" si="92"/>
        <v>-10513.6113661011</v>
      </c>
      <c r="CA64" s="599">
        <f t="shared" si="92"/>
        <v>-10513.6113661011</v>
      </c>
      <c r="CB64" s="599">
        <f t="shared" si="92"/>
        <v>-10513.6113661011</v>
      </c>
      <c r="CC64" s="599">
        <f t="shared" si="92"/>
        <v>0</v>
      </c>
      <c r="CD64" s="599">
        <f t="shared" si="92"/>
        <v>0</v>
      </c>
      <c r="CE64" s="599">
        <f t="shared" si="92"/>
        <v>0</v>
      </c>
      <c r="CF64" s="599">
        <f t="shared" si="92"/>
        <v>0</v>
      </c>
      <c r="CG64" s="599">
        <f t="shared" si="92"/>
        <v>0</v>
      </c>
      <c r="CH64" s="599">
        <f t="shared" si="92"/>
        <v>0</v>
      </c>
      <c r="CI64" s="599">
        <f t="shared" si="92"/>
        <v>0</v>
      </c>
      <c r="CJ64" s="599">
        <f t="shared" si="92"/>
        <v>0</v>
      </c>
      <c r="CK64" s="599">
        <f t="shared" si="92"/>
        <v>0</v>
      </c>
      <c r="CL64" s="599">
        <f t="shared" si="92"/>
        <v>0</v>
      </c>
      <c r="CM64" s="599">
        <f t="shared" si="92"/>
        <v>0</v>
      </c>
      <c r="CN64" s="599">
        <f t="shared" si="92"/>
        <v>0</v>
      </c>
      <c r="CO64" s="599">
        <f t="shared" si="92"/>
        <v>0</v>
      </c>
      <c r="CP64" s="599">
        <f t="shared" si="92"/>
        <v>0</v>
      </c>
      <c r="CQ64" s="599">
        <f t="shared" si="92"/>
        <v>0</v>
      </c>
      <c r="CR64" s="599">
        <f t="shared" si="92"/>
        <v>0</v>
      </c>
      <c r="CS64" s="599">
        <f t="shared" si="92"/>
        <v>0</v>
      </c>
      <c r="CT64" s="599">
        <f t="shared" si="92"/>
        <v>0</v>
      </c>
      <c r="CU64" s="599">
        <f t="shared" si="92"/>
        <v>0</v>
      </c>
      <c r="CV64" s="599">
        <f t="shared" si="92"/>
        <v>0</v>
      </c>
      <c r="CW64" s="599">
        <f t="shared" si="92"/>
        <v>0</v>
      </c>
      <c r="CX64" s="599">
        <f t="shared" si="92"/>
        <v>0</v>
      </c>
      <c r="CY64" s="599">
        <f t="shared" si="92"/>
        <v>0</v>
      </c>
      <c r="CZ64" s="599">
        <f t="shared" si="92"/>
        <v>0</v>
      </c>
      <c r="DA64" s="599">
        <f t="shared" si="92"/>
        <v>0</v>
      </c>
      <c r="DB64" s="599">
        <f t="shared" si="92"/>
        <v>0</v>
      </c>
      <c r="DC64" s="599">
        <f t="shared" si="92"/>
        <v>0</v>
      </c>
      <c r="DD64" s="599">
        <f t="shared" si="92"/>
        <v>0</v>
      </c>
      <c r="DE64" s="599">
        <f t="shared" si="92"/>
        <v>0</v>
      </c>
      <c r="DF64" s="599">
        <f t="shared" si="92"/>
        <v>0</v>
      </c>
      <c r="DG64" s="599">
        <f t="shared" si="92"/>
        <v>0</v>
      </c>
      <c r="DH64" s="599">
        <f t="shared" si="92"/>
        <v>0</v>
      </c>
      <c r="DI64" s="599">
        <f t="shared" si="92"/>
        <v>0</v>
      </c>
      <c r="DJ64" s="599">
        <f t="shared" si="92"/>
        <v>0</v>
      </c>
      <c r="DK64" s="599">
        <f t="shared" si="92"/>
        <v>0</v>
      </c>
      <c r="DL64" s="599">
        <f t="shared" si="92"/>
        <v>0</v>
      </c>
      <c r="DM64" s="599">
        <f t="shared" si="92"/>
        <v>0</v>
      </c>
      <c r="DN64" s="599">
        <f t="shared" si="92"/>
        <v>0</v>
      </c>
      <c r="DO64" s="599">
        <f t="shared" si="92"/>
        <v>0</v>
      </c>
      <c r="DP64" s="599">
        <f t="shared" si="92"/>
        <v>0</v>
      </c>
      <c r="DQ64" s="599">
        <f t="shared" si="92"/>
        <v>0</v>
      </c>
      <c r="DR64" s="599">
        <f t="shared" si="92"/>
        <v>0</v>
      </c>
      <c r="DS64" s="599">
        <f t="shared" si="92"/>
        <v>0</v>
      </c>
      <c r="DT64" s="599">
        <f t="shared" si="92"/>
        <v>0</v>
      </c>
      <c r="DU64" s="599">
        <f t="shared" si="92"/>
        <v>0</v>
      </c>
      <c r="DV64" s="599">
        <f t="shared" si="92"/>
        <v>0</v>
      </c>
      <c r="DW64" s="599">
        <f t="shared" si="92"/>
        <v>0</v>
      </c>
      <c r="DX64" s="599">
        <f t="shared" si="92"/>
        <v>0</v>
      </c>
      <c r="DY64" s="599">
        <f t="shared" si="92"/>
        <v>0</v>
      </c>
      <c r="DZ64" s="599">
        <f t="shared" si="92"/>
        <v>0</v>
      </c>
      <c r="EA64" s="599">
        <f t="shared" si="92"/>
        <v>0</v>
      </c>
      <c r="EB64" s="599">
        <f t="shared" si="92"/>
        <v>0</v>
      </c>
      <c r="EC64" s="599">
        <f t="shared" si="92"/>
        <v>0</v>
      </c>
      <c r="ED64" s="599">
        <f t="shared" si="92"/>
        <v>0</v>
      </c>
      <c r="EE64" s="599">
        <f t="shared" si="92"/>
        <v>0</v>
      </c>
      <c r="EF64" s="599">
        <f t="shared" si="91"/>
        <v>0</v>
      </c>
      <c r="EG64" s="599">
        <f t="shared" si="90"/>
        <v>0</v>
      </c>
      <c r="EH64" s="599">
        <f t="shared" si="90"/>
        <v>0</v>
      </c>
      <c r="EI64" s="599">
        <f t="shared" si="90"/>
        <v>0</v>
      </c>
      <c r="EJ64" s="1117">
        <f t="shared" si="90"/>
        <v>0</v>
      </c>
    </row>
    <row r="65" spans="1:140" ht="15.75" customHeight="1" x14ac:dyDescent="0.25">
      <c r="A65" s="6"/>
      <c r="B65" s="378" t="str">
        <f>'Untrended Proforma'!C26</f>
        <v>Real Estate Taxes</v>
      </c>
      <c r="C65" s="989">
        <f>'Untrended Proforma'!F26</f>
        <v>258792</v>
      </c>
      <c r="D65" s="381">
        <f t="shared" si="84"/>
        <v>0.03</v>
      </c>
      <c r="E65" s="651" t="s">
        <v>299</v>
      </c>
      <c r="F65" s="358"/>
      <c r="G65" s="999"/>
      <c r="H65" s="1115">
        <f t="shared" si="88"/>
        <v>0</v>
      </c>
      <c r="I65" s="599">
        <f t="shared" si="93"/>
        <v>0</v>
      </c>
      <c r="J65" s="599">
        <f t="shared" si="93"/>
        <v>0</v>
      </c>
      <c r="K65" s="599">
        <f t="shared" si="93"/>
        <v>0</v>
      </c>
      <c r="L65" s="599">
        <f t="shared" si="93"/>
        <v>0</v>
      </c>
      <c r="M65" s="599">
        <f t="shared" si="93"/>
        <v>0</v>
      </c>
      <c r="N65" s="599">
        <f t="shared" si="93"/>
        <v>0</v>
      </c>
      <c r="O65" s="599">
        <f t="shared" si="93"/>
        <v>0</v>
      </c>
      <c r="P65" s="599">
        <f t="shared" si="93"/>
        <v>0</v>
      </c>
      <c r="Q65" s="599">
        <f t="shared" si="93"/>
        <v>0</v>
      </c>
      <c r="R65" s="599">
        <f t="shared" si="93"/>
        <v>0</v>
      </c>
      <c r="S65" s="599">
        <f t="shared" si="93"/>
        <v>0</v>
      </c>
      <c r="T65" s="599">
        <f t="shared" si="93"/>
        <v>0</v>
      </c>
      <c r="U65" s="599">
        <f t="shared" si="93"/>
        <v>0</v>
      </c>
      <c r="V65" s="599">
        <f t="shared" si="93"/>
        <v>0</v>
      </c>
      <c r="W65" s="599">
        <f t="shared" si="93"/>
        <v>0</v>
      </c>
      <c r="X65" s="599">
        <f t="shared" si="93"/>
        <v>0</v>
      </c>
      <c r="Y65" s="599">
        <f t="shared" si="93"/>
        <v>0</v>
      </c>
      <c r="Z65" s="599">
        <f t="shared" si="93"/>
        <v>0</v>
      </c>
      <c r="AA65" s="599">
        <f t="shared" si="93"/>
        <v>0</v>
      </c>
      <c r="AB65" s="599">
        <f t="shared" si="93"/>
        <v>0</v>
      </c>
      <c r="AC65" s="599">
        <f t="shared" si="93"/>
        <v>0</v>
      </c>
      <c r="AD65" s="599">
        <f t="shared" si="93"/>
        <v>0</v>
      </c>
      <c r="AE65" s="599">
        <f t="shared" si="93"/>
        <v>0</v>
      </c>
      <c r="AF65" s="599">
        <f t="shared" si="93"/>
        <v>0</v>
      </c>
      <c r="AG65" s="599">
        <f t="shared" si="93"/>
        <v>-2299.097608</v>
      </c>
      <c r="AH65" s="599">
        <f t="shared" si="93"/>
        <v>-4598.1952160000001</v>
      </c>
      <c r="AI65" s="599">
        <f t="shared" si="93"/>
        <v>-6897.2928240000001</v>
      </c>
      <c r="AJ65" s="599">
        <f t="shared" si="93"/>
        <v>-9196.3904320000001</v>
      </c>
      <c r="AK65" s="599">
        <f t="shared" si="93"/>
        <v>-11495.48804</v>
      </c>
      <c r="AL65" s="599">
        <f t="shared" si="93"/>
        <v>-13794.585648</v>
      </c>
      <c r="AM65" s="599">
        <f t="shared" si="93"/>
        <v>-16093.683256000002</v>
      </c>
      <c r="AN65" s="599">
        <f t="shared" si="93"/>
        <v>-18392.780864</v>
      </c>
      <c r="AO65" s="599">
        <f t="shared" si="93"/>
        <v>-20691.878472</v>
      </c>
      <c r="AP65" s="599">
        <f t="shared" si="93"/>
        <v>-22990.97608</v>
      </c>
      <c r="AQ65" s="599">
        <f t="shared" si="93"/>
        <v>-23565.750481999999</v>
      </c>
      <c r="AR65" s="599">
        <f t="shared" si="93"/>
        <v>-23565.750481999999</v>
      </c>
      <c r="AS65" s="599">
        <f t="shared" si="93"/>
        <v>-24272.722996459997</v>
      </c>
      <c r="AT65" s="599">
        <f t="shared" si="93"/>
        <v>-24272.722996459997</v>
      </c>
      <c r="AU65" s="599">
        <f t="shared" si="93"/>
        <v>-24272.722996459997</v>
      </c>
      <c r="AV65" s="599">
        <f t="shared" si="93"/>
        <v>-24272.722996459997</v>
      </c>
      <c r="AW65" s="599">
        <f t="shared" si="93"/>
        <v>-24272.722996459997</v>
      </c>
      <c r="AX65" s="599">
        <f t="shared" si="93"/>
        <v>-24272.722996459997</v>
      </c>
      <c r="AY65" s="599">
        <f t="shared" si="93"/>
        <v>-24272.722996459997</v>
      </c>
      <c r="AZ65" s="599">
        <f t="shared" si="93"/>
        <v>-24272.722996459997</v>
      </c>
      <c r="BA65" s="599">
        <f t="shared" si="93"/>
        <v>-24272.722996459997</v>
      </c>
      <c r="BB65" s="599">
        <f t="shared" si="93"/>
        <v>-24272.722996459997</v>
      </c>
      <c r="BC65" s="599">
        <f t="shared" si="93"/>
        <v>-24272.722996459997</v>
      </c>
      <c r="BD65" s="599">
        <f t="shared" si="93"/>
        <v>-24272.722996459997</v>
      </c>
      <c r="BE65" s="599">
        <f t="shared" si="93"/>
        <v>-25000.904686353795</v>
      </c>
      <c r="BF65" s="599">
        <f t="shared" si="93"/>
        <v>-25000.904686353795</v>
      </c>
      <c r="BG65" s="599">
        <f t="shared" si="93"/>
        <v>-25000.904686353795</v>
      </c>
      <c r="BH65" s="599">
        <f t="shared" si="93"/>
        <v>-25000.904686353795</v>
      </c>
      <c r="BI65" s="599">
        <f t="shared" si="93"/>
        <v>-25000.904686353795</v>
      </c>
      <c r="BJ65" s="599">
        <f t="shared" si="93"/>
        <v>-25000.904686353795</v>
      </c>
      <c r="BK65" s="599">
        <f t="shared" si="93"/>
        <v>-25000.904686353795</v>
      </c>
      <c r="BL65" s="599">
        <f t="shared" si="93"/>
        <v>-25000.904686353795</v>
      </c>
      <c r="BM65" s="599">
        <f t="shared" si="93"/>
        <v>-25000.904686353795</v>
      </c>
      <c r="BN65" s="599">
        <f t="shared" si="93"/>
        <v>-25000.904686353795</v>
      </c>
      <c r="BO65" s="599">
        <f t="shared" si="93"/>
        <v>-25000.904686353795</v>
      </c>
      <c r="BP65" s="599">
        <f t="shared" si="93"/>
        <v>-25000.904686353795</v>
      </c>
      <c r="BQ65" s="599">
        <f t="shared" si="93"/>
        <v>-25750.931826944412</v>
      </c>
      <c r="BR65" s="599">
        <f t="shared" si="93"/>
        <v>-25750.931826944412</v>
      </c>
      <c r="BS65" s="599">
        <f t="shared" si="93"/>
        <v>-25750.931826944412</v>
      </c>
      <c r="BT65" s="599">
        <f t="shared" ref="BT65:EE68" si="94">IF(BT$5&gt;$E$4+12,0,IF($E65="YES",-IF(BT$3&lt;$C$4,0,BT$6*($C65/12)*(1+$D65)^(BT$4)),-IF(BT$3&lt;$C$4,0,($C65/12)*(1+$D65)^(BT$4))))</f>
        <v>-25750.931826944412</v>
      </c>
      <c r="BU65" s="599">
        <f t="shared" si="94"/>
        <v>-25750.931826944412</v>
      </c>
      <c r="BV65" s="599">
        <f t="shared" si="94"/>
        <v>-25750.931826944412</v>
      </c>
      <c r="BW65" s="599">
        <f t="shared" si="94"/>
        <v>-25750.931826944412</v>
      </c>
      <c r="BX65" s="599">
        <f t="shared" si="94"/>
        <v>-25750.931826944412</v>
      </c>
      <c r="BY65" s="599">
        <f t="shared" si="94"/>
        <v>-25750.931826944412</v>
      </c>
      <c r="BZ65" s="599">
        <f t="shared" si="94"/>
        <v>-25750.931826944412</v>
      </c>
      <c r="CA65" s="599">
        <f t="shared" si="94"/>
        <v>-25750.931826944412</v>
      </c>
      <c r="CB65" s="599">
        <f t="shared" si="94"/>
        <v>-25750.931826944412</v>
      </c>
      <c r="CC65" s="599">
        <f t="shared" si="94"/>
        <v>0</v>
      </c>
      <c r="CD65" s="599">
        <f t="shared" si="94"/>
        <v>0</v>
      </c>
      <c r="CE65" s="599">
        <f t="shared" si="94"/>
        <v>0</v>
      </c>
      <c r="CF65" s="599">
        <f t="shared" si="94"/>
        <v>0</v>
      </c>
      <c r="CG65" s="599">
        <f t="shared" si="94"/>
        <v>0</v>
      </c>
      <c r="CH65" s="599">
        <f t="shared" si="94"/>
        <v>0</v>
      </c>
      <c r="CI65" s="599">
        <f t="shared" si="94"/>
        <v>0</v>
      </c>
      <c r="CJ65" s="599">
        <f t="shared" si="94"/>
        <v>0</v>
      </c>
      <c r="CK65" s="599">
        <f t="shared" si="94"/>
        <v>0</v>
      </c>
      <c r="CL65" s="599">
        <f t="shared" si="94"/>
        <v>0</v>
      </c>
      <c r="CM65" s="599">
        <f t="shared" si="94"/>
        <v>0</v>
      </c>
      <c r="CN65" s="599">
        <f t="shared" si="94"/>
        <v>0</v>
      </c>
      <c r="CO65" s="599">
        <f t="shared" si="94"/>
        <v>0</v>
      </c>
      <c r="CP65" s="599">
        <f t="shared" si="94"/>
        <v>0</v>
      </c>
      <c r="CQ65" s="599">
        <f t="shared" si="94"/>
        <v>0</v>
      </c>
      <c r="CR65" s="599">
        <f t="shared" si="94"/>
        <v>0</v>
      </c>
      <c r="CS65" s="599">
        <f t="shared" si="94"/>
        <v>0</v>
      </c>
      <c r="CT65" s="599">
        <f t="shared" si="94"/>
        <v>0</v>
      </c>
      <c r="CU65" s="599">
        <f t="shared" si="94"/>
        <v>0</v>
      </c>
      <c r="CV65" s="599">
        <f t="shared" si="94"/>
        <v>0</v>
      </c>
      <c r="CW65" s="599">
        <f t="shared" si="94"/>
        <v>0</v>
      </c>
      <c r="CX65" s="599">
        <f t="shared" si="94"/>
        <v>0</v>
      </c>
      <c r="CY65" s="599">
        <f t="shared" si="94"/>
        <v>0</v>
      </c>
      <c r="CZ65" s="599">
        <f t="shared" si="94"/>
        <v>0</v>
      </c>
      <c r="DA65" s="599">
        <f t="shared" si="94"/>
        <v>0</v>
      </c>
      <c r="DB65" s="599">
        <f t="shared" si="94"/>
        <v>0</v>
      </c>
      <c r="DC65" s="599">
        <f t="shared" si="94"/>
        <v>0</v>
      </c>
      <c r="DD65" s="599">
        <f t="shared" si="94"/>
        <v>0</v>
      </c>
      <c r="DE65" s="599">
        <f t="shared" si="94"/>
        <v>0</v>
      </c>
      <c r="DF65" s="599">
        <f t="shared" si="94"/>
        <v>0</v>
      </c>
      <c r="DG65" s="599">
        <f t="shared" si="94"/>
        <v>0</v>
      </c>
      <c r="DH65" s="599">
        <f t="shared" si="94"/>
        <v>0</v>
      </c>
      <c r="DI65" s="599">
        <f t="shared" si="94"/>
        <v>0</v>
      </c>
      <c r="DJ65" s="599">
        <f t="shared" si="94"/>
        <v>0</v>
      </c>
      <c r="DK65" s="599">
        <f t="shared" si="94"/>
        <v>0</v>
      </c>
      <c r="DL65" s="599">
        <f t="shared" si="94"/>
        <v>0</v>
      </c>
      <c r="DM65" s="599">
        <f t="shared" si="94"/>
        <v>0</v>
      </c>
      <c r="DN65" s="599">
        <f t="shared" si="94"/>
        <v>0</v>
      </c>
      <c r="DO65" s="599">
        <f t="shared" si="94"/>
        <v>0</v>
      </c>
      <c r="DP65" s="599">
        <f t="shared" si="94"/>
        <v>0</v>
      </c>
      <c r="DQ65" s="599">
        <f t="shared" si="94"/>
        <v>0</v>
      </c>
      <c r="DR65" s="599">
        <f t="shared" si="94"/>
        <v>0</v>
      </c>
      <c r="DS65" s="599">
        <f t="shared" si="94"/>
        <v>0</v>
      </c>
      <c r="DT65" s="599">
        <f t="shared" si="94"/>
        <v>0</v>
      </c>
      <c r="DU65" s="599">
        <f t="shared" si="94"/>
        <v>0</v>
      </c>
      <c r="DV65" s="599">
        <f t="shared" si="94"/>
        <v>0</v>
      </c>
      <c r="DW65" s="599">
        <f t="shared" si="94"/>
        <v>0</v>
      </c>
      <c r="DX65" s="599">
        <f t="shared" si="94"/>
        <v>0</v>
      </c>
      <c r="DY65" s="599">
        <f t="shared" si="94"/>
        <v>0</v>
      </c>
      <c r="DZ65" s="599">
        <f t="shared" si="94"/>
        <v>0</v>
      </c>
      <c r="EA65" s="599">
        <f t="shared" si="94"/>
        <v>0</v>
      </c>
      <c r="EB65" s="599">
        <f t="shared" si="94"/>
        <v>0</v>
      </c>
      <c r="EC65" s="599">
        <f t="shared" si="94"/>
        <v>0</v>
      </c>
      <c r="ED65" s="599">
        <f t="shared" si="94"/>
        <v>0</v>
      </c>
      <c r="EE65" s="599">
        <f t="shared" si="94"/>
        <v>0</v>
      </c>
      <c r="EF65" s="599">
        <f t="shared" si="91"/>
        <v>0</v>
      </c>
      <c r="EG65" s="599">
        <f t="shared" si="90"/>
        <v>0</v>
      </c>
      <c r="EH65" s="599">
        <f t="shared" si="90"/>
        <v>0</v>
      </c>
      <c r="EI65" s="599">
        <f t="shared" si="90"/>
        <v>0</v>
      </c>
      <c r="EJ65" s="1117">
        <f t="shared" si="90"/>
        <v>0</v>
      </c>
    </row>
    <row r="66" spans="1:140" ht="15.75" customHeight="1" x14ac:dyDescent="0.25">
      <c r="A66" s="6"/>
      <c r="B66" s="378" t="str">
        <f>'Untrended Proforma'!C27</f>
        <v>Replacement Reserves</v>
      </c>
      <c r="C66" s="990">
        <f>'Untrended Proforma'!F27</f>
        <v>40929.120000000003</v>
      </c>
      <c r="D66" s="991">
        <f t="shared" si="84"/>
        <v>0.03</v>
      </c>
      <c r="E66" s="992" t="s">
        <v>299</v>
      </c>
      <c r="F66" s="993"/>
      <c r="G66" s="993"/>
      <c r="H66" s="1125">
        <f t="shared" si="88"/>
        <v>0</v>
      </c>
      <c r="I66" s="600">
        <f t="shared" ref="I66:BT69" si="95">IF(I$5&gt;$E$4+12,0,IF($E66="YES",-IF(I$3&lt;$C$4,0,I$6*($C66/12)*(1+$D66)^(I$4)),-IF(I$3&lt;$C$4,0,($C66/12)*(1+$D66)^(I$4))))</f>
        <v>0</v>
      </c>
      <c r="J66" s="600">
        <f t="shared" si="95"/>
        <v>0</v>
      </c>
      <c r="K66" s="600">
        <f t="shared" si="95"/>
        <v>0</v>
      </c>
      <c r="L66" s="600">
        <f t="shared" si="95"/>
        <v>0</v>
      </c>
      <c r="M66" s="600">
        <f t="shared" si="95"/>
        <v>0</v>
      </c>
      <c r="N66" s="600">
        <f t="shared" si="95"/>
        <v>0</v>
      </c>
      <c r="O66" s="600">
        <f t="shared" si="95"/>
        <v>0</v>
      </c>
      <c r="P66" s="600">
        <f t="shared" si="95"/>
        <v>0</v>
      </c>
      <c r="Q66" s="600">
        <f t="shared" si="95"/>
        <v>0</v>
      </c>
      <c r="R66" s="600">
        <f t="shared" si="95"/>
        <v>0</v>
      </c>
      <c r="S66" s="600">
        <f t="shared" si="95"/>
        <v>0</v>
      </c>
      <c r="T66" s="600">
        <f t="shared" si="95"/>
        <v>0</v>
      </c>
      <c r="U66" s="600">
        <f t="shared" si="95"/>
        <v>0</v>
      </c>
      <c r="V66" s="600">
        <f t="shared" si="95"/>
        <v>0</v>
      </c>
      <c r="W66" s="600">
        <f t="shared" si="95"/>
        <v>0</v>
      </c>
      <c r="X66" s="600">
        <f t="shared" si="95"/>
        <v>0</v>
      </c>
      <c r="Y66" s="600">
        <f t="shared" si="95"/>
        <v>0</v>
      </c>
      <c r="Z66" s="600">
        <f t="shared" si="95"/>
        <v>0</v>
      </c>
      <c r="AA66" s="600">
        <f t="shared" si="95"/>
        <v>0</v>
      </c>
      <c r="AB66" s="600">
        <f t="shared" si="95"/>
        <v>0</v>
      </c>
      <c r="AC66" s="600">
        <f t="shared" si="95"/>
        <v>0</v>
      </c>
      <c r="AD66" s="600">
        <f t="shared" si="95"/>
        <v>0</v>
      </c>
      <c r="AE66" s="600">
        <f t="shared" si="95"/>
        <v>0</v>
      </c>
      <c r="AF66" s="600">
        <f t="shared" si="95"/>
        <v>0</v>
      </c>
      <c r="AG66" s="600">
        <f t="shared" si="95"/>
        <v>-363.61263829463422</v>
      </c>
      <c r="AH66" s="600">
        <f t="shared" si="95"/>
        <v>-727.22527658926845</v>
      </c>
      <c r="AI66" s="600">
        <f t="shared" si="95"/>
        <v>-1090.8379148839024</v>
      </c>
      <c r="AJ66" s="600">
        <f t="shared" si="95"/>
        <v>-1454.4505531785369</v>
      </c>
      <c r="AK66" s="600">
        <f t="shared" si="95"/>
        <v>-1818.0631914731707</v>
      </c>
      <c r="AL66" s="600">
        <f t="shared" si="95"/>
        <v>-2181.6758297678048</v>
      </c>
      <c r="AM66" s="600">
        <f t="shared" si="95"/>
        <v>-2545.2884680624393</v>
      </c>
      <c r="AN66" s="600">
        <f t="shared" si="95"/>
        <v>-2908.9011063570738</v>
      </c>
      <c r="AO66" s="600">
        <f t="shared" si="95"/>
        <v>-3272.5137446517074</v>
      </c>
      <c r="AP66" s="600">
        <f t="shared" si="95"/>
        <v>-3636.1263829463414</v>
      </c>
      <c r="AQ66" s="600">
        <f t="shared" si="95"/>
        <v>-3727.0295425200002</v>
      </c>
      <c r="AR66" s="600">
        <f t="shared" si="95"/>
        <v>-3727.0295425200002</v>
      </c>
      <c r="AS66" s="600">
        <f t="shared" si="95"/>
        <v>-3838.8404287956</v>
      </c>
      <c r="AT66" s="600">
        <f t="shared" si="95"/>
        <v>-3838.8404287956</v>
      </c>
      <c r="AU66" s="600">
        <f t="shared" si="95"/>
        <v>-3838.8404287956</v>
      </c>
      <c r="AV66" s="600">
        <f t="shared" si="95"/>
        <v>-3838.8404287956</v>
      </c>
      <c r="AW66" s="600">
        <f t="shared" si="95"/>
        <v>-3838.8404287956</v>
      </c>
      <c r="AX66" s="600">
        <f t="shared" si="95"/>
        <v>-3838.8404287956</v>
      </c>
      <c r="AY66" s="600">
        <f t="shared" si="95"/>
        <v>-3838.8404287956</v>
      </c>
      <c r="AZ66" s="600">
        <f t="shared" si="95"/>
        <v>-3838.8404287956</v>
      </c>
      <c r="BA66" s="600">
        <f t="shared" si="95"/>
        <v>-3838.8404287956</v>
      </c>
      <c r="BB66" s="600">
        <f t="shared" si="95"/>
        <v>-3838.8404287956</v>
      </c>
      <c r="BC66" s="600">
        <f t="shared" si="95"/>
        <v>-3838.8404287956</v>
      </c>
      <c r="BD66" s="600">
        <f t="shared" si="95"/>
        <v>-3838.8404287956</v>
      </c>
      <c r="BE66" s="600">
        <f t="shared" si="95"/>
        <v>-3954.0056416594675</v>
      </c>
      <c r="BF66" s="600">
        <f t="shared" si="95"/>
        <v>-3954.0056416594675</v>
      </c>
      <c r="BG66" s="600">
        <f t="shared" si="95"/>
        <v>-3954.0056416594675</v>
      </c>
      <c r="BH66" s="600">
        <f t="shared" si="95"/>
        <v>-3954.0056416594675</v>
      </c>
      <c r="BI66" s="600">
        <f t="shared" si="95"/>
        <v>-3954.0056416594675</v>
      </c>
      <c r="BJ66" s="600">
        <f t="shared" si="95"/>
        <v>-3954.0056416594675</v>
      </c>
      <c r="BK66" s="600">
        <f t="shared" si="95"/>
        <v>-3954.0056416594675</v>
      </c>
      <c r="BL66" s="600">
        <f t="shared" si="95"/>
        <v>-3954.0056416594675</v>
      </c>
      <c r="BM66" s="600">
        <f t="shared" si="95"/>
        <v>-3954.0056416594675</v>
      </c>
      <c r="BN66" s="600">
        <f t="shared" si="95"/>
        <v>-3954.0056416594675</v>
      </c>
      <c r="BO66" s="600">
        <f t="shared" si="95"/>
        <v>-3954.0056416594675</v>
      </c>
      <c r="BP66" s="600">
        <f t="shared" si="95"/>
        <v>-3954.0056416594675</v>
      </c>
      <c r="BQ66" s="600">
        <f t="shared" si="95"/>
        <v>-4072.6258109092519</v>
      </c>
      <c r="BR66" s="600">
        <f t="shared" si="95"/>
        <v>-4072.6258109092519</v>
      </c>
      <c r="BS66" s="600">
        <f t="shared" si="95"/>
        <v>-4072.6258109092519</v>
      </c>
      <c r="BT66" s="600">
        <f t="shared" si="95"/>
        <v>-4072.6258109092519</v>
      </c>
      <c r="BU66" s="600">
        <f t="shared" si="94"/>
        <v>-4072.6258109092519</v>
      </c>
      <c r="BV66" s="600">
        <f t="shared" si="94"/>
        <v>-4072.6258109092519</v>
      </c>
      <c r="BW66" s="600">
        <f t="shared" si="94"/>
        <v>-4072.6258109092519</v>
      </c>
      <c r="BX66" s="600">
        <f t="shared" si="94"/>
        <v>-4072.6258109092519</v>
      </c>
      <c r="BY66" s="600">
        <f t="shared" si="94"/>
        <v>-4072.6258109092519</v>
      </c>
      <c r="BZ66" s="600">
        <f t="shared" si="94"/>
        <v>-4072.6258109092519</v>
      </c>
      <c r="CA66" s="600">
        <f t="shared" si="94"/>
        <v>-4072.6258109092519</v>
      </c>
      <c r="CB66" s="600">
        <f t="shared" si="94"/>
        <v>-4072.6258109092519</v>
      </c>
      <c r="CC66" s="600">
        <f t="shared" si="94"/>
        <v>0</v>
      </c>
      <c r="CD66" s="600">
        <f t="shared" si="94"/>
        <v>0</v>
      </c>
      <c r="CE66" s="600">
        <f t="shared" si="94"/>
        <v>0</v>
      </c>
      <c r="CF66" s="600">
        <f t="shared" si="94"/>
        <v>0</v>
      </c>
      <c r="CG66" s="600">
        <f t="shared" si="94"/>
        <v>0</v>
      </c>
      <c r="CH66" s="600">
        <f t="shared" si="94"/>
        <v>0</v>
      </c>
      <c r="CI66" s="600">
        <f t="shared" si="94"/>
        <v>0</v>
      </c>
      <c r="CJ66" s="600">
        <f t="shared" si="94"/>
        <v>0</v>
      </c>
      <c r="CK66" s="600">
        <f t="shared" si="94"/>
        <v>0</v>
      </c>
      <c r="CL66" s="600">
        <f t="shared" si="94"/>
        <v>0</v>
      </c>
      <c r="CM66" s="600">
        <f t="shared" si="94"/>
        <v>0</v>
      </c>
      <c r="CN66" s="600">
        <f t="shared" si="94"/>
        <v>0</v>
      </c>
      <c r="CO66" s="600">
        <f t="shared" si="94"/>
        <v>0</v>
      </c>
      <c r="CP66" s="600">
        <f t="shared" si="94"/>
        <v>0</v>
      </c>
      <c r="CQ66" s="600">
        <f t="shared" si="94"/>
        <v>0</v>
      </c>
      <c r="CR66" s="600">
        <f t="shared" si="94"/>
        <v>0</v>
      </c>
      <c r="CS66" s="600">
        <f t="shared" si="94"/>
        <v>0</v>
      </c>
      <c r="CT66" s="600">
        <f t="shared" si="94"/>
        <v>0</v>
      </c>
      <c r="CU66" s="600">
        <f t="shared" si="94"/>
        <v>0</v>
      </c>
      <c r="CV66" s="600">
        <f t="shared" si="94"/>
        <v>0</v>
      </c>
      <c r="CW66" s="600">
        <f t="shared" si="94"/>
        <v>0</v>
      </c>
      <c r="CX66" s="600">
        <f t="shared" si="94"/>
        <v>0</v>
      </c>
      <c r="CY66" s="600">
        <f t="shared" si="94"/>
        <v>0</v>
      </c>
      <c r="CZ66" s="600">
        <f t="shared" si="94"/>
        <v>0</v>
      </c>
      <c r="DA66" s="600">
        <f t="shared" si="94"/>
        <v>0</v>
      </c>
      <c r="DB66" s="600">
        <f t="shared" si="94"/>
        <v>0</v>
      </c>
      <c r="DC66" s="600">
        <f t="shared" si="94"/>
        <v>0</v>
      </c>
      <c r="DD66" s="600">
        <f t="shared" si="94"/>
        <v>0</v>
      </c>
      <c r="DE66" s="600">
        <f t="shared" si="94"/>
        <v>0</v>
      </c>
      <c r="DF66" s="600">
        <f t="shared" si="94"/>
        <v>0</v>
      </c>
      <c r="DG66" s="600">
        <f t="shared" si="94"/>
        <v>0</v>
      </c>
      <c r="DH66" s="600">
        <f t="shared" si="94"/>
        <v>0</v>
      </c>
      <c r="DI66" s="600">
        <f t="shared" si="94"/>
        <v>0</v>
      </c>
      <c r="DJ66" s="600">
        <f t="shared" si="94"/>
        <v>0</v>
      </c>
      <c r="DK66" s="600">
        <f t="shared" si="94"/>
        <v>0</v>
      </c>
      <c r="DL66" s="600">
        <f t="shared" si="94"/>
        <v>0</v>
      </c>
      <c r="DM66" s="600">
        <f t="shared" si="94"/>
        <v>0</v>
      </c>
      <c r="DN66" s="600">
        <f t="shared" si="94"/>
        <v>0</v>
      </c>
      <c r="DO66" s="600">
        <f t="shared" si="94"/>
        <v>0</v>
      </c>
      <c r="DP66" s="600">
        <f t="shared" si="94"/>
        <v>0</v>
      </c>
      <c r="DQ66" s="600">
        <f t="shared" si="94"/>
        <v>0</v>
      </c>
      <c r="DR66" s="600">
        <f t="shared" si="94"/>
        <v>0</v>
      </c>
      <c r="DS66" s="600">
        <f t="shared" si="94"/>
        <v>0</v>
      </c>
      <c r="DT66" s="600">
        <f t="shared" si="94"/>
        <v>0</v>
      </c>
      <c r="DU66" s="600">
        <f t="shared" si="94"/>
        <v>0</v>
      </c>
      <c r="DV66" s="600">
        <f t="shared" si="94"/>
        <v>0</v>
      </c>
      <c r="DW66" s="600">
        <f t="shared" si="94"/>
        <v>0</v>
      </c>
      <c r="DX66" s="600">
        <f t="shared" si="94"/>
        <v>0</v>
      </c>
      <c r="DY66" s="600">
        <f t="shared" si="94"/>
        <v>0</v>
      </c>
      <c r="DZ66" s="600">
        <f t="shared" si="94"/>
        <v>0</v>
      </c>
      <c r="EA66" s="600">
        <f t="shared" si="94"/>
        <v>0</v>
      </c>
      <c r="EB66" s="600">
        <f t="shared" si="94"/>
        <v>0</v>
      </c>
      <c r="EC66" s="600">
        <f t="shared" si="94"/>
        <v>0</v>
      </c>
      <c r="ED66" s="600">
        <f t="shared" si="94"/>
        <v>0</v>
      </c>
      <c r="EE66" s="600">
        <f t="shared" si="94"/>
        <v>0</v>
      </c>
      <c r="EF66" s="600">
        <f t="shared" si="91"/>
        <v>0</v>
      </c>
      <c r="EG66" s="600">
        <f t="shared" si="90"/>
        <v>0</v>
      </c>
      <c r="EH66" s="600">
        <f t="shared" si="90"/>
        <v>0</v>
      </c>
      <c r="EI66" s="600">
        <f t="shared" si="90"/>
        <v>0</v>
      </c>
      <c r="EJ66" s="1126">
        <f t="shared" si="90"/>
        <v>0</v>
      </c>
    </row>
    <row r="67" spans="1:140" ht="15.75" hidden="1" customHeight="1" x14ac:dyDescent="0.25">
      <c r="A67" s="6"/>
      <c r="B67" s="378">
        <f>'Untrended Proforma'!C28</f>
        <v>0</v>
      </c>
      <c r="C67" s="989">
        <f>'Untrended Proforma'!F28</f>
        <v>0</v>
      </c>
      <c r="D67" s="381"/>
      <c r="E67" s="382" t="s">
        <v>299</v>
      </c>
      <c r="F67" s="358"/>
      <c r="G67" s="999"/>
      <c r="H67" s="1115">
        <f t="shared" si="88"/>
        <v>0</v>
      </c>
      <c r="I67" s="599">
        <f t="shared" si="95"/>
        <v>0</v>
      </c>
      <c r="J67" s="599">
        <f t="shared" si="95"/>
        <v>0</v>
      </c>
      <c r="K67" s="599">
        <f t="shared" si="95"/>
        <v>0</v>
      </c>
      <c r="L67" s="599">
        <f t="shared" si="95"/>
        <v>0</v>
      </c>
      <c r="M67" s="599">
        <f t="shared" si="95"/>
        <v>0</v>
      </c>
      <c r="N67" s="599">
        <f t="shared" si="95"/>
        <v>0</v>
      </c>
      <c r="O67" s="599">
        <f t="shared" si="95"/>
        <v>0</v>
      </c>
      <c r="P67" s="599">
        <f t="shared" si="95"/>
        <v>0</v>
      </c>
      <c r="Q67" s="599">
        <f t="shared" si="95"/>
        <v>0</v>
      </c>
      <c r="R67" s="599">
        <f t="shared" si="95"/>
        <v>0</v>
      </c>
      <c r="S67" s="599">
        <f t="shared" si="95"/>
        <v>0</v>
      </c>
      <c r="T67" s="599">
        <f t="shared" si="95"/>
        <v>0</v>
      </c>
      <c r="U67" s="599">
        <f t="shared" si="95"/>
        <v>0</v>
      </c>
      <c r="V67" s="599">
        <f t="shared" si="95"/>
        <v>0</v>
      </c>
      <c r="W67" s="599">
        <f t="shared" si="95"/>
        <v>0</v>
      </c>
      <c r="X67" s="599">
        <f t="shared" si="95"/>
        <v>0</v>
      </c>
      <c r="Y67" s="599">
        <f t="shared" si="95"/>
        <v>0</v>
      </c>
      <c r="Z67" s="599">
        <f t="shared" si="95"/>
        <v>0</v>
      </c>
      <c r="AA67" s="599">
        <f t="shared" si="95"/>
        <v>0</v>
      </c>
      <c r="AB67" s="599">
        <f t="shared" si="95"/>
        <v>0</v>
      </c>
      <c r="AC67" s="599">
        <f t="shared" si="95"/>
        <v>0</v>
      </c>
      <c r="AD67" s="599">
        <f t="shared" si="95"/>
        <v>0</v>
      </c>
      <c r="AE67" s="599">
        <f t="shared" si="95"/>
        <v>0</v>
      </c>
      <c r="AF67" s="599">
        <f t="shared" si="95"/>
        <v>0</v>
      </c>
      <c r="AG67" s="599">
        <f t="shared" si="95"/>
        <v>0</v>
      </c>
      <c r="AH67" s="599">
        <f t="shared" si="95"/>
        <v>0</v>
      </c>
      <c r="AI67" s="599">
        <f t="shared" si="95"/>
        <v>0</v>
      </c>
      <c r="AJ67" s="599">
        <f t="shared" si="95"/>
        <v>0</v>
      </c>
      <c r="AK67" s="599">
        <f t="shared" si="95"/>
        <v>0</v>
      </c>
      <c r="AL67" s="599">
        <f t="shared" si="95"/>
        <v>0</v>
      </c>
      <c r="AM67" s="599">
        <f t="shared" si="95"/>
        <v>0</v>
      </c>
      <c r="AN67" s="599">
        <f t="shared" si="95"/>
        <v>0</v>
      </c>
      <c r="AO67" s="599">
        <f t="shared" si="95"/>
        <v>0</v>
      </c>
      <c r="AP67" s="599">
        <f t="shared" si="95"/>
        <v>0</v>
      </c>
      <c r="AQ67" s="599">
        <f t="shared" si="95"/>
        <v>0</v>
      </c>
      <c r="AR67" s="599">
        <f t="shared" si="95"/>
        <v>0</v>
      </c>
      <c r="AS67" s="599">
        <f t="shared" si="95"/>
        <v>0</v>
      </c>
      <c r="AT67" s="599">
        <f t="shared" si="95"/>
        <v>0</v>
      </c>
      <c r="AU67" s="599">
        <f t="shared" si="95"/>
        <v>0</v>
      </c>
      <c r="AV67" s="599">
        <f t="shared" si="95"/>
        <v>0</v>
      </c>
      <c r="AW67" s="599">
        <f t="shared" si="95"/>
        <v>0</v>
      </c>
      <c r="AX67" s="599">
        <f t="shared" si="95"/>
        <v>0</v>
      </c>
      <c r="AY67" s="599">
        <f t="shared" si="95"/>
        <v>0</v>
      </c>
      <c r="AZ67" s="599">
        <f t="shared" si="95"/>
        <v>0</v>
      </c>
      <c r="BA67" s="599">
        <f t="shared" si="95"/>
        <v>0</v>
      </c>
      <c r="BB67" s="599">
        <f t="shared" si="95"/>
        <v>0</v>
      </c>
      <c r="BC67" s="599">
        <f t="shared" si="95"/>
        <v>0</v>
      </c>
      <c r="BD67" s="599">
        <f t="shared" si="95"/>
        <v>0</v>
      </c>
      <c r="BE67" s="599">
        <f t="shared" si="95"/>
        <v>0</v>
      </c>
      <c r="BF67" s="599">
        <f t="shared" si="95"/>
        <v>0</v>
      </c>
      <c r="BG67" s="599">
        <f t="shared" si="95"/>
        <v>0</v>
      </c>
      <c r="BH67" s="599">
        <f t="shared" si="95"/>
        <v>0</v>
      </c>
      <c r="BI67" s="599">
        <f t="shared" si="95"/>
        <v>0</v>
      </c>
      <c r="BJ67" s="599">
        <f t="shared" si="95"/>
        <v>0</v>
      </c>
      <c r="BK67" s="599">
        <f t="shared" si="95"/>
        <v>0</v>
      </c>
      <c r="BL67" s="599">
        <f t="shared" si="95"/>
        <v>0</v>
      </c>
      <c r="BM67" s="599">
        <f t="shared" si="95"/>
        <v>0</v>
      </c>
      <c r="BN67" s="599">
        <f t="shared" si="95"/>
        <v>0</v>
      </c>
      <c r="BO67" s="599">
        <f t="shared" si="95"/>
        <v>0</v>
      </c>
      <c r="BP67" s="599">
        <f t="shared" si="95"/>
        <v>0</v>
      </c>
      <c r="BQ67" s="599">
        <f t="shared" si="95"/>
        <v>0</v>
      </c>
      <c r="BR67" s="599">
        <f t="shared" si="95"/>
        <v>0</v>
      </c>
      <c r="BS67" s="599">
        <f t="shared" si="95"/>
        <v>0</v>
      </c>
      <c r="BT67" s="599">
        <f t="shared" si="95"/>
        <v>0</v>
      </c>
      <c r="BU67" s="599">
        <f t="shared" si="94"/>
        <v>0</v>
      </c>
      <c r="BV67" s="599">
        <f t="shared" si="94"/>
        <v>0</v>
      </c>
      <c r="BW67" s="599">
        <f t="shared" si="94"/>
        <v>0</v>
      </c>
      <c r="BX67" s="599">
        <f t="shared" si="94"/>
        <v>0</v>
      </c>
      <c r="BY67" s="599">
        <f t="shared" si="94"/>
        <v>0</v>
      </c>
      <c r="BZ67" s="599">
        <f t="shared" si="94"/>
        <v>0</v>
      </c>
      <c r="CA67" s="599">
        <f t="shared" si="94"/>
        <v>0</v>
      </c>
      <c r="CB67" s="599">
        <f t="shared" si="94"/>
        <v>0</v>
      </c>
      <c r="CC67" s="599">
        <f t="shared" si="94"/>
        <v>0</v>
      </c>
      <c r="CD67" s="599">
        <f t="shared" si="94"/>
        <v>0</v>
      </c>
      <c r="CE67" s="599">
        <f t="shared" si="94"/>
        <v>0</v>
      </c>
      <c r="CF67" s="599">
        <f t="shared" si="94"/>
        <v>0</v>
      </c>
      <c r="CG67" s="599">
        <f t="shared" si="94"/>
        <v>0</v>
      </c>
      <c r="CH67" s="599">
        <f t="shared" si="94"/>
        <v>0</v>
      </c>
      <c r="CI67" s="599">
        <f t="shared" si="94"/>
        <v>0</v>
      </c>
      <c r="CJ67" s="599">
        <f t="shared" si="94"/>
        <v>0</v>
      </c>
      <c r="CK67" s="599">
        <f t="shared" si="94"/>
        <v>0</v>
      </c>
      <c r="CL67" s="599">
        <f t="shared" si="94"/>
        <v>0</v>
      </c>
      <c r="CM67" s="599">
        <f t="shared" si="94"/>
        <v>0</v>
      </c>
      <c r="CN67" s="599">
        <f t="shared" si="94"/>
        <v>0</v>
      </c>
      <c r="CO67" s="599">
        <f t="shared" si="94"/>
        <v>0</v>
      </c>
      <c r="CP67" s="599">
        <f t="shared" si="94"/>
        <v>0</v>
      </c>
      <c r="CQ67" s="599">
        <f t="shared" si="94"/>
        <v>0</v>
      </c>
      <c r="CR67" s="599">
        <f t="shared" si="94"/>
        <v>0</v>
      </c>
      <c r="CS67" s="599">
        <f t="shared" si="94"/>
        <v>0</v>
      </c>
      <c r="CT67" s="599">
        <f t="shared" si="94"/>
        <v>0</v>
      </c>
      <c r="CU67" s="599">
        <f t="shared" si="94"/>
        <v>0</v>
      </c>
      <c r="CV67" s="599">
        <f t="shared" si="94"/>
        <v>0</v>
      </c>
      <c r="CW67" s="599">
        <f t="shared" si="94"/>
        <v>0</v>
      </c>
      <c r="CX67" s="599">
        <f t="shared" si="94"/>
        <v>0</v>
      </c>
      <c r="CY67" s="599">
        <f t="shared" si="94"/>
        <v>0</v>
      </c>
      <c r="CZ67" s="599">
        <f t="shared" si="94"/>
        <v>0</v>
      </c>
      <c r="DA67" s="599">
        <f t="shared" si="94"/>
        <v>0</v>
      </c>
      <c r="DB67" s="599">
        <f t="shared" si="94"/>
        <v>0</v>
      </c>
      <c r="DC67" s="599">
        <f t="shared" si="94"/>
        <v>0</v>
      </c>
      <c r="DD67" s="599">
        <f t="shared" si="94"/>
        <v>0</v>
      </c>
      <c r="DE67" s="599">
        <f t="shared" si="94"/>
        <v>0</v>
      </c>
      <c r="DF67" s="599">
        <f t="shared" si="94"/>
        <v>0</v>
      </c>
      <c r="DG67" s="599">
        <f t="shared" si="94"/>
        <v>0</v>
      </c>
      <c r="DH67" s="599">
        <f t="shared" si="94"/>
        <v>0</v>
      </c>
      <c r="DI67" s="599">
        <f t="shared" si="94"/>
        <v>0</v>
      </c>
      <c r="DJ67" s="599">
        <f t="shared" si="94"/>
        <v>0</v>
      </c>
      <c r="DK67" s="599">
        <f t="shared" si="94"/>
        <v>0</v>
      </c>
      <c r="DL67" s="599">
        <f t="shared" si="94"/>
        <v>0</v>
      </c>
      <c r="DM67" s="599">
        <f t="shared" si="94"/>
        <v>0</v>
      </c>
      <c r="DN67" s="599">
        <f t="shared" si="94"/>
        <v>0</v>
      </c>
      <c r="DO67" s="599">
        <f t="shared" si="94"/>
        <v>0</v>
      </c>
      <c r="DP67" s="599">
        <f t="shared" si="94"/>
        <v>0</v>
      </c>
      <c r="DQ67" s="599">
        <f t="shared" si="94"/>
        <v>0</v>
      </c>
      <c r="DR67" s="599">
        <f t="shared" si="94"/>
        <v>0</v>
      </c>
      <c r="DS67" s="599">
        <f t="shared" si="94"/>
        <v>0</v>
      </c>
      <c r="DT67" s="599">
        <f t="shared" si="94"/>
        <v>0</v>
      </c>
      <c r="DU67" s="599">
        <f t="shared" si="94"/>
        <v>0</v>
      </c>
      <c r="DV67" s="599">
        <f t="shared" si="94"/>
        <v>0</v>
      </c>
      <c r="DW67" s="599">
        <f t="shared" si="94"/>
        <v>0</v>
      </c>
      <c r="DX67" s="599">
        <f t="shared" si="94"/>
        <v>0</v>
      </c>
      <c r="DY67" s="599">
        <f t="shared" si="94"/>
        <v>0</v>
      </c>
      <c r="DZ67" s="599">
        <f t="shared" si="94"/>
        <v>0</v>
      </c>
      <c r="EA67" s="599">
        <f t="shared" si="94"/>
        <v>0</v>
      </c>
      <c r="EB67" s="599">
        <f t="shared" si="94"/>
        <v>0</v>
      </c>
      <c r="EC67" s="599">
        <f t="shared" si="94"/>
        <v>0</v>
      </c>
      <c r="ED67" s="599">
        <f t="shared" si="94"/>
        <v>0</v>
      </c>
      <c r="EE67" s="599">
        <f t="shared" si="94"/>
        <v>0</v>
      </c>
      <c r="EF67" s="599">
        <f t="shared" si="91"/>
        <v>0</v>
      </c>
      <c r="EG67" s="599">
        <f t="shared" si="90"/>
        <v>0</v>
      </c>
      <c r="EH67" s="599">
        <f t="shared" si="90"/>
        <v>0</v>
      </c>
      <c r="EI67" s="599">
        <f t="shared" si="90"/>
        <v>0</v>
      </c>
      <c r="EJ67" s="1117">
        <f t="shared" si="90"/>
        <v>0</v>
      </c>
    </row>
    <row r="68" spans="1:140" ht="15.75" hidden="1" customHeight="1" x14ac:dyDescent="0.25">
      <c r="A68" s="6"/>
      <c r="B68" s="378"/>
      <c r="C68" s="989"/>
      <c r="D68" s="381"/>
      <c r="E68" s="382" t="s">
        <v>299</v>
      </c>
      <c r="F68" s="358"/>
      <c r="G68" s="999"/>
      <c r="H68" s="1115">
        <f t="shared" si="88"/>
        <v>0</v>
      </c>
      <c r="I68" s="599">
        <f t="shared" si="95"/>
        <v>0</v>
      </c>
      <c r="J68" s="599">
        <f t="shared" si="95"/>
        <v>0</v>
      </c>
      <c r="K68" s="599">
        <f t="shared" si="95"/>
        <v>0</v>
      </c>
      <c r="L68" s="599">
        <f t="shared" si="95"/>
        <v>0</v>
      </c>
      <c r="M68" s="599">
        <f t="shared" si="95"/>
        <v>0</v>
      </c>
      <c r="N68" s="599">
        <f t="shared" si="95"/>
        <v>0</v>
      </c>
      <c r="O68" s="599">
        <f t="shared" si="95"/>
        <v>0</v>
      </c>
      <c r="P68" s="599">
        <f t="shared" si="95"/>
        <v>0</v>
      </c>
      <c r="Q68" s="599">
        <f t="shared" si="95"/>
        <v>0</v>
      </c>
      <c r="R68" s="599">
        <f t="shared" si="95"/>
        <v>0</v>
      </c>
      <c r="S68" s="599">
        <f t="shared" si="95"/>
        <v>0</v>
      </c>
      <c r="T68" s="599">
        <f t="shared" si="95"/>
        <v>0</v>
      </c>
      <c r="U68" s="599">
        <f t="shared" si="95"/>
        <v>0</v>
      </c>
      <c r="V68" s="599">
        <f t="shared" si="95"/>
        <v>0</v>
      </c>
      <c r="W68" s="599">
        <f t="shared" si="95"/>
        <v>0</v>
      </c>
      <c r="X68" s="599">
        <f t="shared" si="95"/>
        <v>0</v>
      </c>
      <c r="Y68" s="599">
        <f t="shared" si="95"/>
        <v>0</v>
      </c>
      <c r="Z68" s="599">
        <f t="shared" si="95"/>
        <v>0</v>
      </c>
      <c r="AA68" s="599">
        <f t="shared" si="95"/>
        <v>0</v>
      </c>
      <c r="AB68" s="599">
        <f t="shared" si="95"/>
        <v>0</v>
      </c>
      <c r="AC68" s="599">
        <f t="shared" si="95"/>
        <v>0</v>
      </c>
      <c r="AD68" s="599">
        <f t="shared" si="95"/>
        <v>0</v>
      </c>
      <c r="AE68" s="599">
        <f t="shared" si="95"/>
        <v>0</v>
      </c>
      <c r="AF68" s="599">
        <f t="shared" si="95"/>
        <v>0</v>
      </c>
      <c r="AG68" s="599">
        <f t="shared" si="95"/>
        <v>0</v>
      </c>
      <c r="AH68" s="599">
        <f t="shared" si="95"/>
        <v>0</v>
      </c>
      <c r="AI68" s="599">
        <f t="shared" si="95"/>
        <v>0</v>
      </c>
      <c r="AJ68" s="599">
        <f t="shared" si="95"/>
        <v>0</v>
      </c>
      <c r="AK68" s="599">
        <f t="shared" si="95"/>
        <v>0</v>
      </c>
      <c r="AL68" s="599">
        <f t="shared" si="95"/>
        <v>0</v>
      </c>
      <c r="AM68" s="599">
        <f t="shared" si="95"/>
        <v>0</v>
      </c>
      <c r="AN68" s="599">
        <f t="shared" si="95"/>
        <v>0</v>
      </c>
      <c r="AO68" s="599">
        <f t="shared" si="95"/>
        <v>0</v>
      </c>
      <c r="AP68" s="599">
        <f t="shared" si="95"/>
        <v>0</v>
      </c>
      <c r="AQ68" s="599">
        <f t="shared" si="95"/>
        <v>0</v>
      </c>
      <c r="AR68" s="599">
        <f t="shared" si="95"/>
        <v>0</v>
      </c>
      <c r="AS68" s="599">
        <f t="shared" si="95"/>
        <v>0</v>
      </c>
      <c r="AT68" s="599">
        <f t="shared" si="95"/>
        <v>0</v>
      </c>
      <c r="AU68" s="599">
        <f t="shared" si="95"/>
        <v>0</v>
      </c>
      <c r="AV68" s="599">
        <f t="shared" si="95"/>
        <v>0</v>
      </c>
      <c r="AW68" s="599">
        <f t="shared" si="95"/>
        <v>0</v>
      </c>
      <c r="AX68" s="599">
        <f t="shared" si="95"/>
        <v>0</v>
      </c>
      <c r="AY68" s="599">
        <f t="shared" si="95"/>
        <v>0</v>
      </c>
      <c r="AZ68" s="599">
        <f t="shared" si="95"/>
        <v>0</v>
      </c>
      <c r="BA68" s="599">
        <f t="shared" si="95"/>
        <v>0</v>
      </c>
      <c r="BB68" s="599">
        <f t="shared" si="95"/>
        <v>0</v>
      </c>
      <c r="BC68" s="599">
        <f t="shared" si="95"/>
        <v>0</v>
      </c>
      <c r="BD68" s="599">
        <f t="shared" si="95"/>
        <v>0</v>
      </c>
      <c r="BE68" s="599">
        <f t="shared" si="95"/>
        <v>0</v>
      </c>
      <c r="BF68" s="599">
        <f t="shared" si="95"/>
        <v>0</v>
      </c>
      <c r="BG68" s="599">
        <f t="shared" si="95"/>
        <v>0</v>
      </c>
      <c r="BH68" s="599">
        <f t="shared" si="95"/>
        <v>0</v>
      </c>
      <c r="BI68" s="599">
        <f t="shared" si="95"/>
        <v>0</v>
      </c>
      <c r="BJ68" s="599">
        <f t="shared" si="95"/>
        <v>0</v>
      </c>
      <c r="BK68" s="599">
        <f t="shared" si="95"/>
        <v>0</v>
      </c>
      <c r="BL68" s="599">
        <f t="shared" si="95"/>
        <v>0</v>
      </c>
      <c r="BM68" s="599">
        <f t="shared" si="95"/>
        <v>0</v>
      </c>
      <c r="BN68" s="599">
        <f t="shared" si="95"/>
        <v>0</v>
      </c>
      <c r="BO68" s="599">
        <f t="shared" si="95"/>
        <v>0</v>
      </c>
      <c r="BP68" s="599">
        <f t="shared" si="95"/>
        <v>0</v>
      </c>
      <c r="BQ68" s="599">
        <f t="shared" si="95"/>
        <v>0</v>
      </c>
      <c r="BR68" s="599">
        <f t="shared" si="95"/>
        <v>0</v>
      </c>
      <c r="BS68" s="599">
        <f t="shared" si="95"/>
        <v>0</v>
      </c>
      <c r="BT68" s="599">
        <f t="shared" si="95"/>
        <v>0</v>
      </c>
      <c r="BU68" s="599">
        <f t="shared" si="94"/>
        <v>0</v>
      </c>
      <c r="BV68" s="599">
        <f t="shared" si="94"/>
        <v>0</v>
      </c>
      <c r="BW68" s="599">
        <f t="shared" si="94"/>
        <v>0</v>
      </c>
      <c r="BX68" s="599">
        <f t="shared" si="94"/>
        <v>0</v>
      </c>
      <c r="BY68" s="599">
        <f t="shared" si="94"/>
        <v>0</v>
      </c>
      <c r="BZ68" s="599">
        <f t="shared" si="94"/>
        <v>0</v>
      </c>
      <c r="CA68" s="599">
        <f t="shared" si="94"/>
        <v>0</v>
      </c>
      <c r="CB68" s="599">
        <f t="shared" si="94"/>
        <v>0</v>
      </c>
      <c r="CC68" s="599">
        <f t="shared" si="94"/>
        <v>0</v>
      </c>
      <c r="CD68" s="599">
        <f t="shared" si="94"/>
        <v>0</v>
      </c>
      <c r="CE68" s="599">
        <f t="shared" si="94"/>
        <v>0</v>
      </c>
      <c r="CF68" s="599">
        <f t="shared" si="94"/>
        <v>0</v>
      </c>
      <c r="CG68" s="599">
        <f t="shared" si="94"/>
        <v>0</v>
      </c>
      <c r="CH68" s="599">
        <f t="shared" si="94"/>
        <v>0</v>
      </c>
      <c r="CI68" s="599">
        <f t="shared" si="94"/>
        <v>0</v>
      </c>
      <c r="CJ68" s="599">
        <f t="shared" si="94"/>
        <v>0</v>
      </c>
      <c r="CK68" s="599">
        <f t="shared" si="94"/>
        <v>0</v>
      </c>
      <c r="CL68" s="599">
        <f t="shared" si="94"/>
        <v>0</v>
      </c>
      <c r="CM68" s="599">
        <f t="shared" si="94"/>
        <v>0</v>
      </c>
      <c r="CN68" s="599">
        <f t="shared" si="94"/>
        <v>0</v>
      </c>
      <c r="CO68" s="599">
        <f t="shared" si="94"/>
        <v>0</v>
      </c>
      <c r="CP68" s="599">
        <f t="shared" si="94"/>
        <v>0</v>
      </c>
      <c r="CQ68" s="599">
        <f t="shared" si="94"/>
        <v>0</v>
      </c>
      <c r="CR68" s="599">
        <f t="shared" si="94"/>
        <v>0</v>
      </c>
      <c r="CS68" s="599">
        <f t="shared" si="94"/>
        <v>0</v>
      </c>
      <c r="CT68" s="599">
        <f t="shared" si="94"/>
        <v>0</v>
      </c>
      <c r="CU68" s="599">
        <f t="shared" si="94"/>
        <v>0</v>
      </c>
      <c r="CV68" s="599">
        <f t="shared" si="94"/>
        <v>0</v>
      </c>
      <c r="CW68" s="599">
        <f t="shared" si="94"/>
        <v>0</v>
      </c>
      <c r="CX68" s="599">
        <f t="shared" si="94"/>
        <v>0</v>
      </c>
      <c r="CY68" s="599">
        <f t="shared" si="94"/>
        <v>0</v>
      </c>
      <c r="CZ68" s="599">
        <f t="shared" si="94"/>
        <v>0</v>
      </c>
      <c r="DA68" s="599">
        <f t="shared" si="94"/>
        <v>0</v>
      </c>
      <c r="DB68" s="599">
        <f t="shared" si="94"/>
        <v>0</v>
      </c>
      <c r="DC68" s="599">
        <f t="shared" si="94"/>
        <v>0</v>
      </c>
      <c r="DD68" s="599">
        <f t="shared" si="94"/>
        <v>0</v>
      </c>
      <c r="DE68" s="599">
        <f t="shared" si="94"/>
        <v>0</v>
      </c>
      <c r="DF68" s="599">
        <f t="shared" si="94"/>
        <v>0</v>
      </c>
      <c r="DG68" s="599">
        <f t="shared" si="94"/>
        <v>0</v>
      </c>
      <c r="DH68" s="599">
        <f t="shared" si="94"/>
        <v>0</v>
      </c>
      <c r="DI68" s="599">
        <f t="shared" si="94"/>
        <v>0</v>
      </c>
      <c r="DJ68" s="599">
        <f t="shared" si="94"/>
        <v>0</v>
      </c>
      <c r="DK68" s="599">
        <f t="shared" si="94"/>
        <v>0</v>
      </c>
      <c r="DL68" s="599">
        <f t="shared" si="94"/>
        <v>0</v>
      </c>
      <c r="DM68" s="599">
        <f t="shared" si="94"/>
        <v>0</v>
      </c>
      <c r="DN68" s="599">
        <f t="shared" si="94"/>
        <v>0</v>
      </c>
      <c r="DO68" s="599">
        <f t="shared" si="94"/>
        <v>0</v>
      </c>
      <c r="DP68" s="599">
        <f t="shared" si="94"/>
        <v>0</v>
      </c>
      <c r="DQ68" s="599">
        <f t="shared" si="94"/>
        <v>0</v>
      </c>
      <c r="DR68" s="599">
        <f t="shared" si="94"/>
        <v>0</v>
      </c>
      <c r="DS68" s="599">
        <f t="shared" si="94"/>
        <v>0</v>
      </c>
      <c r="DT68" s="599">
        <f t="shared" si="94"/>
        <v>0</v>
      </c>
      <c r="DU68" s="599">
        <f t="shared" si="94"/>
        <v>0</v>
      </c>
      <c r="DV68" s="599">
        <f t="shared" si="94"/>
        <v>0</v>
      </c>
      <c r="DW68" s="599">
        <f t="shared" si="94"/>
        <v>0</v>
      </c>
      <c r="DX68" s="599">
        <f t="shared" si="94"/>
        <v>0</v>
      </c>
      <c r="DY68" s="599">
        <f t="shared" si="94"/>
        <v>0</v>
      </c>
      <c r="DZ68" s="599">
        <f t="shared" si="94"/>
        <v>0</v>
      </c>
      <c r="EA68" s="599">
        <f t="shared" si="94"/>
        <v>0</v>
      </c>
      <c r="EB68" s="599">
        <f t="shared" si="94"/>
        <v>0</v>
      </c>
      <c r="EC68" s="599">
        <f t="shared" si="94"/>
        <v>0</v>
      </c>
      <c r="ED68" s="599">
        <f t="shared" si="94"/>
        <v>0</v>
      </c>
      <c r="EE68" s="599">
        <f t="shared" si="94"/>
        <v>0</v>
      </c>
      <c r="EF68" s="599">
        <f t="shared" si="91"/>
        <v>0</v>
      </c>
      <c r="EG68" s="599">
        <f t="shared" si="90"/>
        <v>0</v>
      </c>
      <c r="EH68" s="599">
        <f t="shared" si="90"/>
        <v>0</v>
      </c>
      <c r="EI68" s="599">
        <f t="shared" si="90"/>
        <v>0</v>
      </c>
      <c r="EJ68" s="1117">
        <f t="shared" si="90"/>
        <v>0</v>
      </c>
    </row>
    <row r="69" spans="1:140" ht="15.75" hidden="1" customHeight="1" x14ac:dyDescent="0.25">
      <c r="A69" s="6"/>
      <c r="B69" s="378">
        <f>'Untrended Proforma'!C30</f>
        <v>0</v>
      </c>
      <c r="C69" s="990">
        <f>'Untrended Proforma'!F30</f>
        <v>0</v>
      </c>
      <c r="D69" s="383">
        <f t="shared" si="84"/>
        <v>0.03</v>
      </c>
      <c r="E69" s="652" t="s">
        <v>299</v>
      </c>
      <c r="F69" s="366"/>
      <c r="G69" s="1081"/>
      <c r="H69" s="1125">
        <f t="shared" si="88"/>
        <v>0</v>
      </c>
      <c r="I69" s="600">
        <f t="shared" si="95"/>
        <v>0</v>
      </c>
      <c r="J69" s="600">
        <f t="shared" si="95"/>
        <v>0</v>
      </c>
      <c r="K69" s="600">
        <f t="shared" si="95"/>
        <v>0</v>
      </c>
      <c r="L69" s="600">
        <f t="shared" si="95"/>
        <v>0</v>
      </c>
      <c r="M69" s="600">
        <f t="shared" si="95"/>
        <v>0</v>
      </c>
      <c r="N69" s="600">
        <f t="shared" si="95"/>
        <v>0</v>
      </c>
      <c r="O69" s="600">
        <f t="shared" si="95"/>
        <v>0</v>
      </c>
      <c r="P69" s="600">
        <f t="shared" si="95"/>
        <v>0</v>
      </c>
      <c r="Q69" s="600">
        <f t="shared" si="95"/>
        <v>0</v>
      </c>
      <c r="R69" s="600">
        <f t="shared" si="95"/>
        <v>0</v>
      </c>
      <c r="S69" s="600">
        <f t="shared" si="95"/>
        <v>0</v>
      </c>
      <c r="T69" s="600">
        <f t="shared" si="95"/>
        <v>0</v>
      </c>
      <c r="U69" s="600">
        <f t="shared" si="95"/>
        <v>0</v>
      </c>
      <c r="V69" s="600">
        <f t="shared" si="95"/>
        <v>0</v>
      </c>
      <c r="W69" s="600">
        <f t="shared" si="95"/>
        <v>0</v>
      </c>
      <c r="X69" s="600">
        <f t="shared" si="95"/>
        <v>0</v>
      </c>
      <c r="Y69" s="600">
        <f t="shared" si="95"/>
        <v>0</v>
      </c>
      <c r="Z69" s="600">
        <f t="shared" si="95"/>
        <v>0</v>
      </c>
      <c r="AA69" s="600">
        <f t="shared" si="95"/>
        <v>0</v>
      </c>
      <c r="AB69" s="600">
        <f t="shared" si="95"/>
        <v>0</v>
      </c>
      <c r="AC69" s="600">
        <f t="shared" si="95"/>
        <v>0</v>
      </c>
      <c r="AD69" s="600">
        <f t="shared" si="95"/>
        <v>0</v>
      </c>
      <c r="AE69" s="600">
        <f t="shared" si="95"/>
        <v>0</v>
      </c>
      <c r="AF69" s="600">
        <f t="shared" si="95"/>
        <v>0</v>
      </c>
      <c r="AG69" s="600">
        <f t="shared" si="95"/>
        <v>0</v>
      </c>
      <c r="AH69" s="600">
        <f t="shared" si="95"/>
        <v>0</v>
      </c>
      <c r="AI69" s="600">
        <f t="shared" si="95"/>
        <v>0</v>
      </c>
      <c r="AJ69" s="600">
        <f t="shared" si="95"/>
        <v>0</v>
      </c>
      <c r="AK69" s="600">
        <f t="shared" si="95"/>
        <v>0</v>
      </c>
      <c r="AL69" s="600">
        <f t="shared" si="95"/>
        <v>0</v>
      </c>
      <c r="AM69" s="600">
        <f t="shared" si="95"/>
        <v>0</v>
      </c>
      <c r="AN69" s="600">
        <f t="shared" si="95"/>
        <v>0</v>
      </c>
      <c r="AO69" s="600">
        <f t="shared" si="95"/>
        <v>0</v>
      </c>
      <c r="AP69" s="600">
        <f t="shared" si="95"/>
        <v>0</v>
      </c>
      <c r="AQ69" s="600">
        <f t="shared" si="95"/>
        <v>0</v>
      </c>
      <c r="AR69" s="600">
        <f t="shared" si="95"/>
        <v>0</v>
      </c>
      <c r="AS69" s="600">
        <f t="shared" si="95"/>
        <v>0</v>
      </c>
      <c r="AT69" s="600">
        <f t="shared" si="95"/>
        <v>0</v>
      </c>
      <c r="AU69" s="600">
        <f t="shared" si="95"/>
        <v>0</v>
      </c>
      <c r="AV69" s="600">
        <f t="shared" si="95"/>
        <v>0</v>
      </c>
      <c r="AW69" s="600">
        <f t="shared" si="95"/>
        <v>0</v>
      </c>
      <c r="AX69" s="600">
        <f t="shared" si="95"/>
        <v>0</v>
      </c>
      <c r="AY69" s="600">
        <f t="shared" si="95"/>
        <v>0</v>
      </c>
      <c r="AZ69" s="600">
        <f t="shared" si="95"/>
        <v>0</v>
      </c>
      <c r="BA69" s="600">
        <f t="shared" si="95"/>
        <v>0</v>
      </c>
      <c r="BB69" s="600">
        <f t="shared" si="95"/>
        <v>0</v>
      </c>
      <c r="BC69" s="600">
        <f t="shared" si="95"/>
        <v>0</v>
      </c>
      <c r="BD69" s="600">
        <f t="shared" si="95"/>
        <v>0</v>
      </c>
      <c r="BE69" s="600">
        <f t="shared" si="95"/>
        <v>0</v>
      </c>
      <c r="BF69" s="600">
        <f t="shared" si="95"/>
        <v>0</v>
      </c>
      <c r="BG69" s="600">
        <f t="shared" si="95"/>
        <v>0</v>
      </c>
      <c r="BH69" s="600">
        <f t="shared" si="95"/>
        <v>0</v>
      </c>
      <c r="BI69" s="600">
        <f t="shared" si="95"/>
        <v>0</v>
      </c>
      <c r="BJ69" s="600">
        <f t="shared" si="95"/>
        <v>0</v>
      </c>
      <c r="BK69" s="600">
        <f t="shared" si="95"/>
        <v>0</v>
      </c>
      <c r="BL69" s="600">
        <f t="shared" si="95"/>
        <v>0</v>
      </c>
      <c r="BM69" s="600">
        <f t="shared" si="95"/>
        <v>0</v>
      </c>
      <c r="BN69" s="600">
        <f t="shared" si="95"/>
        <v>0</v>
      </c>
      <c r="BO69" s="600">
        <f t="shared" si="95"/>
        <v>0</v>
      </c>
      <c r="BP69" s="600">
        <f t="shared" si="95"/>
        <v>0</v>
      </c>
      <c r="BQ69" s="600">
        <f t="shared" si="95"/>
        <v>0</v>
      </c>
      <c r="BR69" s="600">
        <f t="shared" si="95"/>
        <v>0</v>
      </c>
      <c r="BS69" s="600">
        <f t="shared" si="95"/>
        <v>0</v>
      </c>
      <c r="BT69" s="600">
        <f t="shared" ref="BT69:EE69" si="96">IF(BT$5&gt;$E$4+12,0,IF($E69="YES",-IF(BT$3&lt;$C$4,0,BT$6*($C69/12)*(1+$D69)^(BT$4)),-IF(BT$3&lt;$C$4,0,($C69/12)*(1+$D69)^(BT$4))))</f>
        <v>0</v>
      </c>
      <c r="BU69" s="600">
        <f t="shared" si="96"/>
        <v>0</v>
      </c>
      <c r="BV69" s="600">
        <f t="shared" si="96"/>
        <v>0</v>
      </c>
      <c r="BW69" s="600">
        <f t="shared" si="96"/>
        <v>0</v>
      </c>
      <c r="BX69" s="600">
        <f t="shared" si="96"/>
        <v>0</v>
      </c>
      <c r="BY69" s="600">
        <f t="shared" si="96"/>
        <v>0</v>
      </c>
      <c r="BZ69" s="600">
        <f t="shared" si="96"/>
        <v>0</v>
      </c>
      <c r="CA69" s="600">
        <f t="shared" si="96"/>
        <v>0</v>
      </c>
      <c r="CB69" s="600">
        <f t="shared" si="96"/>
        <v>0</v>
      </c>
      <c r="CC69" s="600">
        <f t="shared" si="96"/>
        <v>0</v>
      </c>
      <c r="CD69" s="600">
        <f t="shared" si="96"/>
        <v>0</v>
      </c>
      <c r="CE69" s="600">
        <f t="shared" si="96"/>
        <v>0</v>
      </c>
      <c r="CF69" s="600">
        <f t="shared" si="96"/>
        <v>0</v>
      </c>
      <c r="CG69" s="600">
        <f t="shared" si="96"/>
        <v>0</v>
      </c>
      <c r="CH69" s="600">
        <f t="shared" si="96"/>
        <v>0</v>
      </c>
      <c r="CI69" s="600">
        <f t="shared" si="96"/>
        <v>0</v>
      </c>
      <c r="CJ69" s="600">
        <f t="shared" si="96"/>
        <v>0</v>
      </c>
      <c r="CK69" s="600">
        <f t="shared" si="96"/>
        <v>0</v>
      </c>
      <c r="CL69" s="600">
        <f t="shared" si="96"/>
        <v>0</v>
      </c>
      <c r="CM69" s="600">
        <f t="shared" si="96"/>
        <v>0</v>
      </c>
      <c r="CN69" s="600">
        <f t="shared" si="96"/>
        <v>0</v>
      </c>
      <c r="CO69" s="600">
        <f t="shared" si="96"/>
        <v>0</v>
      </c>
      <c r="CP69" s="600">
        <f t="shared" si="96"/>
        <v>0</v>
      </c>
      <c r="CQ69" s="600">
        <f t="shared" si="96"/>
        <v>0</v>
      </c>
      <c r="CR69" s="600">
        <f t="shared" si="96"/>
        <v>0</v>
      </c>
      <c r="CS69" s="600">
        <f t="shared" si="96"/>
        <v>0</v>
      </c>
      <c r="CT69" s="600">
        <f t="shared" si="96"/>
        <v>0</v>
      </c>
      <c r="CU69" s="600">
        <f t="shared" si="96"/>
        <v>0</v>
      </c>
      <c r="CV69" s="600">
        <f t="shared" si="96"/>
        <v>0</v>
      </c>
      <c r="CW69" s="600">
        <f t="shared" si="96"/>
        <v>0</v>
      </c>
      <c r="CX69" s="600">
        <f t="shared" si="96"/>
        <v>0</v>
      </c>
      <c r="CY69" s="600">
        <f t="shared" si="96"/>
        <v>0</v>
      </c>
      <c r="CZ69" s="600">
        <f t="shared" si="96"/>
        <v>0</v>
      </c>
      <c r="DA69" s="600">
        <f t="shared" si="96"/>
        <v>0</v>
      </c>
      <c r="DB69" s="600">
        <f t="shared" si="96"/>
        <v>0</v>
      </c>
      <c r="DC69" s="600">
        <f t="shared" si="96"/>
        <v>0</v>
      </c>
      <c r="DD69" s="600">
        <f t="shared" si="96"/>
        <v>0</v>
      </c>
      <c r="DE69" s="600">
        <f t="shared" si="96"/>
        <v>0</v>
      </c>
      <c r="DF69" s="600">
        <f t="shared" si="96"/>
        <v>0</v>
      </c>
      <c r="DG69" s="600">
        <f t="shared" si="96"/>
        <v>0</v>
      </c>
      <c r="DH69" s="600">
        <f t="shared" si="96"/>
        <v>0</v>
      </c>
      <c r="DI69" s="600">
        <f t="shared" si="96"/>
        <v>0</v>
      </c>
      <c r="DJ69" s="600">
        <f t="shared" si="96"/>
        <v>0</v>
      </c>
      <c r="DK69" s="600">
        <f t="shared" si="96"/>
        <v>0</v>
      </c>
      <c r="DL69" s="600">
        <f t="shared" si="96"/>
        <v>0</v>
      </c>
      <c r="DM69" s="600">
        <f t="shared" si="96"/>
        <v>0</v>
      </c>
      <c r="DN69" s="600">
        <f t="shared" si="96"/>
        <v>0</v>
      </c>
      <c r="DO69" s="600">
        <f t="shared" si="96"/>
        <v>0</v>
      </c>
      <c r="DP69" s="600">
        <f t="shared" si="96"/>
        <v>0</v>
      </c>
      <c r="DQ69" s="600">
        <f t="shared" si="96"/>
        <v>0</v>
      </c>
      <c r="DR69" s="600">
        <f t="shared" si="96"/>
        <v>0</v>
      </c>
      <c r="DS69" s="600">
        <f t="shared" si="96"/>
        <v>0</v>
      </c>
      <c r="DT69" s="600">
        <f t="shared" si="96"/>
        <v>0</v>
      </c>
      <c r="DU69" s="600">
        <f t="shared" si="96"/>
        <v>0</v>
      </c>
      <c r="DV69" s="600">
        <f t="shared" si="96"/>
        <v>0</v>
      </c>
      <c r="DW69" s="600">
        <f t="shared" si="96"/>
        <v>0</v>
      </c>
      <c r="DX69" s="600">
        <f t="shared" si="96"/>
        <v>0</v>
      </c>
      <c r="DY69" s="600">
        <f t="shared" si="96"/>
        <v>0</v>
      </c>
      <c r="DZ69" s="600">
        <f t="shared" si="96"/>
        <v>0</v>
      </c>
      <c r="EA69" s="600">
        <f t="shared" si="96"/>
        <v>0</v>
      </c>
      <c r="EB69" s="600">
        <f t="shared" si="96"/>
        <v>0</v>
      </c>
      <c r="EC69" s="600">
        <f t="shared" si="96"/>
        <v>0</v>
      </c>
      <c r="ED69" s="600">
        <f t="shared" si="96"/>
        <v>0</v>
      </c>
      <c r="EE69" s="600">
        <f t="shared" si="96"/>
        <v>0</v>
      </c>
      <c r="EF69" s="600">
        <f t="shared" si="91"/>
        <v>0</v>
      </c>
      <c r="EG69" s="600">
        <f t="shared" si="90"/>
        <v>0</v>
      </c>
      <c r="EH69" s="600">
        <f t="shared" si="90"/>
        <v>0</v>
      </c>
      <c r="EI69" s="600">
        <f t="shared" si="90"/>
        <v>0</v>
      </c>
      <c r="EJ69" s="1126">
        <f t="shared" si="90"/>
        <v>0</v>
      </c>
    </row>
    <row r="70" spans="1:140" ht="15.75" customHeight="1" x14ac:dyDescent="0.25">
      <c r="A70" s="6"/>
      <c r="B70" s="384" t="s">
        <v>300</v>
      </c>
      <c r="C70" s="363">
        <f>SUM(C56:C68)</f>
        <v>907604.45247857133</v>
      </c>
      <c r="D70" s="358"/>
      <c r="E70" s="358"/>
      <c r="F70" s="358"/>
      <c r="G70" s="1082"/>
      <c r="H70" s="1115">
        <f t="shared" ref="H70:DX70" si="97">SUM(H56:H69)</f>
        <v>0</v>
      </c>
      <c r="I70" s="599">
        <f t="shared" si="97"/>
        <v>0</v>
      </c>
      <c r="J70" s="599">
        <f t="shared" si="97"/>
        <v>0</v>
      </c>
      <c r="K70" s="599">
        <f t="shared" si="97"/>
        <v>0</v>
      </c>
      <c r="L70" s="599">
        <f t="shared" si="97"/>
        <v>0</v>
      </c>
      <c r="M70" s="599">
        <f t="shared" si="97"/>
        <v>0</v>
      </c>
      <c r="N70" s="599">
        <f t="shared" si="97"/>
        <v>0</v>
      </c>
      <c r="O70" s="599">
        <f t="shared" si="97"/>
        <v>0</v>
      </c>
      <c r="P70" s="599">
        <f t="shared" si="97"/>
        <v>0</v>
      </c>
      <c r="Q70" s="599">
        <f t="shared" si="97"/>
        <v>0</v>
      </c>
      <c r="R70" s="599">
        <f t="shared" si="97"/>
        <v>0</v>
      </c>
      <c r="S70" s="599">
        <f t="shared" si="97"/>
        <v>0</v>
      </c>
      <c r="T70" s="599">
        <f t="shared" si="97"/>
        <v>0</v>
      </c>
      <c r="U70" s="599">
        <f t="shared" si="97"/>
        <v>0</v>
      </c>
      <c r="V70" s="599">
        <f t="shared" si="97"/>
        <v>0</v>
      </c>
      <c r="W70" s="599">
        <f t="shared" si="97"/>
        <v>0</v>
      </c>
      <c r="X70" s="599">
        <f t="shared" si="97"/>
        <v>0</v>
      </c>
      <c r="Y70" s="599">
        <f t="shared" si="97"/>
        <v>0</v>
      </c>
      <c r="Z70" s="599">
        <f t="shared" si="97"/>
        <v>0</v>
      </c>
      <c r="AA70" s="599">
        <f t="shared" si="97"/>
        <v>0</v>
      </c>
      <c r="AB70" s="599">
        <f t="shared" si="97"/>
        <v>0</v>
      </c>
      <c r="AC70" s="599">
        <f t="shared" si="97"/>
        <v>0</v>
      </c>
      <c r="AD70" s="599">
        <f t="shared" si="97"/>
        <v>0</v>
      </c>
      <c r="AE70" s="599">
        <f t="shared" si="97"/>
        <v>0</v>
      </c>
      <c r="AF70" s="599">
        <f t="shared" si="97"/>
        <v>0</v>
      </c>
      <c r="AG70" s="599">
        <f t="shared" si="97"/>
        <v>-8063.1210613296898</v>
      </c>
      <c r="AH70" s="599">
        <f t="shared" si="97"/>
        <v>-16126.24212265938</v>
      </c>
      <c r="AI70" s="599">
        <f t="shared" si="97"/>
        <v>-24189.363183989066</v>
      </c>
      <c r="AJ70" s="599">
        <f t="shared" si="97"/>
        <v>-32252.484245318759</v>
      </c>
      <c r="AK70" s="599">
        <f t="shared" si="97"/>
        <v>-40315.605306648453</v>
      </c>
      <c r="AL70" s="599">
        <f t="shared" si="97"/>
        <v>-48378.726367978132</v>
      </c>
      <c r="AM70" s="599">
        <f t="shared" si="97"/>
        <v>-56441.847429307832</v>
      </c>
      <c r="AN70" s="599">
        <f t="shared" si="97"/>
        <v>-64504.968490637519</v>
      </c>
      <c r="AO70" s="599">
        <f t="shared" si="97"/>
        <v>-72568.08955196719</v>
      </c>
      <c r="AP70" s="599">
        <f t="shared" si="97"/>
        <v>-80631.210613296906</v>
      </c>
      <c r="AQ70" s="599">
        <f t="shared" si="97"/>
        <v>-82646.990878629324</v>
      </c>
      <c r="AR70" s="599">
        <f t="shared" si="97"/>
        <v>-82646.990878629324</v>
      </c>
      <c r="AS70" s="599">
        <f t="shared" si="97"/>
        <v>-85126.400604988186</v>
      </c>
      <c r="AT70" s="599">
        <f t="shared" si="97"/>
        <v>-85126.400604988186</v>
      </c>
      <c r="AU70" s="599">
        <f t="shared" si="97"/>
        <v>-85126.400604988186</v>
      </c>
      <c r="AV70" s="599">
        <f t="shared" si="97"/>
        <v>-85126.400604988186</v>
      </c>
      <c r="AW70" s="599">
        <f t="shared" si="97"/>
        <v>-85126.400604988186</v>
      </c>
      <c r="AX70" s="599">
        <f t="shared" si="97"/>
        <v>-85126.400604988186</v>
      </c>
      <c r="AY70" s="599">
        <f t="shared" si="97"/>
        <v>-85126.400604988186</v>
      </c>
      <c r="AZ70" s="599">
        <f t="shared" si="97"/>
        <v>-85126.400604988186</v>
      </c>
      <c r="BA70" s="599">
        <f t="shared" si="97"/>
        <v>-85126.400604988186</v>
      </c>
      <c r="BB70" s="599">
        <f t="shared" si="97"/>
        <v>-85126.400604988186</v>
      </c>
      <c r="BC70" s="599">
        <f t="shared" si="97"/>
        <v>-85126.400604988186</v>
      </c>
      <c r="BD70" s="599">
        <f t="shared" si="97"/>
        <v>-85126.400604988186</v>
      </c>
      <c r="BE70" s="599">
        <f t="shared" si="97"/>
        <v>-87680.192623137831</v>
      </c>
      <c r="BF70" s="599">
        <f t="shared" si="97"/>
        <v>-87680.192623137831</v>
      </c>
      <c r="BG70" s="599">
        <f t="shared" si="97"/>
        <v>-87680.192623137831</v>
      </c>
      <c r="BH70" s="599">
        <f t="shared" si="97"/>
        <v>-87680.192623137831</v>
      </c>
      <c r="BI70" s="599">
        <f t="shared" si="97"/>
        <v>-87680.192623137831</v>
      </c>
      <c r="BJ70" s="599">
        <f t="shared" si="97"/>
        <v>-87680.192623137831</v>
      </c>
      <c r="BK70" s="599">
        <f t="shared" si="97"/>
        <v>-87680.192623137831</v>
      </c>
      <c r="BL70" s="599">
        <f t="shared" si="97"/>
        <v>-87680.192623137831</v>
      </c>
      <c r="BM70" s="599">
        <f t="shared" si="97"/>
        <v>-87680.192623137831</v>
      </c>
      <c r="BN70" s="599">
        <f t="shared" si="97"/>
        <v>-87680.192623137831</v>
      </c>
      <c r="BO70" s="599">
        <f t="shared" si="97"/>
        <v>-87680.192623137831</v>
      </c>
      <c r="BP70" s="599">
        <f t="shared" si="97"/>
        <v>-87680.192623137831</v>
      </c>
      <c r="BQ70" s="599">
        <f t="shared" si="97"/>
        <v>-90310.598401831972</v>
      </c>
      <c r="BR70" s="599">
        <f t="shared" si="97"/>
        <v>-90310.598401831972</v>
      </c>
      <c r="BS70" s="599">
        <f t="shared" si="97"/>
        <v>-90310.598401831972</v>
      </c>
      <c r="BT70" s="599">
        <f t="shared" si="97"/>
        <v>-90310.598401831972</v>
      </c>
      <c r="BU70" s="599">
        <f t="shared" si="97"/>
        <v>-90310.598401831972</v>
      </c>
      <c r="BV70" s="599">
        <f t="shared" si="97"/>
        <v>-90310.598401831972</v>
      </c>
      <c r="BW70" s="599">
        <f t="shared" si="97"/>
        <v>-90310.598401831972</v>
      </c>
      <c r="BX70" s="599">
        <f t="shared" si="97"/>
        <v>-90310.598401831972</v>
      </c>
      <c r="BY70" s="599">
        <f t="shared" si="97"/>
        <v>-90310.598401831972</v>
      </c>
      <c r="BZ70" s="599">
        <f t="shared" si="97"/>
        <v>-90310.598401831972</v>
      </c>
      <c r="CA70" s="599">
        <f t="shared" si="97"/>
        <v>-90310.598401831972</v>
      </c>
      <c r="CB70" s="599">
        <f t="shared" si="97"/>
        <v>-90310.598401831972</v>
      </c>
      <c r="CC70" s="599">
        <f t="shared" si="97"/>
        <v>0</v>
      </c>
      <c r="CD70" s="599">
        <f t="shared" si="97"/>
        <v>0</v>
      </c>
      <c r="CE70" s="599">
        <f t="shared" si="97"/>
        <v>0</v>
      </c>
      <c r="CF70" s="599">
        <f t="shared" si="97"/>
        <v>0</v>
      </c>
      <c r="CG70" s="599">
        <f t="shared" si="97"/>
        <v>0</v>
      </c>
      <c r="CH70" s="599">
        <f t="shared" si="97"/>
        <v>0</v>
      </c>
      <c r="CI70" s="599">
        <f t="shared" si="97"/>
        <v>0</v>
      </c>
      <c r="CJ70" s="599">
        <f t="shared" si="97"/>
        <v>0</v>
      </c>
      <c r="CK70" s="599">
        <f t="shared" si="97"/>
        <v>0</v>
      </c>
      <c r="CL70" s="599">
        <f t="shared" si="97"/>
        <v>0</v>
      </c>
      <c r="CM70" s="599">
        <f t="shared" si="97"/>
        <v>0</v>
      </c>
      <c r="CN70" s="599">
        <f t="shared" si="97"/>
        <v>0</v>
      </c>
      <c r="CO70" s="599">
        <f t="shared" si="97"/>
        <v>0</v>
      </c>
      <c r="CP70" s="599">
        <f t="shared" si="97"/>
        <v>0</v>
      </c>
      <c r="CQ70" s="599">
        <f t="shared" si="97"/>
        <v>0</v>
      </c>
      <c r="CR70" s="599">
        <f t="shared" si="97"/>
        <v>0</v>
      </c>
      <c r="CS70" s="599">
        <f t="shared" si="97"/>
        <v>0</v>
      </c>
      <c r="CT70" s="599">
        <f t="shared" si="97"/>
        <v>0</v>
      </c>
      <c r="CU70" s="599">
        <f t="shared" si="97"/>
        <v>0</v>
      </c>
      <c r="CV70" s="599">
        <f t="shared" si="97"/>
        <v>0</v>
      </c>
      <c r="CW70" s="599">
        <f t="shared" si="97"/>
        <v>0</v>
      </c>
      <c r="CX70" s="599">
        <f t="shared" si="97"/>
        <v>0</v>
      </c>
      <c r="CY70" s="599">
        <f t="shared" si="97"/>
        <v>0</v>
      </c>
      <c r="CZ70" s="599">
        <f t="shared" si="97"/>
        <v>0</v>
      </c>
      <c r="DA70" s="599">
        <f t="shared" si="97"/>
        <v>0</v>
      </c>
      <c r="DB70" s="599">
        <f t="shared" si="97"/>
        <v>0</v>
      </c>
      <c r="DC70" s="599">
        <f t="shared" si="97"/>
        <v>0</v>
      </c>
      <c r="DD70" s="599">
        <f t="shared" si="97"/>
        <v>0</v>
      </c>
      <c r="DE70" s="599">
        <f t="shared" si="97"/>
        <v>0</v>
      </c>
      <c r="DF70" s="599">
        <f t="shared" si="97"/>
        <v>0</v>
      </c>
      <c r="DG70" s="599">
        <f t="shared" si="97"/>
        <v>0</v>
      </c>
      <c r="DH70" s="599">
        <f t="shared" si="97"/>
        <v>0</v>
      </c>
      <c r="DI70" s="599">
        <f t="shared" si="97"/>
        <v>0</v>
      </c>
      <c r="DJ70" s="599">
        <f t="shared" si="97"/>
        <v>0</v>
      </c>
      <c r="DK70" s="599">
        <f t="shared" si="97"/>
        <v>0</v>
      </c>
      <c r="DL70" s="599">
        <f t="shared" si="97"/>
        <v>0</v>
      </c>
      <c r="DM70" s="599">
        <f t="shared" si="97"/>
        <v>0</v>
      </c>
      <c r="DN70" s="599">
        <f t="shared" si="97"/>
        <v>0</v>
      </c>
      <c r="DO70" s="599">
        <f t="shared" si="97"/>
        <v>0</v>
      </c>
      <c r="DP70" s="599">
        <f t="shared" si="97"/>
        <v>0</v>
      </c>
      <c r="DQ70" s="599">
        <f t="shared" si="97"/>
        <v>0</v>
      </c>
      <c r="DR70" s="599">
        <f t="shared" si="97"/>
        <v>0</v>
      </c>
      <c r="DS70" s="599">
        <f t="shared" si="97"/>
        <v>0</v>
      </c>
      <c r="DT70" s="599">
        <f t="shared" si="97"/>
        <v>0</v>
      </c>
      <c r="DU70" s="599">
        <f t="shared" si="97"/>
        <v>0</v>
      </c>
      <c r="DV70" s="599">
        <f t="shared" si="97"/>
        <v>0</v>
      </c>
      <c r="DW70" s="599">
        <f t="shared" si="97"/>
        <v>0</v>
      </c>
      <c r="DX70" s="599">
        <f t="shared" si="97"/>
        <v>0</v>
      </c>
      <c r="DY70" s="599">
        <f t="shared" ref="DY70:EJ70" si="98">SUM(DY56:DY69)</f>
        <v>0</v>
      </c>
      <c r="DZ70" s="599">
        <f t="shared" si="98"/>
        <v>0</v>
      </c>
      <c r="EA70" s="599">
        <f t="shared" si="98"/>
        <v>0</v>
      </c>
      <c r="EB70" s="599">
        <f t="shared" si="98"/>
        <v>0</v>
      </c>
      <c r="EC70" s="599">
        <f t="shared" si="98"/>
        <v>0</v>
      </c>
      <c r="ED70" s="599">
        <f t="shared" si="98"/>
        <v>0</v>
      </c>
      <c r="EE70" s="599">
        <f t="shared" si="98"/>
        <v>0</v>
      </c>
      <c r="EF70" s="599">
        <f t="shared" si="98"/>
        <v>0</v>
      </c>
      <c r="EG70" s="599">
        <f t="shared" si="98"/>
        <v>0</v>
      </c>
      <c r="EH70" s="599">
        <f t="shared" si="98"/>
        <v>0</v>
      </c>
      <c r="EI70" s="599">
        <f t="shared" si="98"/>
        <v>0</v>
      </c>
      <c r="EJ70" s="1117">
        <f t="shared" si="98"/>
        <v>0</v>
      </c>
    </row>
    <row r="71" spans="1:140" ht="15.75" customHeight="1" x14ac:dyDescent="0.25">
      <c r="A71" s="6"/>
      <c r="B71" s="385"/>
      <c r="C71" s="386"/>
      <c r="D71" s="386"/>
      <c r="E71" s="386"/>
      <c r="F71" s="386"/>
      <c r="G71" s="591" t="s">
        <v>301</v>
      </c>
      <c r="H71" s="1142">
        <f>IFERROR(-H64/H52,0)</f>
        <v>0</v>
      </c>
      <c r="I71" s="591">
        <f t="shared" ref="I71:BT71" si="99">IFERROR(-I64/I52,0)</f>
        <v>0</v>
      </c>
      <c r="J71" s="591">
        <f t="shared" si="99"/>
        <v>0</v>
      </c>
      <c r="K71" s="591">
        <f t="shared" si="99"/>
        <v>0</v>
      </c>
      <c r="L71" s="591">
        <f t="shared" si="99"/>
        <v>0</v>
      </c>
      <c r="M71" s="591">
        <f t="shared" si="99"/>
        <v>0</v>
      </c>
      <c r="N71" s="591">
        <f t="shared" si="99"/>
        <v>0</v>
      </c>
      <c r="O71" s="591">
        <f t="shared" si="99"/>
        <v>0</v>
      </c>
      <c r="P71" s="591">
        <f t="shared" si="99"/>
        <v>0</v>
      </c>
      <c r="Q71" s="591">
        <f t="shared" si="99"/>
        <v>0</v>
      </c>
      <c r="R71" s="591">
        <f t="shared" si="99"/>
        <v>0</v>
      </c>
      <c r="S71" s="591">
        <f t="shared" si="99"/>
        <v>0</v>
      </c>
      <c r="T71" s="591">
        <f t="shared" si="99"/>
        <v>0</v>
      </c>
      <c r="U71" s="591">
        <f t="shared" si="99"/>
        <v>0</v>
      </c>
      <c r="V71" s="591">
        <f t="shared" si="99"/>
        <v>0</v>
      </c>
      <c r="W71" s="591">
        <f t="shared" si="99"/>
        <v>0</v>
      </c>
      <c r="X71" s="591">
        <f t="shared" si="99"/>
        <v>0</v>
      </c>
      <c r="Y71" s="591">
        <f t="shared" si="99"/>
        <v>0</v>
      </c>
      <c r="Z71" s="591">
        <f t="shared" si="99"/>
        <v>0</v>
      </c>
      <c r="AA71" s="591">
        <f t="shared" si="99"/>
        <v>0</v>
      </c>
      <c r="AB71" s="591">
        <f t="shared" si="99"/>
        <v>0</v>
      </c>
      <c r="AC71" s="591">
        <f t="shared" si="99"/>
        <v>0</v>
      </c>
      <c r="AD71" s="591">
        <f t="shared" si="99"/>
        <v>0</v>
      </c>
      <c r="AE71" s="591">
        <f t="shared" si="99"/>
        <v>0</v>
      </c>
      <c r="AF71" s="591">
        <f t="shared" si="99"/>
        <v>0</v>
      </c>
      <c r="AG71" s="591">
        <f t="shared" si="99"/>
        <v>2.844905301373727E-2</v>
      </c>
      <c r="AH71" s="591">
        <f t="shared" si="99"/>
        <v>3.3817028322765404E-2</v>
      </c>
      <c r="AI71" s="591">
        <f t="shared" si="99"/>
        <v>3.5961091916474501E-2</v>
      </c>
      <c r="AJ71" s="591">
        <f t="shared" si="99"/>
        <v>3.7238835986023955E-2</v>
      </c>
      <c r="AK71" s="591">
        <f t="shared" si="99"/>
        <v>3.8158155559345104E-2</v>
      </c>
      <c r="AL71" s="591">
        <f t="shared" si="99"/>
        <v>3.8631099100141945E-2</v>
      </c>
      <c r="AM71" s="591">
        <f t="shared" si="99"/>
        <v>3.9039292539400673E-2</v>
      </c>
      <c r="AN71" s="591">
        <f t="shared" si="99"/>
        <v>3.9351143854589717E-2</v>
      </c>
      <c r="AO71" s="591">
        <f t="shared" si="99"/>
        <v>3.9651771258716759E-2</v>
      </c>
      <c r="AP71" s="591">
        <f t="shared" si="99"/>
        <v>3.9845838623375159E-2</v>
      </c>
      <c r="AQ71" s="591">
        <f t="shared" si="99"/>
        <v>4.1925924440426011E-2</v>
      </c>
      <c r="AR71" s="591">
        <f t="shared" si="99"/>
        <v>4.1925924440426011E-2</v>
      </c>
      <c r="AS71" s="591">
        <f t="shared" si="99"/>
        <v>4.1925924440426011E-2</v>
      </c>
      <c r="AT71" s="591">
        <f t="shared" si="99"/>
        <v>4.1925924440426011E-2</v>
      </c>
      <c r="AU71" s="591">
        <f t="shared" si="99"/>
        <v>4.1925924440426011E-2</v>
      </c>
      <c r="AV71" s="591">
        <f t="shared" si="99"/>
        <v>4.1925924440426011E-2</v>
      </c>
      <c r="AW71" s="591">
        <f t="shared" si="99"/>
        <v>4.1925924440426011E-2</v>
      </c>
      <c r="AX71" s="591">
        <f t="shared" si="99"/>
        <v>4.1925924440426011E-2</v>
      </c>
      <c r="AY71" s="591">
        <f t="shared" si="99"/>
        <v>4.1925924440426011E-2</v>
      </c>
      <c r="AZ71" s="591">
        <f t="shared" si="99"/>
        <v>4.1925924440426011E-2</v>
      </c>
      <c r="BA71" s="591">
        <f t="shared" si="99"/>
        <v>4.1925924440426011E-2</v>
      </c>
      <c r="BB71" s="591">
        <f t="shared" si="99"/>
        <v>4.1925924440426011E-2</v>
      </c>
      <c r="BC71" s="591">
        <f t="shared" si="99"/>
        <v>4.1925924440426011E-2</v>
      </c>
      <c r="BD71" s="591">
        <f t="shared" si="99"/>
        <v>4.1925924440426011E-2</v>
      </c>
      <c r="BE71" s="591">
        <f t="shared" si="99"/>
        <v>4.1925924440426025E-2</v>
      </c>
      <c r="BF71" s="591">
        <f t="shared" si="99"/>
        <v>4.1925924440426025E-2</v>
      </c>
      <c r="BG71" s="591">
        <f t="shared" si="99"/>
        <v>4.1925924440426025E-2</v>
      </c>
      <c r="BH71" s="591">
        <f t="shared" si="99"/>
        <v>4.1925924440426025E-2</v>
      </c>
      <c r="BI71" s="591">
        <f t="shared" si="99"/>
        <v>4.1925924440426025E-2</v>
      </c>
      <c r="BJ71" s="591">
        <f t="shared" si="99"/>
        <v>4.1925924440426025E-2</v>
      </c>
      <c r="BK71" s="591">
        <f t="shared" si="99"/>
        <v>4.1925924440426025E-2</v>
      </c>
      <c r="BL71" s="591">
        <f t="shared" si="99"/>
        <v>4.1925924440426025E-2</v>
      </c>
      <c r="BM71" s="591">
        <f t="shared" si="99"/>
        <v>4.1925924440426025E-2</v>
      </c>
      <c r="BN71" s="591">
        <f t="shared" si="99"/>
        <v>4.1925924440426025E-2</v>
      </c>
      <c r="BO71" s="591">
        <f t="shared" si="99"/>
        <v>4.1925924440426025E-2</v>
      </c>
      <c r="BP71" s="591">
        <f t="shared" si="99"/>
        <v>4.1925924440426025E-2</v>
      </c>
      <c r="BQ71" s="591">
        <f t="shared" si="99"/>
        <v>4.1925924440426018E-2</v>
      </c>
      <c r="BR71" s="591">
        <f t="shared" si="99"/>
        <v>4.1925924440426018E-2</v>
      </c>
      <c r="BS71" s="591">
        <f t="shared" si="99"/>
        <v>4.1925924440426018E-2</v>
      </c>
      <c r="BT71" s="591">
        <f t="shared" si="99"/>
        <v>4.1925924440426018E-2</v>
      </c>
      <c r="BU71" s="591">
        <f t="shared" ref="BU71:EF71" si="100">IFERROR(-BU64/BU52,0)</f>
        <v>4.1925924440426018E-2</v>
      </c>
      <c r="BV71" s="591">
        <f t="shared" si="100"/>
        <v>4.1925924440426018E-2</v>
      </c>
      <c r="BW71" s="591">
        <f t="shared" si="100"/>
        <v>4.1925924440426018E-2</v>
      </c>
      <c r="BX71" s="591">
        <f t="shared" si="100"/>
        <v>4.1925924440426018E-2</v>
      </c>
      <c r="BY71" s="591">
        <f t="shared" si="100"/>
        <v>4.1925924440426018E-2</v>
      </c>
      <c r="BZ71" s="591">
        <f t="shared" si="100"/>
        <v>4.1925924440426018E-2</v>
      </c>
      <c r="CA71" s="591">
        <f t="shared" si="100"/>
        <v>4.1925924440426018E-2</v>
      </c>
      <c r="CB71" s="591">
        <f t="shared" si="100"/>
        <v>4.1925924440426018E-2</v>
      </c>
      <c r="CC71" s="591">
        <f t="shared" si="100"/>
        <v>0</v>
      </c>
      <c r="CD71" s="591">
        <f t="shared" si="100"/>
        <v>0</v>
      </c>
      <c r="CE71" s="591">
        <f t="shared" si="100"/>
        <v>0</v>
      </c>
      <c r="CF71" s="591">
        <f t="shared" si="100"/>
        <v>0</v>
      </c>
      <c r="CG71" s="591">
        <f t="shared" si="100"/>
        <v>0</v>
      </c>
      <c r="CH71" s="591">
        <f t="shared" si="100"/>
        <v>0</v>
      </c>
      <c r="CI71" s="591">
        <f t="shared" si="100"/>
        <v>0</v>
      </c>
      <c r="CJ71" s="591">
        <f t="shared" si="100"/>
        <v>0</v>
      </c>
      <c r="CK71" s="591">
        <f t="shared" si="100"/>
        <v>0</v>
      </c>
      <c r="CL71" s="591">
        <f t="shared" si="100"/>
        <v>0</v>
      </c>
      <c r="CM71" s="591">
        <f t="shared" si="100"/>
        <v>0</v>
      </c>
      <c r="CN71" s="591">
        <f t="shared" si="100"/>
        <v>0</v>
      </c>
      <c r="CO71" s="591">
        <f t="shared" si="100"/>
        <v>0</v>
      </c>
      <c r="CP71" s="591">
        <f t="shared" si="100"/>
        <v>0</v>
      </c>
      <c r="CQ71" s="591">
        <f t="shared" si="100"/>
        <v>0</v>
      </c>
      <c r="CR71" s="591">
        <f t="shared" si="100"/>
        <v>0</v>
      </c>
      <c r="CS71" s="591">
        <f t="shared" si="100"/>
        <v>0</v>
      </c>
      <c r="CT71" s="591">
        <f t="shared" si="100"/>
        <v>0</v>
      </c>
      <c r="CU71" s="591">
        <f t="shared" si="100"/>
        <v>0</v>
      </c>
      <c r="CV71" s="591">
        <f t="shared" si="100"/>
        <v>0</v>
      </c>
      <c r="CW71" s="591">
        <f t="shared" si="100"/>
        <v>0</v>
      </c>
      <c r="CX71" s="591">
        <f t="shared" si="100"/>
        <v>0</v>
      </c>
      <c r="CY71" s="591">
        <f t="shared" si="100"/>
        <v>0</v>
      </c>
      <c r="CZ71" s="591">
        <f t="shared" si="100"/>
        <v>0</v>
      </c>
      <c r="DA71" s="591">
        <f t="shared" si="100"/>
        <v>0</v>
      </c>
      <c r="DB71" s="591">
        <f t="shared" si="100"/>
        <v>0</v>
      </c>
      <c r="DC71" s="591">
        <f t="shared" si="100"/>
        <v>0</v>
      </c>
      <c r="DD71" s="591">
        <f t="shared" si="100"/>
        <v>0</v>
      </c>
      <c r="DE71" s="591">
        <f t="shared" si="100"/>
        <v>0</v>
      </c>
      <c r="DF71" s="591">
        <f t="shared" si="100"/>
        <v>0</v>
      </c>
      <c r="DG71" s="591">
        <f t="shared" si="100"/>
        <v>0</v>
      </c>
      <c r="DH71" s="591">
        <f t="shared" si="100"/>
        <v>0</v>
      </c>
      <c r="DI71" s="591">
        <f t="shared" si="100"/>
        <v>0</v>
      </c>
      <c r="DJ71" s="591">
        <f t="shared" si="100"/>
        <v>0</v>
      </c>
      <c r="DK71" s="591">
        <f t="shared" si="100"/>
        <v>0</v>
      </c>
      <c r="DL71" s="591">
        <f t="shared" si="100"/>
        <v>0</v>
      </c>
      <c r="DM71" s="591">
        <f t="shared" si="100"/>
        <v>0</v>
      </c>
      <c r="DN71" s="591">
        <f t="shared" si="100"/>
        <v>0</v>
      </c>
      <c r="DO71" s="591">
        <f t="shared" si="100"/>
        <v>0</v>
      </c>
      <c r="DP71" s="591">
        <f t="shared" si="100"/>
        <v>0</v>
      </c>
      <c r="DQ71" s="591">
        <f t="shared" si="100"/>
        <v>0</v>
      </c>
      <c r="DR71" s="591">
        <f t="shared" si="100"/>
        <v>0</v>
      </c>
      <c r="DS71" s="591">
        <f t="shared" si="100"/>
        <v>0</v>
      </c>
      <c r="DT71" s="591">
        <f t="shared" si="100"/>
        <v>0</v>
      </c>
      <c r="DU71" s="591">
        <f t="shared" si="100"/>
        <v>0</v>
      </c>
      <c r="DV71" s="591">
        <f t="shared" si="100"/>
        <v>0</v>
      </c>
      <c r="DW71" s="591">
        <f t="shared" si="100"/>
        <v>0</v>
      </c>
      <c r="DX71" s="591">
        <f t="shared" si="100"/>
        <v>0</v>
      </c>
      <c r="DY71" s="591">
        <f t="shared" si="100"/>
        <v>0</v>
      </c>
      <c r="DZ71" s="591">
        <f t="shared" si="100"/>
        <v>0</v>
      </c>
      <c r="EA71" s="591">
        <f t="shared" si="100"/>
        <v>0</v>
      </c>
      <c r="EB71" s="591">
        <f t="shared" si="100"/>
        <v>0</v>
      </c>
      <c r="EC71" s="591">
        <f t="shared" si="100"/>
        <v>0</v>
      </c>
      <c r="ED71" s="591">
        <f t="shared" si="100"/>
        <v>0</v>
      </c>
      <c r="EE71" s="591">
        <f t="shared" si="100"/>
        <v>0</v>
      </c>
      <c r="EF71" s="591">
        <f t="shared" si="100"/>
        <v>0</v>
      </c>
      <c r="EG71" s="591">
        <f t="shared" ref="EG71:EJ71" si="101">IFERROR(-EG64/EG52,0)</f>
        <v>0</v>
      </c>
      <c r="EH71" s="591">
        <f t="shared" si="101"/>
        <v>0</v>
      </c>
      <c r="EI71" s="591">
        <f t="shared" si="101"/>
        <v>0</v>
      </c>
      <c r="EJ71" s="1143">
        <f t="shared" si="101"/>
        <v>0</v>
      </c>
    </row>
    <row r="72" spans="1:140" ht="15.75" customHeight="1" x14ac:dyDescent="0.25">
      <c r="A72" s="6"/>
      <c r="B72" s="589"/>
      <c r="C72" s="590"/>
      <c r="D72" s="590"/>
      <c r="E72" s="590"/>
      <c r="F72" s="590"/>
      <c r="G72" s="1083" t="s">
        <v>511</v>
      </c>
      <c r="H72" s="1142">
        <f>IFERROR(-H70/H52,0)</f>
        <v>0</v>
      </c>
      <c r="I72" s="591">
        <f t="shared" ref="I72:BT72" si="102">IFERROR(-I70/I52,0)</f>
        <v>0</v>
      </c>
      <c r="J72" s="591">
        <f t="shared" si="102"/>
        <v>0</v>
      </c>
      <c r="K72" s="591">
        <f t="shared" si="102"/>
        <v>0</v>
      </c>
      <c r="L72" s="591">
        <f t="shared" si="102"/>
        <v>0</v>
      </c>
      <c r="M72" s="591">
        <f t="shared" si="102"/>
        <v>0</v>
      </c>
      <c r="N72" s="591">
        <f t="shared" si="102"/>
        <v>0</v>
      </c>
      <c r="O72" s="591">
        <f t="shared" si="102"/>
        <v>0</v>
      </c>
      <c r="P72" s="591">
        <f t="shared" si="102"/>
        <v>0</v>
      </c>
      <c r="Q72" s="591">
        <f t="shared" si="102"/>
        <v>0</v>
      </c>
      <c r="R72" s="591">
        <f t="shared" si="102"/>
        <v>0</v>
      </c>
      <c r="S72" s="591">
        <f t="shared" si="102"/>
        <v>0</v>
      </c>
      <c r="T72" s="591">
        <f t="shared" si="102"/>
        <v>0</v>
      </c>
      <c r="U72" s="591">
        <f t="shared" si="102"/>
        <v>0</v>
      </c>
      <c r="V72" s="591">
        <f t="shared" si="102"/>
        <v>0</v>
      </c>
      <c r="W72" s="591">
        <f t="shared" si="102"/>
        <v>0</v>
      </c>
      <c r="X72" s="591">
        <f t="shared" si="102"/>
        <v>0</v>
      </c>
      <c r="Y72" s="591">
        <f t="shared" si="102"/>
        <v>0</v>
      </c>
      <c r="Z72" s="591">
        <f t="shared" si="102"/>
        <v>0</v>
      </c>
      <c r="AA72" s="591">
        <f t="shared" si="102"/>
        <v>0</v>
      </c>
      <c r="AB72" s="591">
        <f t="shared" si="102"/>
        <v>0</v>
      </c>
      <c r="AC72" s="591">
        <f t="shared" si="102"/>
        <v>0</v>
      </c>
      <c r="AD72" s="591">
        <f t="shared" si="102"/>
        <v>0</v>
      </c>
      <c r="AE72" s="591">
        <f t="shared" si="102"/>
        <v>0</v>
      </c>
      <c r="AF72" s="591">
        <f t="shared" si="102"/>
        <v>0</v>
      </c>
      <c r="AG72" s="591">
        <f t="shared" si="102"/>
        <v>0.24437378481765615</v>
      </c>
      <c r="AH72" s="591">
        <f t="shared" si="102"/>
        <v>0.29048401711401778</v>
      </c>
      <c r="AI72" s="591">
        <f t="shared" si="102"/>
        <v>0.30890125353420494</v>
      </c>
      <c r="AJ72" s="591">
        <f t="shared" si="102"/>
        <v>0.31987691427599968</v>
      </c>
      <c r="AK72" s="591">
        <f t="shared" si="102"/>
        <v>0.32777375370615452</v>
      </c>
      <c r="AL72" s="591">
        <f t="shared" si="102"/>
        <v>0.33183627919738179</v>
      </c>
      <c r="AM72" s="591">
        <f t="shared" si="102"/>
        <v>0.33534260946578215</v>
      </c>
      <c r="AN72" s="591">
        <f t="shared" si="102"/>
        <v>0.33802137301395058</v>
      </c>
      <c r="AO72" s="591">
        <f t="shared" si="102"/>
        <v>0.34060372457872695</v>
      </c>
      <c r="AP72" s="591">
        <f t="shared" si="102"/>
        <v>0.34227073881601155</v>
      </c>
      <c r="AQ72" s="591">
        <f t="shared" si="102"/>
        <v>0.36013841418688552</v>
      </c>
      <c r="AR72" s="591">
        <f t="shared" si="102"/>
        <v>0.36013841418688552</v>
      </c>
      <c r="AS72" s="591">
        <f t="shared" si="102"/>
        <v>0.36013841418688552</v>
      </c>
      <c r="AT72" s="591">
        <f t="shared" si="102"/>
        <v>0.36013841418688552</v>
      </c>
      <c r="AU72" s="591">
        <f t="shared" si="102"/>
        <v>0.36013841418688552</v>
      </c>
      <c r="AV72" s="591">
        <f t="shared" si="102"/>
        <v>0.36013841418688552</v>
      </c>
      <c r="AW72" s="591">
        <f t="shared" si="102"/>
        <v>0.36013841418688552</v>
      </c>
      <c r="AX72" s="591">
        <f t="shared" si="102"/>
        <v>0.36013841418688552</v>
      </c>
      <c r="AY72" s="591">
        <f t="shared" si="102"/>
        <v>0.36013841418688552</v>
      </c>
      <c r="AZ72" s="591">
        <f t="shared" si="102"/>
        <v>0.36013841418688552</v>
      </c>
      <c r="BA72" s="591">
        <f t="shared" si="102"/>
        <v>0.36013841418688552</v>
      </c>
      <c r="BB72" s="591">
        <f t="shared" si="102"/>
        <v>0.36013841418688552</v>
      </c>
      <c r="BC72" s="591">
        <f t="shared" si="102"/>
        <v>0.36013841418688552</v>
      </c>
      <c r="BD72" s="591">
        <f t="shared" si="102"/>
        <v>0.36013841418688552</v>
      </c>
      <c r="BE72" s="591">
        <f t="shared" si="102"/>
        <v>0.36013841418688564</v>
      </c>
      <c r="BF72" s="591">
        <f t="shared" si="102"/>
        <v>0.36013841418688564</v>
      </c>
      <c r="BG72" s="591">
        <f t="shared" si="102"/>
        <v>0.36013841418688564</v>
      </c>
      <c r="BH72" s="591">
        <f t="shared" si="102"/>
        <v>0.36013841418688564</v>
      </c>
      <c r="BI72" s="591">
        <f t="shared" si="102"/>
        <v>0.36013841418688564</v>
      </c>
      <c r="BJ72" s="591">
        <f t="shared" si="102"/>
        <v>0.36013841418688564</v>
      </c>
      <c r="BK72" s="591">
        <f t="shared" si="102"/>
        <v>0.36013841418688564</v>
      </c>
      <c r="BL72" s="591">
        <f t="shared" si="102"/>
        <v>0.36013841418688564</v>
      </c>
      <c r="BM72" s="591">
        <f t="shared" si="102"/>
        <v>0.36013841418688564</v>
      </c>
      <c r="BN72" s="591">
        <f t="shared" si="102"/>
        <v>0.36013841418688564</v>
      </c>
      <c r="BO72" s="591">
        <f t="shared" si="102"/>
        <v>0.36013841418688564</v>
      </c>
      <c r="BP72" s="591">
        <f t="shared" si="102"/>
        <v>0.36013841418688564</v>
      </c>
      <c r="BQ72" s="591">
        <f t="shared" si="102"/>
        <v>0.36013841418688558</v>
      </c>
      <c r="BR72" s="591">
        <f t="shared" si="102"/>
        <v>0.36013841418688558</v>
      </c>
      <c r="BS72" s="591">
        <f t="shared" si="102"/>
        <v>0.36013841418688558</v>
      </c>
      <c r="BT72" s="591">
        <f t="shared" si="102"/>
        <v>0.36013841418688558</v>
      </c>
      <c r="BU72" s="591">
        <f t="shared" ref="BU72:EF72" si="103">IFERROR(-BU70/BU52,0)</f>
        <v>0.36013841418688558</v>
      </c>
      <c r="BV72" s="591">
        <f t="shared" si="103"/>
        <v>0.36013841418688558</v>
      </c>
      <c r="BW72" s="591">
        <f t="shared" si="103"/>
        <v>0.36013841418688558</v>
      </c>
      <c r="BX72" s="591">
        <f t="shared" si="103"/>
        <v>0.36013841418688558</v>
      </c>
      <c r="BY72" s="591">
        <f t="shared" si="103"/>
        <v>0.36013841418688558</v>
      </c>
      <c r="BZ72" s="591">
        <f t="shared" si="103"/>
        <v>0.36013841418688558</v>
      </c>
      <c r="CA72" s="591">
        <f t="shared" si="103"/>
        <v>0.36013841418688558</v>
      </c>
      <c r="CB72" s="591">
        <f t="shared" si="103"/>
        <v>0.36013841418688558</v>
      </c>
      <c r="CC72" s="591">
        <f t="shared" si="103"/>
        <v>0</v>
      </c>
      <c r="CD72" s="591">
        <f t="shared" si="103"/>
        <v>0</v>
      </c>
      <c r="CE72" s="591">
        <f t="shared" si="103"/>
        <v>0</v>
      </c>
      <c r="CF72" s="591">
        <f t="shared" si="103"/>
        <v>0</v>
      </c>
      <c r="CG72" s="591">
        <f t="shared" si="103"/>
        <v>0</v>
      </c>
      <c r="CH72" s="591">
        <f t="shared" si="103"/>
        <v>0</v>
      </c>
      <c r="CI72" s="591">
        <f t="shared" si="103"/>
        <v>0</v>
      </c>
      <c r="CJ72" s="591">
        <f t="shared" si="103"/>
        <v>0</v>
      </c>
      <c r="CK72" s="591">
        <f t="shared" si="103"/>
        <v>0</v>
      </c>
      <c r="CL72" s="591">
        <f t="shared" si="103"/>
        <v>0</v>
      </c>
      <c r="CM72" s="591">
        <f t="shared" si="103"/>
        <v>0</v>
      </c>
      <c r="CN72" s="591">
        <f t="shared" si="103"/>
        <v>0</v>
      </c>
      <c r="CO72" s="591">
        <f t="shared" si="103"/>
        <v>0</v>
      </c>
      <c r="CP72" s="591">
        <f t="shared" si="103"/>
        <v>0</v>
      </c>
      <c r="CQ72" s="591">
        <f t="shared" si="103"/>
        <v>0</v>
      </c>
      <c r="CR72" s="591">
        <f t="shared" si="103"/>
        <v>0</v>
      </c>
      <c r="CS72" s="591">
        <f t="shared" si="103"/>
        <v>0</v>
      </c>
      <c r="CT72" s="591">
        <f t="shared" si="103"/>
        <v>0</v>
      </c>
      <c r="CU72" s="591">
        <f t="shared" si="103"/>
        <v>0</v>
      </c>
      <c r="CV72" s="591">
        <f t="shared" si="103"/>
        <v>0</v>
      </c>
      <c r="CW72" s="591">
        <f t="shared" si="103"/>
        <v>0</v>
      </c>
      <c r="CX72" s="591">
        <f t="shared" si="103"/>
        <v>0</v>
      </c>
      <c r="CY72" s="591">
        <f t="shared" si="103"/>
        <v>0</v>
      </c>
      <c r="CZ72" s="591">
        <f t="shared" si="103"/>
        <v>0</v>
      </c>
      <c r="DA72" s="591">
        <f t="shared" si="103"/>
        <v>0</v>
      </c>
      <c r="DB72" s="591">
        <f t="shared" si="103"/>
        <v>0</v>
      </c>
      <c r="DC72" s="591">
        <f t="shared" si="103"/>
        <v>0</v>
      </c>
      <c r="DD72" s="591">
        <f t="shared" si="103"/>
        <v>0</v>
      </c>
      <c r="DE72" s="591">
        <f t="shared" si="103"/>
        <v>0</v>
      </c>
      <c r="DF72" s="591">
        <f t="shared" si="103"/>
        <v>0</v>
      </c>
      <c r="DG72" s="591">
        <f t="shared" si="103"/>
        <v>0</v>
      </c>
      <c r="DH72" s="591">
        <f t="shared" si="103"/>
        <v>0</v>
      </c>
      <c r="DI72" s="591">
        <f t="shared" si="103"/>
        <v>0</v>
      </c>
      <c r="DJ72" s="591">
        <f t="shared" si="103"/>
        <v>0</v>
      </c>
      <c r="DK72" s="591">
        <f t="shared" si="103"/>
        <v>0</v>
      </c>
      <c r="DL72" s="591">
        <f t="shared" si="103"/>
        <v>0</v>
      </c>
      <c r="DM72" s="591">
        <f t="shared" si="103"/>
        <v>0</v>
      </c>
      <c r="DN72" s="591">
        <f t="shared" si="103"/>
        <v>0</v>
      </c>
      <c r="DO72" s="591">
        <f t="shared" si="103"/>
        <v>0</v>
      </c>
      <c r="DP72" s="591">
        <f t="shared" si="103"/>
        <v>0</v>
      </c>
      <c r="DQ72" s="591">
        <f t="shared" si="103"/>
        <v>0</v>
      </c>
      <c r="DR72" s="591">
        <f t="shared" si="103"/>
        <v>0</v>
      </c>
      <c r="DS72" s="591">
        <f t="shared" si="103"/>
        <v>0</v>
      </c>
      <c r="DT72" s="591">
        <f t="shared" si="103"/>
        <v>0</v>
      </c>
      <c r="DU72" s="591">
        <f t="shared" si="103"/>
        <v>0</v>
      </c>
      <c r="DV72" s="591">
        <f t="shared" si="103"/>
        <v>0</v>
      </c>
      <c r="DW72" s="591">
        <f t="shared" si="103"/>
        <v>0</v>
      </c>
      <c r="DX72" s="591">
        <f t="shared" si="103"/>
        <v>0</v>
      </c>
      <c r="DY72" s="591">
        <f t="shared" si="103"/>
        <v>0</v>
      </c>
      <c r="DZ72" s="591">
        <f t="shared" si="103"/>
        <v>0</v>
      </c>
      <c r="EA72" s="591">
        <f t="shared" si="103"/>
        <v>0</v>
      </c>
      <c r="EB72" s="591">
        <f t="shared" si="103"/>
        <v>0</v>
      </c>
      <c r="EC72" s="591">
        <f t="shared" si="103"/>
        <v>0</v>
      </c>
      <c r="ED72" s="591">
        <f t="shared" si="103"/>
        <v>0</v>
      </c>
      <c r="EE72" s="591">
        <f t="shared" si="103"/>
        <v>0</v>
      </c>
      <c r="EF72" s="591">
        <f t="shared" si="103"/>
        <v>0</v>
      </c>
      <c r="EG72" s="591">
        <f t="shared" ref="EG72:EJ72" si="104">IFERROR(-EG70/EG52,0)</f>
        <v>0</v>
      </c>
      <c r="EH72" s="591">
        <f t="shared" si="104"/>
        <v>0</v>
      </c>
      <c r="EI72" s="591">
        <f t="shared" si="104"/>
        <v>0</v>
      </c>
      <c r="EJ72" s="1143">
        <f t="shared" si="104"/>
        <v>0</v>
      </c>
    </row>
    <row r="73" spans="1:140" ht="15.75" customHeight="1" thickBot="1" x14ac:dyDescent="0.3">
      <c r="A73" s="6"/>
      <c r="B73" s="387"/>
      <c r="C73" s="388"/>
      <c r="D73" s="388"/>
      <c r="E73" s="388"/>
      <c r="F73" s="388"/>
      <c r="G73" s="388"/>
      <c r="H73" s="1144"/>
      <c r="I73" s="1145"/>
      <c r="J73" s="1145"/>
      <c r="K73" s="1145"/>
      <c r="L73" s="1145"/>
      <c r="M73" s="1145"/>
      <c r="N73" s="1145"/>
      <c r="O73" s="1145"/>
      <c r="P73" s="1145"/>
      <c r="Q73" s="1145"/>
      <c r="R73" s="1145"/>
      <c r="S73" s="1145"/>
      <c r="T73" s="1145"/>
      <c r="U73" s="1145"/>
      <c r="V73" s="1145"/>
      <c r="W73" s="1145"/>
      <c r="X73" s="1145"/>
      <c r="Y73" s="1145"/>
      <c r="Z73" s="1145"/>
      <c r="AA73" s="1145"/>
      <c r="AB73" s="1145"/>
      <c r="AC73" s="1145"/>
      <c r="AD73" s="1145"/>
      <c r="AE73" s="1145"/>
      <c r="AF73" s="1145"/>
      <c r="AG73" s="1145"/>
      <c r="AH73" s="1145"/>
      <c r="AI73" s="1145"/>
      <c r="AJ73" s="1145"/>
      <c r="AK73" s="1145"/>
      <c r="AL73" s="1145"/>
      <c r="AM73" s="1145"/>
      <c r="AN73" s="1145"/>
      <c r="AO73" s="1145"/>
      <c r="AP73" s="1145"/>
      <c r="AQ73" s="1145"/>
      <c r="AR73" s="1145"/>
      <c r="AS73" s="1145"/>
      <c r="AT73" s="1145"/>
      <c r="AU73" s="1145"/>
      <c r="AV73" s="1145"/>
      <c r="AW73" s="1145"/>
      <c r="AX73" s="1145"/>
      <c r="AY73" s="1145"/>
      <c r="AZ73" s="1145"/>
      <c r="BA73" s="1145"/>
      <c r="BB73" s="1145"/>
      <c r="BC73" s="1145"/>
      <c r="BD73" s="1145"/>
      <c r="BE73" s="1145"/>
      <c r="BF73" s="1145"/>
      <c r="BG73" s="1145"/>
      <c r="BH73" s="1145"/>
      <c r="BI73" s="1145"/>
      <c r="BJ73" s="1145"/>
      <c r="BK73" s="1145"/>
      <c r="BL73" s="1145"/>
      <c r="BM73" s="1145"/>
      <c r="BN73" s="1145"/>
      <c r="BO73" s="1145"/>
      <c r="BP73" s="1145"/>
      <c r="BQ73" s="1145"/>
      <c r="BR73" s="1145"/>
      <c r="BS73" s="1145"/>
      <c r="BT73" s="1145"/>
      <c r="BU73" s="1145"/>
      <c r="BV73" s="1145"/>
      <c r="BW73" s="1145"/>
      <c r="BX73" s="1145"/>
      <c r="BY73" s="1145"/>
      <c r="BZ73" s="1145"/>
      <c r="CA73" s="1145"/>
      <c r="CB73" s="1145"/>
      <c r="CC73" s="1145"/>
      <c r="CD73" s="1145"/>
      <c r="CE73" s="1145"/>
      <c r="CF73" s="1145"/>
      <c r="CG73" s="1145"/>
      <c r="CH73" s="1145"/>
      <c r="CI73" s="1145"/>
      <c r="CJ73" s="1145"/>
      <c r="CK73" s="1145"/>
      <c r="CL73" s="1145"/>
      <c r="CM73" s="1145"/>
      <c r="CN73" s="1145"/>
      <c r="CO73" s="1145"/>
      <c r="CP73" s="1145"/>
      <c r="CQ73" s="1145"/>
      <c r="CR73" s="1145"/>
      <c r="CS73" s="1145"/>
      <c r="CT73" s="1145"/>
      <c r="CU73" s="1145"/>
      <c r="CV73" s="1145"/>
      <c r="CW73" s="1145"/>
      <c r="CX73" s="1145"/>
      <c r="CY73" s="1145"/>
      <c r="CZ73" s="1145"/>
      <c r="DA73" s="1145"/>
      <c r="DB73" s="1145"/>
      <c r="DC73" s="1145"/>
      <c r="DD73" s="1145"/>
      <c r="DE73" s="1145"/>
      <c r="DF73" s="1145"/>
      <c r="DG73" s="1145"/>
      <c r="DH73" s="1145"/>
      <c r="DI73" s="1145"/>
      <c r="DJ73" s="1145"/>
      <c r="DK73" s="1145"/>
      <c r="DL73" s="1145"/>
      <c r="DM73" s="1145"/>
      <c r="DN73" s="1145"/>
      <c r="DO73" s="1145"/>
      <c r="DP73" s="1145"/>
      <c r="DQ73" s="1145"/>
      <c r="DR73" s="1145"/>
      <c r="DS73" s="1145"/>
      <c r="DT73" s="1145"/>
      <c r="DU73" s="1145"/>
      <c r="DV73" s="1145"/>
      <c r="DW73" s="1145"/>
      <c r="DX73" s="1145"/>
      <c r="DY73" s="1145"/>
      <c r="DZ73" s="1145"/>
      <c r="EA73" s="1145"/>
      <c r="EB73" s="1145"/>
      <c r="EC73" s="1145"/>
      <c r="ED73" s="1145"/>
      <c r="EE73" s="1145"/>
      <c r="EF73" s="1145"/>
      <c r="EG73" s="1145"/>
      <c r="EH73" s="1145"/>
      <c r="EI73" s="1145"/>
      <c r="EJ73" s="1146"/>
    </row>
    <row r="74" spans="1:140" ht="23.25" customHeight="1" thickBot="1" x14ac:dyDescent="0.3">
      <c r="A74" s="390"/>
      <c r="B74" s="391" t="s">
        <v>80</v>
      </c>
      <c r="C74" s="392"/>
      <c r="D74" s="392"/>
      <c r="E74" s="392"/>
      <c r="F74" s="392"/>
      <c r="G74" s="1084"/>
      <c r="H74" s="1147">
        <f t="shared" ref="H74:AM74" si="105">H52+H70</f>
        <v>0</v>
      </c>
      <c r="I74" s="1148">
        <f t="shared" si="105"/>
        <v>0</v>
      </c>
      <c r="J74" s="1148">
        <f t="shared" si="105"/>
        <v>0</v>
      </c>
      <c r="K74" s="1148">
        <f t="shared" si="105"/>
        <v>0</v>
      </c>
      <c r="L74" s="1148">
        <f t="shared" si="105"/>
        <v>0</v>
      </c>
      <c r="M74" s="1148">
        <f t="shared" si="105"/>
        <v>0</v>
      </c>
      <c r="N74" s="1148">
        <f t="shared" si="105"/>
        <v>0</v>
      </c>
      <c r="O74" s="1148">
        <f t="shared" si="105"/>
        <v>0</v>
      </c>
      <c r="P74" s="1148">
        <f t="shared" si="105"/>
        <v>0</v>
      </c>
      <c r="Q74" s="1148">
        <f t="shared" si="105"/>
        <v>0</v>
      </c>
      <c r="R74" s="1148">
        <f t="shared" si="105"/>
        <v>0</v>
      </c>
      <c r="S74" s="1148">
        <f t="shared" si="105"/>
        <v>0</v>
      </c>
      <c r="T74" s="1148">
        <f t="shared" si="105"/>
        <v>0</v>
      </c>
      <c r="U74" s="1148">
        <f t="shared" si="105"/>
        <v>0</v>
      </c>
      <c r="V74" s="1148">
        <f t="shared" si="105"/>
        <v>0</v>
      </c>
      <c r="W74" s="1148">
        <f t="shared" si="105"/>
        <v>0</v>
      </c>
      <c r="X74" s="1148">
        <f t="shared" si="105"/>
        <v>0</v>
      </c>
      <c r="Y74" s="1148">
        <f t="shared" si="105"/>
        <v>0</v>
      </c>
      <c r="Z74" s="1148">
        <f t="shared" si="105"/>
        <v>0</v>
      </c>
      <c r="AA74" s="1148">
        <f t="shared" si="105"/>
        <v>0</v>
      </c>
      <c r="AB74" s="1148">
        <f t="shared" si="105"/>
        <v>0</v>
      </c>
      <c r="AC74" s="1148">
        <f t="shared" si="105"/>
        <v>0</v>
      </c>
      <c r="AD74" s="1148">
        <f t="shared" si="105"/>
        <v>0</v>
      </c>
      <c r="AE74" s="1148">
        <f t="shared" si="105"/>
        <v>0</v>
      </c>
      <c r="AF74" s="1148">
        <f t="shared" si="105"/>
        <v>0</v>
      </c>
      <c r="AG74" s="1148">
        <f t="shared" si="105"/>
        <v>24931.911803370309</v>
      </c>
      <c r="AH74" s="1148">
        <f t="shared" si="105"/>
        <v>39388.83331204061</v>
      </c>
      <c r="AI74" s="1148">
        <f t="shared" si="105"/>
        <v>54118.390207210927</v>
      </c>
      <c r="AJ74" s="1148">
        <f t="shared" si="105"/>
        <v>68575.311715881238</v>
      </c>
      <c r="AK74" s="1148">
        <f t="shared" si="105"/>
        <v>82682.666674551554</v>
      </c>
      <c r="AL74" s="1148">
        <f t="shared" si="105"/>
        <v>97412.223569721871</v>
      </c>
      <c r="AM74" s="1148">
        <f t="shared" si="105"/>
        <v>111869.14507839219</v>
      </c>
      <c r="AN74" s="1148">
        <f t="shared" ref="AN74:BS74" si="106">AN52+AN70</f>
        <v>126326.06658706249</v>
      </c>
      <c r="AO74" s="1148">
        <f t="shared" si="106"/>
        <v>140489.15062273279</v>
      </c>
      <c r="AP74" s="1148">
        <f t="shared" si="106"/>
        <v>154946.07213140308</v>
      </c>
      <c r="AQ74" s="1148">
        <f t="shared" si="106"/>
        <v>146839.74983807071</v>
      </c>
      <c r="AR74" s="1148">
        <f t="shared" si="106"/>
        <v>146839.74983807071</v>
      </c>
      <c r="AS74" s="1148">
        <f t="shared" si="106"/>
        <v>151244.94233321279</v>
      </c>
      <c r="AT74" s="1148">
        <f t="shared" si="106"/>
        <v>151244.94233321279</v>
      </c>
      <c r="AU74" s="1148">
        <f t="shared" si="106"/>
        <v>151244.94233321279</v>
      </c>
      <c r="AV74" s="1148">
        <f t="shared" si="106"/>
        <v>151244.94233321279</v>
      </c>
      <c r="AW74" s="1148">
        <f t="shared" si="106"/>
        <v>151244.94233321279</v>
      </c>
      <c r="AX74" s="1148">
        <f t="shared" si="106"/>
        <v>151244.94233321279</v>
      </c>
      <c r="AY74" s="1148">
        <f t="shared" si="106"/>
        <v>151244.94233321279</v>
      </c>
      <c r="AZ74" s="1148">
        <f t="shared" si="106"/>
        <v>151244.94233321279</v>
      </c>
      <c r="BA74" s="1148">
        <f t="shared" si="106"/>
        <v>151244.94233321279</v>
      </c>
      <c r="BB74" s="1148">
        <f t="shared" si="106"/>
        <v>151244.94233321279</v>
      </c>
      <c r="BC74" s="1148">
        <f t="shared" si="106"/>
        <v>151244.94233321279</v>
      </c>
      <c r="BD74" s="1148">
        <f t="shared" si="106"/>
        <v>151244.94233321279</v>
      </c>
      <c r="BE74" s="1148">
        <f t="shared" si="106"/>
        <v>155782.29060320911</v>
      </c>
      <c r="BF74" s="1148">
        <f t="shared" si="106"/>
        <v>155782.29060320911</v>
      </c>
      <c r="BG74" s="1148">
        <f t="shared" si="106"/>
        <v>155782.29060320911</v>
      </c>
      <c r="BH74" s="1148">
        <f t="shared" si="106"/>
        <v>155782.29060320911</v>
      </c>
      <c r="BI74" s="1148">
        <f t="shared" si="106"/>
        <v>155782.29060320911</v>
      </c>
      <c r="BJ74" s="1148">
        <f t="shared" si="106"/>
        <v>155782.29060320911</v>
      </c>
      <c r="BK74" s="1148">
        <f t="shared" si="106"/>
        <v>155782.29060320911</v>
      </c>
      <c r="BL74" s="1148">
        <f t="shared" si="106"/>
        <v>155782.29060320911</v>
      </c>
      <c r="BM74" s="1148">
        <f t="shared" si="106"/>
        <v>155782.29060320911</v>
      </c>
      <c r="BN74" s="1148">
        <f t="shared" si="106"/>
        <v>155782.29060320911</v>
      </c>
      <c r="BO74" s="1148">
        <f t="shared" si="106"/>
        <v>155782.29060320911</v>
      </c>
      <c r="BP74" s="1148">
        <f t="shared" si="106"/>
        <v>155782.29060320911</v>
      </c>
      <c r="BQ74" s="1148">
        <f t="shared" si="106"/>
        <v>160455.75932130544</v>
      </c>
      <c r="BR74" s="1148">
        <f t="shared" si="106"/>
        <v>160455.75932130544</v>
      </c>
      <c r="BS74" s="1148">
        <f t="shared" si="106"/>
        <v>160455.75932130544</v>
      </c>
      <c r="BT74" s="1148">
        <f t="shared" ref="BT74:CY74" si="107">BT52+BT70</f>
        <v>160455.75932130544</v>
      </c>
      <c r="BU74" s="1148">
        <f t="shared" si="107"/>
        <v>160455.75932130544</v>
      </c>
      <c r="BV74" s="1148">
        <f t="shared" si="107"/>
        <v>160455.75932130544</v>
      </c>
      <c r="BW74" s="1148">
        <f t="shared" si="107"/>
        <v>160455.75932130544</v>
      </c>
      <c r="BX74" s="1148">
        <f t="shared" si="107"/>
        <v>160455.75932130544</v>
      </c>
      <c r="BY74" s="1148">
        <f t="shared" si="107"/>
        <v>160455.75932130544</v>
      </c>
      <c r="BZ74" s="1148">
        <f t="shared" si="107"/>
        <v>160455.75932130544</v>
      </c>
      <c r="CA74" s="1148">
        <f t="shared" si="107"/>
        <v>160455.75932130544</v>
      </c>
      <c r="CB74" s="1148">
        <f t="shared" si="107"/>
        <v>160455.75932130544</v>
      </c>
      <c r="CC74" s="1148">
        <f t="shared" si="107"/>
        <v>0</v>
      </c>
      <c r="CD74" s="1148">
        <f t="shared" si="107"/>
        <v>0</v>
      </c>
      <c r="CE74" s="1148">
        <f t="shared" si="107"/>
        <v>0</v>
      </c>
      <c r="CF74" s="1148">
        <f t="shared" si="107"/>
        <v>0</v>
      </c>
      <c r="CG74" s="1148">
        <f t="shared" si="107"/>
        <v>0</v>
      </c>
      <c r="CH74" s="1148">
        <f t="shared" si="107"/>
        <v>0</v>
      </c>
      <c r="CI74" s="1148">
        <f t="shared" si="107"/>
        <v>0</v>
      </c>
      <c r="CJ74" s="1148">
        <f t="shared" si="107"/>
        <v>0</v>
      </c>
      <c r="CK74" s="1148">
        <f t="shared" si="107"/>
        <v>0</v>
      </c>
      <c r="CL74" s="1148">
        <f t="shared" si="107"/>
        <v>0</v>
      </c>
      <c r="CM74" s="1148">
        <f t="shared" si="107"/>
        <v>0</v>
      </c>
      <c r="CN74" s="1148">
        <f t="shared" si="107"/>
        <v>0</v>
      </c>
      <c r="CO74" s="1148">
        <f t="shared" si="107"/>
        <v>0</v>
      </c>
      <c r="CP74" s="1148">
        <f t="shared" si="107"/>
        <v>0</v>
      </c>
      <c r="CQ74" s="1148">
        <f t="shared" si="107"/>
        <v>0</v>
      </c>
      <c r="CR74" s="1148">
        <f t="shared" si="107"/>
        <v>0</v>
      </c>
      <c r="CS74" s="1148">
        <f t="shared" si="107"/>
        <v>0</v>
      </c>
      <c r="CT74" s="1148">
        <f t="shared" si="107"/>
        <v>0</v>
      </c>
      <c r="CU74" s="1148">
        <f t="shared" si="107"/>
        <v>0</v>
      </c>
      <c r="CV74" s="1148">
        <f t="shared" si="107"/>
        <v>0</v>
      </c>
      <c r="CW74" s="1148">
        <f t="shared" si="107"/>
        <v>0</v>
      </c>
      <c r="CX74" s="1148">
        <f t="shared" si="107"/>
        <v>0</v>
      </c>
      <c r="CY74" s="1148">
        <f t="shared" si="107"/>
        <v>0</v>
      </c>
      <c r="CZ74" s="1148">
        <f t="shared" ref="CZ74:EJ74" si="108">CZ52+CZ70</f>
        <v>0</v>
      </c>
      <c r="DA74" s="1148">
        <f t="shared" si="108"/>
        <v>0</v>
      </c>
      <c r="DB74" s="1148">
        <f t="shared" si="108"/>
        <v>0</v>
      </c>
      <c r="DC74" s="1148">
        <f t="shared" si="108"/>
        <v>0</v>
      </c>
      <c r="DD74" s="1148">
        <f t="shared" si="108"/>
        <v>0</v>
      </c>
      <c r="DE74" s="1148">
        <f t="shared" si="108"/>
        <v>0</v>
      </c>
      <c r="DF74" s="1148">
        <f t="shared" si="108"/>
        <v>0</v>
      </c>
      <c r="DG74" s="1148">
        <f t="shared" si="108"/>
        <v>0</v>
      </c>
      <c r="DH74" s="1148">
        <f t="shared" si="108"/>
        <v>0</v>
      </c>
      <c r="DI74" s="1148">
        <f t="shared" si="108"/>
        <v>0</v>
      </c>
      <c r="DJ74" s="1148">
        <f t="shared" si="108"/>
        <v>0</v>
      </c>
      <c r="DK74" s="1148">
        <f t="shared" si="108"/>
        <v>0</v>
      </c>
      <c r="DL74" s="1148">
        <f t="shared" si="108"/>
        <v>0</v>
      </c>
      <c r="DM74" s="1148">
        <f t="shared" si="108"/>
        <v>0</v>
      </c>
      <c r="DN74" s="1148">
        <f t="shared" si="108"/>
        <v>0</v>
      </c>
      <c r="DO74" s="1148">
        <f t="shared" si="108"/>
        <v>0</v>
      </c>
      <c r="DP74" s="1148">
        <f t="shared" si="108"/>
        <v>0</v>
      </c>
      <c r="DQ74" s="1148">
        <f t="shared" si="108"/>
        <v>0</v>
      </c>
      <c r="DR74" s="1148">
        <f t="shared" si="108"/>
        <v>0</v>
      </c>
      <c r="DS74" s="1148">
        <f t="shared" si="108"/>
        <v>0</v>
      </c>
      <c r="DT74" s="1148">
        <f t="shared" si="108"/>
        <v>0</v>
      </c>
      <c r="DU74" s="1148">
        <f t="shared" si="108"/>
        <v>0</v>
      </c>
      <c r="DV74" s="1148">
        <f t="shared" si="108"/>
        <v>0</v>
      </c>
      <c r="DW74" s="1148">
        <f t="shared" si="108"/>
        <v>0</v>
      </c>
      <c r="DX74" s="1148">
        <f t="shared" si="108"/>
        <v>0</v>
      </c>
      <c r="DY74" s="1148">
        <f t="shared" si="108"/>
        <v>0</v>
      </c>
      <c r="DZ74" s="1148">
        <f t="shared" si="108"/>
        <v>0</v>
      </c>
      <c r="EA74" s="1148">
        <f t="shared" si="108"/>
        <v>0</v>
      </c>
      <c r="EB74" s="1148">
        <f t="shared" si="108"/>
        <v>0</v>
      </c>
      <c r="EC74" s="1148">
        <f t="shared" si="108"/>
        <v>0</v>
      </c>
      <c r="ED74" s="1148">
        <f t="shared" si="108"/>
        <v>0</v>
      </c>
      <c r="EE74" s="1148">
        <f t="shared" si="108"/>
        <v>0</v>
      </c>
      <c r="EF74" s="1148">
        <f t="shared" si="108"/>
        <v>0</v>
      </c>
      <c r="EG74" s="1148">
        <f t="shared" si="108"/>
        <v>0</v>
      </c>
      <c r="EH74" s="1148">
        <f t="shared" si="108"/>
        <v>0</v>
      </c>
      <c r="EI74" s="1148">
        <f t="shared" si="108"/>
        <v>0</v>
      </c>
      <c r="EJ74" s="1149">
        <f t="shared" si="108"/>
        <v>0</v>
      </c>
    </row>
    <row r="75" spans="1:140" ht="15.75" customHeight="1" x14ac:dyDescent="0.25">
      <c r="A75" s="6"/>
      <c r="B75" s="393"/>
      <c r="C75" s="358"/>
      <c r="D75" s="386" t="s">
        <v>302</v>
      </c>
      <c r="E75" s="394">
        <v>1</v>
      </c>
      <c r="F75" s="358"/>
      <c r="G75" s="1069" t="s">
        <v>303</v>
      </c>
      <c r="H75" s="1150" t="str">
        <f t="array" ref="H75">IFERROR(INDEX('Construction Spend Curve'!$H$6:$BM$466,MATCH($F95,'Construction Spend Curve'!$H$6:$H$466,0),MATCH(EOMONTH('Monthly DCF'!H$3,-'Monthly DCF'!$E95+1),'Construction Spend Curve'!$H$5:$BM$5,0)),"")</f>
        <v/>
      </c>
      <c r="I75" s="1151">
        <f t="array" ref="I75">IFERROR(INDEX('Construction Spend Curve'!$H$6:$BM$466,MATCH($F95,'Construction Spend Curve'!$H$6:$H$466,0),MATCH(EOMONTH('Monthly DCF'!I$3,-'Monthly DCF'!$E95+1),'Construction Spend Curve'!$H$5:$BM$5,0)),"")</f>
        <v>3.8699364312346482E-2</v>
      </c>
      <c r="J75" s="1151">
        <f t="array" ref="J75">IFERROR(INDEX('Construction Spend Curve'!$H$6:$BM$466,MATCH($F95,'Construction Spend Curve'!$H$6:$H$466,0),MATCH(EOMONTH('Monthly DCF'!J$3,-'Monthly DCF'!$E95+1),'Construction Spend Curve'!$H$5:$BM$5,0)),"")</f>
        <v>3.9445407737453315E-2</v>
      </c>
      <c r="K75" s="1151">
        <f t="array" ref="K75">IFERROR(INDEX('Construction Spend Curve'!$H$6:$BM$466,MATCH($F95,'Construction Spend Curve'!$H$6:$H$466,0),MATCH(EOMONTH('Monthly DCF'!K$3,-'Monthly DCF'!$E95+1),'Construction Spend Curve'!$H$5:$BM$5,0)),"")</f>
        <v>4.0136102174595137E-2</v>
      </c>
      <c r="L75" s="1151">
        <f t="array" ref="L75">IFERROR(INDEX('Construction Spend Curve'!$H$6:$BM$466,MATCH($F95,'Construction Spend Curve'!$H$6:$H$466,0),MATCH(EOMONTH('Monthly DCF'!L$3,-'Monthly DCF'!$E95+1),'Construction Spend Curve'!$H$5:$BM$5,0)),"")</f>
        <v>4.076806166234722E-2</v>
      </c>
      <c r="M75" s="1151">
        <f t="array" ref="M75">IFERROR(INDEX('Construction Spend Curve'!$H$6:$BM$466,MATCH($F95,'Construction Spend Curve'!$H$6:$H$466,0),MATCH(EOMONTH('Monthly DCF'!M$3,-'Monthly DCF'!$E95+1),'Construction Spend Curve'!$H$5:$BM$5,0)),"")</f>
        <v>4.1338152053887786E-2</v>
      </c>
      <c r="N75" s="1151">
        <f t="array" ref="N75">IFERROR(INDEX('Construction Spend Curve'!$H$6:$BM$466,MATCH($F95,'Construction Spend Curve'!$H$6:$H$466,0),MATCH(EOMONTH('Monthly DCF'!N$3,-'Monthly DCF'!$E95+1),'Construction Spend Curve'!$H$5:$BM$5,0)),"")</f>
        <v>4.1843516883625115E-2</v>
      </c>
      <c r="O75" s="1151">
        <f t="array" ref="O75">IFERROR(INDEX('Construction Spend Curve'!$H$6:$BM$466,MATCH($F95,'Construction Spend Curve'!$H$6:$H$466,0),MATCH(EOMONTH('Monthly DCF'!O$3,-'Monthly DCF'!$E95+1),'Construction Spend Curve'!$H$5:$BM$5,0)),"")</f>
        <v>4.2281601193953612E-2</v>
      </c>
      <c r="P75" s="1151">
        <f t="array" ref="P75">IFERROR(INDEX('Construction Spend Curve'!$H$6:$BM$466,MATCH($F95,'Construction Spend Curve'!$H$6:$H$466,0),MATCH(EOMONTH('Monthly DCF'!P$3,-'Monthly DCF'!$E95+1),'Construction Spend Curve'!$H$5:$BM$5,0)),"")</f>
        <v>4.2650173044222514E-2</v>
      </c>
      <c r="Q75" s="1151">
        <f t="array" ref="Q75">IFERROR(INDEX('Construction Spend Curve'!$H$6:$BM$466,MATCH($F95,'Construction Spend Curve'!$H$6:$H$466,0),MATCH(EOMONTH('Monthly DCF'!Q$3,-'Monthly DCF'!$E95+1),'Construction Spend Curve'!$H$5:$BM$5,0)),"")</f>
        <v>4.2947342448644461E-2</v>
      </c>
      <c r="R75" s="1151">
        <f t="array" ref="R75">IFERROR(INDEX('Construction Spend Curve'!$H$6:$BM$466,MATCH($F95,'Construction Spend Curve'!$H$6:$H$466,0),MATCH(EOMONTH('Monthly DCF'!R$3,-'Monthly DCF'!$E95+1),'Construction Spend Curve'!$H$5:$BM$5,0)),"")</f>
        <v>4.3171577518350913E-2</v>
      </c>
      <c r="S75" s="1151">
        <f t="array" ref="S75">IFERROR(INDEX('Construction Spend Curve'!$H$6:$BM$466,MATCH($F95,'Construction Spend Curve'!$H$6:$H$466,0),MATCH(EOMONTH('Monthly DCF'!S$3,-'Monthly DCF'!$E95+1),'Construction Spend Curve'!$H$5:$BM$5,0)),"")</f>
        <v>4.3321717614706372E-2</v>
      </c>
      <c r="T75" s="1151">
        <f t="array" ref="T75">IFERROR(INDEX('Construction Spend Curve'!$H$6:$BM$466,MATCH($F95,'Construction Spend Curve'!$H$6:$H$466,0),MATCH(EOMONTH('Monthly DCF'!T$3,-'Monthly DCF'!$E95+1),'Construction Spend Curve'!$H$5:$BM$5,0)),"")</f>
        <v>4.3396983355867079E-2</v>
      </c>
      <c r="U75" s="1151">
        <f t="array" ref="U75">IFERROR(INDEX('Construction Spend Curve'!$H$6:$BM$466,MATCH($F95,'Construction Spend Curve'!$H$6:$H$466,0),MATCH(EOMONTH('Monthly DCF'!U$3,-'Monthly DCF'!$E95+1),'Construction Spend Curve'!$H$5:$BM$5,0)),"")</f>
        <v>4.3396983355867079E-2</v>
      </c>
      <c r="V75" s="1151">
        <f t="array" ref="V75">IFERROR(INDEX('Construction Spend Curve'!$H$6:$BM$466,MATCH($F95,'Construction Spend Curve'!$H$6:$H$466,0),MATCH(EOMONTH('Monthly DCF'!V$3,-'Monthly DCF'!$E95+1),'Construction Spend Curve'!$H$5:$BM$5,0)),"")</f>
        <v>4.3321717614706226E-2</v>
      </c>
      <c r="W75" s="1151">
        <f t="array" ref="W75">IFERROR(INDEX('Construction Spend Curve'!$H$6:$BM$466,MATCH($F95,'Construction Spend Curve'!$H$6:$H$466,0),MATCH(EOMONTH('Monthly DCF'!W$3,-'Monthly DCF'!$E95+1),'Construction Spend Curve'!$H$5:$BM$5,0)),"")</f>
        <v>4.3171577518351059E-2</v>
      </c>
      <c r="X75" s="1151">
        <f t="array" ref="X75">IFERROR(INDEX('Construction Spend Curve'!$H$6:$BM$466,MATCH($F95,'Construction Spend Curve'!$H$6:$H$466,0),MATCH(EOMONTH('Monthly DCF'!X$3,-'Monthly DCF'!$E95+1),'Construction Spend Curve'!$H$5:$BM$5,0)),"")</f>
        <v>4.2947342448644461E-2</v>
      </c>
      <c r="Y75" s="1151">
        <f t="array" ref="Y75">IFERROR(INDEX('Construction Spend Curve'!$H$6:$BM$466,MATCH($F95,'Construction Spend Curve'!$H$6:$H$466,0),MATCH(EOMONTH('Monthly DCF'!Y$3,-'Monthly DCF'!$E95+1),'Construction Spend Curve'!$H$5:$BM$5,0)),"")</f>
        <v>4.2650173044222514E-2</v>
      </c>
      <c r="Z75" s="1151">
        <f t="array" ref="Z75">IFERROR(INDEX('Construction Spend Curve'!$H$6:$BM$466,MATCH($F95,'Construction Spend Curve'!$H$6:$H$466,0),MATCH(EOMONTH('Monthly DCF'!Z$3,-'Monthly DCF'!$E95+1),'Construction Spend Curve'!$H$5:$BM$5,0)),"")</f>
        <v>4.2281601193953612E-2</v>
      </c>
      <c r="AA75" s="1151">
        <f t="array" ref="AA75">IFERROR(INDEX('Construction Spend Curve'!$H$6:$BM$466,MATCH($F95,'Construction Spend Curve'!$H$6:$H$466,0),MATCH(EOMONTH('Monthly DCF'!AA$3,-'Monthly DCF'!$E95+1),'Construction Spend Curve'!$H$5:$BM$5,0)),"")</f>
        <v>4.1843516883625115E-2</v>
      </c>
      <c r="AB75" s="1151">
        <f t="array" ref="AB75">IFERROR(INDEX('Construction Spend Curve'!$H$6:$BM$466,MATCH($F95,'Construction Spend Curve'!$H$6:$H$466,0),MATCH(EOMONTH('Monthly DCF'!AB$3,-'Monthly DCF'!$E95+1),'Construction Spend Curve'!$H$5:$BM$5,0)),"")</f>
        <v>4.1338152053887932E-2</v>
      </c>
      <c r="AC75" s="1151">
        <f t="array" ref="AC75">IFERROR(INDEX('Construction Spend Curve'!$H$6:$BM$466,MATCH($F95,'Construction Spend Curve'!$H$6:$H$466,0),MATCH(EOMONTH('Monthly DCF'!AC$3,-'Monthly DCF'!$E95+1),'Construction Spend Curve'!$H$5:$BM$5,0)),"")</f>
        <v>4.0768061662347074E-2</v>
      </c>
      <c r="AD75" s="1151">
        <f t="array" ref="AD75">IFERROR(INDEX('Construction Spend Curve'!$H$6:$BM$466,MATCH($F95,'Construction Spend Curve'!$H$6:$H$466,0),MATCH(EOMONTH('Monthly DCF'!AD$3,-'Monthly DCF'!$E95+1),'Construction Spend Curve'!$H$5:$BM$5,0)),"")</f>
        <v>4.0136102174594991E-2</v>
      </c>
      <c r="AE75" s="1151">
        <f t="array" ref="AE75">IFERROR(INDEX('Construction Spend Curve'!$H$6:$BM$466,MATCH($F95,'Construction Spend Curve'!$H$6:$H$466,0),MATCH(EOMONTH('Monthly DCF'!AE$3,-'Monthly DCF'!$E95+1),'Construction Spend Curve'!$H$5:$BM$5,0)),"")</f>
        <v>3.94454077374536E-2</v>
      </c>
      <c r="AF75" s="1151">
        <f t="array" ref="AF75">IFERROR(INDEX('Construction Spend Curve'!$H$6:$BM$466,MATCH($F95,'Construction Spend Curve'!$H$6:$H$466,0),MATCH(EOMONTH('Monthly DCF'!AF$3,-'Monthly DCF'!$E95+1),'Construction Spend Curve'!$H$5:$BM$5,0)),"")</f>
        <v>3.8699364312346336E-2</v>
      </c>
      <c r="AG75" s="1151" t="str">
        <f t="array" ref="AG75">IFERROR(INDEX('Construction Spend Curve'!$H$6:$BM$466,MATCH($F95,'Construction Spend Curve'!$H$6:$H$466,0),MATCH(EOMONTH('Monthly DCF'!AG$3,-'Monthly DCF'!$E95+1),'Construction Spend Curve'!$H$5:$BM$5,0)),"")</f>
        <v/>
      </c>
      <c r="AH75" s="1151" t="str">
        <f t="array" ref="AH75">IFERROR(INDEX('Construction Spend Curve'!$H$6:$BM$466,MATCH($F95,'Construction Spend Curve'!$H$6:$H$466,0),MATCH(EOMONTH('Monthly DCF'!AH$3,-'Monthly DCF'!$E95+1),'Construction Spend Curve'!$H$5:$BM$5,0)),"")</f>
        <v/>
      </c>
      <c r="AI75" s="1151" t="str">
        <f t="array" ref="AI75">IFERROR(INDEX('Construction Spend Curve'!$H$6:$BM$466,MATCH($F95,'Construction Spend Curve'!$H$6:$H$466,0),MATCH(EOMONTH('Monthly DCF'!AI$3,-'Monthly DCF'!$E95+1),'Construction Spend Curve'!$H$5:$BM$5,0)),"")</f>
        <v/>
      </c>
      <c r="AJ75" s="1151" t="str">
        <f t="array" ref="AJ75">IFERROR(INDEX('Construction Spend Curve'!$H$6:$BM$466,MATCH($F95,'Construction Spend Curve'!$H$6:$H$466,0),MATCH(EOMONTH('Monthly DCF'!AJ$3,-'Monthly DCF'!$E95+1),'Construction Spend Curve'!$H$5:$BM$5,0)),"")</f>
        <v/>
      </c>
      <c r="AK75" s="1151" t="str">
        <f t="array" ref="AK75">IFERROR(INDEX('Construction Spend Curve'!$H$6:$BM$466,MATCH($F95,'Construction Spend Curve'!$H$6:$H$466,0),MATCH(EOMONTH('Monthly DCF'!AK$3,-'Monthly DCF'!$E95+1),'Construction Spend Curve'!$H$5:$BM$5,0)),"")</f>
        <v/>
      </c>
      <c r="AL75" s="1151" t="str">
        <f t="array" ref="AL75">IFERROR(INDEX('Construction Spend Curve'!$H$6:$BM$466,MATCH($F95,'Construction Spend Curve'!$H$6:$H$466,0),MATCH(EOMONTH('Monthly DCF'!AL$3,-'Monthly DCF'!$E95+1),'Construction Spend Curve'!$H$5:$BM$5,0)),"")</f>
        <v/>
      </c>
      <c r="AM75" s="1151" t="str">
        <f t="array" ref="AM75">IFERROR(INDEX('Construction Spend Curve'!$H$6:$BM$466,MATCH($F95,'Construction Spend Curve'!$H$6:$H$466,0),MATCH(EOMONTH('Monthly DCF'!AM$3,-'Monthly DCF'!$E95+1),'Construction Spend Curve'!$H$5:$BM$5,0)),"")</f>
        <v/>
      </c>
      <c r="AN75" s="1151" t="str">
        <f t="array" ref="AN75">IFERROR(INDEX('Construction Spend Curve'!$H$6:$BM$466,MATCH($F95,'Construction Spend Curve'!$H$6:$H$466,0),MATCH(EOMONTH('Monthly DCF'!AN$3,-'Monthly DCF'!$E95+1),'Construction Spend Curve'!$H$5:$BM$5,0)),"")</f>
        <v/>
      </c>
      <c r="AO75" s="1151" t="str">
        <f t="array" ref="AO75">IFERROR(INDEX('Construction Spend Curve'!$H$6:$BM$466,MATCH($F95,'Construction Spend Curve'!$H$6:$H$466,0),MATCH(EOMONTH('Monthly DCF'!AO$3,-'Monthly DCF'!$E95+1),'Construction Spend Curve'!$H$5:$BM$5,0)),"")</f>
        <v/>
      </c>
      <c r="AP75" s="1151" t="str">
        <f t="array" ref="AP75">IFERROR(INDEX('Construction Spend Curve'!$H$6:$BM$466,MATCH($F95,'Construction Spend Curve'!$H$6:$H$466,0),MATCH(EOMONTH('Monthly DCF'!AP$3,-'Monthly DCF'!$E95+1),'Construction Spend Curve'!$H$5:$BM$5,0)),"")</f>
        <v/>
      </c>
      <c r="AQ75" s="1151" t="str">
        <f t="array" ref="AQ75">IFERROR(INDEX('Construction Spend Curve'!$H$6:$BM$466,MATCH($F95,'Construction Spend Curve'!$H$6:$H$466,0),MATCH(EOMONTH('Monthly DCF'!AQ$3,-'Monthly DCF'!$E95+1),'Construction Spend Curve'!$H$5:$BM$5,0)),"")</f>
        <v/>
      </c>
      <c r="AR75" s="1151" t="str">
        <f t="array" ref="AR75">IFERROR(INDEX('Construction Spend Curve'!$H$6:$BM$466,MATCH($F95,'Construction Spend Curve'!$H$6:$H$466,0),MATCH(EOMONTH('Monthly DCF'!AR$3,-'Monthly DCF'!$E95+1),'Construction Spend Curve'!$H$5:$BM$5,0)),"")</f>
        <v/>
      </c>
      <c r="AS75" s="1152"/>
      <c r="AT75" s="1151" t="str">
        <f t="array" ref="AT75">IFERROR(INDEX('Construction Spend Curve'!$H$6:$BM$466,MATCH($F95,'Construction Spend Curve'!$H$6:$H$466,0),MATCH(EOMONTH('Monthly DCF'!AT$3,-'Monthly DCF'!$E95+1),'Construction Spend Curve'!$H$5:$BM$5,0)),"")</f>
        <v/>
      </c>
      <c r="AU75" s="1151" t="str">
        <f t="array" ref="AU75">IFERROR(INDEX('Construction Spend Curve'!$H$6:$BM$466,MATCH($F95,'Construction Spend Curve'!$H$6:$H$466,0),MATCH(EOMONTH('Monthly DCF'!AU$3,-'Monthly DCF'!$E95+1),'Construction Spend Curve'!$H$5:$BM$5,0)),"")</f>
        <v/>
      </c>
      <c r="AV75" s="1151" t="str">
        <f t="array" ref="AV75">IFERROR(INDEX('Construction Spend Curve'!$H$6:$BM$466,MATCH($F95,'Construction Spend Curve'!$H$6:$H$466,0),MATCH(EOMONTH('Monthly DCF'!AV$3,-'Monthly DCF'!$E95+1),'Construction Spend Curve'!$H$5:$BM$5,0)),"")</f>
        <v/>
      </c>
      <c r="AW75" s="1151" t="str">
        <f t="array" ref="AW75">IFERROR(INDEX('Construction Spend Curve'!$H$6:$BM$466,MATCH($F95,'Construction Spend Curve'!$H$6:$H$466,0),MATCH(EOMONTH('Monthly DCF'!AW$3,-'Monthly DCF'!$E95+1),'Construction Spend Curve'!$H$5:$BM$5,0)),"")</f>
        <v/>
      </c>
      <c r="AX75" s="1151" t="str">
        <f t="array" ref="AX75">IFERROR(INDEX('Construction Spend Curve'!$H$6:$BM$466,MATCH($F95,'Construction Spend Curve'!$H$6:$H$466,0),MATCH(EOMONTH('Monthly DCF'!AX$3,-'Monthly DCF'!$E95+1),'Construction Spend Curve'!$H$5:$BM$5,0)),"")</f>
        <v/>
      </c>
      <c r="AY75" s="1151" t="str">
        <f t="array" ref="AY75">IFERROR(INDEX('Construction Spend Curve'!$H$6:$BM$466,MATCH($F95,'Construction Spend Curve'!$H$6:$H$466,0),MATCH(EOMONTH('Monthly DCF'!AY$3,-'Monthly DCF'!$E95+1),'Construction Spend Curve'!$H$5:$BM$5,0)),"")</f>
        <v/>
      </c>
      <c r="AZ75" s="1151" t="str">
        <f t="array" ref="AZ75">IFERROR(INDEX('Construction Spend Curve'!$H$6:$BM$466,MATCH($F95,'Construction Spend Curve'!$H$6:$H$466,0),MATCH(EOMONTH('Monthly DCF'!AZ$3,-'Monthly DCF'!$E95+1),'Construction Spend Curve'!$H$5:$BM$5,0)),"")</f>
        <v/>
      </c>
      <c r="BA75" s="1151" t="str">
        <f t="array" ref="BA75">IFERROR(INDEX('Construction Spend Curve'!$H$6:$BM$466,MATCH($F95,'Construction Spend Curve'!$H$6:$H$466,0),MATCH(EOMONTH('Monthly DCF'!BA$3,-'Monthly DCF'!$E95+1),'Construction Spend Curve'!$H$5:$BM$5,0)),"")</f>
        <v/>
      </c>
      <c r="BB75" s="1151" t="str">
        <f t="array" ref="BB75">IFERROR(INDEX('Construction Spend Curve'!$H$6:$BM$466,MATCH($F95,'Construction Spend Curve'!$H$6:$H$466,0),MATCH(EOMONTH('Monthly DCF'!BB$3,-'Monthly DCF'!$E95+1),'Construction Spend Curve'!$H$5:$BM$5,0)),"")</f>
        <v/>
      </c>
      <c r="BC75" s="1151" t="str">
        <f t="array" ref="BC75">IFERROR(INDEX('Construction Spend Curve'!$H$6:$BM$466,MATCH($F95,'Construction Spend Curve'!$H$6:$H$466,0),MATCH(EOMONTH('Monthly DCF'!BC$3,-'Monthly DCF'!$E95+1),'Construction Spend Curve'!$H$5:$BM$5,0)),"")</f>
        <v/>
      </c>
      <c r="BD75" s="1151" t="str">
        <f t="array" ref="BD75">IFERROR(INDEX('Construction Spend Curve'!$H$6:$BM$466,MATCH($F95,'Construction Spend Curve'!$H$6:$H$466,0),MATCH(EOMONTH('Monthly DCF'!BD$3,-'Monthly DCF'!$E95+1),'Construction Spend Curve'!$H$5:$BM$5,0)),"")</f>
        <v/>
      </c>
      <c r="BE75" s="1151" t="str">
        <f t="array" ref="BE75">IFERROR(INDEX('Construction Spend Curve'!$H$6:$BM$466,MATCH($F95,'Construction Spend Curve'!$H$6:$H$466,0),MATCH(EOMONTH('Monthly DCF'!BE$3,-'Monthly DCF'!$E95+1),'Construction Spend Curve'!$H$5:$BM$5,0)),"")</f>
        <v/>
      </c>
      <c r="BF75" s="1151" t="str">
        <f t="array" ref="BF75">IFERROR(INDEX('Construction Spend Curve'!$H$6:$BM$466,MATCH($F95,'Construction Spend Curve'!$H$6:$H$466,0),MATCH(EOMONTH('Monthly DCF'!BF$3,-'Monthly DCF'!$E95+1),'Construction Spend Curve'!$H$5:$BM$5,0)),"")</f>
        <v/>
      </c>
      <c r="BG75" s="1151" t="str">
        <f t="array" ref="BG75">IFERROR(INDEX('Construction Spend Curve'!$H$6:$BM$466,MATCH($F95,'Construction Spend Curve'!$H$6:$H$466,0),MATCH(EOMONTH('Monthly DCF'!BG$3,-'Monthly DCF'!$E95+1),'Construction Spend Curve'!$H$5:$BM$5,0)),"")</f>
        <v/>
      </c>
      <c r="BH75" s="1151" t="str">
        <f t="array" ref="BH75">IFERROR(INDEX('Construction Spend Curve'!$H$6:$BM$466,MATCH($F95,'Construction Spend Curve'!$H$6:$H$466,0),MATCH(EOMONTH('Monthly DCF'!BH$3,-'Monthly DCF'!$E95+1),'Construction Spend Curve'!$H$5:$BM$5,0)),"")</f>
        <v/>
      </c>
      <c r="BI75" s="1151" t="str">
        <f t="array" ref="BI75">IFERROR(INDEX('Construction Spend Curve'!$H$6:$BM$466,MATCH($F95,'Construction Spend Curve'!$H$6:$H$466,0),MATCH(EOMONTH('Monthly DCF'!BI$3,-'Monthly DCF'!$E95+1),'Construction Spend Curve'!$H$5:$BM$5,0)),"")</f>
        <v/>
      </c>
      <c r="BJ75" s="1151" t="str">
        <f t="array" ref="BJ75">IFERROR(INDEX('Construction Spend Curve'!$H$6:$BM$466,MATCH($F95,'Construction Spend Curve'!$H$6:$H$466,0),MATCH(EOMONTH('Monthly DCF'!BJ$3,-'Monthly DCF'!$E95+1),'Construction Spend Curve'!$H$5:$BM$5,0)),"")</f>
        <v/>
      </c>
      <c r="BK75" s="1151" t="str">
        <f t="array" ref="BK75">IFERROR(INDEX('Construction Spend Curve'!$H$6:$BM$466,MATCH($F95,'Construction Spend Curve'!$H$6:$H$466,0),MATCH(EOMONTH('Monthly DCF'!BK$3,-'Monthly DCF'!$E95+1),'Construction Spend Curve'!$H$5:$BM$5,0)),"")</f>
        <v/>
      </c>
      <c r="BL75" s="1151" t="str">
        <f t="array" ref="BL75">IFERROR(INDEX('Construction Spend Curve'!$H$6:$BM$466,MATCH($F95,'Construction Spend Curve'!$H$6:$H$466,0),MATCH(EOMONTH('Monthly DCF'!BL$3,-'Monthly DCF'!$E95+1),'Construction Spend Curve'!$H$5:$BM$5,0)),"")</f>
        <v/>
      </c>
      <c r="BM75" s="1151" t="str">
        <f t="array" ref="BM75">IFERROR(INDEX('Construction Spend Curve'!$H$6:$BM$466,MATCH($F95,'Construction Spend Curve'!$H$6:$H$466,0),MATCH(EOMONTH('Monthly DCF'!BM$3,-'Monthly DCF'!$E95+1),'Construction Spend Curve'!$H$5:$BM$5,0)),"")</f>
        <v/>
      </c>
      <c r="BN75" s="1151" t="str">
        <f t="array" ref="BN75">IFERROR(INDEX('Construction Spend Curve'!$H$6:$BM$466,MATCH($F95,'Construction Spend Curve'!$H$6:$H$466,0),MATCH(EOMONTH('Monthly DCF'!BN$3,-'Monthly DCF'!$E95+1),'Construction Spend Curve'!$H$5:$BM$5,0)),"")</f>
        <v/>
      </c>
      <c r="BO75" s="1151" t="str">
        <f t="array" ref="BO75">IFERROR(INDEX('Construction Spend Curve'!$H$6:$BM$466,MATCH($F95,'Construction Spend Curve'!$H$6:$H$466,0),MATCH(EOMONTH('Monthly DCF'!BO$3,-'Monthly DCF'!$E95+1),'Construction Spend Curve'!$H$5:$BM$5,0)),"")</f>
        <v/>
      </c>
      <c r="BP75" s="1151" t="str">
        <f t="array" ref="BP75">IFERROR(INDEX('Construction Spend Curve'!$H$6:$BM$466,MATCH($F95,'Construction Spend Curve'!$H$6:$H$466,0),MATCH(EOMONTH('Monthly DCF'!BP$3,-'Monthly DCF'!$E95+1),'Construction Spend Curve'!$H$5:$BM$5,0)),"")</f>
        <v/>
      </c>
      <c r="BQ75" s="1151" t="str">
        <f t="array" ref="BQ75">IFERROR(INDEX('Construction Spend Curve'!$H$6:$BM$466,MATCH($F95,'Construction Spend Curve'!$H$6:$H$466,0),MATCH(EOMONTH('Monthly DCF'!BQ$3,-'Monthly DCF'!$E95+1),'Construction Spend Curve'!$H$5:$BM$5,0)),"")</f>
        <v/>
      </c>
      <c r="BR75" s="1151" t="str">
        <f t="array" ref="BR75">IFERROR(INDEX('Construction Spend Curve'!$H$6:$BM$466,MATCH($F95,'Construction Spend Curve'!$H$6:$H$466,0),MATCH(EOMONTH('Monthly DCF'!BR$3,-'Monthly DCF'!$E95+1),'Construction Spend Curve'!$H$5:$BM$5,0)),"")</f>
        <v/>
      </c>
      <c r="BS75" s="1151" t="str">
        <f t="array" ref="BS75">IFERROR(INDEX('Construction Spend Curve'!$H$6:$BM$466,MATCH($F95,'Construction Spend Curve'!$H$6:$H$466,0),MATCH(EOMONTH('Monthly DCF'!BS$3,-'Monthly DCF'!$E95+1),'Construction Spend Curve'!$H$5:$BM$5,0)),"")</f>
        <v/>
      </c>
      <c r="BT75" s="1151" t="str">
        <f t="array" ref="BT75">IFERROR(INDEX('Construction Spend Curve'!$H$6:$BM$466,MATCH($F95,'Construction Spend Curve'!$H$6:$H$466,0),MATCH(EOMONTH('Monthly DCF'!BT$3,-'Monthly DCF'!$E95+1),'Construction Spend Curve'!$H$5:$BM$5,0)),"")</f>
        <v/>
      </c>
      <c r="BU75" s="1151" t="str">
        <f t="array" ref="BU75">IFERROR(INDEX('Construction Spend Curve'!$H$6:$BM$466,MATCH($F95,'Construction Spend Curve'!$H$6:$H$466,0),MATCH(EOMONTH('Monthly DCF'!BU$3,-'Monthly DCF'!$E95+1),'Construction Spend Curve'!$H$5:$BM$5,0)),"")</f>
        <v/>
      </c>
      <c r="BV75" s="1151" t="str">
        <f t="array" ref="BV75">IFERROR(INDEX('Construction Spend Curve'!$H$6:$BM$466,MATCH($F95,'Construction Spend Curve'!$H$6:$H$466,0),MATCH(EOMONTH('Monthly DCF'!BV$3,-'Monthly DCF'!$E95+1),'Construction Spend Curve'!$H$5:$BM$5,0)),"")</f>
        <v/>
      </c>
      <c r="BW75" s="1151" t="str">
        <f t="array" ref="BW75">IFERROR(INDEX('Construction Spend Curve'!$H$6:$BM$466,MATCH($F95,'Construction Spend Curve'!$H$6:$H$466,0),MATCH(EOMONTH('Monthly DCF'!BW$3,-'Monthly DCF'!$E95+1),'Construction Spend Curve'!$H$5:$BM$5,0)),"")</f>
        <v/>
      </c>
      <c r="BX75" s="1151" t="str">
        <f t="array" ref="BX75">IFERROR(INDEX('Construction Spend Curve'!$H$6:$BM$466,MATCH($F95,'Construction Spend Curve'!$H$6:$H$466,0),MATCH(EOMONTH('Monthly DCF'!BX$3,-'Monthly DCF'!$E95+1),'Construction Spend Curve'!$H$5:$BM$5,0)),"")</f>
        <v/>
      </c>
      <c r="BY75" s="1151" t="str">
        <f t="array" ref="BY75">IFERROR(INDEX('Construction Spend Curve'!$H$6:$BM$466,MATCH($F95,'Construction Spend Curve'!$H$6:$H$466,0),MATCH(EOMONTH('Monthly DCF'!BY$3,-'Monthly DCF'!$E95+1),'Construction Spend Curve'!$H$5:$BM$5,0)),"")</f>
        <v/>
      </c>
      <c r="BZ75" s="1151" t="str">
        <f t="array" ref="BZ75">IFERROR(INDEX('Construction Spend Curve'!$H$6:$BM$466,MATCH($F95,'Construction Spend Curve'!$H$6:$H$466,0),MATCH(EOMONTH('Monthly DCF'!BZ$3,-'Monthly DCF'!$E95+1),'Construction Spend Curve'!$H$5:$BM$5,0)),"")</f>
        <v/>
      </c>
      <c r="CA75" s="1151" t="str">
        <f t="array" ref="CA75">IFERROR(INDEX('Construction Spend Curve'!$H$6:$BM$466,MATCH($F95,'Construction Spend Curve'!$H$6:$H$466,0),MATCH(EOMONTH('Monthly DCF'!CA$3,-'Monthly DCF'!$E95+1),'Construction Spend Curve'!$H$5:$BM$5,0)),"")</f>
        <v/>
      </c>
      <c r="CB75" s="1151" t="str">
        <f t="array" ref="CB75">IFERROR(INDEX('Construction Spend Curve'!$H$6:$BM$466,MATCH($F95,'Construction Spend Curve'!$H$6:$H$466,0),MATCH(EOMONTH('Monthly DCF'!CB$3,-'Monthly DCF'!$E95+1),'Construction Spend Curve'!$H$5:$BM$5,0)),"")</f>
        <v/>
      </c>
      <c r="CC75" s="1151" t="str">
        <f t="array" ref="CC75">IFERROR(INDEX('Construction Spend Curve'!$H$6:$BM$466,MATCH($F95,'Construction Spend Curve'!$H$6:$H$466,0),MATCH(EOMONTH('Monthly DCF'!CC$3,-'Monthly DCF'!$E95+1),'Construction Spend Curve'!$H$5:$BM$5,0)),"")</f>
        <v/>
      </c>
      <c r="CD75" s="1151" t="str">
        <f t="array" ref="CD75">IFERROR(INDEX('Construction Spend Curve'!$H$6:$BM$466,MATCH($F95,'Construction Spend Curve'!$H$6:$H$466,0),MATCH(EOMONTH('Monthly DCF'!CD$3,-'Monthly DCF'!$E95+1),'Construction Spend Curve'!$H$5:$BM$5,0)),"")</f>
        <v/>
      </c>
      <c r="CE75" s="1151" t="str">
        <f t="array" ref="CE75">IFERROR(INDEX('Construction Spend Curve'!$H$6:$BM$466,MATCH($F95,'Construction Spend Curve'!$H$6:$H$466,0),MATCH(EOMONTH('Monthly DCF'!CE$3,-'Monthly DCF'!$E95+1),'Construction Spend Curve'!$H$5:$BM$5,0)),"")</f>
        <v/>
      </c>
      <c r="CF75" s="1151" t="str">
        <f t="array" ref="CF75">IFERROR(INDEX('Construction Spend Curve'!$H$6:$BM$466,MATCH($F95,'Construction Spend Curve'!$H$6:$H$466,0),MATCH(EOMONTH('Monthly DCF'!CF$3,-'Monthly DCF'!$E95+1),'Construction Spend Curve'!$H$5:$BM$5,0)),"")</f>
        <v/>
      </c>
      <c r="CG75" s="1151" t="str">
        <f t="array" ref="CG75">IFERROR(INDEX('Construction Spend Curve'!$H$6:$BM$466,MATCH($F95,'Construction Spend Curve'!$H$6:$H$466,0),MATCH(EOMONTH('Monthly DCF'!CG$3,-'Monthly DCF'!$E95+1),'Construction Spend Curve'!$H$5:$BM$5,0)),"")</f>
        <v/>
      </c>
      <c r="CH75" s="1151" t="str">
        <f t="array" ref="CH75">IFERROR(INDEX('Construction Spend Curve'!$H$6:$BM$466,MATCH($F95,'Construction Spend Curve'!$H$6:$H$466,0),MATCH(EOMONTH('Monthly DCF'!CH$3,-'Monthly DCF'!$E95+1),'Construction Spend Curve'!$H$5:$BM$5,0)),"")</f>
        <v/>
      </c>
      <c r="CI75" s="1151" t="str">
        <f t="array" ref="CI75">IFERROR(INDEX('Construction Spend Curve'!$H$6:$BM$466,MATCH($F95,'Construction Spend Curve'!$H$6:$H$466,0),MATCH(EOMONTH('Monthly DCF'!CI$3,-'Monthly DCF'!$E95+1),'Construction Spend Curve'!$H$5:$BM$5,0)),"")</f>
        <v/>
      </c>
      <c r="CJ75" s="1151" t="str">
        <f t="array" ref="CJ75">IFERROR(INDEX('Construction Spend Curve'!$H$6:$BM$466,MATCH($F95,'Construction Spend Curve'!$H$6:$H$466,0),MATCH(EOMONTH('Monthly DCF'!CJ$3,-'Monthly DCF'!$E95+1),'Construction Spend Curve'!$H$5:$BM$5,0)),"")</f>
        <v/>
      </c>
      <c r="CK75" s="1151" t="str">
        <f t="array" ref="CK75">IFERROR(INDEX('Construction Spend Curve'!$H$6:$BM$466,MATCH($F95,'Construction Spend Curve'!$H$6:$H$466,0),MATCH(EOMONTH('Monthly DCF'!CK$3,-'Monthly DCF'!$E95+1),'Construction Spend Curve'!$H$5:$BM$5,0)),"")</f>
        <v/>
      </c>
      <c r="CL75" s="1151" t="str">
        <f t="array" ref="CL75">IFERROR(INDEX('Construction Spend Curve'!$H$6:$BM$466,MATCH($F95,'Construction Spend Curve'!$H$6:$H$466,0),MATCH(EOMONTH('Monthly DCF'!CL$3,-'Monthly DCF'!$E95+1),'Construction Spend Curve'!$H$5:$BM$5,0)),"")</f>
        <v/>
      </c>
      <c r="CM75" s="1151" t="str">
        <f t="array" ref="CM75">IFERROR(INDEX('Construction Spend Curve'!$H$6:$BM$466,MATCH($F95,'Construction Spend Curve'!$H$6:$H$466,0),MATCH(EOMONTH('Monthly DCF'!CM$3,-'Monthly DCF'!$E95+1),'Construction Spend Curve'!$H$5:$BM$5,0)),"")</f>
        <v/>
      </c>
      <c r="CN75" s="1151" t="str">
        <f t="array" ref="CN75">IFERROR(INDEX('Construction Spend Curve'!$H$6:$BM$466,MATCH($F95,'Construction Spend Curve'!$H$6:$H$466,0),MATCH(EOMONTH('Monthly DCF'!CN$3,-'Monthly DCF'!$E95+1),'Construction Spend Curve'!$H$5:$BM$5,0)),"")</f>
        <v/>
      </c>
      <c r="CO75" s="1151" t="str">
        <f t="array" ref="CO75">IFERROR(INDEX('Construction Spend Curve'!$H$6:$BM$466,MATCH($F95,'Construction Spend Curve'!$H$6:$H$466,0),MATCH(EOMONTH('Monthly DCF'!CO$3,-'Monthly DCF'!$E95+1),'Construction Spend Curve'!$H$5:$BM$5,0)),"")</f>
        <v/>
      </c>
      <c r="CP75" s="1151" t="str">
        <f t="array" ref="CP75">IFERROR(INDEX('Construction Spend Curve'!$H$6:$BM$466,MATCH($F95,'Construction Spend Curve'!$H$6:$H$466,0),MATCH(EOMONTH('Monthly DCF'!CP$3,-'Monthly DCF'!$E95+1),'Construction Spend Curve'!$H$5:$BM$5,0)),"")</f>
        <v/>
      </c>
      <c r="CQ75" s="1151" t="str">
        <f t="array" ref="CQ75">IFERROR(INDEX('Construction Spend Curve'!$H$6:$BM$466,MATCH($F95,'Construction Spend Curve'!$H$6:$H$466,0),MATCH(EOMONTH('Monthly DCF'!CQ$3,-'Monthly DCF'!$E95+1),'Construction Spend Curve'!$H$5:$BM$5,0)),"")</f>
        <v/>
      </c>
      <c r="CR75" s="1151" t="str">
        <f t="array" ref="CR75">IFERROR(INDEX('Construction Spend Curve'!$H$6:$BM$466,MATCH($F95,'Construction Spend Curve'!$H$6:$H$466,0),MATCH(EOMONTH('Monthly DCF'!CR$3,-'Monthly DCF'!$E95+1),'Construction Spend Curve'!$H$5:$BM$5,0)),"")</f>
        <v/>
      </c>
      <c r="CS75" s="1151" t="str">
        <f t="array" ref="CS75">IFERROR(INDEX('Construction Spend Curve'!$H$6:$BM$466,MATCH($F95,'Construction Spend Curve'!$H$6:$H$466,0),MATCH(EOMONTH('Monthly DCF'!CS$3,-'Monthly DCF'!$E95+1),'Construction Spend Curve'!$H$5:$BM$5,0)),"")</f>
        <v/>
      </c>
      <c r="CT75" s="1151" t="str">
        <f t="array" ref="CT75">IFERROR(INDEX('Construction Spend Curve'!$H$6:$BM$466,MATCH($F95,'Construction Spend Curve'!$H$6:$H$466,0),MATCH(EOMONTH('Monthly DCF'!CT$3,-'Monthly DCF'!$E95+1),'Construction Spend Curve'!$H$5:$BM$5,0)),"")</f>
        <v/>
      </c>
      <c r="CU75" s="1151" t="str">
        <f t="array" ref="CU75">IFERROR(INDEX('Construction Spend Curve'!$H$6:$BM$466,MATCH($F95,'Construction Spend Curve'!$H$6:$H$466,0),MATCH(EOMONTH('Monthly DCF'!CU$3,-'Monthly DCF'!$E95+1),'Construction Spend Curve'!$H$5:$BM$5,0)),"")</f>
        <v/>
      </c>
      <c r="CV75" s="1151" t="str">
        <f t="array" ref="CV75">IFERROR(INDEX('Construction Spend Curve'!$H$6:$BM$466,MATCH($F95,'Construction Spend Curve'!$H$6:$H$466,0),MATCH(EOMONTH('Monthly DCF'!CV$3,-'Monthly DCF'!$E95+1),'Construction Spend Curve'!$H$5:$BM$5,0)),"")</f>
        <v/>
      </c>
      <c r="CW75" s="1151" t="str">
        <f t="array" ref="CW75">IFERROR(INDEX('Construction Spend Curve'!$H$6:$BM$466,MATCH($F95,'Construction Spend Curve'!$H$6:$H$466,0),MATCH(EOMONTH('Monthly DCF'!CW$3,-'Monthly DCF'!$E95+1),'Construction Spend Curve'!$H$5:$BM$5,0)),"")</f>
        <v/>
      </c>
      <c r="CX75" s="1151" t="str">
        <f t="array" ref="CX75">IFERROR(INDEX('Construction Spend Curve'!$H$6:$BM$466,MATCH($F95,'Construction Spend Curve'!$H$6:$H$466,0),MATCH(EOMONTH('Monthly DCF'!CX$3,-'Monthly DCF'!$E95+1),'Construction Spend Curve'!$H$5:$BM$5,0)),"")</f>
        <v/>
      </c>
      <c r="CY75" s="1151" t="str">
        <f t="array" ref="CY75">IFERROR(INDEX('Construction Spend Curve'!$H$6:$BM$466,MATCH($F95,'Construction Spend Curve'!$H$6:$H$466,0),MATCH(EOMONTH('Monthly DCF'!CY$3,-'Monthly DCF'!$E95+1),'Construction Spend Curve'!$H$5:$BM$5,0)),"")</f>
        <v/>
      </c>
      <c r="CZ75" s="1151" t="str">
        <f t="array" ref="CZ75">IFERROR(INDEX('Construction Spend Curve'!$H$6:$BM$466,MATCH($F95,'Construction Spend Curve'!$H$6:$H$466,0),MATCH(EOMONTH('Monthly DCF'!CZ$3,-'Monthly DCF'!$E95+1),'Construction Spend Curve'!$H$5:$BM$5,0)),"")</f>
        <v/>
      </c>
      <c r="DA75" s="1151" t="str">
        <f t="array" ref="DA75">IFERROR(INDEX('Construction Spend Curve'!$H$6:$BM$466,MATCH($F95,'Construction Spend Curve'!$H$6:$H$466,0),MATCH(EOMONTH('Monthly DCF'!DA$3,-'Monthly DCF'!$E95+1),'Construction Spend Curve'!$H$5:$BM$5,0)),"")</f>
        <v/>
      </c>
      <c r="DB75" s="1151" t="str">
        <f t="array" ref="DB75">IFERROR(INDEX('Construction Spend Curve'!$H$6:$BM$466,MATCH($F95,'Construction Spend Curve'!$H$6:$H$466,0),MATCH(EOMONTH('Monthly DCF'!DB$3,-'Monthly DCF'!$E95+1),'Construction Spend Curve'!$H$5:$BM$5,0)),"")</f>
        <v/>
      </c>
      <c r="DC75" s="1151" t="str">
        <f t="array" ref="DC75">IFERROR(INDEX('Construction Spend Curve'!$H$6:$BM$466,MATCH($F95,'Construction Spend Curve'!$H$6:$H$466,0),MATCH(EOMONTH('Monthly DCF'!DC$3,-'Monthly DCF'!$E95+1),'Construction Spend Curve'!$H$5:$BM$5,0)),"")</f>
        <v/>
      </c>
      <c r="DD75" s="1151" t="str">
        <f t="array" ref="DD75">IFERROR(INDEX('Construction Spend Curve'!$H$6:$BM$466,MATCH($F95,'Construction Spend Curve'!$H$6:$H$466,0),MATCH(EOMONTH('Monthly DCF'!DD$3,-'Monthly DCF'!$E95+1),'Construction Spend Curve'!$H$5:$BM$5,0)),"")</f>
        <v/>
      </c>
      <c r="DE75" s="1151" t="str">
        <f t="array" ref="DE75">IFERROR(INDEX('Construction Spend Curve'!$H$6:$BM$466,MATCH($F95,'Construction Spend Curve'!$H$6:$H$466,0),MATCH(EOMONTH('Monthly DCF'!DE$3,-'Monthly DCF'!$E95+1),'Construction Spend Curve'!$H$5:$BM$5,0)),"")</f>
        <v/>
      </c>
      <c r="DF75" s="1151" t="str">
        <f t="array" ref="DF75">IFERROR(INDEX('Construction Spend Curve'!$H$6:$BM$466,MATCH($F95,'Construction Spend Curve'!$H$6:$H$466,0),MATCH(EOMONTH('Monthly DCF'!DF$3,-'Monthly DCF'!$E95+1),'Construction Spend Curve'!$H$5:$BM$5,0)),"")</f>
        <v/>
      </c>
      <c r="DG75" s="1151" t="str">
        <f t="array" ref="DG75">IFERROR(INDEX('Construction Spend Curve'!$H$6:$BM$466,MATCH($F95,'Construction Spend Curve'!$H$6:$H$466,0),MATCH(EOMONTH('Monthly DCF'!DG$3,-'Monthly DCF'!$E95+1),'Construction Spend Curve'!$H$5:$BM$5,0)),"")</f>
        <v/>
      </c>
      <c r="DH75" s="1151" t="str">
        <f t="array" ref="DH75">IFERROR(INDEX('Construction Spend Curve'!$H$6:$BM$466,MATCH($F95,'Construction Spend Curve'!$H$6:$H$466,0),MATCH(EOMONTH('Monthly DCF'!DH$3,-'Monthly DCF'!$E95+1),'Construction Spend Curve'!$H$5:$BM$5,0)),"")</f>
        <v/>
      </c>
      <c r="DI75" s="1151" t="str">
        <f t="array" ref="DI75">IFERROR(INDEX('Construction Spend Curve'!$H$6:$BM$466,MATCH($F95,'Construction Spend Curve'!$H$6:$H$466,0),MATCH(EOMONTH('Monthly DCF'!DI$3,-'Monthly DCF'!$E95+1),'Construction Spend Curve'!$H$5:$BM$5,0)),"")</f>
        <v/>
      </c>
      <c r="DJ75" s="1151" t="str">
        <f t="array" ref="DJ75">IFERROR(INDEX('Construction Spend Curve'!$H$6:$BM$466,MATCH($F95,'Construction Spend Curve'!$H$6:$H$466,0),MATCH(EOMONTH('Monthly DCF'!DJ$3,-'Monthly DCF'!$E95+1),'Construction Spend Curve'!$H$5:$BM$5,0)),"")</f>
        <v/>
      </c>
      <c r="DK75" s="1151" t="str">
        <f t="array" ref="DK75">IFERROR(INDEX('Construction Spend Curve'!$H$6:$BM$466,MATCH($F95,'Construction Spend Curve'!$H$6:$H$466,0),MATCH(EOMONTH('Monthly DCF'!DK$3,-'Monthly DCF'!$E95+1),'Construction Spend Curve'!$H$5:$BM$5,0)),"")</f>
        <v/>
      </c>
      <c r="DL75" s="1151" t="str">
        <f t="array" ref="DL75">IFERROR(INDEX('Construction Spend Curve'!$H$6:$BM$466,MATCH($F95,'Construction Spend Curve'!$H$6:$H$466,0),MATCH(EOMONTH('Monthly DCF'!DL$3,-'Monthly DCF'!$E95+1),'Construction Spend Curve'!$H$5:$BM$5,0)),"")</f>
        <v/>
      </c>
      <c r="DM75" s="1151" t="str">
        <f t="array" ref="DM75">IFERROR(INDEX('Construction Spend Curve'!$H$6:$BM$466,MATCH($F95,'Construction Spend Curve'!$H$6:$H$466,0),MATCH(EOMONTH('Monthly DCF'!DM$3,-'Monthly DCF'!$E95+1),'Construction Spend Curve'!$H$5:$BM$5,0)),"")</f>
        <v/>
      </c>
      <c r="DN75" s="1151" t="str">
        <f t="array" ref="DN75">IFERROR(INDEX('Construction Spend Curve'!$H$6:$BM$466,MATCH($F95,'Construction Spend Curve'!$H$6:$H$466,0),MATCH(EOMONTH('Monthly DCF'!DN$3,-'Monthly DCF'!$E95+1),'Construction Spend Curve'!$H$5:$BM$5,0)),"")</f>
        <v/>
      </c>
      <c r="DO75" s="1151" t="str">
        <f t="array" ref="DO75">IFERROR(INDEX('Construction Spend Curve'!$H$6:$BM$466,MATCH($F95,'Construction Spend Curve'!$H$6:$H$466,0),MATCH(EOMONTH('Monthly DCF'!DO$3,-'Monthly DCF'!$E95+1),'Construction Spend Curve'!$H$5:$BM$5,0)),"")</f>
        <v/>
      </c>
      <c r="DP75" s="1151" t="str">
        <f t="array" ref="DP75">IFERROR(INDEX('Construction Spend Curve'!$H$6:$BM$466,MATCH($F95,'Construction Spend Curve'!$H$6:$H$466,0),MATCH(EOMONTH('Monthly DCF'!DP$3,-'Monthly DCF'!$E95+1),'Construction Spend Curve'!$H$5:$BM$5,0)),"")</f>
        <v/>
      </c>
      <c r="DQ75" s="1151" t="str">
        <f t="array" ref="DQ75">IFERROR(INDEX('Construction Spend Curve'!$H$6:$BM$466,MATCH($F95,'Construction Spend Curve'!$H$6:$H$466,0),MATCH(EOMONTH('Monthly DCF'!DQ$3,-'Monthly DCF'!$E95+1),'Construction Spend Curve'!$H$5:$BM$5,0)),"")</f>
        <v/>
      </c>
      <c r="DR75" s="1151" t="str">
        <f t="array" ref="DR75">IFERROR(INDEX('Construction Spend Curve'!$H$6:$BM$466,MATCH($F95,'Construction Spend Curve'!$H$6:$H$466,0),MATCH(EOMONTH('Monthly DCF'!DR$3,-'Monthly DCF'!$E95+1),'Construction Spend Curve'!$H$5:$BM$5,0)),"")</f>
        <v/>
      </c>
      <c r="DS75" s="1151" t="str">
        <f t="array" ref="DS75">IFERROR(INDEX('Construction Spend Curve'!$H$6:$BM$466,MATCH($F95,'Construction Spend Curve'!$H$6:$H$466,0),MATCH(EOMONTH('Monthly DCF'!DS$3,-'Monthly DCF'!$E95+1),'Construction Spend Curve'!$H$5:$BM$5,0)),"")</f>
        <v/>
      </c>
      <c r="DT75" s="1151" t="str">
        <f t="array" ref="DT75">IFERROR(INDEX('Construction Spend Curve'!$H$6:$BM$466,MATCH($F95,'Construction Spend Curve'!$H$6:$H$466,0),MATCH(EOMONTH('Monthly DCF'!DT$3,-'Monthly DCF'!$E95+1),'Construction Spend Curve'!$H$5:$BM$5,0)),"")</f>
        <v/>
      </c>
      <c r="DU75" s="1151" t="str">
        <f t="array" ref="DU75">IFERROR(INDEX('Construction Spend Curve'!$H$6:$BM$466,MATCH($F95,'Construction Spend Curve'!$H$6:$H$466,0),MATCH(EOMONTH('Monthly DCF'!DU$3,-'Monthly DCF'!$E95+1),'Construction Spend Curve'!$H$5:$BM$5,0)),"")</f>
        <v/>
      </c>
      <c r="DV75" s="1151" t="str">
        <f t="array" ref="DV75">IFERROR(INDEX('Construction Spend Curve'!$H$6:$BM$466,MATCH($F95,'Construction Spend Curve'!$H$6:$H$466,0),MATCH(EOMONTH('Monthly DCF'!DV$3,-'Monthly DCF'!$E95+1),'Construction Spend Curve'!$H$5:$BM$5,0)),"")</f>
        <v/>
      </c>
      <c r="DW75" s="1151" t="str">
        <f t="array" ref="DW75">IFERROR(INDEX('Construction Spend Curve'!$H$6:$BM$466,MATCH($F95,'Construction Spend Curve'!$H$6:$H$466,0),MATCH(EOMONTH('Monthly DCF'!DW$3,-'Monthly DCF'!$E95+1),'Construction Spend Curve'!$H$5:$BM$5,0)),"")</f>
        <v/>
      </c>
      <c r="DX75" s="1151" t="str">
        <f t="array" ref="DX75">IFERROR(INDEX('Construction Spend Curve'!$H$6:$BM$466,MATCH($F95,'Construction Spend Curve'!$H$6:$H$466,0),MATCH(EOMONTH('Monthly DCF'!DX$3,-'Monthly DCF'!$E95+1),'Construction Spend Curve'!$H$5:$BM$5,0)),"")</f>
        <v/>
      </c>
      <c r="DY75" s="1151" t="str">
        <f t="array" ref="DY75">IFERROR(INDEX('Construction Spend Curve'!$H$6:$BM$466,MATCH($F95,'Construction Spend Curve'!$H$6:$H$466,0),MATCH(EOMONTH('Monthly DCF'!DY$3,-'Monthly DCF'!$E95+1),'Construction Spend Curve'!$H$5:$BM$5,0)),"")</f>
        <v/>
      </c>
      <c r="DZ75" s="1151" t="str">
        <f t="array" ref="DZ75">IFERROR(INDEX('Construction Spend Curve'!$H$6:$BM$466,MATCH($F95,'Construction Spend Curve'!$H$6:$H$466,0),MATCH(EOMONTH('Monthly DCF'!DZ$3,-'Monthly DCF'!$E95+1),'Construction Spend Curve'!$H$5:$BM$5,0)),"")</f>
        <v/>
      </c>
      <c r="EA75" s="1151" t="str">
        <f t="array" ref="EA75">IFERROR(INDEX('Construction Spend Curve'!$H$6:$BM$466,MATCH($F95,'Construction Spend Curve'!$H$6:$H$466,0),MATCH(EOMONTH('Monthly DCF'!EA$3,-'Monthly DCF'!$E95+1),'Construction Spend Curve'!$H$5:$BM$5,0)),"")</f>
        <v/>
      </c>
      <c r="EB75" s="1151" t="str">
        <f t="array" ref="EB75">IFERROR(INDEX('Construction Spend Curve'!$H$6:$BM$466,MATCH($F95,'Construction Spend Curve'!$H$6:$H$466,0),MATCH(EOMONTH('Monthly DCF'!EB$3,-'Monthly DCF'!$E95+1),'Construction Spend Curve'!$H$5:$BM$5,0)),"")</f>
        <v/>
      </c>
      <c r="EC75" s="1151" t="str">
        <f t="array" ref="EC75">IFERROR(INDEX('Construction Spend Curve'!$H$6:$BM$466,MATCH($F95,'Construction Spend Curve'!$H$6:$H$466,0),MATCH(EOMONTH('Monthly DCF'!EC$3,-'Monthly DCF'!$E95+1),'Construction Spend Curve'!$H$5:$BM$5,0)),"")</f>
        <v/>
      </c>
      <c r="ED75" s="1151" t="str">
        <f t="array" ref="ED75">IFERROR(INDEX('Construction Spend Curve'!$H$6:$BM$466,MATCH($F95,'Construction Spend Curve'!$H$6:$H$466,0),MATCH(EOMONTH('Monthly DCF'!ED$3,-'Monthly DCF'!$E95+1),'Construction Spend Curve'!$H$5:$BM$5,0)),"")</f>
        <v/>
      </c>
      <c r="EE75" s="1151" t="str">
        <f t="array" ref="EE75">IFERROR(INDEX('Construction Spend Curve'!$H$6:$BM$466,MATCH($F95,'Construction Spend Curve'!$H$6:$H$466,0),MATCH(EOMONTH('Monthly DCF'!EE$3,-'Monthly DCF'!$E95+1),'Construction Spend Curve'!$H$5:$BM$5,0)),"")</f>
        <v/>
      </c>
      <c r="EF75" s="1151" t="str">
        <f t="array" ref="EF75">IFERROR(INDEX('Construction Spend Curve'!$H$6:$BM$466,MATCH($F95,'Construction Spend Curve'!$H$6:$H$466,0),MATCH(EOMONTH('Monthly DCF'!EF$3,-'Monthly DCF'!$E95+1),'Construction Spend Curve'!$H$5:$BM$5,0)),"")</f>
        <v/>
      </c>
      <c r="EG75" s="1151" t="str">
        <f t="array" ref="EG75">IFERROR(INDEX('Construction Spend Curve'!$H$6:$BM$466,MATCH($F95,'Construction Spend Curve'!$H$6:$H$466,0),MATCH(EOMONTH('Monthly DCF'!EG$3,-'Monthly DCF'!$E95+1),'Construction Spend Curve'!$H$5:$BM$5,0)),"")</f>
        <v/>
      </c>
      <c r="EH75" s="1151" t="str">
        <f t="array" ref="EH75">IFERROR(INDEX('Construction Spend Curve'!$H$6:$BM$466,MATCH($F95,'Construction Spend Curve'!$H$6:$H$466,0),MATCH(EOMONTH('Monthly DCF'!EH$3,-'Monthly DCF'!$E95+1),'Construction Spend Curve'!$H$5:$BM$5,0)),"")</f>
        <v/>
      </c>
      <c r="EI75" s="1151" t="str">
        <f t="array" ref="EI75">IFERROR(INDEX('Construction Spend Curve'!$H$6:$BM$466,MATCH($F95,'Construction Spend Curve'!$H$6:$H$466,0),MATCH(EOMONTH('Monthly DCF'!EI$3,-'Monthly DCF'!$E95+1),'Construction Spend Curve'!$H$5:$BM$5,0)),"")</f>
        <v/>
      </c>
      <c r="EJ75" s="1153" t="str">
        <f t="array" ref="EJ75">IFERROR(INDEX('Construction Spend Curve'!$H$6:$BM$466,MATCH($F95,'Construction Spend Curve'!$H$6:$H$466,0),MATCH(EOMONTH('Monthly DCF'!EJ$3,-'Monthly DCF'!$E95+1),'Construction Spend Curve'!$H$5:$BM$5,0)),"")</f>
        <v/>
      </c>
    </row>
    <row r="76" spans="1:140" ht="15.75" hidden="1" customHeight="1" x14ac:dyDescent="0.25">
      <c r="A76" s="6"/>
      <c r="B76" s="393"/>
      <c r="C76" s="358"/>
      <c r="D76" s="386" t="s">
        <v>302</v>
      </c>
      <c r="E76" s="394">
        <v>8</v>
      </c>
      <c r="F76" s="358"/>
      <c r="G76" s="1069" t="s">
        <v>304</v>
      </c>
      <c r="H76" s="1150" t="str">
        <f t="array" ref="H76">IFERROR(INDEX('Construction Spend Curve'!$H$6:$BM$466,MATCH(#REF!,'Construction Spend Curve'!$H$6:$H$466,0),MATCH(EOMONTH('Monthly DCF'!H$3,-'Monthly DCF'!#REF!+1),'Construction Spend Curve'!$H$5:$BM$5,0)),"")</f>
        <v/>
      </c>
      <c r="I76" s="1151" t="str">
        <f t="array" ref="I76">IFERROR(INDEX('Construction Spend Curve'!$H$6:$BM$466,MATCH(#REF!,'Construction Spend Curve'!$H$6:$H$466,0),MATCH(EOMONTH('Monthly DCF'!I$3,-'Monthly DCF'!#REF!+1),'Construction Spend Curve'!$H$5:$BM$5,0)),"")</f>
        <v/>
      </c>
      <c r="J76" s="1151" t="str">
        <f t="array" ref="J76">IFERROR(INDEX('Construction Spend Curve'!$H$6:$BM$466,MATCH(#REF!,'Construction Spend Curve'!$H$6:$H$466,0),MATCH(EOMONTH('Monthly DCF'!J$3,-'Monthly DCF'!#REF!+1),'Construction Spend Curve'!$H$5:$BM$5,0)),"")</f>
        <v/>
      </c>
      <c r="K76" s="1151" t="str">
        <f t="array" ref="K76">IFERROR(INDEX('Construction Spend Curve'!$H$6:$BM$466,MATCH(#REF!,'Construction Spend Curve'!$H$6:$H$466,0),MATCH(EOMONTH('Monthly DCF'!K$3,-'Monthly DCF'!#REF!+1),'Construction Spend Curve'!$H$5:$BM$5,0)),"")</f>
        <v/>
      </c>
      <c r="L76" s="1151" t="str">
        <f t="array" ref="L76">IFERROR(INDEX('Construction Spend Curve'!$H$6:$BM$466,MATCH(#REF!,'Construction Spend Curve'!$H$6:$H$466,0),MATCH(EOMONTH('Monthly DCF'!L$3,-'Monthly DCF'!#REF!+1),'Construction Spend Curve'!$H$5:$BM$5,0)),"")</f>
        <v/>
      </c>
      <c r="M76" s="1151" t="str">
        <f t="array" ref="M76">IFERROR(INDEX('Construction Spend Curve'!$H$6:$BM$466,MATCH(#REF!,'Construction Spend Curve'!$H$6:$H$466,0),MATCH(EOMONTH('Monthly DCF'!M$3,-'Monthly DCF'!#REF!+1),'Construction Spend Curve'!$H$5:$BM$5,0)),"")</f>
        <v/>
      </c>
      <c r="N76" s="1151" t="str">
        <f t="array" ref="N76">IFERROR(INDEX('Construction Spend Curve'!$H$6:$BM$466,MATCH(#REF!,'Construction Spend Curve'!$H$6:$H$466,0),MATCH(EOMONTH('Monthly DCF'!N$3,-'Monthly DCF'!#REF!+1),'Construction Spend Curve'!$H$5:$BM$5,0)),"")</f>
        <v/>
      </c>
      <c r="O76" s="1151" t="str">
        <f t="array" ref="O76">IFERROR(INDEX('Construction Spend Curve'!$H$6:$BM$466,MATCH(#REF!,'Construction Spend Curve'!$H$6:$H$466,0),MATCH(EOMONTH('Monthly DCF'!O$3,-'Monthly DCF'!#REF!+1),'Construction Spend Curve'!$H$5:$BM$5,0)),"")</f>
        <v/>
      </c>
      <c r="P76" s="1151" t="str">
        <f t="array" ref="P76">IFERROR(INDEX('Construction Spend Curve'!$H$6:$BM$466,MATCH(#REF!,'Construction Spend Curve'!$H$6:$H$466,0),MATCH(EOMONTH('Monthly DCF'!P$3,-'Monthly DCF'!#REF!+1),'Construction Spend Curve'!$H$5:$BM$5,0)),"")</f>
        <v/>
      </c>
      <c r="Q76" s="1151" t="str">
        <f t="array" ref="Q76">IFERROR(INDEX('Construction Spend Curve'!$H$6:$BM$466,MATCH(#REF!,'Construction Spend Curve'!$H$6:$H$466,0),MATCH(EOMONTH('Monthly DCF'!Q$3,-'Monthly DCF'!#REF!+1),'Construction Spend Curve'!$H$5:$BM$5,0)),"")</f>
        <v/>
      </c>
      <c r="R76" s="1151" t="str">
        <f t="array" ref="R76">IFERROR(INDEX('Construction Spend Curve'!$H$6:$BM$466,MATCH(#REF!,'Construction Spend Curve'!$H$6:$H$466,0),MATCH(EOMONTH('Monthly DCF'!R$3,-'Monthly DCF'!#REF!+1),'Construction Spend Curve'!$H$5:$BM$5,0)),"")</f>
        <v/>
      </c>
      <c r="S76" s="1151" t="str">
        <f t="array" ref="S76">IFERROR(INDEX('Construction Spend Curve'!$H$6:$BM$466,MATCH(#REF!,'Construction Spend Curve'!$H$6:$H$466,0),MATCH(EOMONTH('Monthly DCF'!S$3,-'Monthly DCF'!#REF!+1),'Construction Spend Curve'!$H$5:$BM$5,0)),"")</f>
        <v/>
      </c>
      <c r="T76" s="1151" t="str">
        <f t="array" ref="T76">IFERROR(INDEX('Construction Spend Curve'!$H$6:$BM$466,MATCH(#REF!,'Construction Spend Curve'!$H$6:$H$466,0),MATCH(EOMONTH('Monthly DCF'!T$3,-'Monthly DCF'!#REF!+1),'Construction Spend Curve'!$H$5:$BM$5,0)),"")</f>
        <v/>
      </c>
      <c r="U76" s="1151" t="str">
        <f t="array" ref="U76">IFERROR(INDEX('Construction Spend Curve'!$H$6:$BM$466,MATCH(#REF!,'Construction Spend Curve'!$H$6:$H$466,0),MATCH(EOMONTH('Monthly DCF'!U$3,-'Monthly DCF'!#REF!+1),'Construction Spend Curve'!$H$5:$BM$5,0)),"")</f>
        <v/>
      </c>
      <c r="V76" s="1151" t="str">
        <f t="array" ref="V76">IFERROR(INDEX('Construction Spend Curve'!$H$6:$BM$466,MATCH(#REF!,'Construction Spend Curve'!$H$6:$H$466,0),MATCH(EOMONTH('Monthly DCF'!V$3,-'Monthly DCF'!#REF!+1),'Construction Spend Curve'!$H$5:$BM$5,0)),"")</f>
        <v/>
      </c>
      <c r="W76" s="1151" t="str">
        <f t="array" ref="W76">IFERROR(INDEX('Construction Spend Curve'!$H$6:$BM$466,MATCH(#REF!,'Construction Spend Curve'!$H$6:$H$466,0),MATCH(EOMONTH('Monthly DCF'!W$3,-'Monthly DCF'!#REF!+1),'Construction Spend Curve'!$H$5:$BM$5,0)),"")</f>
        <v/>
      </c>
      <c r="X76" s="1151" t="str">
        <f t="array" ref="X76">IFERROR(INDEX('Construction Spend Curve'!$H$6:$BM$466,MATCH(#REF!,'Construction Spend Curve'!$H$6:$H$466,0),MATCH(EOMONTH('Monthly DCF'!X$3,-'Monthly DCF'!#REF!+1),'Construction Spend Curve'!$H$5:$BM$5,0)),"")</f>
        <v/>
      </c>
      <c r="Y76" s="1151" t="str">
        <f t="array" ref="Y76">IFERROR(INDEX('Construction Spend Curve'!$H$6:$BM$466,MATCH(#REF!,'Construction Spend Curve'!$H$6:$H$466,0),MATCH(EOMONTH('Monthly DCF'!Y$3,-'Monthly DCF'!#REF!+1),'Construction Spend Curve'!$H$5:$BM$5,0)),"")</f>
        <v/>
      </c>
      <c r="Z76" s="1151" t="str">
        <f t="array" ref="Z76">IFERROR(INDEX('Construction Spend Curve'!$H$6:$BM$466,MATCH(#REF!,'Construction Spend Curve'!$H$6:$H$466,0),MATCH(EOMONTH('Monthly DCF'!Z$3,-'Monthly DCF'!#REF!+1),'Construction Spend Curve'!$H$5:$BM$5,0)),"")</f>
        <v/>
      </c>
      <c r="AA76" s="1151" t="str">
        <f t="array" ref="AA76">IFERROR(INDEX('Construction Spend Curve'!$H$6:$BM$466,MATCH(#REF!,'Construction Spend Curve'!$H$6:$H$466,0),MATCH(EOMONTH('Monthly DCF'!AA$3,-'Monthly DCF'!#REF!+1),'Construction Spend Curve'!$H$5:$BM$5,0)),"")</f>
        <v/>
      </c>
      <c r="AB76" s="1151" t="str">
        <f t="array" ref="AB76">IFERROR(INDEX('Construction Spend Curve'!$H$6:$BM$466,MATCH(#REF!,'Construction Spend Curve'!$H$6:$H$466,0),MATCH(EOMONTH('Monthly DCF'!AB$3,-'Monthly DCF'!#REF!+1),'Construction Spend Curve'!$H$5:$BM$5,0)),"")</f>
        <v/>
      </c>
      <c r="AC76" s="1151" t="str">
        <f t="array" ref="AC76">IFERROR(INDEX('Construction Spend Curve'!$H$6:$BM$466,MATCH(#REF!,'Construction Spend Curve'!$H$6:$H$466,0),MATCH(EOMONTH('Monthly DCF'!AC$3,-'Monthly DCF'!#REF!+1),'Construction Spend Curve'!$H$5:$BM$5,0)),"")</f>
        <v/>
      </c>
      <c r="AD76" s="1151" t="str">
        <f t="array" ref="AD76">IFERROR(INDEX('Construction Spend Curve'!$H$6:$BM$466,MATCH(#REF!,'Construction Spend Curve'!$H$6:$H$466,0),MATCH(EOMONTH('Monthly DCF'!AD$3,-'Monthly DCF'!#REF!+1),'Construction Spend Curve'!$H$5:$BM$5,0)),"")</f>
        <v/>
      </c>
      <c r="AE76" s="1151" t="str">
        <f t="array" ref="AE76">IFERROR(INDEX('Construction Spend Curve'!$H$6:$BM$466,MATCH(#REF!,'Construction Spend Curve'!$H$6:$H$466,0),MATCH(EOMONTH('Monthly DCF'!AE$3,-'Monthly DCF'!#REF!+1),'Construction Spend Curve'!$H$5:$BM$5,0)),"")</f>
        <v/>
      </c>
      <c r="AF76" s="1151" t="str">
        <f t="array" ref="AF76">IFERROR(INDEX('Construction Spend Curve'!$H$6:$BM$466,MATCH(#REF!,'Construction Spend Curve'!$H$6:$H$466,0),MATCH(EOMONTH('Monthly DCF'!AF$3,-'Monthly DCF'!#REF!+1),'Construction Spend Curve'!$H$5:$BM$5,0)),"")</f>
        <v/>
      </c>
      <c r="AG76" s="1151" t="str">
        <f t="array" ref="AG76">IFERROR(INDEX('Construction Spend Curve'!$H$6:$BM$466,MATCH(#REF!,'Construction Spend Curve'!$H$6:$H$466,0),MATCH(EOMONTH('Monthly DCF'!AG$3,-'Monthly DCF'!#REF!+1),'Construction Spend Curve'!$H$5:$BM$5,0)),"")</f>
        <v/>
      </c>
      <c r="AH76" s="1151" t="str">
        <f t="array" ref="AH76">IFERROR(INDEX('Construction Spend Curve'!$H$6:$BM$466,MATCH(#REF!,'Construction Spend Curve'!$H$6:$H$466,0),MATCH(EOMONTH('Monthly DCF'!AH$3,-'Monthly DCF'!#REF!+1),'Construction Spend Curve'!$H$5:$BM$5,0)),"")</f>
        <v/>
      </c>
      <c r="AI76" s="1151" t="str">
        <f t="array" ref="AI76">IFERROR(INDEX('Construction Spend Curve'!$H$6:$BM$466,MATCH(#REF!,'Construction Spend Curve'!$H$6:$H$466,0),MATCH(EOMONTH('Monthly DCF'!AI$3,-'Monthly DCF'!#REF!+1),'Construction Spend Curve'!$H$5:$BM$5,0)),"")</f>
        <v/>
      </c>
      <c r="AJ76" s="1151" t="str">
        <f t="array" ref="AJ76">IFERROR(INDEX('Construction Spend Curve'!$H$6:$BM$466,MATCH(#REF!,'Construction Spend Curve'!$H$6:$H$466,0),MATCH(EOMONTH('Monthly DCF'!AJ$3,-'Monthly DCF'!#REF!+1),'Construction Spend Curve'!$H$5:$BM$5,0)),"")</f>
        <v/>
      </c>
      <c r="AK76" s="1151" t="str">
        <f t="array" ref="AK76">IFERROR(INDEX('Construction Spend Curve'!$H$6:$BM$466,MATCH(#REF!,'Construction Spend Curve'!$H$6:$H$466,0),MATCH(EOMONTH('Monthly DCF'!AK$3,-'Monthly DCF'!#REF!+1),'Construction Spend Curve'!$H$5:$BM$5,0)),"")</f>
        <v/>
      </c>
      <c r="AL76" s="1151" t="str">
        <f t="array" ref="AL76">IFERROR(INDEX('Construction Spend Curve'!$H$6:$BM$466,MATCH(#REF!,'Construction Spend Curve'!$H$6:$H$466,0),MATCH(EOMONTH('Monthly DCF'!AL$3,-'Monthly DCF'!#REF!+1),'Construction Spend Curve'!$H$5:$BM$5,0)),"")</f>
        <v/>
      </c>
      <c r="AM76" s="1151" t="str">
        <f t="array" ref="AM76">IFERROR(INDEX('Construction Spend Curve'!$H$6:$BM$466,MATCH(#REF!,'Construction Spend Curve'!$H$6:$H$466,0),MATCH(EOMONTH('Monthly DCF'!AM$3,-'Monthly DCF'!#REF!+1),'Construction Spend Curve'!$H$5:$BM$5,0)),"")</f>
        <v/>
      </c>
      <c r="AN76" s="1151" t="str">
        <f t="array" ref="AN76">IFERROR(INDEX('Construction Spend Curve'!$H$6:$BM$466,MATCH(#REF!,'Construction Spend Curve'!$H$6:$H$466,0),MATCH(EOMONTH('Monthly DCF'!AN$3,-'Monthly DCF'!#REF!+1),'Construction Spend Curve'!$H$5:$BM$5,0)),"")</f>
        <v/>
      </c>
      <c r="AO76" s="1151" t="str">
        <f t="array" ref="AO76">IFERROR(INDEX('Construction Spend Curve'!$H$6:$BM$466,MATCH(#REF!,'Construction Spend Curve'!$H$6:$H$466,0),MATCH(EOMONTH('Monthly DCF'!AO$3,-'Monthly DCF'!#REF!+1),'Construction Spend Curve'!$H$5:$BM$5,0)),"")</f>
        <v/>
      </c>
      <c r="AP76" s="1151" t="str">
        <f t="array" ref="AP76">IFERROR(INDEX('Construction Spend Curve'!$H$6:$BM$466,MATCH(#REF!,'Construction Spend Curve'!$H$6:$H$466,0),MATCH(EOMONTH('Monthly DCF'!AP$3,-'Monthly DCF'!#REF!+1),'Construction Spend Curve'!$H$5:$BM$5,0)),"")</f>
        <v/>
      </c>
      <c r="AQ76" s="1151" t="str">
        <f t="array" ref="AQ76">IFERROR(INDEX('Construction Spend Curve'!$H$6:$BM$466,MATCH(#REF!,'Construction Spend Curve'!$H$6:$H$466,0),MATCH(EOMONTH('Monthly DCF'!AQ$3,-'Monthly DCF'!#REF!+1),'Construction Spend Curve'!$H$5:$BM$5,0)),"")</f>
        <v/>
      </c>
      <c r="AR76" s="1151" t="str">
        <f t="array" ref="AR76">IFERROR(INDEX('Construction Spend Curve'!$H$6:$BM$466,MATCH(#REF!,'Construction Spend Curve'!$H$6:$H$466,0),MATCH(EOMONTH('Monthly DCF'!AR$3,-'Monthly DCF'!#REF!+1),'Construction Spend Curve'!$H$5:$BM$5,0)),"")</f>
        <v/>
      </c>
      <c r="AS76" s="1151" t="str">
        <f t="array" ref="AS76">IFERROR(INDEX('Construction Spend Curve'!$H$6:$BM$466,MATCH(#REF!,'Construction Spend Curve'!$H$6:$H$466,0),MATCH(EOMONTH('Monthly DCF'!AS$3,-'Monthly DCF'!#REF!+1),'Construction Spend Curve'!$H$5:$BM$5,0)),"")</f>
        <v/>
      </c>
      <c r="AT76" s="1151"/>
      <c r="AU76" s="1151" t="str">
        <f t="array" ref="AU76">IFERROR(INDEX('Construction Spend Curve'!$H$6:$BM$466,MATCH(#REF!,'Construction Spend Curve'!$H$6:$H$466,0),MATCH(EOMONTH('Monthly DCF'!AU$3,-'Monthly DCF'!#REF!+1),'Construction Spend Curve'!$H$5:$BM$5,0)),"")</f>
        <v/>
      </c>
      <c r="AV76" s="1151" t="str">
        <f t="array" ref="AV76">IFERROR(INDEX('Construction Spend Curve'!$H$6:$BM$466,MATCH(#REF!,'Construction Spend Curve'!$H$6:$H$466,0),MATCH(EOMONTH('Monthly DCF'!AV$3,-'Monthly DCF'!#REF!+1),'Construction Spend Curve'!$H$5:$BM$5,0)),"")</f>
        <v/>
      </c>
      <c r="AW76" s="1151" t="str">
        <f t="array" ref="AW76">IFERROR(INDEX('Construction Spend Curve'!$H$6:$BM$466,MATCH(#REF!,'Construction Spend Curve'!$H$6:$H$466,0),MATCH(EOMONTH('Monthly DCF'!AW$3,-'Monthly DCF'!#REF!+1),'Construction Spend Curve'!$H$5:$BM$5,0)),"")</f>
        <v/>
      </c>
      <c r="AX76" s="1151" t="str">
        <f t="array" ref="AX76">IFERROR(INDEX('Construction Spend Curve'!$H$6:$BM$466,MATCH(#REF!,'Construction Spend Curve'!$H$6:$H$466,0),MATCH(EOMONTH('Monthly DCF'!AX$3,-'Monthly DCF'!#REF!+1),'Construction Spend Curve'!$H$5:$BM$5,0)),"")</f>
        <v/>
      </c>
      <c r="AY76" s="1151" t="str">
        <f t="array" ref="AY76">IFERROR(INDEX('Construction Spend Curve'!$H$6:$BM$466,MATCH(#REF!,'Construction Spend Curve'!$H$6:$H$466,0),MATCH(EOMONTH('Monthly DCF'!AY$3,-'Monthly DCF'!#REF!+1),'Construction Spend Curve'!$H$5:$BM$5,0)),"")</f>
        <v/>
      </c>
      <c r="AZ76" s="1151" t="str">
        <f t="array" ref="AZ76">IFERROR(INDEX('Construction Spend Curve'!$H$6:$BM$466,MATCH(#REF!,'Construction Spend Curve'!$H$6:$H$466,0),MATCH(EOMONTH('Monthly DCF'!AZ$3,-'Monthly DCF'!#REF!+1),'Construction Spend Curve'!$H$5:$BM$5,0)),"")</f>
        <v/>
      </c>
      <c r="BA76" s="1151" t="str">
        <f t="array" ref="BA76">IFERROR(INDEX('Construction Spend Curve'!$H$6:$BM$466,MATCH(#REF!,'Construction Spend Curve'!$H$6:$H$466,0),MATCH(EOMONTH('Monthly DCF'!BA$3,-'Monthly DCF'!#REF!+1),'Construction Spend Curve'!$H$5:$BM$5,0)),"")</f>
        <v/>
      </c>
      <c r="BB76" s="1151" t="str">
        <f t="array" ref="BB76">IFERROR(INDEX('Construction Spend Curve'!$H$6:$BM$466,MATCH(#REF!,'Construction Spend Curve'!$H$6:$H$466,0),MATCH(EOMONTH('Monthly DCF'!BB$3,-'Monthly DCF'!#REF!+1),'Construction Spend Curve'!$H$5:$BM$5,0)),"")</f>
        <v/>
      </c>
      <c r="BC76" s="1151" t="str">
        <f t="array" ref="BC76">IFERROR(INDEX('Construction Spend Curve'!$H$6:$BM$466,MATCH(#REF!,'Construction Spend Curve'!$H$6:$H$466,0),MATCH(EOMONTH('Monthly DCF'!BC$3,-'Monthly DCF'!#REF!+1),'Construction Spend Curve'!$H$5:$BM$5,0)),"")</f>
        <v/>
      </c>
      <c r="BD76" s="1151" t="str">
        <f t="array" ref="BD76">IFERROR(INDEX('Construction Spend Curve'!$H$6:$BM$466,MATCH(#REF!,'Construction Spend Curve'!$H$6:$H$466,0),MATCH(EOMONTH('Monthly DCF'!BD$3,-'Monthly DCF'!#REF!+1),'Construction Spend Curve'!$H$5:$BM$5,0)),"")</f>
        <v/>
      </c>
      <c r="BE76" s="1151" t="str">
        <f t="array" ref="BE76">IFERROR(INDEX('Construction Spend Curve'!$H$6:$BM$466,MATCH(#REF!,'Construction Spend Curve'!$H$6:$H$466,0),MATCH(EOMONTH('Monthly DCF'!BE$3,-'Monthly DCF'!#REF!+1),'Construction Spend Curve'!$H$5:$BM$5,0)),"")</f>
        <v/>
      </c>
      <c r="BF76" s="1151" t="str">
        <f t="array" ref="BF76">IFERROR(INDEX('Construction Spend Curve'!$H$6:$BM$466,MATCH(#REF!,'Construction Spend Curve'!$H$6:$H$466,0),MATCH(EOMONTH('Monthly DCF'!BF$3,-'Monthly DCF'!#REF!+1),'Construction Spend Curve'!$H$5:$BM$5,0)),"")</f>
        <v/>
      </c>
      <c r="BG76" s="1151" t="str">
        <f t="array" ref="BG76">IFERROR(INDEX('Construction Spend Curve'!$H$6:$BM$466,MATCH(#REF!,'Construction Spend Curve'!$H$6:$H$466,0),MATCH(EOMONTH('Monthly DCF'!BG$3,-'Monthly DCF'!#REF!+1),'Construction Spend Curve'!$H$5:$BM$5,0)),"")</f>
        <v/>
      </c>
      <c r="BH76" s="1151" t="str">
        <f t="array" ref="BH76">IFERROR(INDEX('Construction Spend Curve'!$H$6:$BM$466,MATCH(#REF!,'Construction Spend Curve'!$H$6:$H$466,0),MATCH(EOMONTH('Monthly DCF'!BH$3,-'Monthly DCF'!#REF!+1),'Construction Spend Curve'!$H$5:$BM$5,0)),"")</f>
        <v/>
      </c>
      <c r="BI76" s="1151" t="str">
        <f t="array" ref="BI76">IFERROR(INDEX('Construction Spend Curve'!$H$6:$BM$466,MATCH(#REF!,'Construction Spend Curve'!$H$6:$H$466,0),MATCH(EOMONTH('Monthly DCF'!BI$3,-'Monthly DCF'!#REF!+1),'Construction Spend Curve'!$H$5:$BM$5,0)),"")</f>
        <v/>
      </c>
      <c r="BJ76" s="1151" t="str">
        <f t="array" ref="BJ76">IFERROR(INDEX('Construction Spend Curve'!$H$6:$BM$466,MATCH(#REF!,'Construction Spend Curve'!$H$6:$H$466,0),MATCH(EOMONTH('Monthly DCF'!BJ$3,-'Monthly DCF'!#REF!+1),'Construction Spend Curve'!$H$5:$BM$5,0)),"")</f>
        <v/>
      </c>
      <c r="BK76" s="1151" t="str">
        <f t="array" ref="BK76">IFERROR(INDEX('Construction Spend Curve'!$H$6:$BM$466,MATCH(#REF!,'Construction Spend Curve'!$H$6:$H$466,0),MATCH(EOMONTH('Monthly DCF'!BK$3,-'Monthly DCF'!#REF!+1),'Construction Spend Curve'!$H$5:$BM$5,0)),"")</f>
        <v/>
      </c>
      <c r="BL76" s="1151" t="str">
        <f t="array" ref="BL76">IFERROR(INDEX('Construction Spend Curve'!$H$6:$BM$466,MATCH(#REF!,'Construction Spend Curve'!$H$6:$H$466,0),MATCH(EOMONTH('Monthly DCF'!BL$3,-'Monthly DCF'!#REF!+1),'Construction Spend Curve'!$H$5:$BM$5,0)),"")</f>
        <v/>
      </c>
      <c r="BM76" s="1151" t="str">
        <f t="array" ref="BM76">IFERROR(INDEX('Construction Spend Curve'!$H$6:$BM$466,MATCH(#REF!,'Construction Spend Curve'!$H$6:$H$466,0),MATCH(EOMONTH('Monthly DCF'!BM$3,-'Monthly DCF'!#REF!+1),'Construction Spend Curve'!$H$5:$BM$5,0)),"")</f>
        <v/>
      </c>
      <c r="BN76" s="1151" t="str">
        <f t="array" ref="BN76">IFERROR(INDEX('Construction Spend Curve'!$H$6:$BM$466,MATCH(#REF!,'Construction Spend Curve'!$H$6:$H$466,0),MATCH(EOMONTH('Monthly DCF'!BN$3,-'Monthly DCF'!#REF!+1),'Construction Spend Curve'!$H$5:$BM$5,0)),"")</f>
        <v/>
      </c>
      <c r="BO76" s="1151" t="str">
        <f t="array" ref="BO76">IFERROR(INDEX('Construction Spend Curve'!$H$6:$BM$466,MATCH(#REF!,'Construction Spend Curve'!$H$6:$H$466,0),MATCH(EOMONTH('Monthly DCF'!BO$3,-'Monthly DCF'!#REF!+1),'Construction Spend Curve'!$H$5:$BM$5,0)),"")</f>
        <v/>
      </c>
      <c r="BP76" s="1151" t="str">
        <f t="array" ref="BP76">IFERROR(INDEX('Construction Spend Curve'!$H$6:$BM$466,MATCH(#REF!,'Construction Spend Curve'!$H$6:$H$466,0),MATCH(EOMONTH('Monthly DCF'!BP$3,-'Monthly DCF'!#REF!+1),'Construction Spend Curve'!$H$5:$BM$5,0)),"")</f>
        <v/>
      </c>
      <c r="BQ76" s="1151" t="str">
        <f t="array" ref="BQ76">IFERROR(INDEX('Construction Spend Curve'!$H$6:$BM$466,MATCH(#REF!,'Construction Spend Curve'!$H$6:$H$466,0),MATCH(EOMONTH('Monthly DCF'!BQ$3,-'Monthly DCF'!#REF!+1),'Construction Spend Curve'!$H$5:$BM$5,0)),"")</f>
        <v/>
      </c>
      <c r="BR76" s="1151" t="str">
        <f t="array" ref="BR76">IFERROR(INDEX('Construction Spend Curve'!$H$6:$BM$466,MATCH(#REF!,'Construction Spend Curve'!$H$6:$H$466,0),MATCH(EOMONTH('Monthly DCF'!BR$3,-'Monthly DCF'!#REF!+1),'Construction Spend Curve'!$H$5:$BM$5,0)),"")</f>
        <v/>
      </c>
      <c r="BS76" s="1151" t="str">
        <f t="array" ref="BS76">IFERROR(INDEX('Construction Spend Curve'!$H$6:$BM$466,MATCH(#REF!,'Construction Spend Curve'!$H$6:$H$466,0),MATCH(EOMONTH('Monthly DCF'!BS$3,-'Monthly DCF'!#REF!+1),'Construction Spend Curve'!$H$5:$BM$5,0)),"")</f>
        <v/>
      </c>
      <c r="BT76" s="1151" t="str">
        <f t="array" ref="BT76">IFERROR(INDEX('Construction Spend Curve'!$H$6:$BM$466,MATCH(#REF!,'Construction Spend Curve'!$H$6:$H$466,0),MATCH(EOMONTH('Monthly DCF'!BT$3,-'Monthly DCF'!#REF!+1),'Construction Spend Curve'!$H$5:$BM$5,0)),"")</f>
        <v/>
      </c>
      <c r="BU76" s="1151" t="str">
        <f t="array" ref="BU76">IFERROR(INDEX('Construction Spend Curve'!$H$6:$BM$466,MATCH(#REF!,'Construction Spend Curve'!$H$6:$H$466,0),MATCH(EOMONTH('Monthly DCF'!BU$3,-'Monthly DCF'!#REF!+1),'Construction Spend Curve'!$H$5:$BM$5,0)),"")</f>
        <v/>
      </c>
      <c r="BV76" s="1151" t="str">
        <f t="array" ref="BV76">IFERROR(INDEX('Construction Spend Curve'!$H$6:$BM$466,MATCH(#REF!,'Construction Spend Curve'!$H$6:$H$466,0),MATCH(EOMONTH('Monthly DCF'!BV$3,-'Monthly DCF'!#REF!+1),'Construction Spend Curve'!$H$5:$BM$5,0)),"")</f>
        <v/>
      </c>
      <c r="BW76" s="1151" t="str">
        <f t="array" ref="BW76">IFERROR(INDEX('Construction Spend Curve'!$H$6:$BM$466,MATCH(#REF!,'Construction Spend Curve'!$H$6:$H$466,0),MATCH(EOMONTH('Monthly DCF'!BW$3,-'Monthly DCF'!#REF!+1),'Construction Spend Curve'!$H$5:$BM$5,0)),"")</f>
        <v/>
      </c>
      <c r="BX76" s="1151" t="str">
        <f t="array" ref="BX76">IFERROR(INDEX('Construction Spend Curve'!$H$6:$BM$466,MATCH(#REF!,'Construction Spend Curve'!$H$6:$H$466,0),MATCH(EOMONTH('Monthly DCF'!BX$3,-'Monthly DCF'!#REF!+1),'Construction Spend Curve'!$H$5:$BM$5,0)),"")</f>
        <v/>
      </c>
      <c r="BY76" s="1151" t="str">
        <f t="array" ref="BY76">IFERROR(INDEX('Construction Spend Curve'!$H$6:$BM$466,MATCH(#REF!,'Construction Spend Curve'!$H$6:$H$466,0),MATCH(EOMONTH('Monthly DCF'!BY$3,-'Monthly DCF'!#REF!+1),'Construction Spend Curve'!$H$5:$BM$5,0)),"")</f>
        <v/>
      </c>
      <c r="BZ76" s="1151" t="str">
        <f t="array" ref="BZ76">IFERROR(INDEX('Construction Spend Curve'!$H$6:$BM$466,MATCH(#REF!,'Construction Spend Curve'!$H$6:$H$466,0),MATCH(EOMONTH('Monthly DCF'!BZ$3,-'Monthly DCF'!#REF!+1),'Construction Spend Curve'!$H$5:$BM$5,0)),"")</f>
        <v/>
      </c>
      <c r="CA76" s="1151" t="str">
        <f t="array" ref="CA76">IFERROR(INDEX('Construction Spend Curve'!$H$6:$BM$466,MATCH(#REF!,'Construction Spend Curve'!$H$6:$H$466,0),MATCH(EOMONTH('Monthly DCF'!CA$3,-'Monthly DCF'!#REF!+1),'Construction Spend Curve'!$H$5:$BM$5,0)),"")</f>
        <v/>
      </c>
      <c r="CB76" s="1151" t="str">
        <f t="array" ref="CB76">IFERROR(INDEX('Construction Spend Curve'!$H$6:$BM$466,MATCH(#REF!,'Construction Spend Curve'!$H$6:$H$466,0),MATCH(EOMONTH('Monthly DCF'!CB$3,-'Monthly DCF'!#REF!+1),'Construction Spend Curve'!$H$5:$BM$5,0)),"")</f>
        <v/>
      </c>
      <c r="CC76" s="1151" t="str">
        <f t="array" ref="CC76">IFERROR(INDEX('Construction Spend Curve'!$H$6:$BM$466,MATCH(#REF!,'Construction Spend Curve'!$H$6:$H$466,0),MATCH(EOMONTH('Monthly DCF'!CC$3,-'Monthly DCF'!#REF!+1),'Construction Spend Curve'!$H$5:$BM$5,0)),"")</f>
        <v/>
      </c>
      <c r="CD76" s="1151" t="str">
        <f t="array" ref="CD76">IFERROR(INDEX('Construction Spend Curve'!$H$6:$BM$466,MATCH(#REF!,'Construction Spend Curve'!$H$6:$H$466,0),MATCH(EOMONTH('Monthly DCF'!CD$3,-'Monthly DCF'!#REF!+1),'Construction Spend Curve'!$H$5:$BM$5,0)),"")</f>
        <v/>
      </c>
      <c r="CE76" s="1151" t="str">
        <f t="array" ref="CE76">IFERROR(INDEX('Construction Spend Curve'!$H$6:$BM$466,MATCH(#REF!,'Construction Spend Curve'!$H$6:$H$466,0),MATCH(EOMONTH('Monthly DCF'!CE$3,-'Monthly DCF'!#REF!+1),'Construction Spend Curve'!$H$5:$BM$5,0)),"")</f>
        <v/>
      </c>
      <c r="CF76" s="1151" t="str">
        <f t="array" ref="CF76">IFERROR(INDEX('Construction Spend Curve'!$H$6:$BM$466,MATCH(#REF!,'Construction Spend Curve'!$H$6:$H$466,0),MATCH(EOMONTH('Monthly DCF'!CF$3,-'Monthly DCF'!#REF!+1),'Construction Spend Curve'!$H$5:$BM$5,0)),"")</f>
        <v/>
      </c>
      <c r="CG76" s="1151" t="str">
        <f t="array" ref="CG76">IFERROR(INDEX('Construction Spend Curve'!$H$6:$BM$466,MATCH(#REF!,'Construction Spend Curve'!$H$6:$H$466,0),MATCH(EOMONTH('Monthly DCF'!CG$3,-'Monthly DCF'!#REF!+1),'Construction Spend Curve'!$H$5:$BM$5,0)),"")</f>
        <v/>
      </c>
      <c r="CH76" s="1151" t="str">
        <f t="array" ref="CH76">IFERROR(INDEX('Construction Spend Curve'!$H$6:$BM$466,MATCH(#REF!,'Construction Spend Curve'!$H$6:$H$466,0),MATCH(EOMONTH('Monthly DCF'!CH$3,-'Monthly DCF'!#REF!+1),'Construction Spend Curve'!$H$5:$BM$5,0)),"")</f>
        <v/>
      </c>
      <c r="CI76" s="1151" t="str">
        <f t="array" ref="CI76">IFERROR(INDEX('Construction Spend Curve'!$H$6:$BM$466,MATCH(#REF!,'Construction Spend Curve'!$H$6:$H$466,0),MATCH(EOMONTH('Monthly DCF'!CI$3,-'Monthly DCF'!#REF!+1),'Construction Spend Curve'!$H$5:$BM$5,0)),"")</f>
        <v/>
      </c>
      <c r="CJ76" s="1151" t="str">
        <f t="array" ref="CJ76">IFERROR(INDEX('Construction Spend Curve'!$H$6:$BM$466,MATCH(#REF!,'Construction Spend Curve'!$H$6:$H$466,0),MATCH(EOMONTH('Monthly DCF'!CJ$3,-'Monthly DCF'!#REF!+1),'Construction Spend Curve'!$H$5:$BM$5,0)),"")</f>
        <v/>
      </c>
      <c r="CK76" s="1151" t="str">
        <f t="array" ref="CK76">IFERROR(INDEX('Construction Spend Curve'!$H$6:$BM$466,MATCH(#REF!,'Construction Spend Curve'!$H$6:$H$466,0),MATCH(EOMONTH('Monthly DCF'!CK$3,-'Monthly DCF'!#REF!+1),'Construction Spend Curve'!$H$5:$BM$5,0)),"")</f>
        <v/>
      </c>
      <c r="CL76" s="1151" t="str">
        <f t="array" ref="CL76">IFERROR(INDEX('Construction Spend Curve'!$H$6:$BM$466,MATCH(#REF!,'Construction Spend Curve'!$H$6:$H$466,0),MATCH(EOMONTH('Monthly DCF'!CL$3,-'Monthly DCF'!#REF!+1),'Construction Spend Curve'!$H$5:$BM$5,0)),"")</f>
        <v/>
      </c>
      <c r="CM76" s="1151" t="str">
        <f t="array" ref="CM76">IFERROR(INDEX('Construction Spend Curve'!$H$6:$BM$466,MATCH(#REF!,'Construction Spend Curve'!$H$6:$H$466,0),MATCH(EOMONTH('Monthly DCF'!CM$3,-'Monthly DCF'!#REF!+1),'Construction Spend Curve'!$H$5:$BM$5,0)),"")</f>
        <v/>
      </c>
      <c r="CN76" s="1151" t="str">
        <f t="array" ref="CN76">IFERROR(INDEX('Construction Spend Curve'!$H$6:$BM$466,MATCH(#REF!,'Construction Spend Curve'!$H$6:$H$466,0),MATCH(EOMONTH('Monthly DCF'!CN$3,-'Monthly DCF'!#REF!+1),'Construction Spend Curve'!$H$5:$BM$5,0)),"")</f>
        <v/>
      </c>
      <c r="CO76" s="1151" t="str">
        <f t="array" ref="CO76">IFERROR(INDEX('Construction Spend Curve'!$H$6:$BM$466,MATCH(#REF!,'Construction Spend Curve'!$H$6:$H$466,0),MATCH(EOMONTH('Monthly DCF'!CO$3,-'Monthly DCF'!#REF!+1),'Construction Spend Curve'!$H$5:$BM$5,0)),"")</f>
        <v/>
      </c>
      <c r="CP76" s="1151" t="str">
        <f t="array" ref="CP76">IFERROR(INDEX('Construction Spend Curve'!$H$6:$BM$466,MATCH(#REF!,'Construction Spend Curve'!$H$6:$H$466,0),MATCH(EOMONTH('Monthly DCF'!CP$3,-'Monthly DCF'!#REF!+1),'Construction Spend Curve'!$H$5:$BM$5,0)),"")</f>
        <v/>
      </c>
      <c r="CQ76" s="1151" t="str">
        <f t="array" ref="CQ76">IFERROR(INDEX('Construction Spend Curve'!$H$6:$BM$466,MATCH(#REF!,'Construction Spend Curve'!$H$6:$H$466,0),MATCH(EOMONTH('Monthly DCF'!CQ$3,-'Monthly DCF'!#REF!+1),'Construction Spend Curve'!$H$5:$BM$5,0)),"")</f>
        <v/>
      </c>
      <c r="CR76" s="1151" t="str">
        <f t="array" ref="CR76">IFERROR(INDEX('Construction Spend Curve'!$H$6:$BM$466,MATCH(#REF!,'Construction Spend Curve'!$H$6:$H$466,0),MATCH(EOMONTH('Monthly DCF'!CR$3,-'Monthly DCF'!#REF!+1),'Construction Spend Curve'!$H$5:$BM$5,0)),"")</f>
        <v/>
      </c>
      <c r="CS76" s="1151" t="str">
        <f t="array" ref="CS76">IFERROR(INDEX('Construction Spend Curve'!$H$6:$BM$466,MATCH(#REF!,'Construction Spend Curve'!$H$6:$H$466,0),MATCH(EOMONTH('Monthly DCF'!CS$3,-'Monthly DCF'!#REF!+1),'Construction Spend Curve'!$H$5:$BM$5,0)),"")</f>
        <v/>
      </c>
      <c r="CT76" s="1151" t="str">
        <f t="array" ref="CT76">IFERROR(INDEX('Construction Spend Curve'!$H$6:$BM$466,MATCH(#REF!,'Construction Spend Curve'!$H$6:$H$466,0),MATCH(EOMONTH('Monthly DCF'!CT$3,-'Monthly DCF'!#REF!+1),'Construction Spend Curve'!$H$5:$BM$5,0)),"")</f>
        <v/>
      </c>
      <c r="CU76" s="1151" t="str">
        <f t="array" ref="CU76">IFERROR(INDEX('Construction Spend Curve'!$H$6:$BM$466,MATCH(#REF!,'Construction Spend Curve'!$H$6:$H$466,0),MATCH(EOMONTH('Monthly DCF'!CU$3,-'Monthly DCF'!#REF!+1),'Construction Spend Curve'!$H$5:$BM$5,0)),"")</f>
        <v/>
      </c>
      <c r="CV76" s="1151" t="str">
        <f t="array" ref="CV76">IFERROR(INDEX('Construction Spend Curve'!$H$6:$BM$466,MATCH(#REF!,'Construction Spend Curve'!$H$6:$H$466,0),MATCH(EOMONTH('Monthly DCF'!CV$3,-'Monthly DCF'!#REF!+1),'Construction Spend Curve'!$H$5:$BM$5,0)),"")</f>
        <v/>
      </c>
      <c r="CW76" s="1151" t="str">
        <f t="array" ref="CW76">IFERROR(INDEX('Construction Spend Curve'!$H$6:$BM$466,MATCH(#REF!,'Construction Spend Curve'!$H$6:$H$466,0),MATCH(EOMONTH('Monthly DCF'!CW$3,-'Monthly DCF'!#REF!+1),'Construction Spend Curve'!$H$5:$BM$5,0)),"")</f>
        <v/>
      </c>
      <c r="CX76" s="1151" t="str">
        <f t="array" ref="CX76">IFERROR(INDEX('Construction Spend Curve'!$H$6:$BM$466,MATCH(#REF!,'Construction Spend Curve'!$H$6:$H$466,0),MATCH(EOMONTH('Monthly DCF'!CX$3,-'Monthly DCF'!#REF!+1),'Construction Spend Curve'!$H$5:$BM$5,0)),"")</f>
        <v/>
      </c>
      <c r="CY76" s="1151" t="str">
        <f t="array" ref="CY76">IFERROR(INDEX('Construction Spend Curve'!$H$6:$BM$466,MATCH(#REF!,'Construction Spend Curve'!$H$6:$H$466,0),MATCH(EOMONTH('Monthly DCF'!CY$3,-'Monthly DCF'!#REF!+1),'Construction Spend Curve'!$H$5:$BM$5,0)),"")</f>
        <v/>
      </c>
      <c r="CZ76" s="1151" t="str">
        <f t="array" ref="CZ76">IFERROR(INDEX('Construction Spend Curve'!$H$6:$BM$466,MATCH(#REF!,'Construction Spend Curve'!$H$6:$H$466,0),MATCH(EOMONTH('Monthly DCF'!CZ$3,-'Monthly DCF'!#REF!+1),'Construction Spend Curve'!$H$5:$BM$5,0)),"")</f>
        <v/>
      </c>
      <c r="DA76" s="1151" t="str">
        <f t="array" ref="DA76">IFERROR(INDEX('Construction Spend Curve'!$H$6:$BM$466,MATCH(#REF!,'Construction Spend Curve'!$H$6:$H$466,0),MATCH(EOMONTH('Monthly DCF'!DA$3,-'Monthly DCF'!#REF!+1),'Construction Spend Curve'!$H$5:$BM$5,0)),"")</f>
        <v/>
      </c>
      <c r="DB76" s="1151" t="str">
        <f t="array" ref="DB76">IFERROR(INDEX('Construction Spend Curve'!$H$6:$BM$466,MATCH(#REF!,'Construction Spend Curve'!$H$6:$H$466,0),MATCH(EOMONTH('Monthly DCF'!DB$3,-'Monthly DCF'!#REF!+1),'Construction Spend Curve'!$H$5:$BM$5,0)),"")</f>
        <v/>
      </c>
      <c r="DC76" s="1151" t="str">
        <f t="array" ref="DC76">IFERROR(INDEX('Construction Spend Curve'!$H$6:$BM$466,MATCH(#REF!,'Construction Spend Curve'!$H$6:$H$466,0),MATCH(EOMONTH('Monthly DCF'!DC$3,-'Monthly DCF'!#REF!+1),'Construction Spend Curve'!$H$5:$BM$5,0)),"")</f>
        <v/>
      </c>
      <c r="DD76" s="1151" t="str">
        <f t="array" ref="DD76">IFERROR(INDEX('Construction Spend Curve'!$H$6:$BM$466,MATCH(#REF!,'Construction Spend Curve'!$H$6:$H$466,0),MATCH(EOMONTH('Monthly DCF'!DD$3,-'Monthly DCF'!#REF!+1),'Construction Spend Curve'!$H$5:$BM$5,0)),"")</f>
        <v/>
      </c>
      <c r="DE76" s="1151" t="str">
        <f t="array" ref="DE76">IFERROR(INDEX('Construction Spend Curve'!$H$6:$BM$466,MATCH(#REF!,'Construction Spend Curve'!$H$6:$H$466,0),MATCH(EOMONTH('Monthly DCF'!DE$3,-'Monthly DCF'!#REF!+1),'Construction Spend Curve'!$H$5:$BM$5,0)),"")</f>
        <v/>
      </c>
      <c r="DF76" s="1151" t="str">
        <f t="array" ref="DF76">IFERROR(INDEX('Construction Spend Curve'!$H$6:$BM$466,MATCH(#REF!,'Construction Spend Curve'!$H$6:$H$466,0),MATCH(EOMONTH('Monthly DCF'!DF$3,-'Monthly DCF'!#REF!+1),'Construction Spend Curve'!$H$5:$BM$5,0)),"")</f>
        <v/>
      </c>
      <c r="DG76" s="1151" t="str">
        <f t="array" ref="DG76">IFERROR(INDEX('Construction Spend Curve'!$H$6:$BM$466,MATCH(#REF!,'Construction Spend Curve'!$H$6:$H$466,0),MATCH(EOMONTH('Monthly DCF'!DG$3,-'Monthly DCF'!#REF!+1),'Construction Spend Curve'!$H$5:$BM$5,0)),"")</f>
        <v/>
      </c>
      <c r="DH76" s="1151" t="str">
        <f t="array" ref="DH76">IFERROR(INDEX('Construction Spend Curve'!$H$6:$BM$466,MATCH(#REF!,'Construction Spend Curve'!$H$6:$H$466,0),MATCH(EOMONTH('Monthly DCF'!DH$3,-'Monthly DCF'!#REF!+1),'Construction Spend Curve'!$H$5:$BM$5,0)),"")</f>
        <v/>
      </c>
      <c r="DI76" s="1151" t="str">
        <f t="array" ref="DI76">IFERROR(INDEX('Construction Spend Curve'!$H$6:$BM$466,MATCH(#REF!,'Construction Spend Curve'!$H$6:$H$466,0),MATCH(EOMONTH('Monthly DCF'!DI$3,-'Monthly DCF'!#REF!+1),'Construction Spend Curve'!$H$5:$BM$5,0)),"")</f>
        <v/>
      </c>
      <c r="DJ76" s="1151" t="str">
        <f t="array" ref="DJ76">IFERROR(INDEX('Construction Spend Curve'!$H$6:$BM$466,MATCH(#REF!,'Construction Spend Curve'!$H$6:$H$466,0),MATCH(EOMONTH('Monthly DCF'!DJ$3,-'Monthly DCF'!#REF!+1),'Construction Spend Curve'!$H$5:$BM$5,0)),"")</f>
        <v/>
      </c>
      <c r="DK76" s="1151" t="str">
        <f t="array" ref="DK76">IFERROR(INDEX('Construction Spend Curve'!$H$6:$BM$466,MATCH(#REF!,'Construction Spend Curve'!$H$6:$H$466,0),MATCH(EOMONTH('Monthly DCF'!DK$3,-'Monthly DCF'!#REF!+1),'Construction Spend Curve'!$H$5:$BM$5,0)),"")</f>
        <v/>
      </c>
      <c r="DL76" s="1151" t="str">
        <f t="array" ref="DL76">IFERROR(INDEX('Construction Spend Curve'!$H$6:$BM$466,MATCH(#REF!,'Construction Spend Curve'!$H$6:$H$466,0),MATCH(EOMONTH('Monthly DCF'!DL$3,-'Monthly DCF'!#REF!+1),'Construction Spend Curve'!$H$5:$BM$5,0)),"")</f>
        <v/>
      </c>
      <c r="DM76" s="1151" t="str">
        <f t="array" ref="DM76">IFERROR(INDEX('Construction Spend Curve'!$H$6:$BM$466,MATCH(#REF!,'Construction Spend Curve'!$H$6:$H$466,0),MATCH(EOMONTH('Monthly DCF'!DM$3,-'Monthly DCF'!#REF!+1),'Construction Spend Curve'!$H$5:$BM$5,0)),"")</f>
        <v/>
      </c>
      <c r="DN76" s="1151" t="str">
        <f t="array" ref="DN76">IFERROR(INDEX('Construction Spend Curve'!$H$6:$BM$466,MATCH(#REF!,'Construction Spend Curve'!$H$6:$H$466,0),MATCH(EOMONTH('Monthly DCF'!DN$3,-'Monthly DCF'!#REF!+1),'Construction Spend Curve'!$H$5:$BM$5,0)),"")</f>
        <v/>
      </c>
      <c r="DO76" s="1151" t="str">
        <f t="array" ref="DO76">IFERROR(INDEX('Construction Spend Curve'!$H$6:$BM$466,MATCH(#REF!,'Construction Spend Curve'!$H$6:$H$466,0),MATCH(EOMONTH('Monthly DCF'!DO$3,-'Monthly DCF'!#REF!+1),'Construction Spend Curve'!$H$5:$BM$5,0)),"")</f>
        <v/>
      </c>
      <c r="DP76" s="1151" t="str">
        <f t="array" ref="DP76">IFERROR(INDEX('Construction Spend Curve'!$H$6:$BM$466,MATCH(#REF!,'Construction Spend Curve'!$H$6:$H$466,0),MATCH(EOMONTH('Monthly DCF'!DP$3,-'Monthly DCF'!#REF!+1),'Construction Spend Curve'!$H$5:$BM$5,0)),"")</f>
        <v/>
      </c>
      <c r="DQ76" s="1151" t="str">
        <f t="array" ref="DQ76">IFERROR(INDEX('Construction Spend Curve'!$H$6:$BM$466,MATCH(#REF!,'Construction Spend Curve'!$H$6:$H$466,0),MATCH(EOMONTH('Monthly DCF'!DQ$3,-'Monthly DCF'!#REF!+1),'Construction Spend Curve'!$H$5:$BM$5,0)),"")</f>
        <v/>
      </c>
      <c r="DR76" s="1151" t="str">
        <f t="array" ref="DR76">IFERROR(INDEX('Construction Spend Curve'!$H$6:$BM$466,MATCH(#REF!,'Construction Spend Curve'!$H$6:$H$466,0),MATCH(EOMONTH('Monthly DCF'!DR$3,-'Monthly DCF'!#REF!+1),'Construction Spend Curve'!$H$5:$BM$5,0)),"")</f>
        <v/>
      </c>
      <c r="DS76" s="1151" t="str">
        <f t="array" ref="DS76">IFERROR(INDEX('Construction Spend Curve'!$H$6:$BM$466,MATCH(#REF!,'Construction Spend Curve'!$H$6:$H$466,0),MATCH(EOMONTH('Monthly DCF'!DS$3,-'Monthly DCF'!#REF!+1),'Construction Spend Curve'!$H$5:$BM$5,0)),"")</f>
        <v/>
      </c>
      <c r="DT76" s="1151" t="str">
        <f t="array" ref="DT76">IFERROR(INDEX('Construction Spend Curve'!$H$6:$BM$466,MATCH(#REF!,'Construction Spend Curve'!$H$6:$H$466,0),MATCH(EOMONTH('Monthly DCF'!DT$3,-'Monthly DCF'!#REF!+1),'Construction Spend Curve'!$H$5:$BM$5,0)),"")</f>
        <v/>
      </c>
      <c r="DU76" s="1151" t="str">
        <f t="array" ref="DU76">IFERROR(INDEX('Construction Spend Curve'!$H$6:$BM$466,MATCH(#REF!,'Construction Spend Curve'!$H$6:$H$466,0),MATCH(EOMONTH('Monthly DCF'!DU$3,-'Monthly DCF'!#REF!+1),'Construction Spend Curve'!$H$5:$BM$5,0)),"")</f>
        <v/>
      </c>
      <c r="DV76" s="1151" t="str">
        <f t="array" ref="DV76">IFERROR(INDEX('Construction Spend Curve'!$H$6:$BM$466,MATCH(#REF!,'Construction Spend Curve'!$H$6:$H$466,0),MATCH(EOMONTH('Monthly DCF'!DV$3,-'Monthly DCF'!#REF!+1),'Construction Spend Curve'!$H$5:$BM$5,0)),"")</f>
        <v/>
      </c>
      <c r="DW76" s="1151" t="str">
        <f t="array" ref="DW76">IFERROR(INDEX('Construction Spend Curve'!$H$6:$BM$466,MATCH(#REF!,'Construction Spend Curve'!$H$6:$H$466,0),MATCH(EOMONTH('Monthly DCF'!DW$3,-'Monthly DCF'!#REF!+1),'Construction Spend Curve'!$H$5:$BM$5,0)),"")</f>
        <v/>
      </c>
      <c r="DX76" s="1151" t="str">
        <f t="array" ref="DX76">IFERROR(INDEX('Construction Spend Curve'!$H$6:$BM$466,MATCH(#REF!,'Construction Spend Curve'!$H$6:$H$466,0),MATCH(EOMONTH('Monthly DCF'!DX$3,-'Monthly DCF'!#REF!+1),'Construction Spend Curve'!$H$5:$BM$5,0)),"")</f>
        <v/>
      </c>
      <c r="DY76" s="1151" t="str">
        <f t="array" ref="DY76">IFERROR(INDEX('Construction Spend Curve'!$H$6:$BM$466,MATCH(#REF!,'Construction Spend Curve'!$H$6:$H$466,0),MATCH(EOMONTH('Monthly DCF'!DY$3,-'Monthly DCF'!#REF!+1),'Construction Spend Curve'!$H$5:$BM$5,0)),"")</f>
        <v/>
      </c>
      <c r="DZ76" s="1151" t="str">
        <f t="array" ref="DZ76">IFERROR(INDEX('Construction Spend Curve'!$H$6:$BM$466,MATCH(#REF!,'Construction Spend Curve'!$H$6:$H$466,0),MATCH(EOMONTH('Monthly DCF'!DZ$3,-'Monthly DCF'!#REF!+1),'Construction Spend Curve'!$H$5:$BM$5,0)),"")</f>
        <v/>
      </c>
      <c r="EA76" s="1151" t="str">
        <f t="array" ref="EA76">IFERROR(INDEX('Construction Spend Curve'!$H$6:$BM$466,MATCH(#REF!,'Construction Spend Curve'!$H$6:$H$466,0),MATCH(EOMONTH('Monthly DCF'!EA$3,-'Monthly DCF'!#REF!+1),'Construction Spend Curve'!$H$5:$BM$5,0)),"")</f>
        <v/>
      </c>
      <c r="EB76" s="1151" t="str">
        <f t="array" ref="EB76">IFERROR(INDEX('Construction Spend Curve'!$H$6:$BM$466,MATCH(#REF!,'Construction Spend Curve'!$H$6:$H$466,0),MATCH(EOMONTH('Monthly DCF'!EB$3,-'Monthly DCF'!#REF!+1),'Construction Spend Curve'!$H$5:$BM$5,0)),"")</f>
        <v/>
      </c>
      <c r="EC76" s="1151" t="str">
        <f t="array" ref="EC76">IFERROR(INDEX('Construction Spend Curve'!$H$6:$BM$466,MATCH(#REF!,'Construction Spend Curve'!$H$6:$H$466,0),MATCH(EOMONTH('Monthly DCF'!EC$3,-'Monthly DCF'!#REF!+1),'Construction Spend Curve'!$H$5:$BM$5,0)),"")</f>
        <v/>
      </c>
      <c r="ED76" s="1151" t="str">
        <f t="array" ref="ED76">IFERROR(INDEX('Construction Spend Curve'!$H$6:$BM$466,MATCH(#REF!,'Construction Spend Curve'!$H$6:$H$466,0),MATCH(EOMONTH('Monthly DCF'!ED$3,-'Monthly DCF'!#REF!+1),'Construction Spend Curve'!$H$5:$BM$5,0)),"")</f>
        <v/>
      </c>
      <c r="EE76" s="1151" t="str">
        <f t="array" ref="EE76">IFERROR(INDEX('Construction Spend Curve'!$H$6:$BM$466,MATCH(#REF!,'Construction Spend Curve'!$H$6:$H$466,0),MATCH(EOMONTH('Monthly DCF'!EE$3,-'Monthly DCF'!#REF!+1),'Construction Spend Curve'!$H$5:$BM$5,0)),"")</f>
        <v/>
      </c>
      <c r="EF76" s="1151" t="str">
        <f t="array" ref="EF76">IFERROR(INDEX('Construction Spend Curve'!$H$6:$BM$466,MATCH(#REF!,'Construction Spend Curve'!$H$6:$H$466,0),MATCH(EOMONTH('Monthly DCF'!EF$3,-'Monthly DCF'!#REF!+1),'Construction Spend Curve'!$H$5:$BM$5,0)),"")</f>
        <v/>
      </c>
      <c r="EG76" s="1151" t="str">
        <f t="array" ref="EG76">IFERROR(INDEX('Construction Spend Curve'!$H$6:$BM$466,MATCH(#REF!,'Construction Spend Curve'!$H$6:$H$466,0),MATCH(EOMONTH('Monthly DCF'!EG$3,-'Monthly DCF'!#REF!+1),'Construction Spend Curve'!$H$5:$BM$5,0)),"")</f>
        <v/>
      </c>
      <c r="EH76" s="1151" t="str">
        <f t="array" ref="EH76">IFERROR(INDEX('Construction Spend Curve'!$H$6:$BM$466,MATCH(#REF!,'Construction Spend Curve'!$H$6:$H$466,0),MATCH(EOMONTH('Monthly DCF'!EH$3,-'Monthly DCF'!#REF!+1),'Construction Spend Curve'!$H$5:$BM$5,0)),"")</f>
        <v/>
      </c>
      <c r="EI76" s="1151" t="str">
        <f t="array" ref="EI76">IFERROR(INDEX('Construction Spend Curve'!$H$6:$BM$466,MATCH(#REF!,'Construction Spend Curve'!$H$6:$H$466,0),MATCH(EOMONTH('Monthly DCF'!EI$3,-'Monthly DCF'!#REF!+1),'Construction Spend Curve'!$H$5:$BM$5,0)),"")</f>
        <v/>
      </c>
      <c r="EJ76" s="1153" t="str">
        <f t="array" ref="EJ76">IFERROR(INDEX('Construction Spend Curve'!$H$6:$BM$466,MATCH(#REF!,'Construction Spend Curve'!$H$6:$H$466,0),MATCH(EOMONTH('Monthly DCF'!EJ$3,-'Monthly DCF'!#REF!+1),'Construction Spend Curve'!$H$5:$BM$5,0)),"")</f>
        <v/>
      </c>
    </row>
    <row r="77" spans="1:140" ht="15.75" hidden="1" customHeight="1" x14ac:dyDescent="0.25">
      <c r="A77" s="6"/>
      <c r="B77" s="393"/>
      <c r="C77" s="358"/>
      <c r="D77" s="386" t="s">
        <v>302</v>
      </c>
      <c r="E77" s="394">
        <v>8</v>
      </c>
      <c r="F77" s="358"/>
      <c r="G77" s="1069" t="s">
        <v>305</v>
      </c>
      <c r="H77" s="1150" t="str">
        <f t="array" ref="H77">IFERROR(INDEX('Construction Spend Curve'!$H$6:$BM$466,MATCH(#REF!,'Construction Spend Curve'!$H$6:$H$466,0),MATCH(EOMONTH('Monthly DCF'!H$3,-'Monthly DCF'!#REF!+1),'Construction Spend Curve'!$H$5:$BM$5,0)),"")</f>
        <v/>
      </c>
      <c r="I77" s="1151" t="str">
        <f t="array" ref="I77">IFERROR(INDEX('Construction Spend Curve'!$H$6:$BM$466,MATCH(#REF!,'Construction Spend Curve'!$H$6:$H$466,0),MATCH(EOMONTH('Monthly DCF'!I$3,-'Monthly DCF'!#REF!+1),'Construction Spend Curve'!$H$5:$BM$5,0)),"")</f>
        <v/>
      </c>
      <c r="J77" s="1151" t="str">
        <f t="array" ref="J77">IFERROR(INDEX('Construction Spend Curve'!$H$6:$BM$466,MATCH(#REF!,'Construction Spend Curve'!$H$6:$H$466,0),MATCH(EOMONTH('Monthly DCF'!J$3,-'Monthly DCF'!#REF!+1),'Construction Spend Curve'!$H$5:$BM$5,0)),"")</f>
        <v/>
      </c>
      <c r="K77" s="1151" t="str">
        <f t="array" ref="K77">IFERROR(INDEX('Construction Spend Curve'!$H$6:$BM$466,MATCH(#REF!,'Construction Spend Curve'!$H$6:$H$466,0),MATCH(EOMONTH('Monthly DCF'!K$3,-'Monthly DCF'!#REF!+1),'Construction Spend Curve'!$H$5:$BM$5,0)),"")</f>
        <v/>
      </c>
      <c r="L77" s="1151" t="str">
        <f t="array" ref="L77">IFERROR(INDEX('Construction Spend Curve'!$H$6:$BM$466,MATCH(#REF!,'Construction Spend Curve'!$H$6:$H$466,0),MATCH(EOMONTH('Monthly DCF'!L$3,-'Monthly DCF'!#REF!+1),'Construction Spend Curve'!$H$5:$BM$5,0)),"")</f>
        <v/>
      </c>
      <c r="M77" s="1151" t="str">
        <f t="array" ref="M77">IFERROR(INDEX('Construction Spend Curve'!$H$6:$BM$466,MATCH(#REF!,'Construction Spend Curve'!$H$6:$H$466,0),MATCH(EOMONTH('Monthly DCF'!M$3,-'Monthly DCF'!#REF!+1),'Construction Spend Curve'!$H$5:$BM$5,0)),"")</f>
        <v/>
      </c>
      <c r="N77" s="1151" t="str">
        <f t="array" ref="N77">IFERROR(INDEX('Construction Spend Curve'!$H$6:$BM$466,MATCH(#REF!,'Construction Spend Curve'!$H$6:$H$466,0),MATCH(EOMONTH('Monthly DCF'!N$3,-'Monthly DCF'!#REF!+1),'Construction Spend Curve'!$H$5:$BM$5,0)),"")</f>
        <v/>
      </c>
      <c r="O77" s="1151" t="str">
        <f t="array" ref="O77">IFERROR(INDEX('Construction Spend Curve'!$H$6:$BM$466,MATCH(#REF!,'Construction Spend Curve'!$H$6:$H$466,0),MATCH(EOMONTH('Monthly DCF'!O$3,-'Monthly DCF'!#REF!+1),'Construction Spend Curve'!$H$5:$BM$5,0)),"")</f>
        <v/>
      </c>
      <c r="P77" s="1151" t="str">
        <f t="array" ref="P77">IFERROR(INDEX('Construction Spend Curve'!$H$6:$BM$466,MATCH(#REF!,'Construction Spend Curve'!$H$6:$H$466,0),MATCH(EOMONTH('Monthly DCF'!P$3,-'Monthly DCF'!#REF!+1),'Construction Spend Curve'!$H$5:$BM$5,0)),"")</f>
        <v/>
      </c>
      <c r="Q77" s="1151" t="str">
        <f t="array" ref="Q77">IFERROR(INDEX('Construction Spend Curve'!$H$6:$BM$466,MATCH(#REF!,'Construction Spend Curve'!$H$6:$H$466,0),MATCH(EOMONTH('Monthly DCF'!Q$3,-'Monthly DCF'!#REF!+1),'Construction Spend Curve'!$H$5:$BM$5,0)),"")</f>
        <v/>
      </c>
      <c r="R77" s="1151" t="str">
        <f t="array" ref="R77">IFERROR(INDEX('Construction Spend Curve'!$H$6:$BM$466,MATCH(#REF!,'Construction Spend Curve'!$H$6:$H$466,0),MATCH(EOMONTH('Monthly DCF'!R$3,-'Monthly DCF'!#REF!+1),'Construction Spend Curve'!$H$5:$BM$5,0)),"")</f>
        <v/>
      </c>
      <c r="S77" s="1151" t="str">
        <f t="array" ref="S77">IFERROR(INDEX('Construction Spend Curve'!$H$6:$BM$466,MATCH(#REF!,'Construction Spend Curve'!$H$6:$H$466,0),MATCH(EOMONTH('Monthly DCF'!S$3,-'Monthly DCF'!#REF!+1),'Construction Spend Curve'!$H$5:$BM$5,0)),"")</f>
        <v/>
      </c>
      <c r="T77" s="1151" t="str">
        <f t="array" ref="T77">IFERROR(INDEX('Construction Spend Curve'!$H$6:$BM$466,MATCH(#REF!,'Construction Spend Curve'!$H$6:$H$466,0),MATCH(EOMONTH('Monthly DCF'!T$3,-'Monthly DCF'!#REF!+1),'Construction Spend Curve'!$H$5:$BM$5,0)),"")</f>
        <v/>
      </c>
      <c r="U77" s="1151" t="str">
        <f t="array" ref="U77">IFERROR(INDEX('Construction Spend Curve'!$H$6:$BM$466,MATCH(#REF!,'Construction Spend Curve'!$H$6:$H$466,0),MATCH(EOMONTH('Monthly DCF'!U$3,-'Monthly DCF'!#REF!+1),'Construction Spend Curve'!$H$5:$BM$5,0)),"")</f>
        <v/>
      </c>
      <c r="V77" s="1151" t="str">
        <f t="array" ref="V77">IFERROR(INDEX('Construction Spend Curve'!$H$6:$BM$466,MATCH(#REF!,'Construction Spend Curve'!$H$6:$H$466,0),MATCH(EOMONTH('Monthly DCF'!V$3,-'Monthly DCF'!#REF!+1),'Construction Spend Curve'!$H$5:$BM$5,0)),"")</f>
        <v/>
      </c>
      <c r="W77" s="1151" t="str">
        <f t="array" ref="W77">IFERROR(INDEX('Construction Spend Curve'!$H$6:$BM$466,MATCH(#REF!,'Construction Spend Curve'!$H$6:$H$466,0),MATCH(EOMONTH('Monthly DCF'!W$3,-'Monthly DCF'!#REF!+1),'Construction Spend Curve'!$H$5:$BM$5,0)),"")</f>
        <v/>
      </c>
      <c r="X77" s="1151" t="str">
        <f t="array" ref="X77">IFERROR(INDEX('Construction Spend Curve'!$H$6:$BM$466,MATCH(#REF!,'Construction Spend Curve'!$H$6:$H$466,0),MATCH(EOMONTH('Monthly DCF'!X$3,-'Monthly DCF'!#REF!+1),'Construction Spend Curve'!$H$5:$BM$5,0)),"")</f>
        <v/>
      </c>
      <c r="Y77" s="1151" t="str">
        <f t="array" ref="Y77">IFERROR(INDEX('Construction Spend Curve'!$H$6:$BM$466,MATCH(#REF!,'Construction Spend Curve'!$H$6:$H$466,0),MATCH(EOMONTH('Monthly DCF'!Y$3,-'Monthly DCF'!#REF!+1),'Construction Spend Curve'!$H$5:$BM$5,0)),"")</f>
        <v/>
      </c>
      <c r="Z77" s="1151" t="str">
        <f t="array" ref="Z77">IFERROR(INDEX('Construction Spend Curve'!$H$6:$BM$466,MATCH(#REF!,'Construction Spend Curve'!$H$6:$H$466,0),MATCH(EOMONTH('Monthly DCF'!Z$3,-'Monthly DCF'!#REF!+1),'Construction Spend Curve'!$H$5:$BM$5,0)),"")</f>
        <v/>
      </c>
      <c r="AA77" s="1151" t="str">
        <f t="array" ref="AA77">IFERROR(INDEX('Construction Spend Curve'!$H$6:$BM$466,MATCH(#REF!,'Construction Spend Curve'!$H$6:$H$466,0),MATCH(EOMONTH('Monthly DCF'!AA$3,-'Monthly DCF'!#REF!+1),'Construction Spend Curve'!$H$5:$BM$5,0)),"")</f>
        <v/>
      </c>
      <c r="AB77" s="1151" t="str">
        <f t="array" ref="AB77">IFERROR(INDEX('Construction Spend Curve'!$H$6:$BM$466,MATCH(#REF!,'Construction Spend Curve'!$H$6:$H$466,0),MATCH(EOMONTH('Monthly DCF'!AB$3,-'Monthly DCF'!#REF!+1),'Construction Spend Curve'!$H$5:$BM$5,0)),"")</f>
        <v/>
      </c>
      <c r="AC77" s="1151" t="str">
        <f t="array" ref="AC77">IFERROR(INDEX('Construction Spend Curve'!$H$6:$BM$466,MATCH(#REF!,'Construction Spend Curve'!$H$6:$H$466,0),MATCH(EOMONTH('Monthly DCF'!AC$3,-'Monthly DCF'!#REF!+1),'Construction Spend Curve'!$H$5:$BM$5,0)),"")</f>
        <v/>
      </c>
      <c r="AD77" s="1151" t="str">
        <f t="array" ref="AD77">IFERROR(INDEX('Construction Spend Curve'!$H$6:$BM$466,MATCH(#REF!,'Construction Spend Curve'!$H$6:$H$466,0),MATCH(EOMONTH('Monthly DCF'!AD$3,-'Monthly DCF'!#REF!+1),'Construction Spend Curve'!$H$5:$BM$5,0)),"")</f>
        <v/>
      </c>
      <c r="AE77" s="1151" t="str">
        <f t="array" ref="AE77">IFERROR(INDEX('Construction Spend Curve'!$H$6:$BM$466,MATCH(#REF!,'Construction Spend Curve'!$H$6:$H$466,0),MATCH(EOMONTH('Monthly DCF'!AE$3,-'Monthly DCF'!#REF!+1),'Construction Spend Curve'!$H$5:$BM$5,0)),"")</f>
        <v/>
      </c>
      <c r="AF77" s="1151" t="str">
        <f t="array" ref="AF77">IFERROR(INDEX('Construction Spend Curve'!$H$6:$BM$466,MATCH(#REF!,'Construction Spend Curve'!$H$6:$H$466,0),MATCH(EOMONTH('Monthly DCF'!AF$3,-'Monthly DCF'!#REF!+1),'Construction Spend Curve'!$H$5:$BM$5,0)),"")</f>
        <v/>
      </c>
      <c r="AG77" s="1151" t="str">
        <f t="array" ref="AG77">IFERROR(INDEX('Construction Spend Curve'!$H$6:$BM$466,MATCH(#REF!,'Construction Spend Curve'!$H$6:$H$466,0),MATCH(EOMONTH('Monthly DCF'!AG$3,-'Monthly DCF'!#REF!+1),'Construction Spend Curve'!$H$5:$BM$5,0)),"")</f>
        <v/>
      </c>
      <c r="AH77" s="1151" t="str">
        <f t="array" ref="AH77">IFERROR(INDEX('Construction Spend Curve'!$H$6:$BM$466,MATCH(#REF!,'Construction Spend Curve'!$H$6:$H$466,0),MATCH(EOMONTH('Monthly DCF'!AH$3,-'Monthly DCF'!#REF!+1),'Construction Spend Curve'!$H$5:$BM$5,0)),"")</f>
        <v/>
      </c>
      <c r="AI77" s="1151" t="str">
        <f t="array" ref="AI77">IFERROR(INDEX('Construction Spend Curve'!$H$6:$BM$466,MATCH(#REF!,'Construction Spend Curve'!$H$6:$H$466,0),MATCH(EOMONTH('Monthly DCF'!AI$3,-'Monthly DCF'!#REF!+1),'Construction Spend Curve'!$H$5:$BM$5,0)),"")</f>
        <v/>
      </c>
      <c r="AJ77" s="1151" t="str">
        <f t="array" ref="AJ77">IFERROR(INDEX('Construction Spend Curve'!$H$6:$BM$466,MATCH(#REF!,'Construction Spend Curve'!$H$6:$H$466,0),MATCH(EOMONTH('Monthly DCF'!AJ$3,-'Monthly DCF'!#REF!+1),'Construction Spend Curve'!$H$5:$BM$5,0)),"")</f>
        <v/>
      </c>
      <c r="AK77" s="1151" t="str">
        <f t="array" ref="AK77">IFERROR(INDEX('Construction Spend Curve'!$H$6:$BM$466,MATCH(#REF!,'Construction Spend Curve'!$H$6:$H$466,0),MATCH(EOMONTH('Monthly DCF'!AK$3,-'Monthly DCF'!#REF!+1),'Construction Spend Curve'!$H$5:$BM$5,0)),"")</f>
        <v/>
      </c>
      <c r="AL77" s="1151" t="str">
        <f t="array" ref="AL77">IFERROR(INDEX('Construction Spend Curve'!$H$6:$BM$466,MATCH(#REF!,'Construction Spend Curve'!$H$6:$H$466,0),MATCH(EOMONTH('Monthly DCF'!AL$3,-'Monthly DCF'!#REF!+1),'Construction Spend Curve'!$H$5:$BM$5,0)),"")</f>
        <v/>
      </c>
      <c r="AM77" s="1151" t="str">
        <f t="array" ref="AM77">IFERROR(INDEX('Construction Spend Curve'!$H$6:$BM$466,MATCH(#REF!,'Construction Spend Curve'!$H$6:$H$466,0),MATCH(EOMONTH('Monthly DCF'!AM$3,-'Monthly DCF'!#REF!+1),'Construction Spend Curve'!$H$5:$BM$5,0)),"")</f>
        <v/>
      </c>
      <c r="AN77" s="1151" t="str">
        <f t="array" ref="AN77">IFERROR(INDEX('Construction Spend Curve'!$H$6:$BM$466,MATCH(#REF!,'Construction Spend Curve'!$H$6:$H$466,0),MATCH(EOMONTH('Monthly DCF'!AN$3,-'Monthly DCF'!#REF!+1),'Construction Spend Curve'!$H$5:$BM$5,0)),"")</f>
        <v/>
      </c>
      <c r="AO77" s="1151" t="str">
        <f t="array" ref="AO77">IFERROR(INDEX('Construction Spend Curve'!$H$6:$BM$466,MATCH(#REF!,'Construction Spend Curve'!$H$6:$H$466,0),MATCH(EOMONTH('Monthly DCF'!AO$3,-'Monthly DCF'!#REF!+1),'Construction Spend Curve'!$H$5:$BM$5,0)),"")</f>
        <v/>
      </c>
      <c r="AP77" s="1151" t="str">
        <f t="array" ref="AP77">IFERROR(INDEX('Construction Spend Curve'!$H$6:$BM$466,MATCH(#REF!,'Construction Spend Curve'!$H$6:$H$466,0),MATCH(EOMONTH('Monthly DCF'!AP$3,-'Monthly DCF'!#REF!+1),'Construction Spend Curve'!$H$5:$BM$5,0)),"")</f>
        <v/>
      </c>
      <c r="AQ77" s="1151" t="str">
        <f t="array" ref="AQ77">IFERROR(INDEX('Construction Spend Curve'!$H$6:$BM$466,MATCH(#REF!,'Construction Spend Curve'!$H$6:$H$466,0),MATCH(EOMONTH('Monthly DCF'!AQ$3,-'Monthly DCF'!#REF!+1),'Construction Spend Curve'!$H$5:$BM$5,0)),"")</f>
        <v/>
      </c>
      <c r="AR77" s="1151" t="str">
        <f t="array" ref="AR77">IFERROR(INDEX('Construction Spend Curve'!$H$6:$BM$466,MATCH(#REF!,'Construction Spend Curve'!$H$6:$H$466,0),MATCH(EOMONTH('Monthly DCF'!AR$3,-'Monthly DCF'!#REF!+1),'Construction Spend Curve'!$H$5:$BM$5,0)),"")</f>
        <v/>
      </c>
      <c r="AS77" s="1151"/>
      <c r="AT77" s="1151"/>
      <c r="AU77" s="1151" t="str">
        <f t="array" ref="AU77">IFERROR(INDEX('Construction Spend Curve'!$H$6:$BM$466,MATCH(#REF!,'Construction Spend Curve'!$H$6:$H$466,0),MATCH(EOMONTH('Monthly DCF'!AU$3,-'Monthly DCF'!#REF!+1),'Construction Spend Curve'!$H$5:$BM$5,0)),"")</f>
        <v/>
      </c>
      <c r="AV77" s="1151" t="str">
        <f t="array" ref="AV77">IFERROR(INDEX('Construction Spend Curve'!$H$6:$BM$466,MATCH(#REF!,'Construction Spend Curve'!$H$6:$H$466,0),MATCH(EOMONTH('Monthly DCF'!AV$3,-'Monthly DCF'!#REF!+1),'Construction Spend Curve'!$H$5:$BM$5,0)),"")</f>
        <v/>
      </c>
      <c r="AW77" s="1151" t="str">
        <f t="array" ref="AW77">IFERROR(INDEX('Construction Spend Curve'!$H$6:$BM$466,MATCH(#REF!,'Construction Spend Curve'!$H$6:$H$466,0),MATCH(EOMONTH('Monthly DCF'!AW$3,-'Monthly DCF'!#REF!+1),'Construction Spend Curve'!$H$5:$BM$5,0)),"")</f>
        <v/>
      </c>
      <c r="AX77" s="1151" t="str">
        <f t="array" ref="AX77">IFERROR(INDEX('Construction Spend Curve'!$H$6:$BM$466,MATCH(#REF!,'Construction Spend Curve'!$H$6:$H$466,0),MATCH(EOMONTH('Monthly DCF'!AX$3,-'Monthly DCF'!#REF!+1),'Construction Spend Curve'!$H$5:$BM$5,0)),"")</f>
        <v/>
      </c>
      <c r="AY77" s="1151" t="str">
        <f t="array" ref="AY77">IFERROR(INDEX('Construction Spend Curve'!$H$6:$BM$466,MATCH(#REF!,'Construction Spend Curve'!$H$6:$H$466,0),MATCH(EOMONTH('Monthly DCF'!AY$3,-'Monthly DCF'!#REF!+1),'Construction Spend Curve'!$H$5:$BM$5,0)),"")</f>
        <v/>
      </c>
      <c r="AZ77" s="1151" t="str">
        <f t="array" ref="AZ77">IFERROR(INDEX('Construction Spend Curve'!$H$6:$BM$466,MATCH(#REF!,'Construction Spend Curve'!$H$6:$H$466,0),MATCH(EOMONTH('Monthly DCF'!AZ$3,-'Monthly DCF'!#REF!+1),'Construction Spend Curve'!$H$5:$BM$5,0)),"")</f>
        <v/>
      </c>
      <c r="BA77" s="1151" t="str">
        <f t="array" ref="BA77">IFERROR(INDEX('Construction Spend Curve'!$H$6:$BM$466,MATCH(#REF!,'Construction Spend Curve'!$H$6:$H$466,0),MATCH(EOMONTH('Monthly DCF'!BA$3,-'Monthly DCF'!#REF!+1),'Construction Spend Curve'!$H$5:$BM$5,0)),"")</f>
        <v/>
      </c>
      <c r="BB77" s="1151" t="str">
        <f t="array" ref="BB77">IFERROR(INDEX('Construction Spend Curve'!$H$6:$BM$466,MATCH(#REF!,'Construction Spend Curve'!$H$6:$H$466,0),MATCH(EOMONTH('Monthly DCF'!BB$3,-'Monthly DCF'!#REF!+1),'Construction Spend Curve'!$H$5:$BM$5,0)),"")</f>
        <v/>
      </c>
      <c r="BC77" s="1151" t="str">
        <f t="array" ref="BC77">IFERROR(INDEX('Construction Spend Curve'!$H$6:$BM$466,MATCH(#REF!,'Construction Spend Curve'!$H$6:$H$466,0),MATCH(EOMONTH('Monthly DCF'!BC$3,-'Monthly DCF'!#REF!+1),'Construction Spend Curve'!$H$5:$BM$5,0)),"")</f>
        <v/>
      </c>
      <c r="BD77" s="1151" t="str">
        <f t="array" ref="BD77">IFERROR(INDEX('Construction Spend Curve'!$H$6:$BM$466,MATCH(#REF!,'Construction Spend Curve'!$H$6:$H$466,0),MATCH(EOMONTH('Monthly DCF'!BD$3,-'Monthly DCF'!#REF!+1),'Construction Spend Curve'!$H$5:$BM$5,0)),"")</f>
        <v/>
      </c>
      <c r="BE77" s="1151" t="str">
        <f t="array" ref="BE77">IFERROR(INDEX('Construction Spend Curve'!$H$6:$BM$466,MATCH(#REF!,'Construction Spend Curve'!$H$6:$H$466,0),MATCH(EOMONTH('Monthly DCF'!BE$3,-'Monthly DCF'!#REF!+1),'Construction Spend Curve'!$H$5:$BM$5,0)),"")</f>
        <v/>
      </c>
      <c r="BF77" s="1151" t="str">
        <f t="array" ref="BF77">IFERROR(INDEX('Construction Spend Curve'!$H$6:$BM$466,MATCH(#REF!,'Construction Spend Curve'!$H$6:$H$466,0),MATCH(EOMONTH('Monthly DCF'!BF$3,-'Monthly DCF'!#REF!+1),'Construction Spend Curve'!$H$5:$BM$5,0)),"")</f>
        <v/>
      </c>
      <c r="BG77" s="1151" t="str">
        <f t="array" ref="BG77">IFERROR(INDEX('Construction Spend Curve'!$H$6:$BM$466,MATCH(#REF!,'Construction Spend Curve'!$H$6:$H$466,0),MATCH(EOMONTH('Monthly DCF'!BG$3,-'Monthly DCF'!#REF!+1),'Construction Spend Curve'!$H$5:$BM$5,0)),"")</f>
        <v/>
      </c>
      <c r="BH77" s="1151" t="str">
        <f t="array" ref="BH77">IFERROR(INDEX('Construction Spend Curve'!$H$6:$BM$466,MATCH(#REF!,'Construction Spend Curve'!$H$6:$H$466,0),MATCH(EOMONTH('Monthly DCF'!BH$3,-'Monthly DCF'!#REF!+1),'Construction Spend Curve'!$H$5:$BM$5,0)),"")</f>
        <v/>
      </c>
      <c r="BI77" s="1151" t="str">
        <f t="array" ref="BI77">IFERROR(INDEX('Construction Spend Curve'!$H$6:$BM$466,MATCH(#REF!,'Construction Spend Curve'!$H$6:$H$466,0),MATCH(EOMONTH('Monthly DCF'!BI$3,-'Monthly DCF'!#REF!+1),'Construction Spend Curve'!$H$5:$BM$5,0)),"")</f>
        <v/>
      </c>
      <c r="BJ77" s="1151" t="str">
        <f t="array" ref="BJ77">IFERROR(INDEX('Construction Spend Curve'!$H$6:$BM$466,MATCH(#REF!,'Construction Spend Curve'!$H$6:$H$466,0),MATCH(EOMONTH('Monthly DCF'!BJ$3,-'Monthly DCF'!#REF!+1),'Construction Spend Curve'!$H$5:$BM$5,0)),"")</f>
        <v/>
      </c>
      <c r="BK77" s="1151" t="str">
        <f t="array" ref="BK77">IFERROR(INDEX('Construction Spend Curve'!$H$6:$BM$466,MATCH(#REF!,'Construction Spend Curve'!$H$6:$H$466,0),MATCH(EOMONTH('Monthly DCF'!BK$3,-'Monthly DCF'!#REF!+1),'Construction Spend Curve'!$H$5:$BM$5,0)),"")</f>
        <v/>
      </c>
      <c r="BL77" s="1151" t="str">
        <f t="array" ref="BL77">IFERROR(INDEX('Construction Spend Curve'!$H$6:$BM$466,MATCH(#REF!,'Construction Spend Curve'!$H$6:$H$466,0),MATCH(EOMONTH('Monthly DCF'!BL$3,-'Monthly DCF'!#REF!+1),'Construction Spend Curve'!$H$5:$BM$5,0)),"")</f>
        <v/>
      </c>
      <c r="BM77" s="1151" t="str">
        <f t="array" ref="BM77">IFERROR(INDEX('Construction Spend Curve'!$H$6:$BM$466,MATCH(#REF!,'Construction Spend Curve'!$H$6:$H$466,0),MATCH(EOMONTH('Monthly DCF'!BM$3,-'Monthly DCF'!#REF!+1),'Construction Spend Curve'!$H$5:$BM$5,0)),"")</f>
        <v/>
      </c>
      <c r="BN77" s="1151" t="str">
        <f t="array" ref="BN77">IFERROR(INDEX('Construction Spend Curve'!$H$6:$BM$466,MATCH(#REF!,'Construction Spend Curve'!$H$6:$H$466,0),MATCH(EOMONTH('Monthly DCF'!BN$3,-'Monthly DCF'!#REF!+1),'Construction Spend Curve'!$H$5:$BM$5,0)),"")</f>
        <v/>
      </c>
      <c r="BO77" s="1151" t="str">
        <f t="array" ref="BO77">IFERROR(INDEX('Construction Spend Curve'!$H$6:$BM$466,MATCH(#REF!,'Construction Spend Curve'!$H$6:$H$466,0),MATCH(EOMONTH('Monthly DCF'!BO$3,-'Monthly DCF'!#REF!+1),'Construction Spend Curve'!$H$5:$BM$5,0)),"")</f>
        <v/>
      </c>
      <c r="BP77" s="1151" t="str">
        <f t="array" ref="BP77">IFERROR(INDEX('Construction Spend Curve'!$H$6:$BM$466,MATCH(#REF!,'Construction Spend Curve'!$H$6:$H$466,0),MATCH(EOMONTH('Monthly DCF'!BP$3,-'Monthly DCF'!#REF!+1),'Construction Spend Curve'!$H$5:$BM$5,0)),"")</f>
        <v/>
      </c>
      <c r="BQ77" s="1151" t="str">
        <f t="array" ref="BQ77">IFERROR(INDEX('Construction Spend Curve'!$H$6:$BM$466,MATCH(#REF!,'Construction Spend Curve'!$H$6:$H$466,0),MATCH(EOMONTH('Monthly DCF'!BQ$3,-'Monthly DCF'!#REF!+1),'Construction Spend Curve'!$H$5:$BM$5,0)),"")</f>
        <v/>
      </c>
      <c r="BR77" s="1151" t="str">
        <f t="array" ref="BR77">IFERROR(INDEX('Construction Spend Curve'!$H$6:$BM$466,MATCH(#REF!,'Construction Spend Curve'!$H$6:$H$466,0),MATCH(EOMONTH('Monthly DCF'!BR$3,-'Monthly DCF'!#REF!+1),'Construction Spend Curve'!$H$5:$BM$5,0)),"")</f>
        <v/>
      </c>
      <c r="BS77" s="1151" t="str">
        <f t="array" ref="BS77">IFERROR(INDEX('Construction Spend Curve'!$H$6:$BM$466,MATCH(#REF!,'Construction Spend Curve'!$H$6:$H$466,0),MATCH(EOMONTH('Monthly DCF'!BS$3,-'Monthly DCF'!#REF!+1),'Construction Spend Curve'!$H$5:$BM$5,0)),"")</f>
        <v/>
      </c>
      <c r="BT77" s="1151" t="str">
        <f t="array" ref="BT77">IFERROR(INDEX('Construction Spend Curve'!$H$6:$BM$466,MATCH(#REF!,'Construction Spend Curve'!$H$6:$H$466,0),MATCH(EOMONTH('Monthly DCF'!BT$3,-'Monthly DCF'!#REF!+1),'Construction Spend Curve'!$H$5:$BM$5,0)),"")</f>
        <v/>
      </c>
      <c r="BU77" s="1151" t="str">
        <f t="array" ref="BU77">IFERROR(INDEX('Construction Spend Curve'!$H$6:$BM$466,MATCH(#REF!,'Construction Spend Curve'!$H$6:$H$466,0),MATCH(EOMONTH('Monthly DCF'!BU$3,-'Monthly DCF'!#REF!+1),'Construction Spend Curve'!$H$5:$BM$5,0)),"")</f>
        <v/>
      </c>
      <c r="BV77" s="1151" t="str">
        <f t="array" ref="BV77">IFERROR(INDEX('Construction Spend Curve'!$H$6:$BM$466,MATCH(#REF!,'Construction Spend Curve'!$H$6:$H$466,0),MATCH(EOMONTH('Monthly DCF'!BV$3,-'Monthly DCF'!#REF!+1),'Construction Spend Curve'!$H$5:$BM$5,0)),"")</f>
        <v/>
      </c>
      <c r="BW77" s="1151" t="str">
        <f t="array" ref="BW77">IFERROR(INDEX('Construction Spend Curve'!$H$6:$BM$466,MATCH(#REF!,'Construction Spend Curve'!$H$6:$H$466,0),MATCH(EOMONTH('Monthly DCF'!BW$3,-'Monthly DCF'!#REF!+1),'Construction Spend Curve'!$H$5:$BM$5,0)),"")</f>
        <v/>
      </c>
      <c r="BX77" s="1151" t="str">
        <f t="array" ref="BX77">IFERROR(INDEX('Construction Spend Curve'!$H$6:$BM$466,MATCH(#REF!,'Construction Spend Curve'!$H$6:$H$466,0),MATCH(EOMONTH('Monthly DCF'!BX$3,-'Monthly DCF'!#REF!+1),'Construction Spend Curve'!$H$5:$BM$5,0)),"")</f>
        <v/>
      </c>
      <c r="BY77" s="1151" t="str">
        <f t="array" ref="BY77">IFERROR(INDEX('Construction Spend Curve'!$H$6:$BM$466,MATCH(#REF!,'Construction Spend Curve'!$H$6:$H$466,0),MATCH(EOMONTH('Monthly DCF'!BY$3,-'Monthly DCF'!#REF!+1),'Construction Spend Curve'!$H$5:$BM$5,0)),"")</f>
        <v/>
      </c>
      <c r="BZ77" s="1151" t="str">
        <f t="array" ref="BZ77">IFERROR(INDEX('Construction Spend Curve'!$H$6:$BM$466,MATCH(#REF!,'Construction Spend Curve'!$H$6:$H$466,0),MATCH(EOMONTH('Monthly DCF'!BZ$3,-'Monthly DCF'!#REF!+1),'Construction Spend Curve'!$H$5:$BM$5,0)),"")</f>
        <v/>
      </c>
      <c r="CA77" s="1151" t="str">
        <f t="array" ref="CA77">IFERROR(INDEX('Construction Spend Curve'!$H$6:$BM$466,MATCH(#REF!,'Construction Spend Curve'!$H$6:$H$466,0),MATCH(EOMONTH('Monthly DCF'!CA$3,-'Monthly DCF'!#REF!+1),'Construction Spend Curve'!$H$5:$BM$5,0)),"")</f>
        <v/>
      </c>
      <c r="CB77" s="1151" t="str">
        <f t="array" ref="CB77">IFERROR(INDEX('Construction Spend Curve'!$H$6:$BM$466,MATCH(#REF!,'Construction Spend Curve'!$H$6:$H$466,0),MATCH(EOMONTH('Monthly DCF'!CB$3,-'Monthly DCF'!#REF!+1),'Construction Spend Curve'!$H$5:$BM$5,0)),"")</f>
        <v/>
      </c>
      <c r="CC77" s="1151" t="str">
        <f t="array" ref="CC77">IFERROR(INDEX('Construction Spend Curve'!$H$6:$BM$466,MATCH(#REF!,'Construction Spend Curve'!$H$6:$H$466,0),MATCH(EOMONTH('Monthly DCF'!CC$3,-'Monthly DCF'!#REF!+1),'Construction Spend Curve'!$H$5:$BM$5,0)),"")</f>
        <v/>
      </c>
      <c r="CD77" s="1151" t="str">
        <f t="array" ref="CD77">IFERROR(INDEX('Construction Spend Curve'!$H$6:$BM$466,MATCH(#REF!,'Construction Spend Curve'!$H$6:$H$466,0),MATCH(EOMONTH('Monthly DCF'!CD$3,-'Monthly DCF'!#REF!+1),'Construction Spend Curve'!$H$5:$BM$5,0)),"")</f>
        <v/>
      </c>
      <c r="CE77" s="1151" t="str">
        <f t="array" ref="CE77">IFERROR(INDEX('Construction Spend Curve'!$H$6:$BM$466,MATCH(#REF!,'Construction Spend Curve'!$H$6:$H$466,0),MATCH(EOMONTH('Monthly DCF'!CE$3,-'Monthly DCF'!#REF!+1),'Construction Spend Curve'!$H$5:$BM$5,0)),"")</f>
        <v/>
      </c>
      <c r="CF77" s="1151" t="str">
        <f t="array" ref="CF77">IFERROR(INDEX('Construction Spend Curve'!$H$6:$BM$466,MATCH(#REF!,'Construction Spend Curve'!$H$6:$H$466,0),MATCH(EOMONTH('Monthly DCF'!CF$3,-'Monthly DCF'!#REF!+1),'Construction Spend Curve'!$H$5:$BM$5,0)),"")</f>
        <v/>
      </c>
      <c r="CG77" s="1151" t="str">
        <f t="array" ref="CG77">IFERROR(INDEX('Construction Spend Curve'!$H$6:$BM$466,MATCH(#REF!,'Construction Spend Curve'!$H$6:$H$466,0),MATCH(EOMONTH('Monthly DCF'!CG$3,-'Monthly DCF'!#REF!+1),'Construction Spend Curve'!$H$5:$BM$5,0)),"")</f>
        <v/>
      </c>
      <c r="CH77" s="1151" t="str">
        <f t="array" ref="CH77">IFERROR(INDEX('Construction Spend Curve'!$H$6:$BM$466,MATCH(#REF!,'Construction Spend Curve'!$H$6:$H$466,0),MATCH(EOMONTH('Monthly DCF'!CH$3,-'Monthly DCF'!#REF!+1),'Construction Spend Curve'!$H$5:$BM$5,0)),"")</f>
        <v/>
      </c>
      <c r="CI77" s="1151" t="str">
        <f t="array" ref="CI77">IFERROR(INDEX('Construction Spend Curve'!$H$6:$BM$466,MATCH(#REF!,'Construction Spend Curve'!$H$6:$H$466,0),MATCH(EOMONTH('Monthly DCF'!CI$3,-'Monthly DCF'!#REF!+1),'Construction Spend Curve'!$H$5:$BM$5,0)),"")</f>
        <v/>
      </c>
      <c r="CJ77" s="1151" t="str">
        <f t="array" ref="CJ77">IFERROR(INDEX('Construction Spend Curve'!$H$6:$BM$466,MATCH(#REF!,'Construction Spend Curve'!$H$6:$H$466,0),MATCH(EOMONTH('Monthly DCF'!CJ$3,-'Monthly DCF'!#REF!+1),'Construction Spend Curve'!$H$5:$BM$5,0)),"")</f>
        <v/>
      </c>
      <c r="CK77" s="1151" t="str">
        <f t="array" ref="CK77">IFERROR(INDEX('Construction Spend Curve'!$H$6:$BM$466,MATCH(#REF!,'Construction Spend Curve'!$H$6:$H$466,0),MATCH(EOMONTH('Monthly DCF'!CK$3,-'Monthly DCF'!#REF!+1),'Construction Spend Curve'!$H$5:$BM$5,0)),"")</f>
        <v/>
      </c>
      <c r="CL77" s="1151" t="str">
        <f t="array" ref="CL77">IFERROR(INDEX('Construction Spend Curve'!$H$6:$BM$466,MATCH(#REF!,'Construction Spend Curve'!$H$6:$H$466,0),MATCH(EOMONTH('Monthly DCF'!CL$3,-'Monthly DCF'!#REF!+1),'Construction Spend Curve'!$H$5:$BM$5,0)),"")</f>
        <v/>
      </c>
      <c r="CM77" s="1151" t="str">
        <f t="array" ref="CM77">IFERROR(INDEX('Construction Spend Curve'!$H$6:$BM$466,MATCH(#REF!,'Construction Spend Curve'!$H$6:$H$466,0),MATCH(EOMONTH('Monthly DCF'!CM$3,-'Monthly DCF'!#REF!+1),'Construction Spend Curve'!$H$5:$BM$5,0)),"")</f>
        <v/>
      </c>
      <c r="CN77" s="1151" t="str">
        <f t="array" ref="CN77">IFERROR(INDEX('Construction Spend Curve'!$H$6:$BM$466,MATCH(#REF!,'Construction Spend Curve'!$H$6:$H$466,0),MATCH(EOMONTH('Monthly DCF'!CN$3,-'Monthly DCF'!#REF!+1),'Construction Spend Curve'!$H$5:$BM$5,0)),"")</f>
        <v/>
      </c>
      <c r="CO77" s="1151" t="str">
        <f t="array" ref="CO77">IFERROR(INDEX('Construction Spend Curve'!$H$6:$BM$466,MATCH(#REF!,'Construction Spend Curve'!$H$6:$H$466,0),MATCH(EOMONTH('Monthly DCF'!CO$3,-'Monthly DCF'!#REF!+1),'Construction Spend Curve'!$H$5:$BM$5,0)),"")</f>
        <v/>
      </c>
      <c r="CP77" s="1151" t="str">
        <f t="array" ref="CP77">IFERROR(INDEX('Construction Spend Curve'!$H$6:$BM$466,MATCH(#REF!,'Construction Spend Curve'!$H$6:$H$466,0),MATCH(EOMONTH('Monthly DCF'!CP$3,-'Monthly DCF'!#REF!+1),'Construction Spend Curve'!$H$5:$BM$5,0)),"")</f>
        <v/>
      </c>
      <c r="CQ77" s="1151" t="str">
        <f t="array" ref="CQ77">IFERROR(INDEX('Construction Spend Curve'!$H$6:$BM$466,MATCH(#REF!,'Construction Spend Curve'!$H$6:$H$466,0),MATCH(EOMONTH('Monthly DCF'!CQ$3,-'Monthly DCF'!#REF!+1),'Construction Spend Curve'!$H$5:$BM$5,0)),"")</f>
        <v/>
      </c>
      <c r="CR77" s="1151" t="str">
        <f t="array" ref="CR77">IFERROR(INDEX('Construction Spend Curve'!$H$6:$BM$466,MATCH(#REF!,'Construction Spend Curve'!$H$6:$H$466,0),MATCH(EOMONTH('Monthly DCF'!CR$3,-'Monthly DCF'!#REF!+1),'Construction Spend Curve'!$H$5:$BM$5,0)),"")</f>
        <v/>
      </c>
      <c r="CS77" s="1151" t="str">
        <f t="array" ref="CS77">IFERROR(INDEX('Construction Spend Curve'!$H$6:$BM$466,MATCH(#REF!,'Construction Spend Curve'!$H$6:$H$466,0),MATCH(EOMONTH('Monthly DCF'!CS$3,-'Monthly DCF'!#REF!+1),'Construction Spend Curve'!$H$5:$BM$5,0)),"")</f>
        <v/>
      </c>
      <c r="CT77" s="1151" t="str">
        <f t="array" ref="CT77">IFERROR(INDEX('Construction Spend Curve'!$H$6:$BM$466,MATCH(#REF!,'Construction Spend Curve'!$H$6:$H$466,0),MATCH(EOMONTH('Monthly DCF'!CT$3,-'Monthly DCF'!#REF!+1),'Construction Spend Curve'!$H$5:$BM$5,0)),"")</f>
        <v/>
      </c>
      <c r="CU77" s="1151" t="str">
        <f t="array" ref="CU77">IFERROR(INDEX('Construction Spend Curve'!$H$6:$BM$466,MATCH(#REF!,'Construction Spend Curve'!$H$6:$H$466,0),MATCH(EOMONTH('Monthly DCF'!CU$3,-'Monthly DCF'!#REF!+1),'Construction Spend Curve'!$H$5:$BM$5,0)),"")</f>
        <v/>
      </c>
      <c r="CV77" s="1151" t="str">
        <f t="array" ref="CV77">IFERROR(INDEX('Construction Spend Curve'!$H$6:$BM$466,MATCH(#REF!,'Construction Spend Curve'!$H$6:$H$466,0),MATCH(EOMONTH('Monthly DCF'!CV$3,-'Monthly DCF'!#REF!+1),'Construction Spend Curve'!$H$5:$BM$5,0)),"")</f>
        <v/>
      </c>
      <c r="CW77" s="1151" t="str">
        <f t="array" ref="CW77">IFERROR(INDEX('Construction Spend Curve'!$H$6:$BM$466,MATCH(#REF!,'Construction Spend Curve'!$H$6:$H$466,0),MATCH(EOMONTH('Monthly DCF'!CW$3,-'Monthly DCF'!#REF!+1),'Construction Spend Curve'!$H$5:$BM$5,0)),"")</f>
        <v/>
      </c>
      <c r="CX77" s="1151" t="str">
        <f t="array" ref="CX77">IFERROR(INDEX('Construction Spend Curve'!$H$6:$BM$466,MATCH(#REF!,'Construction Spend Curve'!$H$6:$H$466,0),MATCH(EOMONTH('Monthly DCF'!CX$3,-'Monthly DCF'!#REF!+1),'Construction Spend Curve'!$H$5:$BM$5,0)),"")</f>
        <v/>
      </c>
      <c r="CY77" s="1151" t="str">
        <f t="array" ref="CY77">IFERROR(INDEX('Construction Spend Curve'!$H$6:$BM$466,MATCH(#REF!,'Construction Spend Curve'!$H$6:$H$466,0),MATCH(EOMONTH('Monthly DCF'!CY$3,-'Monthly DCF'!#REF!+1),'Construction Spend Curve'!$H$5:$BM$5,0)),"")</f>
        <v/>
      </c>
      <c r="CZ77" s="1151" t="str">
        <f t="array" ref="CZ77">IFERROR(INDEX('Construction Spend Curve'!$H$6:$BM$466,MATCH(#REF!,'Construction Spend Curve'!$H$6:$H$466,0),MATCH(EOMONTH('Monthly DCF'!CZ$3,-'Monthly DCF'!#REF!+1),'Construction Spend Curve'!$H$5:$BM$5,0)),"")</f>
        <v/>
      </c>
      <c r="DA77" s="1151" t="str">
        <f t="array" ref="DA77">IFERROR(INDEX('Construction Spend Curve'!$H$6:$BM$466,MATCH(#REF!,'Construction Spend Curve'!$H$6:$H$466,0),MATCH(EOMONTH('Monthly DCF'!DA$3,-'Monthly DCF'!#REF!+1),'Construction Spend Curve'!$H$5:$BM$5,0)),"")</f>
        <v/>
      </c>
      <c r="DB77" s="1151" t="str">
        <f t="array" ref="DB77">IFERROR(INDEX('Construction Spend Curve'!$H$6:$BM$466,MATCH(#REF!,'Construction Spend Curve'!$H$6:$H$466,0),MATCH(EOMONTH('Monthly DCF'!DB$3,-'Monthly DCF'!#REF!+1),'Construction Spend Curve'!$H$5:$BM$5,0)),"")</f>
        <v/>
      </c>
      <c r="DC77" s="1151" t="str">
        <f t="array" ref="DC77">IFERROR(INDEX('Construction Spend Curve'!$H$6:$BM$466,MATCH(#REF!,'Construction Spend Curve'!$H$6:$H$466,0),MATCH(EOMONTH('Monthly DCF'!DC$3,-'Monthly DCF'!#REF!+1),'Construction Spend Curve'!$H$5:$BM$5,0)),"")</f>
        <v/>
      </c>
      <c r="DD77" s="1151" t="str">
        <f t="array" ref="DD77">IFERROR(INDEX('Construction Spend Curve'!$H$6:$BM$466,MATCH(#REF!,'Construction Spend Curve'!$H$6:$H$466,0),MATCH(EOMONTH('Monthly DCF'!DD$3,-'Monthly DCF'!#REF!+1),'Construction Spend Curve'!$H$5:$BM$5,0)),"")</f>
        <v/>
      </c>
      <c r="DE77" s="1151" t="str">
        <f t="array" ref="DE77">IFERROR(INDEX('Construction Spend Curve'!$H$6:$BM$466,MATCH(#REF!,'Construction Spend Curve'!$H$6:$H$466,0),MATCH(EOMONTH('Monthly DCF'!DE$3,-'Monthly DCF'!#REF!+1),'Construction Spend Curve'!$H$5:$BM$5,0)),"")</f>
        <v/>
      </c>
      <c r="DF77" s="1151" t="str">
        <f t="array" ref="DF77">IFERROR(INDEX('Construction Spend Curve'!$H$6:$BM$466,MATCH(#REF!,'Construction Spend Curve'!$H$6:$H$466,0),MATCH(EOMONTH('Monthly DCF'!DF$3,-'Monthly DCF'!#REF!+1),'Construction Spend Curve'!$H$5:$BM$5,0)),"")</f>
        <v/>
      </c>
      <c r="DG77" s="1151" t="str">
        <f t="array" ref="DG77">IFERROR(INDEX('Construction Spend Curve'!$H$6:$BM$466,MATCH(#REF!,'Construction Spend Curve'!$H$6:$H$466,0),MATCH(EOMONTH('Monthly DCF'!DG$3,-'Monthly DCF'!#REF!+1),'Construction Spend Curve'!$H$5:$BM$5,0)),"")</f>
        <v/>
      </c>
      <c r="DH77" s="1151" t="str">
        <f t="array" ref="DH77">IFERROR(INDEX('Construction Spend Curve'!$H$6:$BM$466,MATCH(#REF!,'Construction Spend Curve'!$H$6:$H$466,0),MATCH(EOMONTH('Monthly DCF'!DH$3,-'Monthly DCF'!#REF!+1),'Construction Spend Curve'!$H$5:$BM$5,0)),"")</f>
        <v/>
      </c>
      <c r="DI77" s="1151" t="str">
        <f t="array" ref="DI77">IFERROR(INDEX('Construction Spend Curve'!$H$6:$BM$466,MATCH(#REF!,'Construction Spend Curve'!$H$6:$H$466,0),MATCH(EOMONTH('Monthly DCF'!DI$3,-'Monthly DCF'!#REF!+1),'Construction Spend Curve'!$H$5:$BM$5,0)),"")</f>
        <v/>
      </c>
      <c r="DJ77" s="1151" t="str">
        <f t="array" ref="DJ77">IFERROR(INDEX('Construction Spend Curve'!$H$6:$BM$466,MATCH(#REF!,'Construction Spend Curve'!$H$6:$H$466,0),MATCH(EOMONTH('Monthly DCF'!DJ$3,-'Monthly DCF'!#REF!+1),'Construction Spend Curve'!$H$5:$BM$5,0)),"")</f>
        <v/>
      </c>
      <c r="DK77" s="1151" t="str">
        <f t="array" ref="DK77">IFERROR(INDEX('Construction Spend Curve'!$H$6:$BM$466,MATCH(#REF!,'Construction Spend Curve'!$H$6:$H$466,0),MATCH(EOMONTH('Monthly DCF'!DK$3,-'Monthly DCF'!#REF!+1),'Construction Spend Curve'!$H$5:$BM$5,0)),"")</f>
        <v/>
      </c>
      <c r="DL77" s="1151" t="str">
        <f t="array" ref="DL77">IFERROR(INDEX('Construction Spend Curve'!$H$6:$BM$466,MATCH(#REF!,'Construction Spend Curve'!$H$6:$H$466,0),MATCH(EOMONTH('Monthly DCF'!DL$3,-'Monthly DCF'!#REF!+1),'Construction Spend Curve'!$H$5:$BM$5,0)),"")</f>
        <v/>
      </c>
      <c r="DM77" s="1151" t="str">
        <f t="array" ref="DM77">IFERROR(INDEX('Construction Spend Curve'!$H$6:$BM$466,MATCH(#REF!,'Construction Spend Curve'!$H$6:$H$466,0),MATCH(EOMONTH('Monthly DCF'!DM$3,-'Monthly DCF'!#REF!+1),'Construction Spend Curve'!$H$5:$BM$5,0)),"")</f>
        <v/>
      </c>
      <c r="DN77" s="1151" t="str">
        <f t="array" ref="DN77">IFERROR(INDEX('Construction Spend Curve'!$H$6:$BM$466,MATCH(#REF!,'Construction Spend Curve'!$H$6:$H$466,0),MATCH(EOMONTH('Monthly DCF'!DN$3,-'Monthly DCF'!#REF!+1),'Construction Spend Curve'!$H$5:$BM$5,0)),"")</f>
        <v/>
      </c>
      <c r="DO77" s="1151" t="str">
        <f t="array" ref="DO77">IFERROR(INDEX('Construction Spend Curve'!$H$6:$BM$466,MATCH(#REF!,'Construction Spend Curve'!$H$6:$H$466,0),MATCH(EOMONTH('Monthly DCF'!DO$3,-'Monthly DCF'!#REF!+1),'Construction Spend Curve'!$H$5:$BM$5,0)),"")</f>
        <v/>
      </c>
      <c r="DP77" s="1151" t="str">
        <f t="array" ref="DP77">IFERROR(INDEX('Construction Spend Curve'!$H$6:$BM$466,MATCH(#REF!,'Construction Spend Curve'!$H$6:$H$466,0),MATCH(EOMONTH('Monthly DCF'!DP$3,-'Monthly DCF'!#REF!+1),'Construction Spend Curve'!$H$5:$BM$5,0)),"")</f>
        <v/>
      </c>
      <c r="DQ77" s="1151" t="str">
        <f t="array" ref="DQ77">IFERROR(INDEX('Construction Spend Curve'!$H$6:$BM$466,MATCH(#REF!,'Construction Spend Curve'!$H$6:$H$466,0),MATCH(EOMONTH('Monthly DCF'!DQ$3,-'Monthly DCF'!#REF!+1),'Construction Spend Curve'!$H$5:$BM$5,0)),"")</f>
        <v/>
      </c>
      <c r="DR77" s="1151" t="str">
        <f t="array" ref="DR77">IFERROR(INDEX('Construction Spend Curve'!$H$6:$BM$466,MATCH(#REF!,'Construction Spend Curve'!$H$6:$H$466,0),MATCH(EOMONTH('Monthly DCF'!DR$3,-'Monthly DCF'!#REF!+1),'Construction Spend Curve'!$H$5:$BM$5,0)),"")</f>
        <v/>
      </c>
      <c r="DS77" s="1151" t="str">
        <f t="array" ref="DS77">IFERROR(INDEX('Construction Spend Curve'!$H$6:$BM$466,MATCH(#REF!,'Construction Spend Curve'!$H$6:$H$466,0),MATCH(EOMONTH('Monthly DCF'!DS$3,-'Monthly DCF'!#REF!+1),'Construction Spend Curve'!$H$5:$BM$5,0)),"")</f>
        <v/>
      </c>
      <c r="DT77" s="1151" t="str">
        <f t="array" ref="DT77">IFERROR(INDEX('Construction Spend Curve'!$H$6:$BM$466,MATCH(#REF!,'Construction Spend Curve'!$H$6:$H$466,0),MATCH(EOMONTH('Monthly DCF'!DT$3,-'Monthly DCF'!#REF!+1),'Construction Spend Curve'!$H$5:$BM$5,0)),"")</f>
        <v/>
      </c>
      <c r="DU77" s="1151" t="str">
        <f t="array" ref="DU77">IFERROR(INDEX('Construction Spend Curve'!$H$6:$BM$466,MATCH(#REF!,'Construction Spend Curve'!$H$6:$H$466,0),MATCH(EOMONTH('Monthly DCF'!DU$3,-'Monthly DCF'!#REF!+1),'Construction Spend Curve'!$H$5:$BM$5,0)),"")</f>
        <v/>
      </c>
      <c r="DV77" s="1151" t="str">
        <f t="array" ref="DV77">IFERROR(INDEX('Construction Spend Curve'!$H$6:$BM$466,MATCH(#REF!,'Construction Spend Curve'!$H$6:$H$466,0),MATCH(EOMONTH('Monthly DCF'!DV$3,-'Monthly DCF'!#REF!+1),'Construction Spend Curve'!$H$5:$BM$5,0)),"")</f>
        <v/>
      </c>
      <c r="DW77" s="1151" t="str">
        <f t="array" ref="DW77">IFERROR(INDEX('Construction Spend Curve'!$H$6:$BM$466,MATCH(#REF!,'Construction Spend Curve'!$H$6:$H$466,0),MATCH(EOMONTH('Monthly DCF'!DW$3,-'Monthly DCF'!#REF!+1),'Construction Spend Curve'!$H$5:$BM$5,0)),"")</f>
        <v/>
      </c>
      <c r="DX77" s="1151" t="str">
        <f t="array" ref="DX77">IFERROR(INDEX('Construction Spend Curve'!$H$6:$BM$466,MATCH(#REF!,'Construction Spend Curve'!$H$6:$H$466,0),MATCH(EOMONTH('Monthly DCF'!DX$3,-'Monthly DCF'!#REF!+1),'Construction Spend Curve'!$H$5:$BM$5,0)),"")</f>
        <v/>
      </c>
      <c r="DY77" s="1151" t="str">
        <f t="array" ref="DY77">IFERROR(INDEX('Construction Spend Curve'!$H$6:$BM$466,MATCH(#REF!,'Construction Spend Curve'!$H$6:$H$466,0),MATCH(EOMONTH('Monthly DCF'!DY$3,-'Monthly DCF'!#REF!+1),'Construction Spend Curve'!$H$5:$BM$5,0)),"")</f>
        <v/>
      </c>
      <c r="DZ77" s="1151" t="str">
        <f t="array" ref="DZ77">IFERROR(INDEX('Construction Spend Curve'!$H$6:$BM$466,MATCH(#REF!,'Construction Spend Curve'!$H$6:$H$466,0),MATCH(EOMONTH('Monthly DCF'!DZ$3,-'Monthly DCF'!#REF!+1),'Construction Spend Curve'!$H$5:$BM$5,0)),"")</f>
        <v/>
      </c>
      <c r="EA77" s="1151" t="str">
        <f t="array" ref="EA77">IFERROR(INDEX('Construction Spend Curve'!$H$6:$BM$466,MATCH(#REF!,'Construction Spend Curve'!$H$6:$H$466,0),MATCH(EOMONTH('Monthly DCF'!EA$3,-'Monthly DCF'!#REF!+1),'Construction Spend Curve'!$H$5:$BM$5,0)),"")</f>
        <v/>
      </c>
      <c r="EB77" s="1151" t="str">
        <f t="array" ref="EB77">IFERROR(INDEX('Construction Spend Curve'!$H$6:$BM$466,MATCH(#REF!,'Construction Spend Curve'!$H$6:$H$466,0),MATCH(EOMONTH('Monthly DCF'!EB$3,-'Monthly DCF'!#REF!+1),'Construction Spend Curve'!$H$5:$BM$5,0)),"")</f>
        <v/>
      </c>
      <c r="EC77" s="1151" t="str">
        <f t="array" ref="EC77">IFERROR(INDEX('Construction Spend Curve'!$H$6:$BM$466,MATCH(#REF!,'Construction Spend Curve'!$H$6:$H$466,0),MATCH(EOMONTH('Monthly DCF'!EC$3,-'Monthly DCF'!#REF!+1),'Construction Spend Curve'!$H$5:$BM$5,0)),"")</f>
        <v/>
      </c>
      <c r="ED77" s="1151" t="str">
        <f t="array" ref="ED77">IFERROR(INDEX('Construction Spend Curve'!$H$6:$BM$466,MATCH(#REF!,'Construction Spend Curve'!$H$6:$H$466,0),MATCH(EOMONTH('Monthly DCF'!ED$3,-'Monthly DCF'!#REF!+1),'Construction Spend Curve'!$H$5:$BM$5,0)),"")</f>
        <v/>
      </c>
      <c r="EE77" s="1151" t="str">
        <f t="array" ref="EE77">IFERROR(INDEX('Construction Spend Curve'!$H$6:$BM$466,MATCH(#REF!,'Construction Spend Curve'!$H$6:$H$466,0),MATCH(EOMONTH('Monthly DCF'!EE$3,-'Monthly DCF'!#REF!+1),'Construction Spend Curve'!$H$5:$BM$5,0)),"")</f>
        <v/>
      </c>
      <c r="EF77" s="1151" t="str">
        <f t="array" ref="EF77">IFERROR(INDEX('Construction Spend Curve'!$H$6:$BM$466,MATCH(#REF!,'Construction Spend Curve'!$H$6:$H$466,0),MATCH(EOMONTH('Monthly DCF'!EF$3,-'Monthly DCF'!#REF!+1),'Construction Spend Curve'!$H$5:$BM$5,0)),"")</f>
        <v/>
      </c>
      <c r="EG77" s="1151" t="str">
        <f t="array" ref="EG77">IFERROR(INDEX('Construction Spend Curve'!$H$6:$BM$466,MATCH(#REF!,'Construction Spend Curve'!$H$6:$H$466,0),MATCH(EOMONTH('Monthly DCF'!EG$3,-'Monthly DCF'!#REF!+1),'Construction Spend Curve'!$H$5:$BM$5,0)),"")</f>
        <v/>
      </c>
      <c r="EH77" s="1151" t="str">
        <f t="array" ref="EH77">IFERROR(INDEX('Construction Spend Curve'!$H$6:$BM$466,MATCH(#REF!,'Construction Spend Curve'!$H$6:$H$466,0),MATCH(EOMONTH('Monthly DCF'!EH$3,-'Monthly DCF'!#REF!+1),'Construction Spend Curve'!$H$5:$BM$5,0)),"")</f>
        <v/>
      </c>
      <c r="EI77" s="1151" t="str">
        <f t="array" ref="EI77">IFERROR(INDEX('Construction Spend Curve'!$H$6:$BM$466,MATCH(#REF!,'Construction Spend Curve'!$H$6:$H$466,0),MATCH(EOMONTH('Monthly DCF'!EI$3,-'Monthly DCF'!#REF!+1),'Construction Spend Curve'!$H$5:$BM$5,0)),"")</f>
        <v/>
      </c>
      <c r="EJ77" s="1153" t="str">
        <f t="array" ref="EJ77">IFERROR(INDEX('Construction Spend Curve'!$H$6:$BM$466,MATCH(#REF!,'Construction Spend Curve'!$H$6:$H$466,0),MATCH(EOMONTH('Monthly DCF'!EJ$3,-'Monthly DCF'!#REF!+1),'Construction Spend Curve'!$H$5:$BM$5,0)),"")</f>
        <v/>
      </c>
    </row>
    <row r="78" spans="1:140" ht="15.75" hidden="1" customHeight="1" x14ac:dyDescent="0.25">
      <c r="A78" s="6"/>
      <c r="B78" s="393"/>
      <c r="C78" s="358"/>
      <c r="D78" s="386" t="s">
        <v>302</v>
      </c>
      <c r="E78" s="394">
        <v>8</v>
      </c>
      <c r="F78" s="358"/>
      <c r="G78" s="1069" t="s">
        <v>306</v>
      </c>
      <c r="H78" s="1150" t="str">
        <f t="array" ref="H78">IFERROR(INDEX('Construction Spend Curve'!$H$6:$BM$466,MATCH(#REF!,'Construction Spend Curve'!$H$6:$H$466,0),MATCH(EOMONTH('Monthly DCF'!H$3,-'Monthly DCF'!#REF!+1),'Construction Spend Curve'!$H$5:$BM$5,0)),"")</f>
        <v/>
      </c>
      <c r="I78" s="1151" t="str">
        <f t="array" ref="I78">IFERROR(INDEX('Construction Spend Curve'!$H$6:$BM$466,MATCH(#REF!,'Construction Spend Curve'!$H$6:$H$466,0),MATCH(EOMONTH('Monthly DCF'!I$3,-'Monthly DCF'!#REF!+1),'Construction Spend Curve'!$H$5:$BM$5,0)),"")</f>
        <v/>
      </c>
      <c r="J78" s="1151" t="str">
        <f t="array" ref="J78">IFERROR(INDEX('Construction Spend Curve'!$H$6:$BM$466,MATCH(#REF!,'Construction Spend Curve'!$H$6:$H$466,0),MATCH(EOMONTH('Monthly DCF'!J$3,-'Monthly DCF'!#REF!+1),'Construction Spend Curve'!$H$5:$BM$5,0)),"")</f>
        <v/>
      </c>
      <c r="K78" s="1151" t="str">
        <f t="array" ref="K78">IFERROR(INDEX('Construction Spend Curve'!$H$6:$BM$466,MATCH(#REF!,'Construction Spend Curve'!$H$6:$H$466,0),MATCH(EOMONTH('Monthly DCF'!K$3,-'Monthly DCF'!#REF!+1),'Construction Spend Curve'!$H$5:$BM$5,0)),"")</f>
        <v/>
      </c>
      <c r="L78" s="1151" t="str">
        <f t="array" ref="L78">IFERROR(INDEX('Construction Spend Curve'!$H$6:$BM$466,MATCH(#REF!,'Construction Spend Curve'!$H$6:$H$466,0),MATCH(EOMONTH('Monthly DCF'!L$3,-'Monthly DCF'!#REF!+1),'Construction Spend Curve'!$H$5:$BM$5,0)),"")</f>
        <v/>
      </c>
      <c r="M78" s="1151" t="str">
        <f t="array" ref="M78">IFERROR(INDEX('Construction Spend Curve'!$H$6:$BM$466,MATCH(#REF!,'Construction Spend Curve'!$H$6:$H$466,0),MATCH(EOMONTH('Monthly DCF'!M$3,-'Monthly DCF'!#REF!+1),'Construction Spend Curve'!$H$5:$BM$5,0)),"")</f>
        <v/>
      </c>
      <c r="N78" s="1151" t="str">
        <f t="array" ref="N78">IFERROR(INDEX('Construction Spend Curve'!$H$6:$BM$466,MATCH(#REF!,'Construction Spend Curve'!$H$6:$H$466,0),MATCH(EOMONTH('Monthly DCF'!N$3,-'Monthly DCF'!#REF!+1),'Construction Spend Curve'!$H$5:$BM$5,0)),"")</f>
        <v/>
      </c>
      <c r="O78" s="1151" t="str">
        <f t="array" ref="O78">IFERROR(INDEX('Construction Spend Curve'!$H$6:$BM$466,MATCH(#REF!,'Construction Spend Curve'!$H$6:$H$466,0),MATCH(EOMONTH('Monthly DCF'!O$3,-'Monthly DCF'!#REF!+1),'Construction Spend Curve'!$H$5:$BM$5,0)),"")</f>
        <v/>
      </c>
      <c r="P78" s="1151" t="str">
        <f t="array" ref="P78">IFERROR(INDEX('Construction Spend Curve'!$H$6:$BM$466,MATCH(#REF!,'Construction Spend Curve'!$H$6:$H$466,0),MATCH(EOMONTH('Monthly DCF'!P$3,-'Monthly DCF'!#REF!+1),'Construction Spend Curve'!$H$5:$BM$5,0)),"")</f>
        <v/>
      </c>
      <c r="Q78" s="1151" t="str">
        <f t="array" ref="Q78">IFERROR(INDEX('Construction Spend Curve'!$H$6:$BM$466,MATCH(#REF!,'Construction Spend Curve'!$H$6:$H$466,0),MATCH(EOMONTH('Monthly DCF'!Q$3,-'Monthly DCF'!#REF!+1),'Construction Spend Curve'!$H$5:$BM$5,0)),"")</f>
        <v/>
      </c>
      <c r="R78" s="1151" t="str">
        <f t="array" ref="R78">IFERROR(INDEX('Construction Spend Curve'!$H$6:$BM$466,MATCH(#REF!,'Construction Spend Curve'!$H$6:$H$466,0),MATCH(EOMONTH('Monthly DCF'!R$3,-'Monthly DCF'!#REF!+1),'Construction Spend Curve'!$H$5:$BM$5,0)),"")</f>
        <v/>
      </c>
      <c r="S78" s="1151" t="str">
        <f t="array" ref="S78">IFERROR(INDEX('Construction Spend Curve'!$H$6:$BM$466,MATCH(#REF!,'Construction Spend Curve'!$H$6:$H$466,0),MATCH(EOMONTH('Monthly DCF'!S$3,-'Monthly DCF'!#REF!+1),'Construction Spend Curve'!$H$5:$BM$5,0)),"")</f>
        <v/>
      </c>
      <c r="T78" s="1151" t="str">
        <f t="array" ref="T78">IFERROR(INDEX('Construction Spend Curve'!$H$6:$BM$466,MATCH(#REF!,'Construction Spend Curve'!$H$6:$H$466,0),MATCH(EOMONTH('Monthly DCF'!T$3,-'Monthly DCF'!#REF!+1),'Construction Spend Curve'!$H$5:$BM$5,0)),"")</f>
        <v/>
      </c>
      <c r="U78" s="1151" t="str">
        <f t="array" ref="U78">IFERROR(INDEX('Construction Spend Curve'!$H$6:$BM$466,MATCH(#REF!,'Construction Spend Curve'!$H$6:$H$466,0),MATCH(EOMONTH('Monthly DCF'!U$3,-'Monthly DCF'!#REF!+1),'Construction Spend Curve'!$H$5:$BM$5,0)),"")</f>
        <v/>
      </c>
      <c r="V78" s="1151" t="str">
        <f t="array" ref="V78">IFERROR(INDEX('Construction Spend Curve'!$H$6:$BM$466,MATCH(#REF!,'Construction Spend Curve'!$H$6:$H$466,0),MATCH(EOMONTH('Monthly DCF'!V$3,-'Monthly DCF'!#REF!+1),'Construction Spend Curve'!$H$5:$BM$5,0)),"")</f>
        <v/>
      </c>
      <c r="W78" s="1151" t="str">
        <f t="array" ref="W78">IFERROR(INDEX('Construction Spend Curve'!$H$6:$BM$466,MATCH(#REF!,'Construction Spend Curve'!$H$6:$H$466,0),MATCH(EOMONTH('Monthly DCF'!W$3,-'Monthly DCF'!#REF!+1),'Construction Spend Curve'!$H$5:$BM$5,0)),"")</f>
        <v/>
      </c>
      <c r="X78" s="1151" t="str">
        <f t="array" ref="X78">IFERROR(INDEX('Construction Spend Curve'!$H$6:$BM$466,MATCH(#REF!,'Construction Spend Curve'!$H$6:$H$466,0),MATCH(EOMONTH('Monthly DCF'!X$3,-'Monthly DCF'!#REF!+1),'Construction Spend Curve'!$H$5:$BM$5,0)),"")</f>
        <v/>
      </c>
      <c r="Y78" s="1151" t="str">
        <f t="array" ref="Y78">IFERROR(INDEX('Construction Spend Curve'!$H$6:$BM$466,MATCH(#REF!,'Construction Spend Curve'!$H$6:$H$466,0),MATCH(EOMONTH('Monthly DCF'!Y$3,-'Monthly DCF'!#REF!+1),'Construction Spend Curve'!$H$5:$BM$5,0)),"")</f>
        <v/>
      </c>
      <c r="Z78" s="1151" t="str">
        <f t="array" ref="Z78">IFERROR(INDEX('Construction Spend Curve'!$H$6:$BM$466,MATCH(#REF!,'Construction Spend Curve'!$H$6:$H$466,0),MATCH(EOMONTH('Monthly DCF'!Z$3,-'Monthly DCF'!#REF!+1),'Construction Spend Curve'!$H$5:$BM$5,0)),"")</f>
        <v/>
      </c>
      <c r="AA78" s="1151" t="str">
        <f t="array" ref="AA78">IFERROR(INDEX('Construction Spend Curve'!$H$6:$BM$466,MATCH(#REF!,'Construction Spend Curve'!$H$6:$H$466,0),MATCH(EOMONTH('Monthly DCF'!AA$3,-'Monthly DCF'!#REF!+1),'Construction Spend Curve'!$H$5:$BM$5,0)),"")</f>
        <v/>
      </c>
      <c r="AB78" s="1151" t="str">
        <f t="array" ref="AB78">IFERROR(INDEX('Construction Spend Curve'!$H$6:$BM$466,MATCH(#REF!,'Construction Spend Curve'!$H$6:$H$466,0),MATCH(EOMONTH('Monthly DCF'!AB$3,-'Monthly DCF'!#REF!+1),'Construction Spend Curve'!$H$5:$BM$5,0)),"")</f>
        <v/>
      </c>
      <c r="AC78" s="1151" t="str">
        <f t="array" ref="AC78">IFERROR(INDEX('Construction Spend Curve'!$H$6:$BM$466,MATCH(#REF!,'Construction Spend Curve'!$H$6:$H$466,0),MATCH(EOMONTH('Monthly DCF'!AC$3,-'Monthly DCF'!#REF!+1),'Construction Spend Curve'!$H$5:$BM$5,0)),"")</f>
        <v/>
      </c>
      <c r="AD78" s="1151" t="str">
        <f t="array" ref="AD78">IFERROR(INDEX('Construction Spend Curve'!$H$6:$BM$466,MATCH(#REF!,'Construction Spend Curve'!$H$6:$H$466,0),MATCH(EOMONTH('Monthly DCF'!AD$3,-'Monthly DCF'!#REF!+1),'Construction Spend Curve'!$H$5:$BM$5,0)),"")</f>
        <v/>
      </c>
      <c r="AE78" s="1151" t="str">
        <f t="array" ref="AE78">IFERROR(INDEX('Construction Spend Curve'!$H$6:$BM$466,MATCH(#REF!,'Construction Spend Curve'!$H$6:$H$466,0),MATCH(EOMONTH('Monthly DCF'!AE$3,-'Monthly DCF'!#REF!+1),'Construction Spend Curve'!$H$5:$BM$5,0)),"")</f>
        <v/>
      </c>
      <c r="AF78" s="1151" t="str">
        <f t="array" ref="AF78">IFERROR(INDEX('Construction Spend Curve'!$H$6:$BM$466,MATCH(#REF!,'Construction Spend Curve'!$H$6:$H$466,0),MATCH(EOMONTH('Monthly DCF'!AF$3,-'Monthly DCF'!#REF!+1),'Construction Spend Curve'!$H$5:$BM$5,0)),"")</f>
        <v/>
      </c>
      <c r="AG78" s="1151" t="str">
        <f t="array" ref="AG78">IFERROR(INDEX('Construction Spend Curve'!$H$6:$BM$466,MATCH(#REF!,'Construction Spend Curve'!$H$6:$H$466,0),MATCH(EOMONTH('Monthly DCF'!AG$3,-'Monthly DCF'!#REF!+1),'Construction Spend Curve'!$H$5:$BM$5,0)),"")</f>
        <v/>
      </c>
      <c r="AH78" s="1151" t="str">
        <f t="array" ref="AH78">IFERROR(INDEX('Construction Spend Curve'!$H$6:$BM$466,MATCH(#REF!,'Construction Spend Curve'!$H$6:$H$466,0),MATCH(EOMONTH('Monthly DCF'!AH$3,-'Monthly DCF'!#REF!+1),'Construction Spend Curve'!$H$5:$BM$5,0)),"")</f>
        <v/>
      </c>
      <c r="AI78" s="1151" t="str">
        <f t="array" ref="AI78">IFERROR(INDEX('Construction Spend Curve'!$H$6:$BM$466,MATCH(#REF!,'Construction Spend Curve'!$H$6:$H$466,0),MATCH(EOMONTH('Monthly DCF'!AI$3,-'Monthly DCF'!#REF!+1),'Construction Spend Curve'!$H$5:$BM$5,0)),"")</f>
        <v/>
      </c>
      <c r="AJ78" s="1151" t="str">
        <f t="array" ref="AJ78">IFERROR(INDEX('Construction Spend Curve'!$H$6:$BM$466,MATCH(#REF!,'Construction Spend Curve'!$H$6:$H$466,0),MATCH(EOMONTH('Monthly DCF'!AJ$3,-'Monthly DCF'!#REF!+1),'Construction Spend Curve'!$H$5:$BM$5,0)),"")</f>
        <v/>
      </c>
      <c r="AK78" s="1152"/>
      <c r="AL78" s="1151" t="str">
        <f t="array" ref="AL78">IFERROR(INDEX('Construction Spend Curve'!$H$6:$BM$466,MATCH(#REF!,'Construction Spend Curve'!$H$6:$H$466,0),MATCH(EOMONTH('Monthly DCF'!AL$3,-'Monthly DCF'!#REF!+1),'Construction Spend Curve'!$H$5:$BM$5,0)),"")</f>
        <v/>
      </c>
      <c r="AM78" s="1151" t="str">
        <f t="array" ref="AM78">IFERROR(INDEX('Construction Spend Curve'!$H$6:$BM$466,MATCH(#REF!,'Construction Spend Curve'!$H$6:$H$466,0),MATCH(EOMONTH('Monthly DCF'!AM$3,-'Monthly DCF'!#REF!+1),'Construction Spend Curve'!$H$5:$BM$5,0)),"")</f>
        <v/>
      </c>
      <c r="AN78" s="1151" t="str">
        <f t="array" ref="AN78">IFERROR(INDEX('Construction Spend Curve'!$H$6:$BM$466,MATCH(#REF!,'Construction Spend Curve'!$H$6:$H$466,0),MATCH(EOMONTH('Monthly DCF'!AN$3,-'Monthly DCF'!#REF!+1),'Construction Spend Curve'!$H$5:$BM$5,0)),"")</f>
        <v/>
      </c>
      <c r="AO78" s="1151" t="str">
        <f t="array" ref="AO78">IFERROR(INDEX('Construction Spend Curve'!$H$6:$BM$466,MATCH(#REF!,'Construction Spend Curve'!$H$6:$H$466,0),MATCH(EOMONTH('Monthly DCF'!AO$3,-'Monthly DCF'!#REF!+1),'Construction Spend Curve'!$H$5:$BM$5,0)),"")</f>
        <v/>
      </c>
      <c r="AP78" s="1151" t="str">
        <f t="array" ref="AP78">IFERROR(INDEX('Construction Spend Curve'!$H$6:$BM$466,MATCH(#REF!,'Construction Spend Curve'!$H$6:$H$466,0),MATCH(EOMONTH('Monthly DCF'!AP$3,-'Monthly DCF'!#REF!+1),'Construction Spend Curve'!$H$5:$BM$5,0)),"")</f>
        <v/>
      </c>
      <c r="AQ78" s="1151" t="str">
        <f t="array" ref="AQ78">IFERROR(INDEX('Construction Spend Curve'!$H$6:$BM$466,MATCH(#REF!,'Construction Spend Curve'!$H$6:$H$466,0),MATCH(EOMONTH('Monthly DCF'!AQ$3,-'Monthly DCF'!#REF!+1),'Construction Spend Curve'!$H$5:$BM$5,0)),"")</f>
        <v/>
      </c>
      <c r="AR78" s="1151" t="str">
        <f t="array" ref="AR78">IFERROR(INDEX('Construction Spend Curve'!$H$6:$BM$466,MATCH(#REF!,'Construction Spend Curve'!$H$6:$H$466,0),MATCH(EOMONTH('Monthly DCF'!AR$3,-'Monthly DCF'!#REF!+1),'Construction Spend Curve'!$H$5:$BM$5,0)),"")</f>
        <v/>
      </c>
      <c r="AS78" s="1151"/>
      <c r="AT78" s="1151" t="str">
        <f t="array" ref="AT78">IFERROR(INDEX('Construction Spend Curve'!$H$6:$BM$466,MATCH(#REF!,'Construction Spend Curve'!$H$6:$H$466,0),MATCH(EOMONTH('Monthly DCF'!AT$3,-'Monthly DCF'!#REF!+1),'Construction Spend Curve'!$H$5:$BM$5,0)),"")</f>
        <v/>
      </c>
      <c r="AU78" s="1151" t="str">
        <f t="array" ref="AU78">IFERROR(INDEX('Construction Spend Curve'!$H$6:$BM$466,MATCH(#REF!,'Construction Spend Curve'!$H$6:$H$466,0),MATCH(EOMONTH('Monthly DCF'!AU$3,-'Monthly DCF'!#REF!+1),'Construction Spend Curve'!$H$5:$BM$5,0)),"")</f>
        <v/>
      </c>
      <c r="AV78" s="1151" t="str">
        <f t="array" ref="AV78">IFERROR(INDEX('Construction Spend Curve'!$H$6:$BM$466,MATCH(#REF!,'Construction Spend Curve'!$H$6:$H$466,0),MATCH(EOMONTH('Monthly DCF'!AV$3,-'Monthly DCF'!#REF!+1),'Construction Spend Curve'!$H$5:$BM$5,0)),"")</f>
        <v/>
      </c>
      <c r="AW78" s="1151" t="str">
        <f t="array" ref="AW78">IFERROR(INDEX('Construction Spend Curve'!$H$6:$BM$466,MATCH(#REF!,'Construction Spend Curve'!$H$6:$H$466,0),MATCH(EOMONTH('Monthly DCF'!AW$3,-'Monthly DCF'!#REF!+1),'Construction Spend Curve'!$H$5:$BM$5,0)),"")</f>
        <v/>
      </c>
      <c r="AX78" s="1151" t="str">
        <f t="array" ref="AX78">IFERROR(INDEX('Construction Spend Curve'!$H$6:$BM$466,MATCH(#REF!,'Construction Spend Curve'!$H$6:$H$466,0),MATCH(EOMONTH('Monthly DCF'!AX$3,-'Monthly DCF'!#REF!+1),'Construction Spend Curve'!$H$5:$BM$5,0)),"")</f>
        <v/>
      </c>
      <c r="AY78" s="1151" t="str">
        <f t="array" ref="AY78">IFERROR(INDEX('Construction Spend Curve'!$H$6:$BM$466,MATCH(#REF!,'Construction Spend Curve'!$H$6:$H$466,0),MATCH(EOMONTH('Monthly DCF'!AY$3,-'Monthly DCF'!#REF!+1),'Construction Spend Curve'!$H$5:$BM$5,0)),"")</f>
        <v/>
      </c>
      <c r="AZ78" s="1151" t="str">
        <f t="array" ref="AZ78">IFERROR(INDEX('Construction Spend Curve'!$H$6:$BM$466,MATCH(#REF!,'Construction Spend Curve'!$H$6:$H$466,0),MATCH(EOMONTH('Monthly DCF'!AZ$3,-'Monthly DCF'!#REF!+1),'Construction Spend Curve'!$H$5:$BM$5,0)),"")</f>
        <v/>
      </c>
      <c r="BA78" s="1151" t="str">
        <f t="array" ref="BA78">IFERROR(INDEX('Construction Spend Curve'!$H$6:$BM$466,MATCH(#REF!,'Construction Spend Curve'!$H$6:$H$466,0),MATCH(EOMONTH('Monthly DCF'!BA$3,-'Monthly DCF'!#REF!+1),'Construction Spend Curve'!$H$5:$BM$5,0)),"")</f>
        <v/>
      </c>
      <c r="BB78" s="1151" t="str">
        <f t="array" ref="BB78">IFERROR(INDEX('Construction Spend Curve'!$H$6:$BM$466,MATCH(#REF!,'Construction Spend Curve'!$H$6:$H$466,0),MATCH(EOMONTH('Monthly DCF'!BB$3,-'Monthly DCF'!#REF!+1),'Construction Spend Curve'!$H$5:$BM$5,0)),"")</f>
        <v/>
      </c>
      <c r="BC78" s="1151" t="str">
        <f t="array" ref="BC78">IFERROR(INDEX('Construction Spend Curve'!$H$6:$BM$466,MATCH(#REF!,'Construction Spend Curve'!$H$6:$H$466,0),MATCH(EOMONTH('Monthly DCF'!BC$3,-'Monthly DCF'!#REF!+1),'Construction Spend Curve'!$H$5:$BM$5,0)),"")</f>
        <v/>
      </c>
      <c r="BD78" s="1151" t="str">
        <f t="array" ref="BD78">IFERROR(INDEX('Construction Spend Curve'!$H$6:$BM$466,MATCH(#REF!,'Construction Spend Curve'!$H$6:$H$466,0),MATCH(EOMONTH('Monthly DCF'!BD$3,-'Monthly DCF'!#REF!+1),'Construction Spend Curve'!$H$5:$BM$5,0)),"")</f>
        <v/>
      </c>
      <c r="BE78" s="1151" t="str">
        <f t="array" ref="BE78">IFERROR(INDEX('Construction Spend Curve'!$H$6:$BM$466,MATCH(#REF!,'Construction Spend Curve'!$H$6:$H$466,0),MATCH(EOMONTH('Monthly DCF'!BE$3,-'Monthly DCF'!#REF!+1),'Construction Spend Curve'!$H$5:$BM$5,0)),"")</f>
        <v/>
      </c>
      <c r="BF78" s="1151" t="str">
        <f t="array" ref="BF78">IFERROR(INDEX('Construction Spend Curve'!$H$6:$BM$466,MATCH(#REF!,'Construction Spend Curve'!$H$6:$H$466,0),MATCH(EOMONTH('Monthly DCF'!BF$3,-'Monthly DCF'!#REF!+1),'Construction Spend Curve'!$H$5:$BM$5,0)),"")</f>
        <v/>
      </c>
      <c r="BG78" s="1151" t="str">
        <f t="array" ref="BG78">IFERROR(INDEX('Construction Spend Curve'!$H$6:$BM$466,MATCH(#REF!,'Construction Spend Curve'!$H$6:$H$466,0),MATCH(EOMONTH('Monthly DCF'!BG$3,-'Monthly DCF'!#REF!+1),'Construction Spend Curve'!$H$5:$BM$5,0)),"")</f>
        <v/>
      </c>
      <c r="BH78" s="1151" t="str">
        <f t="array" ref="BH78">IFERROR(INDEX('Construction Spend Curve'!$H$6:$BM$466,MATCH(#REF!,'Construction Spend Curve'!$H$6:$H$466,0),MATCH(EOMONTH('Monthly DCF'!BH$3,-'Monthly DCF'!#REF!+1),'Construction Spend Curve'!$H$5:$BM$5,0)),"")</f>
        <v/>
      </c>
      <c r="BI78" s="1151" t="str">
        <f t="array" ref="BI78">IFERROR(INDEX('Construction Spend Curve'!$H$6:$BM$466,MATCH(#REF!,'Construction Spend Curve'!$H$6:$H$466,0),MATCH(EOMONTH('Monthly DCF'!BI$3,-'Monthly DCF'!#REF!+1),'Construction Spend Curve'!$H$5:$BM$5,0)),"")</f>
        <v/>
      </c>
      <c r="BJ78" s="1151" t="str">
        <f t="array" ref="BJ78">IFERROR(INDEX('Construction Spend Curve'!$H$6:$BM$466,MATCH(#REF!,'Construction Spend Curve'!$H$6:$H$466,0),MATCH(EOMONTH('Monthly DCF'!BJ$3,-'Monthly DCF'!#REF!+1),'Construction Spend Curve'!$H$5:$BM$5,0)),"")</f>
        <v/>
      </c>
      <c r="BK78" s="1151" t="str">
        <f t="array" ref="BK78">IFERROR(INDEX('Construction Spend Curve'!$H$6:$BM$466,MATCH(#REF!,'Construction Spend Curve'!$H$6:$H$466,0),MATCH(EOMONTH('Monthly DCF'!BK$3,-'Monthly DCF'!#REF!+1),'Construction Spend Curve'!$H$5:$BM$5,0)),"")</f>
        <v/>
      </c>
      <c r="BL78" s="1151" t="str">
        <f t="array" ref="BL78">IFERROR(INDEX('Construction Spend Curve'!$H$6:$BM$466,MATCH(#REF!,'Construction Spend Curve'!$H$6:$H$466,0),MATCH(EOMONTH('Monthly DCF'!BL$3,-'Monthly DCF'!#REF!+1),'Construction Spend Curve'!$H$5:$BM$5,0)),"")</f>
        <v/>
      </c>
      <c r="BM78" s="1151" t="str">
        <f t="array" ref="BM78">IFERROR(INDEX('Construction Spend Curve'!$H$6:$BM$466,MATCH(#REF!,'Construction Spend Curve'!$H$6:$H$466,0),MATCH(EOMONTH('Monthly DCF'!BM$3,-'Monthly DCF'!#REF!+1),'Construction Spend Curve'!$H$5:$BM$5,0)),"")</f>
        <v/>
      </c>
      <c r="BN78" s="1151" t="str">
        <f t="array" ref="BN78">IFERROR(INDEX('Construction Spend Curve'!$H$6:$BM$466,MATCH(#REF!,'Construction Spend Curve'!$H$6:$H$466,0),MATCH(EOMONTH('Monthly DCF'!BN$3,-'Monthly DCF'!#REF!+1),'Construction Spend Curve'!$H$5:$BM$5,0)),"")</f>
        <v/>
      </c>
      <c r="BO78" s="1151" t="str">
        <f t="array" ref="BO78">IFERROR(INDEX('Construction Spend Curve'!$H$6:$BM$466,MATCH(#REF!,'Construction Spend Curve'!$H$6:$H$466,0),MATCH(EOMONTH('Monthly DCF'!BO$3,-'Monthly DCF'!#REF!+1),'Construction Spend Curve'!$H$5:$BM$5,0)),"")</f>
        <v/>
      </c>
      <c r="BP78" s="1151" t="str">
        <f t="array" ref="BP78">IFERROR(INDEX('Construction Spend Curve'!$H$6:$BM$466,MATCH(#REF!,'Construction Spend Curve'!$H$6:$H$466,0),MATCH(EOMONTH('Monthly DCF'!BP$3,-'Monthly DCF'!#REF!+1),'Construction Spend Curve'!$H$5:$BM$5,0)),"")</f>
        <v/>
      </c>
      <c r="BQ78" s="1151" t="str">
        <f t="array" ref="BQ78">IFERROR(INDEX('Construction Spend Curve'!$H$6:$BM$466,MATCH(#REF!,'Construction Spend Curve'!$H$6:$H$466,0),MATCH(EOMONTH('Monthly DCF'!BQ$3,-'Monthly DCF'!#REF!+1),'Construction Spend Curve'!$H$5:$BM$5,0)),"")</f>
        <v/>
      </c>
      <c r="BR78" s="1151" t="str">
        <f t="array" ref="BR78">IFERROR(INDEX('Construction Spend Curve'!$H$6:$BM$466,MATCH(#REF!,'Construction Spend Curve'!$H$6:$H$466,0),MATCH(EOMONTH('Monthly DCF'!BR$3,-'Monthly DCF'!#REF!+1),'Construction Spend Curve'!$H$5:$BM$5,0)),"")</f>
        <v/>
      </c>
      <c r="BS78" s="1151" t="str">
        <f t="array" ref="BS78">IFERROR(INDEX('Construction Spend Curve'!$H$6:$BM$466,MATCH(#REF!,'Construction Spend Curve'!$H$6:$H$466,0),MATCH(EOMONTH('Monthly DCF'!BS$3,-'Monthly DCF'!#REF!+1),'Construction Spend Curve'!$H$5:$BM$5,0)),"")</f>
        <v/>
      </c>
      <c r="BT78" s="1151" t="str">
        <f t="array" ref="BT78">IFERROR(INDEX('Construction Spend Curve'!$H$6:$BM$466,MATCH(#REF!,'Construction Spend Curve'!$H$6:$H$466,0),MATCH(EOMONTH('Monthly DCF'!BT$3,-'Monthly DCF'!#REF!+1),'Construction Spend Curve'!$H$5:$BM$5,0)),"")</f>
        <v/>
      </c>
      <c r="BU78" s="1151" t="str">
        <f t="array" ref="BU78">IFERROR(INDEX('Construction Spend Curve'!$H$6:$BM$466,MATCH(#REF!,'Construction Spend Curve'!$H$6:$H$466,0),MATCH(EOMONTH('Monthly DCF'!BU$3,-'Monthly DCF'!#REF!+1),'Construction Spend Curve'!$H$5:$BM$5,0)),"")</f>
        <v/>
      </c>
      <c r="BV78" s="1151" t="str">
        <f t="array" ref="BV78">IFERROR(INDEX('Construction Spend Curve'!$H$6:$BM$466,MATCH(#REF!,'Construction Spend Curve'!$H$6:$H$466,0),MATCH(EOMONTH('Monthly DCF'!BV$3,-'Monthly DCF'!#REF!+1),'Construction Spend Curve'!$H$5:$BM$5,0)),"")</f>
        <v/>
      </c>
      <c r="BW78" s="1151" t="str">
        <f t="array" ref="BW78">IFERROR(INDEX('Construction Spend Curve'!$H$6:$BM$466,MATCH(#REF!,'Construction Spend Curve'!$H$6:$H$466,0),MATCH(EOMONTH('Monthly DCF'!BW$3,-'Monthly DCF'!#REF!+1),'Construction Spend Curve'!$H$5:$BM$5,0)),"")</f>
        <v/>
      </c>
      <c r="BX78" s="1151" t="str">
        <f t="array" ref="BX78">IFERROR(INDEX('Construction Spend Curve'!$H$6:$BM$466,MATCH(#REF!,'Construction Spend Curve'!$H$6:$H$466,0),MATCH(EOMONTH('Monthly DCF'!BX$3,-'Monthly DCF'!#REF!+1),'Construction Spend Curve'!$H$5:$BM$5,0)),"")</f>
        <v/>
      </c>
      <c r="BY78" s="1151" t="str">
        <f t="array" ref="BY78">IFERROR(INDEX('Construction Spend Curve'!$H$6:$BM$466,MATCH(#REF!,'Construction Spend Curve'!$H$6:$H$466,0),MATCH(EOMONTH('Monthly DCF'!BY$3,-'Monthly DCF'!#REF!+1),'Construction Spend Curve'!$H$5:$BM$5,0)),"")</f>
        <v/>
      </c>
      <c r="BZ78" s="1151" t="str">
        <f t="array" ref="BZ78">IFERROR(INDEX('Construction Spend Curve'!$H$6:$BM$466,MATCH(#REF!,'Construction Spend Curve'!$H$6:$H$466,0),MATCH(EOMONTH('Monthly DCF'!BZ$3,-'Monthly DCF'!#REF!+1),'Construction Spend Curve'!$H$5:$BM$5,0)),"")</f>
        <v/>
      </c>
      <c r="CA78" s="1151" t="str">
        <f t="array" ref="CA78">IFERROR(INDEX('Construction Spend Curve'!$H$6:$BM$466,MATCH(#REF!,'Construction Spend Curve'!$H$6:$H$466,0),MATCH(EOMONTH('Monthly DCF'!CA$3,-'Monthly DCF'!#REF!+1),'Construction Spend Curve'!$H$5:$BM$5,0)),"")</f>
        <v/>
      </c>
      <c r="CB78" s="1151" t="str">
        <f t="array" ref="CB78">IFERROR(INDEX('Construction Spend Curve'!$H$6:$BM$466,MATCH(#REF!,'Construction Spend Curve'!$H$6:$H$466,0),MATCH(EOMONTH('Monthly DCF'!CB$3,-'Monthly DCF'!#REF!+1),'Construction Spend Curve'!$H$5:$BM$5,0)),"")</f>
        <v/>
      </c>
      <c r="CC78" s="1151" t="str">
        <f t="array" ref="CC78">IFERROR(INDEX('Construction Spend Curve'!$H$6:$BM$466,MATCH(#REF!,'Construction Spend Curve'!$H$6:$H$466,0),MATCH(EOMONTH('Monthly DCF'!CC$3,-'Monthly DCF'!#REF!+1),'Construction Spend Curve'!$H$5:$BM$5,0)),"")</f>
        <v/>
      </c>
      <c r="CD78" s="1151" t="str">
        <f t="array" ref="CD78">IFERROR(INDEX('Construction Spend Curve'!$H$6:$BM$466,MATCH(#REF!,'Construction Spend Curve'!$H$6:$H$466,0),MATCH(EOMONTH('Monthly DCF'!CD$3,-'Monthly DCF'!#REF!+1),'Construction Spend Curve'!$H$5:$BM$5,0)),"")</f>
        <v/>
      </c>
      <c r="CE78" s="1151" t="str">
        <f t="array" ref="CE78">IFERROR(INDEX('Construction Spend Curve'!$H$6:$BM$466,MATCH(#REF!,'Construction Spend Curve'!$H$6:$H$466,0),MATCH(EOMONTH('Monthly DCF'!CE$3,-'Monthly DCF'!#REF!+1),'Construction Spend Curve'!$H$5:$BM$5,0)),"")</f>
        <v/>
      </c>
      <c r="CF78" s="1151" t="str">
        <f t="array" ref="CF78">IFERROR(INDEX('Construction Spend Curve'!$H$6:$BM$466,MATCH(#REF!,'Construction Spend Curve'!$H$6:$H$466,0),MATCH(EOMONTH('Monthly DCF'!CF$3,-'Monthly DCF'!#REF!+1),'Construction Spend Curve'!$H$5:$BM$5,0)),"")</f>
        <v/>
      </c>
      <c r="CG78" s="1151" t="str">
        <f t="array" ref="CG78">IFERROR(INDEX('Construction Spend Curve'!$H$6:$BM$466,MATCH(#REF!,'Construction Spend Curve'!$H$6:$H$466,0),MATCH(EOMONTH('Monthly DCF'!CG$3,-'Monthly DCF'!#REF!+1),'Construction Spend Curve'!$H$5:$BM$5,0)),"")</f>
        <v/>
      </c>
      <c r="CH78" s="1151" t="str">
        <f t="array" ref="CH78">IFERROR(INDEX('Construction Spend Curve'!$H$6:$BM$466,MATCH(#REF!,'Construction Spend Curve'!$H$6:$H$466,0),MATCH(EOMONTH('Monthly DCF'!CH$3,-'Monthly DCF'!#REF!+1),'Construction Spend Curve'!$H$5:$BM$5,0)),"")</f>
        <v/>
      </c>
      <c r="CI78" s="1151" t="str">
        <f t="array" ref="CI78">IFERROR(INDEX('Construction Spend Curve'!$H$6:$BM$466,MATCH(#REF!,'Construction Spend Curve'!$H$6:$H$466,0),MATCH(EOMONTH('Monthly DCF'!CI$3,-'Monthly DCF'!#REF!+1),'Construction Spend Curve'!$H$5:$BM$5,0)),"")</f>
        <v/>
      </c>
      <c r="CJ78" s="1151" t="str">
        <f t="array" ref="CJ78">IFERROR(INDEX('Construction Spend Curve'!$H$6:$BM$466,MATCH(#REF!,'Construction Spend Curve'!$H$6:$H$466,0),MATCH(EOMONTH('Monthly DCF'!CJ$3,-'Monthly DCF'!#REF!+1),'Construction Spend Curve'!$H$5:$BM$5,0)),"")</f>
        <v/>
      </c>
      <c r="CK78" s="1151" t="str">
        <f t="array" ref="CK78">IFERROR(INDEX('Construction Spend Curve'!$H$6:$BM$466,MATCH(#REF!,'Construction Spend Curve'!$H$6:$H$466,0),MATCH(EOMONTH('Monthly DCF'!CK$3,-'Monthly DCF'!#REF!+1),'Construction Spend Curve'!$H$5:$BM$5,0)),"")</f>
        <v/>
      </c>
      <c r="CL78" s="1151" t="str">
        <f t="array" ref="CL78">IFERROR(INDEX('Construction Spend Curve'!$H$6:$BM$466,MATCH(#REF!,'Construction Spend Curve'!$H$6:$H$466,0),MATCH(EOMONTH('Monthly DCF'!CL$3,-'Monthly DCF'!#REF!+1),'Construction Spend Curve'!$H$5:$BM$5,0)),"")</f>
        <v/>
      </c>
      <c r="CM78" s="1151" t="str">
        <f t="array" ref="CM78">IFERROR(INDEX('Construction Spend Curve'!$H$6:$BM$466,MATCH(#REF!,'Construction Spend Curve'!$H$6:$H$466,0),MATCH(EOMONTH('Monthly DCF'!CM$3,-'Monthly DCF'!#REF!+1),'Construction Spend Curve'!$H$5:$BM$5,0)),"")</f>
        <v/>
      </c>
      <c r="CN78" s="1151" t="str">
        <f t="array" ref="CN78">IFERROR(INDEX('Construction Spend Curve'!$H$6:$BM$466,MATCH(#REF!,'Construction Spend Curve'!$H$6:$H$466,0),MATCH(EOMONTH('Monthly DCF'!CN$3,-'Monthly DCF'!#REF!+1),'Construction Spend Curve'!$H$5:$BM$5,0)),"")</f>
        <v/>
      </c>
      <c r="CO78" s="1151" t="str">
        <f t="array" ref="CO78">IFERROR(INDEX('Construction Spend Curve'!$H$6:$BM$466,MATCH(#REF!,'Construction Spend Curve'!$H$6:$H$466,0),MATCH(EOMONTH('Monthly DCF'!CO$3,-'Monthly DCF'!#REF!+1),'Construction Spend Curve'!$H$5:$BM$5,0)),"")</f>
        <v/>
      </c>
      <c r="CP78" s="1151" t="str">
        <f t="array" ref="CP78">IFERROR(INDEX('Construction Spend Curve'!$H$6:$BM$466,MATCH(#REF!,'Construction Spend Curve'!$H$6:$H$466,0),MATCH(EOMONTH('Monthly DCF'!CP$3,-'Monthly DCF'!#REF!+1),'Construction Spend Curve'!$H$5:$BM$5,0)),"")</f>
        <v/>
      </c>
      <c r="CQ78" s="1151" t="str">
        <f t="array" ref="CQ78">IFERROR(INDEX('Construction Spend Curve'!$H$6:$BM$466,MATCH(#REF!,'Construction Spend Curve'!$H$6:$H$466,0),MATCH(EOMONTH('Monthly DCF'!CQ$3,-'Monthly DCF'!#REF!+1),'Construction Spend Curve'!$H$5:$BM$5,0)),"")</f>
        <v/>
      </c>
      <c r="CR78" s="1151" t="str">
        <f t="array" ref="CR78">IFERROR(INDEX('Construction Spend Curve'!$H$6:$BM$466,MATCH(#REF!,'Construction Spend Curve'!$H$6:$H$466,0),MATCH(EOMONTH('Monthly DCF'!CR$3,-'Monthly DCF'!#REF!+1),'Construction Spend Curve'!$H$5:$BM$5,0)),"")</f>
        <v/>
      </c>
      <c r="CS78" s="1151" t="str">
        <f t="array" ref="CS78">IFERROR(INDEX('Construction Spend Curve'!$H$6:$BM$466,MATCH(#REF!,'Construction Spend Curve'!$H$6:$H$466,0),MATCH(EOMONTH('Monthly DCF'!CS$3,-'Monthly DCF'!#REF!+1),'Construction Spend Curve'!$H$5:$BM$5,0)),"")</f>
        <v/>
      </c>
      <c r="CT78" s="1151" t="str">
        <f t="array" ref="CT78">IFERROR(INDEX('Construction Spend Curve'!$H$6:$BM$466,MATCH(#REF!,'Construction Spend Curve'!$H$6:$H$466,0),MATCH(EOMONTH('Monthly DCF'!CT$3,-'Monthly DCF'!#REF!+1),'Construction Spend Curve'!$H$5:$BM$5,0)),"")</f>
        <v/>
      </c>
      <c r="CU78" s="1151" t="str">
        <f t="array" ref="CU78">IFERROR(INDEX('Construction Spend Curve'!$H$6:$BM$466,MATCH(#REF!,'Construction Spend Curve'!$H$6:$H$466,0),MATCH(EOMONTH('Monthly DCF'!CU$3,-'Monthly DCF'!#REF!+1),'Construction Spend Curve'!$H$5:$BM$5,0)),"")</f>
        <v/>
      </c>
      <c r="CV78" s="1151" t="str">
        <f t="array" ref="CV78">IFERROR(INDEX('Construction Spend Curve'!$H$6:$BM$466,MATCH(#REF!,'Construction Spend Curve'!$H$6:$H$466,0),MATCH(EOMONTH('Monthly DCF'!CV$3,-'Monthly DCF'!#REF!+1),'Construction Spend Curve'!$H$5:$BM$5,0)),"")</f>
        <v/>
      </c>
      <c r="CW78" s="1151" t="str">
        <f t="array" ref="CW78">IFERROR(INDEX('Construction Spend Curve'!$H$6:$BM$466,MATCH(#REF!,'Construction Spend Curve'!$H$6:$H$466,0),MATCH(EOMONTH('Monthly DCF'!CW$3,-'Monthly DCF'!#REF!+1),'Construction Spend Curve'!$H$5:$BM$5,0)),"")</f>
        <v/>
      </c>
      <c r="CX78" s="1151" t="str">
        <f t="array" ref="CX78">IFERROR(INDEX('Construction Spend Curve'!$H$6:$BM$466,MATCH(#REF!,'Construction Spend Curve'!$H$6:$H$466,0),MATCH(EOMONTH('Monthly DCF'!CX$3,-'Monthly DCF'!#REF!+1),'Construction Spend Curve'!$H$5:$BM$5,0)),"")</f>
        <v/>
      </c>
      <c r="CY78" s="1151" t="str">
        <f t="array" ref="CY78">IFERROR(INDEX('Construction Spend Curve'!$H$6:$BM$466,MATCH(#REF!,'Construction Spend Curve'!$H$6:$H$466,0),MATCH(EOMONTH('Monthly DCF'!CY$3,-'Monthly DCF'!#REF!+1),'Construction Spend Curve'!$H$5:$BM$5,0)),"")</f>
        <v/>
      </c>
      <c r="CZ78" s="1151" t="str">
        <f t="array" ref="CZ78">IFERROR(INDEX('Construction Spend Curve'!$H$6:$BM$466,MATCH(#REF!,'Construction Spend Curve'!$H$6:$H$466,0),MATCH(EOMONTH('Monthly DCF'!CZ$3,-'Monthly DCF'!#REF!+1),'Construction Spend Curve'!$H$5:$BM$5,0)),"")</f>
        <v/>
      </c>
      <c r="DA78" s="1151" t="str">
        <f t="array" ref="DA78">IFERROR(INDEX('Construction Spend Curve'!$H$6:$BM$466,MATCH(#REF!,'Construction Spend Curve'!$H$6:$H$466,0),MATCH(EOMONTH('Monthly DCF'!DA$3,-'Monthly DCF'!#REF!+1),'Construction Spend Curve'!$H$5:$BM$5,0)),"")</f>
        <v/>
      </c>
      <c r="DB78" s="1151" t="str">
        <f t="array" ref="DB78">IFERROR(INDEX('Construction Spend Curve'!$H$6:$BM$466,MATCH(#REF!,'Construction Spend Curve'!$H$6:$H$466,0),MATCH(EOMONTH('Monthly DCF'!DB$3,-'Monthly DCF'!#REF!+1),'Construction Spend Curve'!$H$5:$BM$5,0)),"")</f>
        <v/>
      </c>
      <c r="DC78" s="1151" t="str">
        <f t="array" ref="DC78">IFERROR(INDEX('Construction Spend Curve'!$H$6:$BM$466,MATCH(#REF!,'Construction Spend Curve'!$H$6:$H$466,0),MATCH(EOMONTH('Monthly DCF'!DC$3,-'Monthly DCF'!#REF!+1),'Construction Spend Curve'!$H$5:$BM$5,0)),"")</f>
        <v/>
      </c>
      <c r="DD78" s="1151" t="str">
        <f t="array" ref="DD78">IFERROR(INDEX('Construction Spend Curve'!$H$6:$BM$466,MATCH(#REF!,'Construction Spend Curve'!$H$6:$H$466,0),MATCH(EOMONTH('Monthly DCF'!DD$3,-'Monthly DCF'!#REF!+1),'Construction Spend Curve'!$H$5:$BM$5,0)),"")</f>
        <v/>
      </c>
      <c r="DE78" s="1151" t="str">
        <f t="array" ref="DE78">IFERROR(INDEX('Construction Spend Curve'!$H$6:$BM$466,MATCH(#REF!,'Construction Spend Curve'!$H$6:$H$466,0),MATCH(EOMONTH('Monthly DCF'!DE$3,-'Monthly DCF'!#REF!+1),'Construction Spend Curve'!$H$5:$BM$5,0)),"")</f>
        <v/>
      </c>
      <c r="DF78" s="1151" t="str">
        <f t="array" ref="DF78">IFERROR(INDEX('Construction Spend Curve'!$H$6:$BM$466,MATCH(#REF!,'Construction Spend Curve'!$H$6:$H$466,0),MATCH(EOMONTH('Monthly DCF'!DF$3,-'Monthly DCF'!#REF!+1),'Construction Spend Curve'!$H$5:$BM$5,0)),"")</f>
        <v/>
      </c>
      <c r="DG78" s="1151" t="str">
        <f t="array" ref="DG78">IFERROR(INDEX('Construction Spend Curve'!$H$6:$BM$466,MATCH(#REF!,'Construction Spend Curve'!$H$6:$H$466,0),MATCH(EOMONTH('Monthly DCF'!DG$3,-'Monthly DCF'!#REF!+1),'Construction Spend Curve'!$H$5:$BM$5,0)),"")</f>
        <v/>
      </c>
      <c r="DH78" s="1151" t="str">
        <f t="array" ref="DH78">IFERROR(INDEX('Construction Spend Curve'!$H$6:$BM$466,MATCH(#REF!,'Construction Spend Curve'!$H$6:$H$466,0),MATCH(EOMONTH('Monthly DCF'!DH$3,-'Monthly DCF'!#REF!+1),'Construction Spend Curve'!$H$5:$BM$5,0)),"")</f>
        <v/>
      </c>
      <c r="DI78" s="1151" t="str">
        <f t="array" ref="DI78">IFERROR(INDEX('Construction Spend Curve'!$H$6:$BM$466,MATCH(#REF!,'Construction Spend Curve'!$H$6:$H$466,0),MATCH(EOMONTH('Monthly DCF'!DI$3,-'Monthly DCF'!#REF!+1),'Construction Spend Curve'!$H$5:$BM$5,0)),"")</f>
        <v/>
      </c>
      <c r="DJ78" s="1151" t="str">
        <f t="array" ref="DJ78">IFERROR(INDEX('Construction Spend Curve'!$H$6:$BM$466,MATCH(#REF!,'Construction Spend Curve'!$H$6:$H$466,0),MATCH(EOMONTH('Monthly DCF'!DJ$3,-'Monthly DCF'!#REF!+1),'Construction Spend Curve'!$H$5:$BM$5,0)),"")</f>
        <v/>
      </c>
      <c r="DK78" s="1151" t="str">
        <f t="array" ref="DK78">IFERROR(INDEX('Construction Spend Curve'!$H$6:$BM$466,MATCH(#REF!,'Construction Spend Curve'!$H$6:$H$466,0),MATCH(EOMONTH('Monthly DCF'!DK$3,-'Monthly DCF'!#REF!+1),'Construction Spend Curve'!$H$5:$BM$5,0)),"")</f>
        <v/>
      </c>
      <c r="DL78" s="1151" t="str">
        <f t="array" ref="DL78">IFERROR(INDEX('Construction Spend Curve'!$H$6:$BM$466,MATCH(#REF!,'Construction Spend Curve'!$H$6:$H$466,0),MATCH(EOMONTH('Monthly DCF'!DL$3,-'Monthly DCF'!#REF!+1),'Construction Spend Curve'!$H$5:$BM$5,0)),"")</f>
        <v/>
      </c>
      <c r="DM78" s="1151" t="str">
        <f t="array" ref="DM78">IFERROR(INDEX('Construction Spend Curve'!$H$6:$BM$466,MATCH(#REF!,'Construction Spend Curve'!$H$6:$H$466,0),MATCH(EOMONTH('Monthly DCF'!DM$3,-'Monthly DCF'!#REF!+1),'Construction Spend Curve'!$H$5:$BM$5,0)),"")</f>
        <v/>
      </c>
      <c r="DN78" s="1151" t="str">
        <f t="array" ref="DN78">IFERROR(INDEX('Construction Spend Curve'!$H$6:$BM$466,MATCH(#REF!,'Construction Spend Curve'!$H$6:$H$466,0),MATCH(EOMONTH('Monthly DCF'!DN$3,-'Monthly DCF'!#REF!+1),'Construction Spend Curve'!$H$5:$BM$5,0)),"")</f>
        <v/>
      </c>
      <c r="DO78" s="1151" t="str">
        <f t="array" ref="DO78">IFERROR(INDEX('Construction Spend Curve'!$H$6:$BM$466,MATCH(#REF!,'Construction Spend Curve'!$H$6:$H$466,0),MATCH(EOMONTH('Monthly DCF'!DO$3,-'Monthly DCF'!#REF!+1),'Construction Spend Curve'!$H$5:$BM$5,0)),"")</f>
        <v/>
      </c>
      <c r="DP78" s="1151" t="str">
        <f t="array" ref="DP78">IFERROR(INDEX('Construction Spend Curve'!$H$6:$BM$466,MATCH(#REF!,'Construction Spend Curve'!$H$6:$H$466,0),MATCH(EOMONTH('Monthly DCF'!DP$3,-'Monthly DCF'!#REF!+1),'Construction Spend Curve'!$H$5:$BM$5,0)),"")</f>
        <v/>
      </c>
      <c r="DQ78" s="1151" t="str">
        <f t="array" ref="DQ78">IFERROR(INDEX('Construction Spend Curve'!$H$6:$BM$466,MATCH(#REF!,'Construction Spend Curve'!$H$6:$H$466,0),MATCH(EOMONTH('Monthly DCF'!DQ$3,-'Monthly DCF'!#REF!+1),'Construction Spend Curve'!$H$5:$BM$5,0)),"")</f>
        <v/>
      </c>
      <c r="DR78" s="1151" t="str">
        <f t="array" ref="DR78">IFERROR(INDEX('Construction Spend Curve'!$H$6:$BM$466,MATCH(#REF!,'Construction Spend Curve'!$H$6:$H$466,0),MATCH(EOMONTH('Monthly DCF'!DR$3,-'Monthly DCF'!#REF!+1),'Construction Spend Curve'!$H$5:$BM$5,0)),"")</f>
        <v/>
      </c>
      <c r="DS78" s="1151" t="str">
        <f t="array" ref="DS78">IFERROR(INDEX('Construction Spend Curve'!$H$6:$BM$466,MATCH(#REF!,'Construction Spend Curve'!$H$6:$H$466,0),MATCH(EOMONTH('Monthly DCF'!DS$3,-'Monthly DCF'!#REF!+1),'Construction Spend Curve'!$H$5:$BM$5,0)),"")</f>
        <v/>
      </c>
      <c r="DT78" s="1151" t="str">
        <f t="array" ref="DT78">IFERROR(INDEX('Construction Spend Curve'!$H$6:$BM$466,MATCH(#REF!,'Construction Spend Curve'!$H$6:$H$466,0),MATCH(EOMONTH('Monthly DCF'!DT$3,-'Monthly DCF'!#REF!+1),'Construction Spend Curve'!$H$5:$BM$5,0)),"")</f>
        <v/>
      </c>
      <c r="DU78" s="1151" t="str">
        <f t="array" ref="DU78">IFERROR(INDEX('Construction Spend Curve'!$H$6:$BM$466,MATCH(#REF!,'Construction Spend Curve'!$H$6:$H$466,0),MATCH(EOMONTH('Monthly DCF'!DU$3,-'Monthly DCF'!#REF!+1),'Construction Spend Curve'!$H$5:$BM$5,0)),"")</f>
        <v/>
      </c>
      <c r="DV78" s="1151" t="str">
        <f t="array" ref="DV78">IFERROR(INDEX('Construction Spend Curve'!$H$6:$BM$466,MATCH(#REF!,'Construction Spend Curve'!$H$6:$H$466,0),MATCH(EOMONTH('Monthly DCF'!DV$3,-'Monthly DCF'!#REF!+1),'Construction Spend Curve'!$H$5:$BM$5,0)),"")</f>
        <v/>
      </c>
      <c r="DW78" s="1151" t="str">
        <f t="array" ref="DW78">IFERROR(INDEX('Construction Spend Curve'!$H$6:$BM$466,MATCH(#REF!,'Construction Spend Curve'!$H$6:$H$466,0),MATCH(EOMONTH('Monthly DCF'!DW$3,-'Monthly DCF'!#REF!+1),'Construction Spend Curve'!$H$5:$BM$5,0)),"")</f>
        <v/>
      </c>
      <c r="DX78" s="1151" t="str">
        <f t="array" ref="DX78">IFERROR(INDEX('Construction Spend Curve'!$H$6:$BM$466,MATCH(#REF!,'Construction Spend Curve'!$H$6:$H$466,0),MATCH(EOMONTH('Monthly DCF'!DX$3,-'Monthly DCF'!#REF!+1),'Construction Spend Curve'!$H$5:$BM$5,0)),"")</f>
        <v/>
      </c>
      <c r="DY78" s="1151" t="str">
        <f t="array" ref="DY78">IFERROR(INDEX('Construction Spend Curve'!$H$6:$BM$466,MATCH(#REF!,'Construction Spend Curve'!$H$6:$H$466,0),MATCH(EOMONTH('Monthly DCF'!DY$3,-'Monthly DCF'!#REF!+1),'Construction Spend Curve'!$H$5:$BM$5,0)),"")</f>
        <v/>
      </c>
      <c r="DZ78" s="1151" t="str">
        <f t="array" ref="DZ78">IFERROR(INDEX('Construction Spend Curve'!$H$6:$BM$466,MATCH(#REF!,'Construction Spend Curve'!$H$6:$H$466,0),MATCH(EOMONTH('Monthly DCF'!DZ$3,-'Monthly DCF'!#REF!+1),'Construction Spend Curve'!$H$5:$BM$5,0)),"")</f>
        <v/>
      </c>
      <c r="EA78" s="1151" t="str">
        <f t="array" ref="EA78">IFERROR(INDEX('Construction Spend Curve'!$H$6:$BM$466,MATCH(#REF!,'Construction Spend Curve'!$H$6:$H$466,0),MATCH(EOMONTH('Monthly DCF'!EA$3,-'Monthly DCF'!#REF!+1),'Construction Spend Curve'!$H$5:$BM$5,0)),"")</f>
        <v/>
      </c>
      <c r="EB78" s="1151" t="str">
        <f t="array" ref="EB78">IFERROR(INDEX('Construction Spend Curve'!$H$6:$BM$466,MATCH(#REF!,'Construction Spend Curve'!$H$6:$H$466,0),MATCH(EOMONTH('Monthly DCF'!EB$3,-'Monthly DCF'!#REF!+1),'Construction Spend Curve'!$H$5:$BM$5,0)),"")</f>
        <v/>
      </c>
      <c r="EC78" s="1151" t="str">
        <f t="array" ref="EC78">IFERROR(INDEX('Construction Spend Curve'!$H$6:$BM$466,MATCH(#REF!,'Construction Spend Curve'!$H$6:$H$466,0),MATCH(EOMONTH('Monthly DCF'!EC$3,-'Monthly DCF'!#REF!+1),'Construction Spend Curve'!$H$5:$BM$5,0)),"")</f>
        <v/>
      </c>
      <c r="ED78" s="1151" t="str">
        <f t="array" ref="ED78">IFERROR(INDEX('Construction Spend Curve'!$H$6:$BM$466,MATCH(#REF!,'Construction Spend Curve'!$H$6:$H$466,0),MATCH(EOMONTH('Monthly DCF'!ED$3,-'Monthly DCF'!#REF!+1),'Construction Spend Curve'!$H$5:$BM$5,0)),"")</f>
        <v/>
      </c>
      <c r="EE78" s="1151" t="str">
        <f t="array" ref="EE78">IFERROR(INDEX('Construction Spend Curve'!$H$6:$BM$466,MATCH(#REF!,'Construction Spend Curve'!$H$6:$H$466,0),MATCH(EOMONTH('Monthly DCF'!EE$3,-'Monthly DCF'!#REF!+1),'Construction Spend Curve'!$H$5:$BM$5,0)),"")</f>
        <v/>
      </c>
      <c r="EF78" s="1151" t="str">
        <f t="array" ref="EF78">IFERROR(INDEX('Construction Spend Curve'!$H$6:$BM$466,MATCH(#REF!,'Construction Spend Curve'!$H$6:$H$466,0),MATCH(EOMONTH('Monthly DCF'!EF$3,-'Monthly DCF'!#REF!+1),'Construction Spend Curve'!$H$5:$BM$5,0)),"")</f>
        <v/>
      </c>
      <c r="EG78" s="1151" t="str">
        <f t="array" ref="EG78">IFERROR(INDEX('Construction Spend Curve'!$H$6:$BM$466,MATCH(#REF!,'Construction Spend Curve'!$H$6:$H$466,0),MATCH(EOMONTH('Monthly DCF'!EG$3,-'Monthly DCF'!#REF!+1),'Construction Spend Curve'!$H$5:$BM$5,0)),"")</f>
        <v/>
      </c>
      <c r="EH78" s="1151" t="str">
        <f t="array" ref="EH78">IFERROR(INDEX('Construction Spend Curve'!$H$6:$BM$466,MATCH(#REF!,'Construction Spend Curve'!$H$6:$H$466,0),MATCH(EOMONTH('Monthly DCF'!EH$3,-'Monthly DCF'!#REF!+1),'Construction Spend Curve'!$H$5:$BM$5,0)),"")</f>
        <v/>
      </c>
      <c r="EI78" s="1151" t="str">
        <f t="array" ref="EI78">IFERROR(INDEX('Construction Spend Curve'!$H$6:$BM$466,MATCH(#REF!,'Construction Spend Curve'!$H$6:$H$466,0),MATCH(EOMONTH('Monthly DCF'!EI$3,-'Monthly DCF'!#REF!+1),'Construction Spend Curve'!$H$5:$BM$5,0)),"")</f>
        <v/>
      </c>
      <c r="EJ78" s="1153" t="str">
        <f t="array" ref="EJ78">IFERROR(INDEX('Construction Spend Curve'!$H$6:$BM$466,MATCH(#REF!,'Construction Spend Curve'!$H$6:$H$466,0),MATCH(EOMONTH('Monthly DCF'!EJ$3,-'Monthly DCF'!#REF!+1),'Construction Spend Curve'!$H$5:$BM$5,0)),"")</f>
        <v/>
      </c>
    </row>
    <row r="79" spans="1:140" ht="15.75" customHeight="1" x14ac:dyDescent="0.25">
      <c r="A79" s="6"/>
      <c r="B79" s="357" t="s">
        <v>638</v>
      </c>
      <c r="C79" s="358"/>
      <c r="D79" s="358"/>
      <c r="E79" s="358"/>
      <c r="F79" s="358"/>
      <c r="G79" s="1069"/>
      <c r="H79" s="1150"/>
      <c r="I79" s="1151"/>
      <c r="J79" s="1151"/>
      <c r="K79" s="1151"/>
      <c r="L79" s="1151"/>
      <c r="M79" s="1151"/>
      <c r="N79" s="1151"/>
      <c r="O79" s="1151"/>
      <c r="P79" s="1151"/>
      <c r="Q79" s="1151"/>
      <c r="R79" s="1151"/>
      <c r="S79" s="1151"/>
      <c r="T79" s="1151"/>
      <c r="U79" s="1151"/>
      <c r="V79" s="1151"/>
      <c r="W79" s="1151"/>
      <c r="X79" s="1151"/>
      <c r="Y79" s="1151"/>
      <c r="Z79" s="1151"/>
      <c r="AA79" s="1151"/>
      <c r="AB79" s="1151"/>
      <c r="AC79" s="1151"/>
      <c r="AD79" s="1151"/>
      <c r="AE79" s="1151"/>
      <c r="AF79" s="1151"/>
      <c r="AG79" s="1151"/>
      <c r="AH79" s="1151"/>
      <c r="AI79" s="1151"/>
      <c r="AJ79" s="1151"/>
      <c r="AK79" s="1151"/>
      <c r="AL79" s="1151"/>
      <c r="AM79" s="1151"/>
      <c r="AN79" s="1151"/>
      <c r="AO79" s="1151"/>
      <c r="AP79" s="1151"/>
      <c r="AQ79" s="1151"/>
      <c r="AR79" s="1151"/>
      <c r="AS79" s="1151"/>
      <c r="AT79" s="1151"/>
      <c r="AU79" s="1151"/>
      <c r="AV79" s="1151"/>
      <c r="AW79" s="1151"/>
      <c r="AX79" s="1151"/>
      <c r="AY79" s="1151"/>
      <c r="AZ79" s="1151"/>
      <c r="BA79" s="1151"/>
      <c r="BB79" s="1151"/>
      <c r="BC79" s="1151"/>
      <c r="BD79" s="1151"/>
      <c r="BE79" s="1151"/>
      <c r="BF79" s="1151"/>
      <c r="BG79" s="1151"/>
      <c r="BH79" s="1151"/>
      <c r="BI79" s="1151"/>
      <c r="BJ79" s="1151"/>
      <c r="BK79" s="1151"/>
      <c r="BL79" s="1151"/>
      <c r="BM79" s="1151"/>
      <c r="BN79" s="1151"/>
      <c r="BO79" s="1151"/>
      <c r="BP79" s="1151"/>
      <c r="BQ79" s="1151"/>
      <c r="BR79" s="1151"/>
      <c r="BS79" s="1151"/>
      <c r="BT79" s="1151"/>
      <c r="BU79" s="1151"/>
      <c r="BV79" s="1151"/>
      <c r="BW79" s="1151"/>
      <c r="BX79" s="1151"/>
      <c r="BY79" s="1151"/>
      <c r="BZ79" s="1151"/>
      <c r="CA79" s="1151"/>
      <c r="CB79" s="1151"/>
      <c r="CC79" s="1151"/>
      <c r="CD79" s="1151"/>
      <c r="CE79" s="1151"/>
      <c r="CF79" s="1151"/>
      <c r="CG79" s="1151"/>
      <c r="CH79" s="1151"/>
      <c r="CI79" s="1151"/>
      <c r="CJ79" s="1151"/>
      <c r="CK79" s="1151"/>
      <c r="CL79" s="1151"/>
      <c r="CM79" s="1151"/>
      <c r="CN79" s="1151"/>
      <c r="CO79" s="1151"/>
      <c r="CP79" s="1151"/>
      <c r="CQ79" s="1151"/>
      <c r="CR79" s="1151"/>
      <c r="CS79" s="1151"/>
      <c r="CT79" s="1151"/>
      <c r="CU79" s="1151"/>
      <c r="CV79" s="1151"/>
      <c r="CW79" s="1151"/>
      <c r="CX79" s="1151"/>
      <c r="CY79" s="1151"/>
      <c r="CZ79" s="1151"/>
      <c r="DA79" s="1151"/>
      <c r="DB79" s="1151"/>
      <c r="DC79" s="1151"/>
      <c r="DD79" s="1151"/>
      <c r="DE79" s="1151"/>
      <c r="DF79" s="1151"/>
      <c r="DG79" s="1151"/>
      <c r="DH79" s="1151"/>
      <c r="DI79" s="1151"/>
      <c r="DJ79" s="1151"/>
      <c r="DK79" s="1151"/>
      <c r="DL79" s="1151"/>
      <c r="DM79" s="1151"/>
      <c r="DN79" s="1151"/>
      <c r="DO79" s="1151"/>
      <c r="DP79" s="1151"/>
      <c r="DQ79" s="1151"/>
      <c r="DR79" s="1151"/>
      <c r="DS79" s="1151"/>
      <c r="DT79" s="1151"/>
      <c r="DU79" s="1151"/>
      <c r="DV79" s="1151"/>
      <c r="DW79" s="1151"/>
      <c r="DX79" s="1151"/>
      <c r="DY79" s="1151"/>
      <c r="DZ79" s="1151"/>
      <c r="EA79" s="1151"/>
      <c r="EB79" s="1151"/>
      <c r="EC79" s="1151"/>
      <c r="ED79" s="1151"/>
      <c r="EE79" s="1151"/>
      <c r="EF79" s="1151"/>
      <c r="EG79" s="1151"/>
      <c r="EH79" s="1151"/>
      <c r="EI79" s="1151"/>
      <c r="EJ79" s="1153"/>
    </row>
    <row r="80" spans="1:140" ht="15.75" customHeight="1" x14ac:dyDescent="0.25">
      <c r="A80" s="6"/>
      <c r="B80" s="376"/>
      <c r="C80" s="358"/>
      <c r="D80" s="660" t="s">
        <v>309</v>
      </c>
      <c r="E80" s="211" t="s">
        <v>307</v>
      </c>
      <c r="F80" s="358"/>
      <c r="G80" s="1085"/>
      <c r="H80" s="1150"/>
      <c r="I80" s="1151"/>
      <c r="J80" s="1151"/>
      <c r="K80" s="1151"/>
      <c r="L80" s="1151"/>
      <c r="M80" s="1151"/>
      <c r="N80" s="1151"/>
      <c r="O80" s="1151"/>
      <c r="P80" s="1151"/>
      <c r="Q80" s="1151"/>
      <c r="R80" s="1151"/>
      <c r="S80" s="1151"/>
      <c r="T80" s="1151"/>
      <c r="U80" s="1151"/>
      <c r="V80" s="1151"/>
      <c r="W80" s="1151"/>
      <c r="X80" s="1151"/>
      <c r="Y80" s="1151"/>
      <c r="Z80" s="1151"/>
      <c r="AA80" s="1151"/>
      <c r="AB80" s="1151"/>
      <c r="AC80" s="1151"/>
      <c r="AD80" s="1151"/>
      <c r="AE80" s="1151"/>
      <c r="AF80" s="1151"/>
      <c r="AG80" s="1151"/>
      <c r="AH80" s="1151"/>
      <c r="AI80" s="1151"/>
      <c r="AJ80" s="1151"/>
      <c r="AK80" s="1151"/>
      <c r="AL80" s="1151"/>
      <c r="AM80" s="1151"/>
      <c r="AN80" s="1151"/>
      <c r="AO80" s="1151"/>
      <c r="AP80" s="1151"/>
      <c r="AQ80" s="1151"/>
      <c r="AR80" s="1151"/>
      <c r="AS80" s="1151"/>
      <c r="AT80" s="1151"/>
      <c r="AU80" s="1151"/>
      <c r="AV80" s="1151"/>
      <c r="AW80" s="1151"/>
      <c r="AX80" s="1151"/>
      <c r="AY80" s="1151"/>
      <c r="AZ80" s="1151"/>
      <c r="BA80" s="1151"/>
      <c r="BB80" s="1151"/>
      <c r="BC80" s="1151"/>
      <c r="BD80" s="1151"/>
      <c r="BE80" s="1151"/>
      <c r="BF80" s="1151"/>
      <c r="BG80" s="1151"/>
      <c r="BH80" s="1151"/>
      <c r="BI80" s="1151"/>
      <c r="BJ80" s="1151"/>
      <c r="BK80" s="1151"/>
      <c r="BL80" s="1151"/>
      <c r="BM80" s="1151"/>
      <c r="BN80" s="1151"/>
      <c r="BO80" s="1151"/>
      <c r="BP80" s="1151"/>
      <c r="BQ80" s="1151"/>
      <c r="BR80" s="1151"/>
      <c r="BS80" s="1151"/>
      <c r="BT80" s="1151"/>
      <c r="BU80" s="1151"/>
      <c r="BV80" s="1151"/>
      <c r="BW80" s="1151"/>
      <c r="BX80" s="1151"/>
      <c r="BY80" s="1151"/>
      <c r="BZ80" s="1151"/>
      <c r="CA80" s="1151"/>
      <c r="CB80" s="1151"/>
      <c r="CC80" s="1151"/>
      <c r="CD80" s="1151"/>
      <c r="CE80" s="1151"/>
      <c r="CF80" s="1151"/>
      <c r="CG80" s="1151"/>
      <c r="CH80" s="1151"/>
      <c r="CI80" s="1151"/>
      <c r="CJ80" s="1151"/>
      <c r="CK80" s="1151"/>
      <c r="CL80" s="1151"/>
      <c r="CM80" s="1151"/>
      <c r="CN80" s="1151"/>
      <c r="CO80" s="1151"/>
      <c r="CP80" s="1151"/>
      <c r="CQ80" s="1151"/>
      <c r="CR80" s="1151"/>
      <c r="CS80" s="1151"/>
      <c r="CT80" s="1151"/>
      <c r="CU80" s="1151"/>
      <c r="CV80" s="1151"/>
      <c r="CW80" s="1151"/>
      <c r="CX80" s="1151"/>
      <c r="CY80" s="1151"/>
      <c r="CZ80" s="1151"/>
      <c r="DA80" s="1151"/>
      <c r="DB80" s="1151"/>
      <c r="DC80" s="1151"/>
      <c r="DD80" s="1151"/>
      <c r="DE80" s="1151"/>
      <c r="DF80" s="1151"/>
      <c r="DG80" s="1151"/>
      <c r="DH80" s="1151"/>
      <c r="DI80" s="1130"/>
      <c r="DJ80" s="1130"/>
      <c r="DK80" s="1130"/>
      <c r="DL80" s="1130"/>
      <c r="DM80" s="1130"/>
      <c r="DN80" s="1130"/>
      <c r="DO80" s="1130"/>
      <c r="DP80" s="1130"/>
      <c r="DQ80" s="1130"/>
      <c r="DR80" s="1130"/>
      <c r="DS80" s="1130"/>
      <c r="DT80" s="1130"/>
      <c r="DU80" s="1130"/>
      <c r="DV80" s="1130"/>
      <c r="DW80" s="1130"/>
      <c r="DX80" s="1130"/>
      <c r="DY80" s="1130"/>
      <c r="DZ80" s="1130"/>
      <c r="EA80" s="1130"/>
      <c r="EB80" s="1130"/>
      <c r="EC80" s="1130"/>
      <c r="ED80" s="1130"/>
      <c r="EE80" s="1130"/>
      <c r="EF80" s="1130"/>
      <c r="EG80" s="1130"/>
      <c r="EH80" s="1130"/>
      <c r="EI80" s="1130"/>
      <c r="EJ80" s="1131"/>
    </row>
    <row r="81" spans="1:140" ht="15.75" customHeight="1" x14ac:dyDescent="0.25">
      <c r="A81" s="6"/>
      <c r="B81" s="393"/>
      <c r="C81" s="358"/>
      <c r="D81" s="395">
        <f>Summary!F16</f>
        <v>46388</v>
      </c>
      <c r="E81" s="396">
        <f>Summary!F17</f>
        <v>24</v>
      </c>
      <c r="F81" s="358"/>
      <c r="G81" s="1085"/>
      <c r="H81" s="1150"/>
      <c r="I81" s="1151"/>
      <c r="J81" s="1151"/>
      <c r="K81" s="1151"/>
      <c r="L81" s="1151"/>
      <c r="M81" s="1151"/>
      <c r="N81" s="1151"/>
      <c r="O81" s="1151"/>
      <c r="P81" s="1151"/>
      <c r="Q81" s="1151"/>
      <c r="R81" s="1151"/>
      <c r="S81" s="1151"/>
      <c r="T81" s="1151"/>
      <c r="U81" s="1151"/>
      <c r="V81" s="1151"/>
      <c r="W81" s="1151"/>
      <c r="X81" s="1151"/>
      <c r="Y81" s="1151"/>
      <c r="Z81" s="1151"/>
      <c r="AA81" s="1151"/>
      <c r="AB81" s="1151"/>
      <c r="AC81" s="1151"/>
      <c r="AD81" s="1151"/>
      <c r="AE81" s="1151"/>
      <c r="AF81" s="1151"/>
      <c r="AG81" s="1151"/>
      <c r="AH81" s="1151"/>
      <c r="AI81" s="1151"/>
      <c r="AJ81" s="1151"/>
      <c r="AK81" s="1151"/>
      <c r="AL81" s="1151"/>
      <c r="AM81" s="1151"/>
      <c r="AN81" s="1151"/>
      <c r="AO81" s="1151"/>
      <c r="AP81" s="1151"/>
      <c r="AQ81" s="1151"/>
      <c r="AR81" s="1151"/>
      <c r="AS81" s="1151"/>
      <c r="AT81" s="1151"/>
      <c r="AU81" s="1151"/>
      <c r="AV81" s="1151"/>
      <c r="AW81" s="1151"/>
      <c r="AX81" s="1151"/>
      <c r="AY81" s="1151"/>
      <c r="AZ81" s="1151"/>
      <c r="BA81" s="1151"/>
      <c r="BB81" s="1151"/>
      <c r="BC81" s="1151"/>
      <c r="BD81" s="1151"/>
      <c r="BE81" s="1151"/>
      <c r="BF81" s="1151"/>
      <c r="BG81" s="1151"/>
      <c r="BH81" s="1151"/>
      <c r="BI81" s="1151"/>
      <c r="BJ81" s="1151"/>
      <c r="BK81" s="1151"/>
      <c r="BL81" s="1151"/>
      <c r="BM81" s="1151"/>
      <c r="BN81" s="1151"/>
      <c r="BO81" s="1151"/>
      <c r="BP81" s="1151"/>
      <c r="BQ81" s="1151"/>
      <c r="BR81" s="1151"/>
      <c r="BS81" s="1151"/>
      <c r="BT81" s="1151"/>
      <c r="BU81" s="1151"/>
      <c r="BV81" s="1151"/>
      <c r="BW81" s="1151"/>
      <c r="BX81" s="1151"/>
      <c r="BY81" s="1151"/>
      <c r="BZ81" s="1151"/>
      <c r="CA81" s="1151"/>
      <c r="CB81" s="1151"/>
      <c r="CC81" s="1151"/>
      <c r="CD81" s="1151"/>
      <c r="CE81" s="1151"/>
      <c r="CF81" s="1151"/>
      <c r="CG81" s="1151"/>
      <c r="CH81" s="1151"/>
      <c r="CI81" s="1151"/>
      <c r="CJ81" s="1151"/>
      <c r="CK81" s="1151"/>
      <c r="CL81" s="1151"/>
      <c r="CM81" s="1151"/>
      <c r="CN81" s="1151"/>
      <c r="CO81" s="1151"/>
      <c r="CP81" s="1151"/>
      <c r="CQ81" s="1151"/>
      <c r="CR81" s="1151"/>
      <c r="CS81" s="1151"/>
      <c r="CT81" s="1151"/>
      <c r="CU81" s="1151"/>
      <c r="CV81" s="1151"/>
      <c r="CW81" s="1151"/>
      <c r="CX81" s="1151"/>
      <c r="CY81" s="1151"/>
      <c r="CZ81" s="1151"/>
      <c r="DA81" s="1151"/>
      <c r="DB81" s="1151"/>
      <c r="DC81" s="1151"/>
      <c r="DD81" s="1151"/>
      <c r="DE81" s="1151"/>
      <c r="DF81" s="1151"/>
      <c r="DG81" s="1151"/>
      <c r="DH81" s="1151"/>
      <c r="DI81" s="1130"/>
      <c r="DJ81" s="1130"/>
      <c r="DK81" s="1130"/>
      <c r="DL81" s="1130"/>
      <c r="DM81" s="1130"/>
      <c r="DN81" s="1130"/>
      <c r="DO81" s="1130"/>
      <c r="DP81" s="1130"/>
      <c r="DQ81" s="1130"/>
      <c r="DR81" s="1130"/>
      <c r="DS81" s="1130"/>
      <c r="DT81" s="1130"/>
      <c r="DU81" s="1130"/>
      <c r="DV81" s="1130"/>
      <c r="DW81" s="1130"/>
      <c r="DX81" s="1130"/>
      <c r="DY81" s="1130"/>
      <c r="DZ81" s="1130"/>
      <c r="EA81" s="1130"/>
      <c r="EB81" s="1130"/>
      <c r="EC81" s="1130"/>
      <c r="ED81" s="1130"/>
      <c r="EE81" s="1130"/>
      <c r="EF81" s="1130"/>
      <c r="EG81" s="1130"/>
      <c r="EH81" s="1130"/>
      <c r="EI81" s="1130"/>
      <c r="EJ81" s="1131"/>
    </row>
    <row r="82" spans="1:140" ht="15.75" customHeight="1" x14ac:dyDescent="0.25">
      <c r="A82" s="6"/>
      <c r="B82" s="393"/>
      <c r="C82" s="358"/>
      <c r="D82" s="397"/>
      <c r="E82" s="397"/>
      <c r="F82" s="358"/>
      <c r="G82" s="1070" t="s">
        <v>308</v>
      </c>
      <c r="H82" s="1150"/>
      <c r="I82" s="1151"/>
      <c r="J82" s="1151"/>
      <c r="K82" s="1151"/>
      <c r="L82" s="1151"/>
      <c r="M82" s="1151"/>
      <c r="N82" s="1151"/>
      <c r="O82" s="1151"/>
      <c r="P82" s="1151"/>
      <c r="Q82" s="1151"/>
      <c r="R82" s="1151"/>
      <c r="S82" s="1151"/>
      <c r="T82" s="1151"/>
      <c r="U82" s="1151"/>
      <c r="V82" s="1151"/>
      <c r="W82" s="1151"/>
      <c r="X82" s="1151"/>
      <c r="Y82" s="1151"/>
      <c r="Z82" s="1151"/>
      <c r="AA82" s="1151"/>
      <c r="AB82" s="1151"/>
      <c r="AC82" s="1151"/>
      <c r="AD82" s="1151"/>
      <c r="AE82" s="1151"/>
      <c r="AF82" s="1151"/>
      <c r="AG82" s="1151"/>
      <c r="AH82" s="1151"/>
      <c r="AI82" s="1151"/>
      <c r="AJ82" s="1151"/>
      <c r="AK82" s="1151"/>
      <c r="AL82" s="1151"/>
      <c r="AM82" s="1151"/>
      <c r="AN82" s="1151"/>
      <c r="AO82" s="1151"/>
      <c r="AP82" s="1151"/>
      <c r="AQ82" s="1151"/>
      <c r="AR82" s="1151"/>
      <c r="AS82" s="1151"/>
      <c r="AT82" s="1151"/>
      <c r="AU82" s="1151"/>
      <c r="AV82" s="1151"/>
      <c r="AW82" s="1151"/>
      <c r="AX82" s="1151"/>
      <c r="AY82" s="1151"/>
      <c r="AZ82" s="1151"/>
      <c r="BA82" s="1151"/>
      <c r="BB82" s="1151"/>
      <c r="BC82" s="1151"/>
      <c r="BD82" s="1151"/>
      <c r="BE82" s="1151"/>
      <c r="BF82" s="1151"/>
      <c r="BG82" s="1151"/>
      <c r="BH82" s="1151"/>
      <c r="BI82" s="1151"/>
      <c r="BJ82" s="1151"/>
      <c r="BK82" s="1151"/>
      <c r="BL82" s="1151"/>
      <c r="BM82" s="1151"/>
      <c r="BN82" s="1151"/>
      <c r="BO82" s="1151"/>
      <c r="BP82" s="1151"/>
      <c r="BQ82" s="1151"/>
      <c r="BR82" s="1151"/>
      <c r="BS82" s="1151"/>
      <c r="BT82" s="1151"/>
      <c r="BU82" s="1151"/>
      <c r="BV82" s="1151"/>
      <c r="BW82" s="1151"/>
      <c r="BX82" s="1151"/>
      <c r="BY82" s="1151"/>
      <c r="BZ82" s="1151"/>
      <c r="CA82" s="1151"/>
      <c r="CB82" s="1151"/>
      <c r="CC82" s="1151"/>
      <c r="CD82" s="1151"/>
      <c r="CE82" s="1151"/>
      <c r="CF82" s="1151"/>
      <c r="CG82" s="1151"/>
      <c r="CH82" s="1151"/>
      <c r="CI82" s="1151"/>
      <c r="CJ82" s="1151"/>
      <c r="CK82" s="1151"/>
      <c r="CL82" s="1151"/>
      <c r="CM82" s="1151"/>
      <c r="CN82" s="1151"/>
      <c r="CO82" s="1151"/>
      <c r="CP82" s="1151"/>
      <c r="CQ82" s="1151"/>
      <c r="CR82" s="1151"/>
      <c r="CS82" s="1151"/>
      <c r="CT82" s="1151"/>
      <c r="CU82" s="1151"/>
      <c r="CV82" s="1151"/>
      <c r="CW82" s="1151"/>
      <c r="CX82" s="1151"/>
      <c r="CY82" s="1151"/>
      <c r="CZ82" s="1151"/>
      <c r="DA82" s="1151"/>
      <c r="DB82" s="1151"/>
      <c r="DC82" s="1151"/>
      <c r="DD82" s="1151"/>
      <c r="DE82" s="1151"/>
      <c r="DF82" s="1151"/>
      <c r="DG82" s="1151"/>
      <c r="DH82" s="1151"/>
      <c r="DI82" s="1130"/>
      <c r="DJ82" s="1130"/>
      <c r="DK82" s="1130"/>
      <c r="DL82" s="1130"/>
      <c r="DM82" s="1130"/>
      <c r="DN82" s="1130"/>
      <c r="DO82" s="1130"/>
      <c r="DP82" s="1130"/>
      <c r="DQ82" s="1130"/>
      <c r="DR82" s="1130"/>
      <c r="DS82" s="1130"/>
      <c r="DT82" s="1130"/>
      <c r="DU82" s="1130"/>
      <c r="DV82" s="1130"/>
      <c r="DW82" s="1130"/>
      <c r="DX82" s="1130"/>
      <c r="DY82" s="1130"/>
      <c r="DZ82" s="1130"/>
      <c r="EA82" s="1130"/>
      <c r="EB82" s="1130"/>
      <c r="EC82" s="1130"/>
      <c r="ED82" s="1130"/>
      <c r="EE82" s="1130"/>
      <c r="EF82" s="1130"/>
      <c r="EG82" s="1130"/>
      <c r="EH82" s="1130"/>
      <c r="EI82" s="1130"/>
      <c r="EJ82" s="1131"/>
    </row>
    <row r="83" spans="1:140" ht="15.75" customHeight="1" x14ac:dyDescent="0.25">
      <c r="A83" s="6"/>
      <c r="B83" s="384" t="s">
        <v>639</v>
      </c>
      <c r="C83" s="377" t="s">
        <v>309</v>
      </c>
      <c r="D83" s="211" t="s">
        <v>310</v>
      </c>
      <c r="E83" s="398" t="s">
        <v>311</v>
      </c>
      <c r="F83" s="358"/>
      <c r="G83" s="999"/>
      <c r="H83" s="1129"/>
      <c r="I83" s="1130"/>
      <c r="J83" s="1130"/>
      <c r="K83" s="1130"/>
      <c r="L83" s="1130"/>
      <c r="M83" s="1130"/>
      <c r="N83" s="1130"/>
      <c r="O83" s="1130"/>
      <c r="P83" s="1130"/>
      <c r="Q83" s="1130"/>
      <c r="R83" s="1130"/>
      <c r="S83" s="1154"/>
      <c r="T83" s="1130"/>
      <c r="U83" s="1130"/>
      <c r="V83" s="1130"/>
      <c r="W83" s="1130"/>
      <c r="X83" s="1130"/>
      <c r="Y83" s="1130"/>
      <c r="Z83" s="1130"/>
      <c r="AA83" s="1130"/>
      <c r="AB83" s="1130"/>
      <c r="AC83" s="1130"/>
      <c r="AD83" s="1130"/>
      <c r="AE83" s="1154"/>
      <c r="AF83" s="1130"/>
      <c r="AG83" s="1130"/>
      <c r="AH83" s="1130"/>
      <c r="AI83" s="1130"/>
      <c r="AJ83" s="1130"/>
      <c r="AK83" s="1130"/>
      <c r="AL83" s="1130"/>
      <c r="AM83" s="1130"/>
      <c r="AN83" s="1130"/>
      <c r="AO83" s="1130"/>
      <c r="AP83" s="1130"/>
      <c r="AQ83" s="1130"/>
      <c r="AR83" s="1130"/>
      <c r="AS83" s="1130"/>
      <c r="AT83" s="1130"/>
      <c r="AU83" s="1130"/>
      <c r="AV83" s="1130"/>
      <c r="AW83" s="1130"/>
      <c r="AX83" s="1130"/>
      <c r="AY83" s="1130"/>
      <c r="AZ83" s="1130"/>
      <c r="BA83" s="1130"/>
      <c r="BB83" s="1130"/>
      <c r="BC83" s="1130"/>
      <c r="BD83" s="1130"/>
      <c r="BE83" s="1130"/>
      <c r="BF83" s="1130"/>
      <c r="BG83" s="1130"/>
      <c r="BH83" s="1130"/>
      <c r="BI83" s="1130"/>
      <c r="BJ83" s="1130"/>
      <c r="BK83" s="1130"/>
      <c r="BL83" s="1130"/>
      <c r="BM83" s="1130"/>
      <c r="BN83" s="1130"/>
      <c r="BO83" s="1130"/>
      <c r="BP83" s="1130"/>
      <c r="BQ83" s="1130"/>
      <c r="BR83" s="1130"/>
      <c r="BS83" s="1130"/>
      <c r="BT83" s="1130"/>
      <c r="BU83" s="1130"/>
      <c r="BV83" s="1130"/>
      <c r="BW83" s="1130"/>
      <c r="BX83" s="1130"/>
      <c r="BY83" s="1130"/>
      <c r="BZ83" s="1130"/>
      <c r="CA83" s="1130"/>
      <c r="CB83" s="1130"/>
      <c r="CC83" s="1130"/>
      <c r="CD83" s="1130"/>
      <c r="CE83" s="1130"/>
      <c r="CF83" s="1130"/>
      <c r="CG83" s="1130"/>
      <c r="CH83" s="1130"/>
      <c r="CI83" s="1130"/>
      <c r="CJ83" s="1130"/>
      <c r="CK83" s="1130"/>
      <c r="CL83" s="1130"/>
      <c r="CM83" s="1130"/>
      <c r="CN83" s="1130"/>
      <c r="CO83" s="1130"/>
      <c r="CP83" s="1130"/>
      <c r="CQ83" s="1130"/>
      <c r="CR83" s="1130"/>
      <c r="CS83" s="1130"/>
      <c r="CT83" s="1130"/>
      <c r="CU83" s="1130"/>
      <c r="CV83" s="1130"/>
      <c r="CW83" s="1130"/>
      <c r="CX83" s="1130"/>
      <c r="CY83" s="1130"/>
      <c r="CZ83" s="1130"/>
      <c r="DA83" s="1130"/>
      <c r="DB83" s="1130"/>
      <c r="DC83" s="1130"/>
      <c r="DD83" s="1130"/>
      <c r="DE83" s="1130"/>
      <c r="DF83" s="1130"/>
      <c r="DG83" s="1130"/>
      <c r="DH83" s="1130"/>
      <c r="DI83" s="1130"/>
      <c r="DJ83" s="1130"/>
      <c r="DK83" s="1130"/>
      <c r="DL83" s="1130"/>
      <c r="DM83" s="1130"/>
      <c r="DN83" s="1130"/>
      <c r="DO83" s="1130"/>
      <c r="DP83" s="1130"/>
      <c r="DQ83" s="1130"/>
      <c r="DR83" s="1130"/>
      <c r="DS83" s="1130"/>
      <c r="DT83" s="1130"/>
      <c r="DU83" s="1130"/>
      <c r="DV83" s="1130"/>
      <c r="DW83" s="1130"/>
      <c r="DX83" s="1130"/>
      <c r="DY83" s="1130"/>
      <c r="DZ83" s="1130"/>
      <c r="EA83" s="1130"/>
      <c r="EB83" s="1130"/>
      <c r="EC83" s="1130"/>
      <c r="ED83" s="1130"/>
      <c r="EE83" s="1130"/>
      <c r="EF83" s="1130"/>
      <c r="EG83" s="1130"/>
      <c r="EH83" s="1130"/>
      <c r="EI83" s="1130"/>
      <c r="EJ83" s="1131"/>
    </row>
    <row r="84" spans="1:140" ht="15.75" customHeight="1" x14ac:dyDescent="0.25">
      <c r="A84" s="6"/>
      <c r="B84" s="364" t="s">
        <v>154</v>
      </c>
      <c r="C84" s="398">
        <f>EOMONTH($D$81,E84-1)</f>
        <v>46387</v>
      </c>
      <c r="D84" s="400">
        <v>1</v>
      </c>
      <c r="E84" s="401">
        <v>0</v>
      </c>
      <c r="F84" s="358"/>
      <c r="G84" s="1086">
        <f t="shared" ref="G84:G86" si="109">SUM(H84:DX84)</f>
        <v>3280000</v>
      </c>
      <c r="H84" s="1115">
        <f>IFERROR(IF(AND($D84=1,$C84=H$3),'Dev Costs'!$C$19,(IF(AND(H$3&lt;EDATE($C84,$D84),H$3&gt;=$C84),IF($F84= "",'Dev Costs'!$C$19/$D84,('Dev Costs'!$C$19)*H$75),0))),0)</f>
        <v>3280000</v>
      </c>
      <c r="I84" s="599">
        <f>IFERROR(IF(AND($D84=1,$C84=I$3),'Dev Costs'!$C$19,(IF(AND(I$3&lt;EDATE($C84,$D84),I$3&gt;=$C84),IF($F84= "",'Dev Costs'!$C$19/$D84,('Dev Costs'!$C$19)*I$75),0))),0)</f>
        <v>0</v>
      </c>
      <c r="J84" s="599">
        <f>IFERROR(IF(AND($D84=1,$C84=J$3),'Dev Costs'!$C$19,(IF(AND(J$3&lt;EDATE($C84,$D84),J$3&gt;=$C84),IF($F84= "",'Dev Costs'!$C$19/$D84,('Dev Costs'!$C$19)*J$75),0))),0)</f>
        <v>0</v>
      </c>
      <c r="K84" s="599">
        <f>IFERROR(IF(AND($D84=1,$C84=K$3),'Dev Costs'!$C$19,(IF(AND(K$3&lt;EDATE($C84,$D84),K$3&gt;=$C84),IF($F84= "",'Dev Costs'!$C$19/$D84,('Dev Costs'!$C$19)*K$75),0))),0)</f>
        <v>0</v>
      </c>
      <c r="L84" s="599">
        <f>IFERROR(IF(AND($D84=1,$C84=L$3),'Dev Costs'!$C$19,(IF(AND(L$3&lt;EDATE($C84,$D84),L$3&gt;=$C84),IF($F84= "",'Dev Costs'!$C$19/$D84,('Dev Costs'!$C$19)*L$75),0))),0)</f>
        <v>0</v>
      </c>
      <c r="M84" s="599">
        <f>IFERROR(IF(AND($D84=1,$C84=M$3),'Dev Costs'!$C$19,(IF(AND(M$3&lt;EDATE($C84,$D84),M$3&gt;=$C84),IF($F84= "",'Dev Costs'!$C$19/$D84,('Dev Costs'!$C$19)*M$75),0))),0)</f>
        <v>0</v>
      </c>
      <c r="N84" s="599">
        <f>IFERROR(IF(AND($D84=1,$C84=N$3),'Dev Costs'!$C$19,(IF(AND(N$3&lt;EDATE($C84,$D84),N$3&gt;=$C84),IF($F84= "",'Dev Costs'!$C$19/$D84,('Dev Costs'!$C$19)*N$75),0))),0)</f>
        <v>0</v>
      </c>
      <c r="O84" s="599">
        <f>IFERROR(IF(AND($D84=1,$C84=O$3),'Dev Costs'!$C$19,(IF(AND(O$3&lt;EDATE($C84,$D84),O$3&gt;=$C84),IF($F84= "",'Dev Costs'!$C$19/$D84,('Dev Costs'!$C$19)*O$75),0))),0)</f>
        <v>0</v>
      </c>
      <c r="P84" s="599">
        <f>IFERROR(IF(AND($D84=1,$C84=P$3),'Dev Costs'!$C$19,(IF(AND(P$3&lt;EDATE($C84,$D84),P$3&gt;=$C84),IF($F84= "",'Dev Costs'!$C$19/$D84,('Dev Costs'!$C$19)*P$75),0))),0)</f>
        <v>0</v>
      </c>
      <c r="Q84" s="599">
        <f>IFERROR(IF(AND($D84=1,$C84=Q$3),'Dev Costs'!$C$19,(IF(AND(Q$3&lt;EDATE($C84,$D84),Q$3&gt;=$C84),IF($F84= "",'Dev Costs'!$C$19/$D84,('Dev Costs'!$C$19)*Q$75),0))),0)</f>
        <v>0</v>
      </c>
      <c r="R84" s="599">
        <f>IFERROR(IF(AND($D84=1,$C84=R$3),'Dev Costs'!$C$19,(IF(AND(R$3&lt;EDATE($C84,$D84),R$3&gt;=$C84),IF($F84= "",'Dev Costs'!$C$19/$D84,('Dev Costs'!$C$19)*R$75),0))),0)</f>
        <v>0</v>
      </c>
      <c r="S84" s="599">
        <f>IFERROR(IF(AND($D84=1,$C84=S$3),'Dev Costs'!$C$19,(IF(AND(S$3&lt;EDATE($C84,$D84),S$3&gt;=$C84),IF($F84= "",'Dev Costs'!$C$19/$D84,('Dev Costs'!$C$19)*S$75),0))),0)</f>
        <v>0</v>
      </c>
      <c r="T84" s="599">
        <f>IFERROR(IF(AND($D84=1,$C84=T$3),'Dev Costs'!$C$19,(IF(AND(T$3&lt;EDATE($C84,$D84),T$3&gt;=$C84),IF($F84= "",'Dev Costs'!$C$19/$D84,('Dev Costs'!$C$19)*T$75),0))),0)</f>
        <v>0</v>
      </c>
      <c r="U84" s="599">
        <f>IFERROR(IF(AND($D84=1,$C84=U$3),'Dev Costs'!$C$19,(IF(AND(U$3&lt;EDATE($C84,$D84),U$3&gt;=$C84),IF($F84= "",'Dev Costs'!$C$19/$D84,('Dev Costs'!$C$19)*U$75),0))),0)</f>
        <v>0</v>
      </c>
      <c r="V84" s="599">
        <f>IFERROR(IF(AND($D84=1,$C84=V$3),'Dev Costs'!$C$19,(IF(AND(V$3&lt;EDATE($C84,$D84),V$3&gt;=$C84),IF($F84= "",'Dev Costs'!$C$19/$D84,('Dev Costs'!$C$19)*V$75),0))),0)</f>
        <v>0</v>
      </c>
      <c r="W84" s="599">
        <f>IFERROR(IF(AND($D84=1,$C84=W$3),'Dev Costs'!$C$19,(IF(AND(W$3&lt;EDATE($C84,$D84),W$3&gt;=$C84),IF($F84= "",'Dev Costs'!$C$19/$D84,('Dev Costs'!$C$19)*W$75),0))),0)</f>
        <v>0</v>
      </c>
      <c r="X84" s="599">
        <f>IFERROR(IF(AND($D84=1,$C84=X$3),'Dev Costs'!$C$19,(IF(AND(X$3&lt;EDATE($C84,$D84),X$3&gt;=$C84),IF($F84= "",'Dev Costs'!$C$19/$D84,('Dev Costs'!$C$19)*X$75),0))),0)</f>
        <v>0</v>
      </c>
      <c r="Y84" s="599">
        <f>IFERROR(IF(AND($D84=1,$C84=Y$3),'Dev Costs'!$C$19,(IF(AND(Y$3&lt;EDATE($C84,$D84),Y$3&gt;=$C84),IF($F84= "",'Dev Costs'!$C$19/$D84,('Dev Costs'!$C$19)*Y$75),0))),0)</f>
        <v>0</v>
      </c>
      <c r="Z84" s="599">
        <f>IFERROR(IF(AND($D84=1,$C84=Z$3),'Dev Costs'!$C$19,(IF(AND(Z$3&lt;EDATE($C84,$D84),Z$3&gt;=$C84),IF($F84= "",'Dev Costs'!$C$19/$D84,('Dev Costs'!$C$19)*Z$75),0))),0)</f>
        <v>0</v>
      </c>
      <c r="AA84" s="599">
        <f>IFERROR(IF(AND($D84=1,$C84=AA$3),'Dev Costs'!$C$19,(IF(AND(AA$3&lt;EDATE($C84,$D84),AA$3&gt;=$C84),IF($F84= "",'Dev Costs'!$C$19/$D84,('Dev Costs'!$C$19)*AA$75),0))),0)</f>
        <v>0</v>
      </c>
      <c r="AB84" s="599">
        <f>IFERROR(IF(AND($D84=1,$C84=AB$3),'Dev Costs'!$C$19,(IF(AND(AB$3&lt;EDATE($C84,$D84),AB$3&gt;=$C84),IF($F84= "",'Dev Costs'!$C$19/$D84,('Dev Costs'!$C$19)*AB$75),0))),0)</f>
        <v>0</v>
      </c>
      <c r="AC84" s="599">
        <f>IFERROR(IF(AND($D84=1,$C84=AC$3),'Dev Costs'!$C$19,(IF(AND(AC$3&lt;EDATE($C84,$D84),AC$3&gt;=$C84),IF($F84= "",'Dev Costs'!$C$19/$D84,('Dev Costs'!$C$19)*AC$75),0))),0)</f>
        <v>0</v>
      </c>
      <c r="AD84" s="599">
        <f>IFERROR(IF(AND($D84=1,$C84=AD$3),'Dev Costs'!$C$19,(IF(AND(AD$3&lt;EDATE($C84,$D84),AD$3&gt;=$C84),IF($F84= "",'Dev Costs'!$C$19/$D84,('Dev Costs'!$C$19)*AD$75),0))),0)</f>
        <v>0</v>
      </c>
      <c r="AE84" s="599">
        <f>IFERROR(IF(AND($D84=1,$C84=AE$3),'Dev Costs'!$C$19,(IF(AND(AE$3&lt;EDATE($C84,$D84),AE$3&gt;=$C84),IF($F84= "",'Dev Costs'!$C$19/$D84,('Dev Costs'!$C$19)*AE$75),0))),0)</f>
        <v>0</v>
      </c>
      <c r="AF84" s="599">
        <f>IFERROR(IF(AND($D84=1,$C84=AF$3),'Dev Costs'!$C$19,(IF(AND(AF$3&lt;EDATE($C84,$D84),AF$3&gt;=$C84),IF($F84= "",'Dev Costs'!$C$19/$D84,('Dev Costs'!$C$19)*AF$75),0))),0)</f>
        <v>0</v>
      </c>
      <c r="AG84" s="599">
        <f>IFERROR(IF(AND($D84=1,$C84=AG$3),'Dev Costs'!$C$19,(IF(AND(AG$3&lt;EDATE($C84,$D84),AG$3&gt;=$C84),IF($F84= "",'Dev Costs'!$C$19/$D84,('Dev Costs'!$C$19)*AG$75),0))),0)</f>
        <v>0</v>
      </c>
      <c r="AH84" s="599">
        <f>IFERROR(IF(AND($D84=1,$C84=AH$3),'Dev Costs'!$C$19,(IF(AND(AH$3&lt;EDATE($C84,$D84),AH$3&gt;=$C84),IF($F84= "",'Dev Costs'!$C$19/$D84,('Dev Costs'!$C$19)*AH$75),0))),0)</f>
        <v>0</v>
      </c>
      <c r="AI84" s="599">
        <f>IFERROR(IF(AND($D84=1,$C84=AI$3),'Dev Costs'!$C$19,(IF(AND(AI$3&lt;EDATE($C84,$D84),AI$3&gt;=$C84),IF($F84= "",'Dev Costs'!$C$19/$D84,('Dev Costs'!$C$19)*AI$75),0))),0)</f>
        <v>0</v>
      </c>
      <c r="AJ84" s="599">
        <f>IFERROR(IF(AND($D84=1,$C84=AJ$3),'Dev Costs'!$C$19,(IF(AND(AJ$3&lt;EDATE($C84,$D84),AJ$3&gt;=$C84),IF($F84= "",'Dev Costs'!$C$19/$D84,('Dev Costs'!$C$19)*AJ$75),0))),0)</f>
        <v>0</v>
      </c>
      <c r="AK84" s="599">
        <f>IFERROR(IF(AND($D84=1,$C84=AK$3),'Dev Costs'!$C$19,(IF(AND(AK$3&lt;EDATE($C84,$D84),AK$3&gt;=$C84),IF($F84= "",'Dev Costs'!$C$19/$D84,('Dev Costs'!$C$19)*AK$75),0))),0)</f>
        <v>0</v>
      </c>
      <c r="AL84" s="599">
        <f>IFERROR(IF(AND($D84=1,$C84=AL$3),'Dev Costs'!$C$19,(IF(AND(AL$3&lt;EDATE($C84,$D84),AL$3&gt;=$C84),IF($F84= "",'Dev Costs'!$C$19/$D84,('Dev Costs'!$C$19)*AL$75),0))),0)</f>
        <v>0</v>
      </c>
      <c r="AM84" s="599">
        <f>IFERROR(IF(AND($D84=1,$C84=AM$3),'Dev Costs'!$C$19,(IF(AND(AM$3&lt;EDATE($C84,$D84),AM$3&gt;=$C84),IF($F84= "",'Dev Costs'!$C$19/$D84,('Dev Costs'!$C$19)*AM$75),0))),0)</f>
        <v>0</v>
      </c>
      <c r="AN84" s="599">
        <f>IFERROR(IF(AND($D84=1,$C84=AN$3),'Dev Costs'!$C$19,(IF(AND(AN$3&lt;EDATE($C84,$D84),AN$3&gt;=$C84),IF($F84= "",'Dev Costs'!$C$19/$D84,('Dev Costs'!$C$19)*AN$75),0))),0)</f>
        <v>0</v>
      </c>
      <c r="AO84" s="599">
        <f>IFERROR(IF(AND($D84=1,$C84=AO$3),'Dev Costs'!$C$19,(IF(AND(AO$3&lt;EDATE($C84,$D84),AO$3&gt;=$C84),IF($F84= "",'Dev Costs'!$C$19/$D84,('Dev Costs'!$C$19)*AO$75),0))),0)</f>
        <v>0</v>
      </c>
      <c r="AP84" s="599">
        <f>IFERROR(IF(AND($D84=1,$C84=AP$3),'Dev Costs'!$C$19,(IF(AND(AP$3&lt;EDATE($C84,$D84),AP$3&gt;=$C84),IF($F84= "",'Dev Costs'!$C$19/$D84,('Dev Costs'!$C$19)*AP$75),0))),0)</f>
        <v>0</v>
      </c>
      <c r="AQ84" s="599">
        <f>IFERROR(IF(AND($D84=1,$C84=AQ$3),'Dev Costs'!$C$19,(IF(AND(AQ$3&lt;EDATE($C84,$D84),AQ$3&gt;=$C84),IF($F84= "",'Dev Costs'!$C$19/$D84,('Dev Costs'!$C$19)*AQ$75),0))),0)</f>
        <v>0</v>
      </c>
      <c r="AR84" s="599">
        <f>IFERROR(IF(AND($D84=1,$C84=AR$3),'Dev Costs'!$C$19,(IF(AND(AR$3&lt;EDATE($C84,$D84),AR$3&gt;=$C84),IF($F84= "",'Dev Costs'!$C$19/$D84,('Dev Costs'!$C$19)*AR$75),0))),0)</f>
        <v>0</v>
      </c>
      <c r="AS84" s="599">
        <f>IFERROR(IF(AND($D84=1,$C84=AS$3),'Dev Costs'!$C$19,(IF(AND(AS$3&lt;EDATE($C84,$D84),AS$3&gt;=$C84),IF($F84= "",'Dev Costs'!$C$19/$D84,('Dev Costs'!$C$19)*AS$75),0))),0)</f>
        <v>0</v>
      </c>
      <c r="AT84" s="599">
        <f>IFERROR(IF(AND($D84=1,$C84=AT$3),'Dev Costs'!$C$19,(IF(AND(AT$3&lt;EDATE($C84,$D84),AT$3&gt;=$C84),IF($F84= "",'Dev Costs'!$C$19/$D84,('Dev Costs'!$C$19)*AT$75),0))),0)</f>
        <v>0</v>
      </c>
      <c r="AU84" s="599">
        <f>IFERROR(IF(AND($D84=1,$C84=AU$3),'Dev Costs'!$C$19,(IF(AND(AU$3&lt;EDATE($C84,$D84),AU$3&gt;=$C84),IF($F84= "",'Dev Costs'!$C$19/$D84,('Dev Costs'!$C$19)*AU$75),0))),0)</f>
        <v>0</v>
      </c>
      <c r="AV84" s="599">
        <f>IFERROR(IF(AND($D84=1,$C84=AV$3),'Dev Costs'!$C$19,(IF(AND(AV$3&lt;EDATE($C84,$D84),AV$3&gt;=$C84),IF($F84= "",'Dev Costs'!$C$19/$D84,('Dev Costs'!$C$19)*AV$75),0))),0)</f>
        <v>0</v>
      </c>
      <c r="AW84" s="599">
        <f>IFERROR(IF(AND($D84=1,$C84=AW$3),'Dev Costs'!$C$19,(IF(AND(AW$3&lt;EDATE($C84,$D84),AW$3&gt;=$C84),IF($F84= "",'Dev Costs'!$C$19/$D84,('Dev Costs'!$C$19)*AW$75),0))),0)</f>
        <v>0</v>
      </c>
      <c r="AX84" s="599">
        <f>IFERROR(IF(AND($D84=1,$C84=AX$3),'Dev Costs'!$C$19,(IF(AND(AX$3&lt;EDATE($C84,$D84),AX$3&gt;=$C84),IF($F84= "",'Dev Costs'!$C$19/$D84,('Dev Costs'!$C$19)*AX$75),0))),0)</f>
        <v>0</v>
      </c>
      <c r="AY84" s="599">
        <f>IFERROR(IF(AND($D84=1,$C84=AY$3),'Dev Costs'!$C$19,(IF(AND(AY$3&lt;EDATE($C84,$D84),AY$3&gt;=$C84),IF($F84= "",'Dev Costs'!$C$19/$D84,('Dev Costs'!$C$19)*AY$75),0))),0)</f>
        <v>0</v>
      </c>
      <c r="AZ84" s="599">
        <f>IFERROR(IF(AND($D84=1,$C84=AZ$3),'Dev Costs'!$C$19,(IF(AND(AZ$3&lt;EDATE($C84,$D84),AZ$3&gt;=$C84),IF($F84= "",'Dev Costs'!$C$19/$D84,('Dev Costs'!$C$19)*AZ$75),0))),0)</f>
        <v>0</v>
      </c>
      <c r="BA84" s="599">
        <f>IFERROR(IF(AND($D84=1,$C84=BA$3),'Dev Costs'!$C$19,(IF(AND(BA$3&lt;EDATE($C84,$D84),BA$3&gt;=$C84),IF($F84= "",'Dev Costs'!$C$19/$D84,('Dev Costs'!$C$19)*BA$75),0))),0)</f>
        <v>0</v>
      </c>
      <c r="BB84" s="599">
        <f>IFERROR(IF(AND($D84=1,$C84=BB$3),'Dev Costs'!$C$19,(IF(AND(BB$3&lt;EDATE($C84,$D84),BB$3&gt;=$C84),IF($F84= "",'Dev Costs'!$C$19/$D84,('Dev Costs'!$C$19)*BB$75),0))),0)</f>
        <v>0</v>
      </c>
      <c r="BC84" s="599">
        <f>IFERROR(IF(AND($D84=1,$C84=BC$3),'Dev Costs'!$C$19,(IF(AND(BC$3&lt;EDATE($C84,$D84),BC$3&gt;=$C84),IF($F84= "",'Dev Costs'!$C$19/$D84,('Dev Costs'!$C$19)*BC$75),0))),0)</f>
        <v>0</v>
      </c>
      <c r="BD84" s="599">
        <f>IFERROR(IF(AND($D84=1,$C84=BD$3),'Dev Costs'!$C$19,(IF(AND(BD$3&lt;EDATE($C84,$D84),BD$3&gt;=$C84),IF($F84= "",'Dev Costs'!$C$19/$D84,('Dev Costs'!$C$19)*BD$75),0))),0)</f>
        <v>0</v>
      </c>
      <c r="BE84" s="599">
        <f>IFERROR(IF(AND($D84=1,$C84=BE$3),'Dev Costs'!$C$19,(IF(AND(BE$3&lt;EDATE($C84,$D84),BE$3&gt;=$C84),IF($F84= "",'Dev Costs'!$C$19/$D84,('Dev Costs'!$C$19)*BE$75),0))),0)</f>
        <v>0</v>
      </c>
      <c r="BF84" s="599">
        <f>IFERROR(IF(AND($D84=1,$C84=BF$3),'Dev Costs'!$C$19,(IF(AND(BF$3&lt;EDATE($C84,$D84),BF$3&gt;=$C84),IF($F84= "",'Dev Costs'!$C$19/$D84,('Dev Costs'!$C$19)*BF$75),0))),0)</f>
        <v>0</v>
      </c>
      <c r="BG84" s="599">
        <f>IFERROR(IF(AND($D84=1,$C84=BG$3),'Dev Costs'!$C$19,(IF(AND(BG$3&lt;EDATE($C84,$D84),BG$3&gt;=$C84),IF($F84= "",'Dev Costs'!$C$19/$D84,('Dev Costs'!$C$19)*BG$75),0))),0)</f>
        <v>0</v>
      </c>
      <c r="BH84" s="599">
        <f>IFERROR(IF(AND($D84=1,$C84=BH$3),'Dev Costs'!$C$19,(IF(AND(BH$3&lt;EDATE($C84,$D84),BH$3&gt;=$C84),IF($F84= "",'Dev Costs'!$C$19/$D84,('Dev Costs'!$C$19)*BH$75),0))),0)</f>
        <v>0</v>
      </c>
      <c r="BI84" s="599">
        <f>IFERROR(IF(AND($D84=1,$C84=BI$3),'Dev Costs'!$C$19,(IF(AND(BI$3&lt;EDATE($C84,$D84),BI$3&gt;=$C84),IF($F84= "",'Dev Costs'!$C$19/$D84,('Dev Costs'!$C$19)*BI$75),0))),0)</f>
        <v>0</v>
      </c>
      <c r="BJ84" s="599">
        <f>IFERROR(IF(AND($D84=1,$C84=BJ$3),'Dev Costs'!$C$19,(IF(AND(BJ$3&lt;EDATE($C84,$D84),BJ$3&gt;=$C84),IF($F84= "",'Dev Costs'!$C$19/$D84,('Dev Costs'!$C$19)*BJ$75),0))),0)</f>
        <v>0</v>
      </c>
      <c r="BK84" s="599">
        <f>IFERROR(IF(AND($D84=1,$C84=BK$3),'Dev Costs'!$C$19,(IF(AND(BK$3&lt;EDATE($C84,$D84),BK$3&gt;=$C84),IF($F84= "",'Dev Costs'!$C$19/$D84,('Dev Costs'!$C$19)*BK$75),0))),0)</f>
        <v>0</v>
      </c>
      <c r="BL84" s="599">
        <f>IFERROR(IF(AND($D84=1,$C84=BL$3),'Dev Costs'!$C$19,(IF(AND(BL$3&lt;EDATE($C84,$D84),BL$3&gt;=$C84),IF($F84= "",'Dev Costs'!$C$19/$D84,('Dev Costs'!$C$19)*BL$75),0))),0)</f>
        <v>0</v>
      </c>
      <c r="BM84" s="599">
        <f>IFERROR(IF(AND($D84=1,$C84=BM$3),'Dev Costs'!$C$19,(IF(AND(BM$3&lt;EDATE($C84,$D84),BM$3&gt;=$C84),IF($F84= "",'Dev Costs'!$C$19/$D84,('Dev Costs'!$C$19)*BM$75),0))),0)</f>
        <v>0</v>
      </c>
      <c r="BN84" s="599">
        <f>IFERROR(IF(AND($D84=1,$C84=BN$3),'Dev Costs'!$C$19,(IF(AND(BN$3&lt;EDATE($C84,$D84),BN$3&gt;=$C84),IF($F84= "",'Dev Costs'!$C$19/$D84,('Dev Costs'!$C$19)*BN$75),0))),0)</f>
        <v>0</v>
      </c>
      <c r="BO84" s="599">
        <f>IFERROR(IF(AND($D84=1,$C84=BO$3),'Dev Costs'!$C$19,(IF(AND(BO$3&lt;EDATE($C84,$D84),BO$3&gt;=$C84),IF($F84= "",'Dev Costs'!$C$19/$D84,('Dev Costs'!$C$19)*BO$75),0))),0)</f>
        <v>0</v>
      </c>
      <c r="BP84" s="599">
        <f>IFERROR(IF(AND($D84=1,$C84=BP$3),'Dev Costs'!$C$19,(IF(AND(BP$3&lt;EDATE($C84,$D84),BP$3&gt;=$C84),IF($F84= "",'Dev Costs'!$C$19/$D84,('Dev Costs'!$C$19)*BP$75),0))),0)</f>
        <v>0</v>
      </c>
      <c r="BQ84" s="599">
        <f>IFERROR(IF(AND($D84=1,$C84=BQ$3),'Dev Costs'!$C$19,(IF(AND(BQ$3&lt;EDATE($C84,$D84),BQ$3&gt;=$C84),IF($F84= "",'Dev Costs'!$C$19/$D84,('Dev Costs'!$C$19)*BQ$75),0))),0)</f>
        <v>0</v>
      </c>
      <c r="BR84" s="599">
        <f>IFERROR(IF(AND($D84=1,$C84=BR$3),'Dev Costs'!$C$19,(IF(AND(BR$3&lt;EDATE($C84,$D84),BR$3&gt;=$C84),IF($F84= "",'Dev Costs'!$C$19/$D84,('Dev Costs'!$C$19)*BR$75),0))),0)</f>
        <v>0</v>
      </c>
      <c r="BS84" s="599">
        <f>IFERROR(IF(AND($D84=1,$C84=BS$3),'Dev Costs'!$C$19,(IF(AND(BS$3&lt;EDATE($C84,$D84),BS$3&gt;=$C84),IF($F84= "",'Dev Costs'!$C$19/$D84,('Dev Costs'!$C$19)*BS$75),0))),0)</f>
        <v>0</v>
      </c>
      <c r="BT84" s="599">
        <f>IFERROR(IF(AND($D84=1,$C84=BT$3),'Dev Costs'!$C$19,(IF(AND(BT$3&lt;EDATE($C84,$D84),BT$3&gt;=$C84),IF($F84= "",'Dev Costs'!$C$19/$D84,('Dev Costs'!$C$19)*BT$75),0))),0)</f>
        <v>0</v>
      </c>
      <c r="BU84" s="599">
        <f>IFERROR(IF(AND($D84=1,$C84=BU$3),'Dev Costs'!$C$19,(IF(AND(BU$3&lt;EDATE($C84,$D84),BU$3&gt;=$C84),IF($F84= "",'Dev Costs'!$C$19/$D84,('Dev Costs'!$C$19)*BU$75),0))),0)</f>
        <v>0</v>
      </c>
      <c r="BV84" s="599">
        <f>IFERROR(IF(AND($D84=1,$C84=BV$3),'Dev Costs'!$C$19,(IF(AND(BV$3&lt;EDATE($C84,$D84),BV$3&gt;=$C84),IF($F84= "",'Dev Costs'!$C$19/$D84,('Dev Costs'!$C$19)*BV$75),0))),0)</f>
        <v>0</v>
      </c>
      <c r="BW84" s="599">
        <f>IFERROR(IF(AND($D84=1,$C84=BW$3),'Dev Costs'!$C$19,(IF(AND(BW$3&lt;EDATE($C84,$D84),BW$3&gt;=$C84),IF($F84= "",'Dev Costs'!$C$19/$D84,('Dev Costs'!$C$19)*BW$75),0))),0)</f>
        <v>0</v>
      </c>
      <c r="BX84" s="599">
        <f>IFERROR(IF(AND($D84=1,$C84=BX$3),'Dev Costs'!$C$19,(IF(AND(BX$3&lt;EDATE($C84,$D84),BX$3&gt;=$C84),IF($F84= "",'Dev Costs'!$C$19/$D84,('Dev Costs'!$C$19)*BX$75),0))),0)</f>
        <v>0</v>
      </c>
      <c r="BY84" s="599">
        <f>IFERROR(IF(AND($D84=1,$C84=BY$3),'Dev Costs'!$C$19,(IF(AND(BY$3&lt;EDATE($C84,$D84),BY$3&gt;=$C84),IF($F84= "",'Dev Costs'!$C$19/$D84,('Dev Costs'!$C$19)*BY$75),0))),0)</f>
        <v>0</v>
      </c>
      <c r="BZ84" s="599">
        <f>IFERROR(IF(AND($D84=1,$C84=BZ$3),'Dev Costs'!$C$19,(IF(AND(BZ$3&lt;EDATE($C84,$D84),BZ$3&gt;=$C84),IF($F84= "",'Dev Costs'!$C$19/$D84,('Dev Costs'!$C$19)*BZ$75),0))),0)</f>
        <v>0</v>
      </c>
      <c r="CA84" s="599">
        <f>IFERROR(IF(AND($D84=1,$C84=CA$3),'Dev Costs'!$C$19,(IF(AND(CA$3&lt;EDATE($C84,$D84),CA$3&gt;=$C84),IF($F84= "",'Dev Costs'!$C$19/$D84,('Dev Costs'!$C$19)*CA$75),0))),0)</f>
        <v>0</v>
      </c>
      <c r="CB84" s="599">
        <f>IFERROR(IF(AND($D84=1,$C84=CB$3),'Dev Costs'!$C$19,(IF(AND(CB$3&lt;EDATE($C84,$D84),CB$3&gt;=$C84),IF($F84= "",'Dev Costs'!$C$19/$D84,('Dev Costs'!$C$19)*CB$75),0))),0)</f>
        <v>0</v>
      </c>
      <c r="CC84" s="599">
        <f>IFERROR(IF(AND($D84=1,$C84=CC$3),'Dev Costs'!$C$19,(IF(AND(CC$3&lt;EDATE($C84,$D84),CC$3&gt;=$C84),IF($F84= "",'Dev Costs'!$C$19/$D84,('Dev Costs'!$C$19)*CC$75),0))),0)</f>
        <v>0</v>
      </c>
      <c r="CD84" s="599">
        <f>IFERROR(IF(AND($D84=1,$C84=CD$3),'Dev Costs'!$C$19,(IF(AND(CD$3&lt;EDATE($C84,$D84),CD$3&gt;=$C84),IF($F84= "",'Dev Costs'!$C$19/$D84,('Dev Costs'!$C$19)*CD$75),0))),0)</f>
        <v>0</v>
      </c>
      <c r="CE84" s="599">
        <f>IFERROR(IF(AND($D84=1,$C84=CE$3),'Dev Costs'!$C$19,(IF(AND(CE$3&lt;EDATE($C84,$D84),CE$3&gt;=$C84),IF($F84= "",'Dev Costs'!$C$19/$D84,('Dev Costs'!$C$19)*CE$75),0))),0)</f>
        <v>0</v>
      </c>
      <c r="CF84" s="599">
        <f>IFERROR(IF(AND($D84=1,$C84=CF$3),'Dev Costs'!$C$19,(IF(AND(CF$3&lt;EDATE($C84,$D84),CF$3&gt;=$C84),IF($F84= "",'Dev Costs'!$C$19/$D84,('Dev Costs'!$C$19)*CF$75),0))),0)</f>
        <v>0</v>
      </c>
      <c r="CG84" s="599">
        <f>IFERROR(IF(AND($D84=1,$C84=CG$3),'Dev Costs'!$C$19,(IF(AND(CG$3&lt;EDATE($C84,$D84),CG$3&gt;=$C84),IF($F84= "",'Dev Costs'!$C$19/$D84,('Dev Costs'!$C$19)*CG$75),0))),0)</f>
        <v>0</v>
      </c>
      <c r="CH84" s="599">
        <f>IFERROR(IF(AND($D84=1,$C84=CH$3),'Dev Costs'!$C$19,(IF(AND(CH$3&lt;EDATE($C84,$D84),CH$3&gt;=$C84),IF($F84= "",'Dev Costs'!$C$19/$D84,('Dev Costs'!$C$19)*CH$75),0))),0)</f>
        <v>0</v>
      </c>
      <c r="CI84" s="599">
        <f>IFERROR(IF(AND($D84=1,$C84=CI$3),'Dev Costs'!$C$19,(IF(AND(CI$3&lt;EDATE($C84,$D84),CI$3&gt;=$C84),IF($F84= "",'Dev Costs'!$C$19/$D84,('Dev Costs'!$C$19)*CI$75),0))),0)</f>
        <v>0</v>
      </c>
      <c r="CJ84" s="599">
        <f>IFERROR(IF(AND($D84=1,$C84=CJ$3),'Dev Costs'!$C$19,(IF(AND(CJ$3&lt;EDATE($C84,$D84),CJ$3&gt;=$C84),IF($F84= "",'Dev Costs'!$C$19/$D84,('Dev Costs'!$C$19)*CJ$75),0))),0)</f>
        <v>0</v>
      </c>
      <c r="CK84" s="599">
        <f>IFERROR(IF(AND($D84=1,$C84=CK$3),'Dev Costs'!$C$19,(IF(AND(CK$3&lt;EDATE($C84,$D84),CK$3&gt;=$C84),IF($F84= "",'Dev Costs'!$C$19/$D84,('Dev Costs'!$C$19)*CK$75),0))),0)</f>
        <v>0</v>
      </c>
      <c r="CL84" s="599">
        <f>IFERROR(IF(AND($D84=1,$C84=CL$3),'Dev Costs'!$C$19,(IF(AND(CL$3&lt;EDATE($C84,$D84),CL$3&gt;=$C84),IF($F84= "",'Dev Costs'!$C$19/$D84,('Dev Costs'!$C$19)*CL$75),0))),0)</f>
        <v>0</v>
      </c>
      <c r="CM84" s="599">
        <f>IFERROR(IF(AND($D84=1,$C84=CM$3),'Dev Costs'!$C$19,(IF(AND(CM$3&lt;EDATE($C84,$D84),CM$3&gt;=$C84),IF($F84= "",'Dev Costs'!$C$19/$D84,('Dev Costs'!$C$19)*CM$75),0))),0)</f>
        <v>0</v>
      </c>
      <c r="CN84" s="599">
        <f>IFERROR(IF(AND($D84=1,$C84=CN$3),'Dev Costs'!$C$19,(IF(AND(CN$3&lt;EDATE($C84,$D84),CN$3&gt;=$C84),IF($F84= "",'Dev Costs'!$C$19/$D84,('Dev Costs'!$C$19)*CN$75),0))),0)</f>
        <v>0</v>
      </c>
      <c r="CO84" s="599">
        <f>IFERROR(IF(AND($D84=1,$C84=CO$3),'Dev Costs'!$C$19,(IF(AND(CO$3&lt;EDATE($C84,$D84),CO$3&gt;=$C84),IF($F84= "",'Dev Costs'!$C$19/$D84,('Dev Costs'!$C$19)*CO$75),0))),0)</f>
        <v>0</v>
      </c>
      <c r="CP84" s="599">
        <f>IFERROR(IF(AND($D84=1,$C84=CP$3),'Dev Costs'!$C$19,(IF(AND(CP$3&lt;EDATE($C84,$D84),CP$3&gt;=$C84),IF($F84= "",'Dev Costs'!$C$19/$D84,('Dev Costs'!$C$19)*CP$75),0))),0)</f>
        <v>0</v>
      </c>
      <c r="CQ84" s="599">
        <f>IFERROR(IF(AND($D84=1,$C84=CQ$3),'Dev Costs'!$C$19,(IF(AND(CQ$3&lt;EDATE($C84,$D84),CQ$3&gt;=$C84),IF($F84= "",'Dev Costs'!$C$19/$D84,('Dev Costs'!$C$19)*CQ$75),0))),0)</f>
        <v>0</v>
      </c>
      <c r="CR84" s="599">
        <f>IFERROR(IF(AND($D84=1,$C84=CR$3),'Dev Costs'!$C$19,(IF(AND(CR$3&lt;EDATE($C84,$D84),CR$3&gt;=$C84),IF($F84= "",'Dev Costs'!$C$19/$D84,('Dev Costs'!$C$19)*CR$75),0))),0)</f>
        <v>0</v>
      </c>
      <c r="CS84" s="599">
        <f>IFERROR(IF(AND($D84=1,$C84=CS$3),'Dev Costs'!$C$19,(IF(AND(CS$3&lt;EDATE($C84,$D84),CS$3&gt;=$C84),IF($F84= "",'Dev Costs'!$C$19/$D84,('Dev Costs'!$C$19)*CS$75),0))),0)</f>
        <v>0</v>
      </c>
      <c r="CT84" s="599">
        <f>IFERROR(IF(AND($D84=1,$C84=CT$3),'Dev Costs'!$C$19,(IF(AND(CT$3&lt;EDATE($C84,$D84),CT$3&gt;=$C84),IF($F84= "",'Dev Costs'!$C$19/$D84,('Dev Costs'!$C$19)*CT$75),0))),0)</f>
        <v>0</v>
      </c>
      <c r="CU84" s="599">
        <f>IFERROR(IF(AND($D84=1,$C84=CU$3),'Dev Costs'!$C$19,(IF(AND(CU$3&lt;EDATE($C84,$D84),CU$3&gt;=$C84),IF($F84= "",'Dev Costs'!$C$19/$D84,('Dev Costs'!$C$19)*CU$75),0))),0)</f>
        <v>0</v>
      </c>
      <c r="CV84" s="599">
        <f>IFERROR(IF(AND($D84=1,$C84=CV$3),'Dev Costs'!$C$19,(IF(AND(CV$3&lt;EDATE($C84,$D84),CV$3&gt;=$C84),IF($F84= "",'Dev Costs'!$C$19/$D84,('Dev Costs'!$C$19)*CV$75),0))),0)</f>
        <v>0</v>
      </c>
      <c r="CW84" s="599">
        <f>IFERROR(IF(AND($D84=1,$C84=CW$3),'Dev Costs'!$C$19,(IF(AND(CW$3&lt;EDATE($C84,$D84),CW$3&gt;=$C84),IF($F84= "",'Dev Costs'!$C$19/$D84,('Dev Costs'!$C$19)*CW$75),0))),0)</f>
        <v>0</v>
      </c>
      <c r="CX84" s="599">
        <f>IFERROR(IF(AND($D84=1,$C84=CX$3),'Dev Costs'!$C$19,(IF(AND(CX$3&lt;EDATE($C84,$D84),CX$3&gt;=$C84),IF($F84= "",'Dev Costs'!$C$19/$D84,('Dev Costs'!$C$19)*CX$75),0))),0)</f>
        <v>0</v>
      </c>
      <c r="CY84" s="599">
        <f>IFERROR(IF(AND($D84=1,$C84=CY$3),'Dev Costs'!$C$19,(IF(AND(CY$3&lt;EDATE($C84,$D84),CY$3&gt;=$C84),IF($F84= "",'Dev Costs'!$C$19/$D84,('Dev Costs'!$C$19)*CY$75),0))),0)</f>
        <v>0</v>
      </c>
      <c r="CZ84" s="599">
        <f>IFERROR(IF(AND($D84=1,$C84=CZ$3),'Dev Costs'!$C$19,(IF(AND(CZ$3&lt;EDATE($C84,$D84),CZ$3&gt;=$C84),IF($F84= "",'Dev Costs'!$C$19/$D84,('Dev Costs'!$C$19)*CZ$75),0))),0)</f>
        <v>0</v>
      </c>
      <c r="DA84" s="599">
        <f>IFERROR(IF(AND($D84=1,$C84=DA$3),'Dev Costs'!$C$19,(IF(AND(DA$3&lt;EDATE($C84,$D84),DA$3&gt;=$C84),IF($F84= "",'Dev Costs'!$C$19/$D84,('Dev Costs'!$C$19)*DA$75),0))),0)</f>
        <v>0</v>
      </c>
      <c r="DB84" s="599">
        <f>IFERROR(IF(AND($D84=1,$C84=DB$3),'Dev Costs'!$C$19,(IF(AND(DB$3&lt;EDATE($C84,$D84),DB$3&gt;=$C84),IF($F84= "",'Dev Costs'!$C$19/$D84,('Dev Costs'!$C$19)*DB$75),0))),0)</f>
        <v>0</v>
      </c>
      <c r="DC84" s="599">
        <f>IFERROR(IF(AND($D84=1,$C84=DC$3),'Dev Costs'!$C$19,(IF(AND(DC$3&lt;EDATE($C84,$D84),DC$3&gt;=$C84),IF($F84= "",'Dev Costs'!$C$19/$D84,('Dev Costs'!$C$19)*DC$75),0))),0)</f>
        <v>0</v>
      </c>
      <c r="DD84" s="599">
        <f>IFERROR(IF(AND($D84=1,$C84=DD$3),'Dev Costs'!$C$19,(IF(AND(DD$3&lt;EDATE($C84,$D84),DD$3&gt;=$C84),IF($F84= "",'Dev Costs'!$C$19/$D84,('Dev Costs'!$C$19)*DD$75),0))),0)</f>
        <v>0</v>
      </c>
      <c r="DE84" s="599">
        <f>IFERROR(IF(AND($D84=1,$C84=DE$3),'Dev Costs'!$C$19,(IF(AND(DE$3&lt;EDATE($C84,$D84),DE$3&gt;=$C84),IF($F84= "",'Dev Costs'!$C$19/$D84,('Dev Costs'!$C$19)*DE$75),0))),0)</f>
        <v>0</v>
      </c>
      <c r="DF84" s="599">
        <f>IFERROR(IF(AND($D84=1,$C84=DF$3),'Dev Costs'!$C$19,(IF(AND(DF$3&lt;EDATE($C84,$D84),DF$3&gt;=$C84),IF($F84= "",'Dev Costs'!$C$19/$D84,('Dev Costs'!$C$19)*DF$75),0))),0)</f>
        <v>0</v>
      </c>
      <c r="DG84" s="599">
        <f>IFERROR(IF(AND($D84=1,$C84=DG$3),'Dev Costs'!$C$19,(IF(AND(DG$3&lt;EDATE($C84,$D84),DG$3&gt;=$C84),IF($F84= "",'Dev Costs'!$C$19/$D84,('Dev Costs'!$C$19)*DG$75),0))),0)</f>
        <v>0</v>
      </c>
      <c r="DH84" s="599">
        <f>IFERROR(IF(AND($D84=1,$C84=DH$3),'Dev Costs'!$C$19,(IF(AND(DH$3&lt;EDATE($C84,$D84),DH$3&gt;=$C84),IF($F84= "",'Dev Costs'!$C$19/$D84,('Dev Costs'!$C$19)*DH$75),0))),0)</f>
        <v>0</v>
      </c>
      <c r="DI84" s="599">
        <f>IFERROR(IF(AND($D84=1,$C84=DI$3),'Dev Costs'!$C$19,(IF(AND(DI$3&lt;EDATE($C84,$D84),DI$3&gt;=$C84),IF($F84= "",'Dev Costs'!$C$19/$D84,('Dev Costs'!$C$19)*DI$75),0))),0)</f>
        <v>0</v>
      </c>
      <c r="DJ84" s="599">
        <f>IFERROR(IF(AND($D84=1,$C84=DJ$3),'Dev Costs'!$C$19,(IF(AND(DJ$3&lt;EDATE($C84,$D84),DJ$3&gt;=$C84),IF($F84= "",'Dev Costs'!$C$19/$D84,('Dev Costs'!$C$19)*DJ$75),0))),0)</f>
        <v>0</v>
      </c>
      <c r="DK84" s="599">
        <f>IFERROR(IF(AND($D84=1,$C84=DK$3),'Dev Costs'!$C$19,(IF(AND(DK$3&lt;EDATE($C84,$D84),DK$3&gt;=$C84),IF($F84= "",'Dev Costs'!$C$19/$D84,('Dev Costs'!$C$19)*DK$75),0))),0)</f>
        <v>0</v>
      </c>
      <c r="DL84" s="599">
        <f>IFERROR(IF(AND($D84=1,$C84=DL$3),'Dev Costs'!$C$19,(IF(AND(DL$3&lt;EDATE($C84,$D84),DL$3&gt;=$C84),IF($F84= "",'Dev Costs'!$C$19/$D84,('Dev Costs'!$C$19)*DL$75),0))),0)</f>
        <v>0</v>
      </c>
      <c r="DM84" s="599">
        <f>IFERROR(IF(AND($D84=1,$C84=DM$3),'Dev Costs'!$C$19,(IF(AND(DM$3&lt;EDATE($C84,$D84),DM$3&gt;=$C84),IF($F84= "",'Dev Costs'!$C$19/$D84,('Dev Costs'!$C$19)*DM$75),0))),0)</f>
        <v>0</v>
      </c>
      <c r="DN84" s="599">
        <f>IFERROR(IF(AND($D84=1,$C84=DN$3),'Dev Costs'!$C$19,(IF(AND(DN$3&lt;EDATE($C84,$D84),DN$3&gt;=$C84),IF($F84= "",'Dev Costs'!$C$19/$D84,('Dev Costs'!$C$19)*DN$75),0))),0)</f>
        <v>0</v>
      </c>
      <c r="DO84" s="599">
        <f>IFERROR(IF(AND($D84=1,$C84=DO$3),'Dev Costs'!$C$19,(IF(AND(DO$3&lt;EDATE($C84,$D84),DO$3&gt;=$C84),IF($F84= "",'Dev Costs'!$C$19/$D84,('Dev Costs'!$C$19)*DO$75),0))),0)</f>
        <v>0</v>
      </c>
      <c r="DP84" s="599">
        <f>IFERROR(IF(AND($D84=1,$C84=DP$3),'Dev Costs'!$C$19,(IF(AND(DP$3&lt;EDATE($C84,$D84),DP$3&gt;=$C84),IF($F84= "",'Dev Costs'!$C$19/$D84,('Dev Costs'!$C$19)*DP$75),0))),0)</f>
        <v>0</v>
      </c>
      <c r="DQ84" s="599">
        <f>IFERROR(IF(AND($D84=1,$C84=DQ$3),'Dev Costs'!$C$19,(IF(AND(DQ$3&lt;EDATE($C84,$D84),DQ$3&gt;=$C84),IF($F84= "",'Dev Costs'!$C$19/$D84,('Dev Costs'!$C$19)*DQ$75),0))),0)</f>
        <v>0</v>
      </c>
      <c r="DR84" s="599">
        <f>IFERROR(IF(AND($D84=1,$C84=DR$3),'Dev Costs'!$C$19,(IF(AND(DR$3&lt;EDATE($C84,$D84),DR$3&gt;=$C84),IF($F84= "",'Dev Costs'!$C$19/$D84,('Dev Costs'!$C$19)*DR$75),0))),0)</f>
        <v>0</v>
      </c>
      <c r="DS84" s="599">
        <f>IFERROR(IF(AND($D84=1,$C84=DS$3),'Dev Costs'!$C$19,(IF(AND(DS$3&lt;EDATE($C84,$D84),DS$3&gt;=$C84),IF($F84= "",'Dev Costs'!$C$19/$D84,('Dev Costs'!$C$19)*DS$75),0))),0)</f>
        <v>0</v>
      </c>
      <c r="DT84" s="599">
        <f>IFERROR(IF(AND($D84=1,$C84=DT$3),'Dev Costs'!$C$19,(IF(AND(DT$3&lt;EDATE($C84,$D84),DT$3&gt;=$C84),IF($F84= "",'Dev Costs'!$C$19/$D84,('Dev Costs'!$C$19)*DT$75),0))),0)</f>
        <v>0</v>
      </c>
      <c r="DU84" s="599">
        <f>IFERROR(IF(AND($D84=1,$C84=DU$3),'Dev Costs'!$C$19,(IF(AND(DU$3&lt;EDATE($C84,$D84),DU$3&gt;=$C84),IF($F84= "",'Dev Costs'!$C$19/$D84,('Dev Costs'!$C$19)*DU$75),0))),0)</f>
        <v>0</v>
      </c>
      <c r="DV84" s="599">
        <f>IFERROR(IF(AND($D84=1,$C84=DV$3),'Dev Costs'!$C$19,(IF(AND(DV$3&lt;EDATE($C84,$D84),DV$3&gt;=$C84),IF($F84= "",'Dev Costs'!$C$19/$D84,('Dev Costs'!$C$19)*DV$75),0))),0)</f>
        <v>0</v>
      </c>
      <c r="DW84" s="599">
        <f>IFERROR(IF(AND($D84=1,$C84=DW$3),'Dev Costs'!$C$19,(IF(AND(DW$3&lt;EDATE($C84,$D84),DW$3&gt;=$C84),IF($F84= "",'Dev Costs'!$C$19/$D84,('Dev Costs'!$C$19)*DW$75),0))),0)</f>
        <v>0</v>
      </c>
      <c r="DX84" s="599">
        <f>IFERROR(IF(AND($D84=1,$C84=DX$3),'Dev Costs'!$C$19,(IF(AND(DX$3&lt;EDATE($C84,$D84),DX$3&gt;=$C84),IF($F84= "",'Dev Costs'!$C$19/$D84,('Dev Costs'!$C$19)*DX$75),0))),0)</f>
        <v>0</v>
      </c>
      <c r="DY84" s="599">
        <f>IFERROR(IF(AND($D84=1,$C84=DY$3),'Dev Costs'!$C$19,(IF(AND(DY$3&lt;EDATE($C84,$D84),DY$3&gt;=$C84),IF($F84= "",'Dev Costs'!$C$19/$D84,('Dev Costs'!$C$19)*DY$75),0))),0)</f>
        <v>0</v>
      </c>
      <c r="DZ84" s="599">
        <f>IFERROR(IF(AND($D84=1,$C84=DZ$3),'Dev Costs'!$C$19,(IF(AND(DZ$3&lt;EDATE($C84,$D84),DZ$3&gt;=$C84),IF($F84= "",'Dev Costs'!$C$19/$D84,('Dev Costs'!$C$19)*DZ$75),0))),0)</f>
        <v>0</v>
      </c>
      <c r="EA84" s="599">
        <f>IFERROR(IF(AND($D84=1,$C84=EA$3),'Dev Costs'!$C$19,(IF(AND(EA$3&lt;EDATE($C84,$D84),EA$3&gt;=$C84),IF($F84= "",'Dev Costs'!$C$19/$D84,('Dev Costs'!$C$19)*EA$75),0))),0)</f>
        <v>0</v>
      </c>
      <c r="EB84" s="599">
        <f>IFERROR(IF(AND($D84=1,$C84=EB$3),'Dev Costs'!$C$19,(IF(AND(EB$3&lt;EDATE($C84,$D84),EB$3&gt;=$C84),IF($F84= "",'Dev Costs'!$C$19/$D84,('Dev Costs'!$C$19)*EB$75),0))),0)</f>
        <v>0</v>
      </c>
      <c r="EC84" s="599">
        <f>IFERROR(IF(AND($D84=1,$C84=EC$3),'Dev Costs'!$C$19,(IF(AND(EC$3&lt;EDATE($C84,$D84),EC$3&gt;=$C84),IF($F84= "",'Dev Costs'!$C$19/$D84,('Dev Costs'!$C$19)*EC$75),0))),0)</f>
        <v>0</v>
      </c>
      <c r="ED84" s="599">
        <f>IFERROR(IF(AND($D84=1,$C84=ED$3),'Dev Costs'!$C$19,(IF(AND(ED$3&lt;EDATE($C84,$D84),ED$3&gt;=$C84),IF($F84= "",'Dev Costs'!$C$19/$D84,('Dev Costs'!$C$19)*ED$75),0))),0)</f>
        <v>0</v>
      </c>
      <c r="EE84" s="599">
        <f>IFERROR(IF(AND($D84=1,$C84=EE$3),'Dev Costs'!$C$19,(IF(AND(EE$3&lt;EDATE($C84,$D84),EE$3&gt;=$C84),IF($F84= "",'Dev Costs'!$C$19/$D84,('Dev Costs'!$C$19)*EE$75),0))),0)</f>
        <v>0</v>
      </c>
      <c r="EF84" s="599">
        <f>IFERROR(IF(AND($D84=1,$C84=EF$3),'Dev Costs'!$C$19,(IF(AND(EF$3&lt;EDATE($C84,$D84),EF$3&gt;=$C84),IF($F84= "",'Dev Costs'!$C$19/$D84,('Dev Costs'!$C$19)*EF$75),0))),0)</f>
        <v>0</v>
      </c>
      <c r="EG84" s="599">
        <f>IFERROR(IF(AND($D84=1,$C84=EG$3),'Dev Costs'!$C$19,(IF(AND(EG$3&lt;EDATE($C84,$D84),EG$3&gt;=$C84),IF($F84= "",'Dev Costs'!$C$19/$D84,('Dev Costs'!$C$19)*EG$75),0))),0)</f>
        <v>0</v>
      </c>
      <c r="EH84" s="599">
        <f>IFERROR(IF(AND($D84=1,$C84=EH$3),'Dev Costs'!$C$19,(IF(AND(EH$3&lt;EDATE($C84,$D84),EH$3&gt;=$C84),IF($F84= "",'Dev Costs'!$C$19/$D84,('Dev Costs'!$C$19)*EH$75),0))),0)</f>
        <v>0</v>
      </c>
      <c r="EI84" s="599">
        <f>IFERROR(IF(AND($D84=1,$C84=EI$3),'Dev Costs'!$C$19,(IF(AND(EI$3&lt;EDATE($C84,$D84),EI$3&gt;=$C84),IF($F84= "",'Dev Costs'!$C$19/$D84,('Dev Costs'!$C$19)*EI$75),0))),0)</f>
        <v>0</v>
      </c>
      <c r="EJ84" s="1117">
        <f>IFERROR(IF(AND($D84=1,$C84=EJ$3),'Dev Costs'!$C$19,(IF(AND(EJ$3&lt;EDATE($C84,$D84),EJ$3&gt;=$C84),IF($F84= "",'Dev Costs'!$C$19/$D84,('Dev Costs'!$C$19)*EJ$75),0))),0)</f>
        <v>0</v>
      </c>
    </row>
    <row r="85" spans="1:140" ht="15.75" customHeight="1" x14ac:dyDescent="0.25">
      <c r="A85" s="6"/>
      <c r="B85" s="364"/>
      <c r="C85" s="402"/>
      <c r="D85" s="403"/>
      <c r="E85" s="397"/>
      <c r="F85" s="358"/>
      <c r="G85" s="1087">
        <f t="shared" si="109"/>
        <v>0</v>
      </c>
      <c r="H85" s="1115"/>
      <c r="I85" s="1133"/>
      <c r="J85" s="1133"/>
      <c r="K85" s="1133"/>
      <c r="L85" s="1133"/>
      <c r="M85" s="1133"/>
      <c r="N85" s="1133"/>
      <c r="O85" s="1133"/>
      <c r="P85" s="1133"/>
      <c r="Q85" s="1133"/>
      <c r="R85" s="1133"/>
      <c r="S85" s="1155"/>
      <c r="T85" s="1133"/>
      <c r="U85" s="1133"/>
      <c r="V85" s="1133"/>
      <c r="W85" s="1133"/>
      <c r="X85" s="1133"/>
      <c r="Y85" s="1133"/>
      <c r="Z85" s="1133"/>
      <c r="AA85" s="1133"/>
      <c r="AB85" s="1133"/>
      <c r="AC85" s="1133"/>
      <c r="AD85" s="1133"/>
      <c r="AE85" s="1155"/>
      <c r="AF85" s="1133"/>
      <c r="AG85" s="1133"/>
      <c r="AH85" s="1133"/>
      <c r="AI85" s="1133"/>
      <c r="AJ85" s="1133"/>
      <c r="AK85" s="1133"/>
      <c r="AL85" s="1133"/>
      <c r="AM85" s="1133"/>
      <c r="AN85" s="1133"/>
      <c r="AO85" s="1133"/>
      <c r="AP85" s="1133"/>
      <c r="AQ85" s="1133"/>
      <c r="AR85" s="1133"/>
      <c r="AS85" s="1133"/>
      <c r="AT85" s="1133"/>
      <c r="AU85" s="1133"/>
      <c r="AV85" s="1133"/>
      <c r="AW85" s="1133"/>
      <c r="AX85" s="1133"/>
      <c r="AY85" s="1133"/>
      <c r="AZ85" s="1133"/>
      <c r="BA85" s="1133"/>
      <c r="BB85" s="1133"/>
      <c r="BC85" s="1133"/>
      <c r="BD85" s="1133"/>
      <c r="BE85" s="1133"/>
      <c r="BF85" s="1133"/>
      <c r="BG85" s="1133"/>
      <c r="BH85" s="1133"/>
      <c r="BI85" s="1133"/>
      <c r="BJ85" s="1133"/>
      <c r="BK85" s="1133"/>
      <c r="BL85" s="1133"/>
      <c r="BM85" s="1133"/>
      <c r="BN85" s="1133"/>
      <c r="BO85" s="1133"/>
      <c r="BP85" s="1133"/>
      <c r="BQ85" s="1133"/>
      <c r="BR85" s="1133"/>
      <c r="BS85" s="1133"/>
      <c r="BT85" s="1133"/>
      <c r="BU85" s="1133"/>
      <c r="BV85" s="1133"/>
      <c r="BW85" s="1133"/>
      <c r="BX85" s="1133"/>
      <c r="BY85" s="1133"/>
      <c r="BZ85" s="1133"/>
      <c r="CA85" s="1133"/>
      <c r="CB85" s="1133"/>
      <c r="CC85" s="1133"/>
      <c r="CD85" s="1133"/>
      <c r="CE85" s="1133"/>
      <c r="CF85" s="1133"/>
      <c r="CG85" s="1133"/>
      <c r="CH85" s="1133"/>
      <c r="CI85" s="1133"/>
      <c r="CJ85" s="1133"/>
      <c r="CK85" s="1133"/>
      <c r="CL85" s="1133"/>
      <c r="CM85" s="1133"/>
      <c r="CN85" s="1133"/>
      <c r="CO85" s="1133"/>
      <c r="CP85" s="1133"/>
      <c r="CQ85" s="1133"/>
      <c r="CR85" s="1133"/>
      <c r="CS85" s="1133"/>
      <c r="CT85" s="1133"/>
      <c r="CU85" s="1133"/>
      <c r="CV85" s="1133"/>
      <c r="CW85" s="1133"/>
      <c r="CX85" s="1133"/>
      <c r="CY85" s="1133"/>
      <c r="CZ85" s="1133"/>
      <c r="DA85" s="1133"/>
      <c r="DB85" s="1133"/>
      <c r="DC85" s="1133"/>
      <c r="DD85" s="1133"/>
      <c r="DE85" s="1133"/>
      <c r="DF85" s="1133"/>
      <c r="DG85" s="1133"/>
      <c r="DH85" s="1133"/>
      <c r="DI85" s="1133"/>
      <c r="DJ85" s="1133"/>
      <c r="DK85" s="1133"/>
      <c r="DL85" s="1133"/>
      <c r="DM85" s="1133"/>
      <c r="DN85" s="1133"/>
      <c r="DO85" s="1133"/>
      <c r="DP85" s="1133"/>
      <c r="DQ85" s="1133"/>
      <c r="DR85" s="1133"/>
      <c r="DS85" s="1133"/>
      <c r="DT85" s="1133"/>
      <c r="DU85" s="1133"/>
      <c r="DV85" s="1133"/>
      <c r="DW85" s="1133"/>
      <c r="DX85" s="1133"/>
      <c r="DY85" s="1133"/>
      <c r="DZ85" s="1133"/>
      <c r="EA85" s="1133"/>
      <c r="EB85" s="1133"/>
      <c r="EC85" s="1133"/>
      <c r="ED85" s="1133"/>
      <c r="EE85" s="1133"/>
      <c r="EF85" s="1133"/>
      <c r="EG85" s="1133"/>
      <c r="EH85" s="1133"/>
      <c r="EI85" s="1133"/>
      <c r="EJ85" s="1134"/>
    </row>
    <row r="86" spans="1:140" ht="15.75" customHeight="1" x14ac:dyDescent="0.25">
      <c r="A86" s="6"/>
      <c r="B86" s="384" t="s">
        <v>640</v>
      </c>
      <c r="C86" s="211"/>
      <c r="D86" s="405"/>
      <c r="E86" s="406"/>
      <c r="F86" s="358"/>
      <c r="G86" s="1088">
        <f t="shared" si="109"/>
        <v>3280000</v>
      </c>
      <c r="H86" s="1121">
        <f t="shared" ref="H86:DX86" si="110">SUM(H84:H85)</f>
        <v>3280000</v>
      </c>
      <c r="I86" s="1122">
        <f t="shared" si="110"/>
        <v>0</v>
      </c>
      <c r="J86" s="1122">
        <f t="shared" si="110"/>
        <v>0</v>
      </c>
      <c r="K86" s="1122">
        <f t="shared" si="110"/>
        <v>0</v>
      </c>
      <c r="L86" s="1122">
        <f t="shared" si="110"/>
        <v>0</v>
      </c>
      <c r="M86" s="1122">
        <f t="shared" si="110"/>
        <v>0</v>
      </c>
      <c r="N86" s="1122">
        <f t="shared" si="110"/>
        <v>0</v>
      </c>
      <c r="O86" s="1122">
        <f t="shared" si="110"/>
        <v>0</v>
      </c>
      <c r="P86" s="1122">
        <f t="shared" si="110"/>
        <v>0</v>
      </c>
      <c r="Q86" s="1122">
        <f t="shared" si="110"/>
        <v>0</v>
      </c>
      <c r="R86" s="1122">
        <f t="shared" si="110"/>
        <v>0</v>
      </c>
      <c r="S86" s="1122">
        <f t="shared" si="110"/>
        <v>0</v>
      </c>
      <c r="T86" s="1122">
        <f t="shared" si="110"/>
        <v>0</v>
      </c>
      <c r="U86" s="1122">
        <f t="shared" si="110"/>
        <v>0</v>
      </c>
      <c r="V86" s="1122">
        <f t="shared" si="110"/>
        <v>0</v>
      </c>
      <c r="W86" s="1122">
        <f t="shared" si="110"/>
        <v>0</v>
      </c>
      <c r="X86" s="1122">
        <f t="shared" si="110"/>
        <v>0</v>
      </c>
      <c r="Y86" s="1122">
        <f t="shared" si="110"/>
        <v>0</v>
      </c>
      <c r="Z86" s="1122">
        <f t="shared" si="110"/>
        <v>0</v>
      </c>
      <c r="AA86" s="1122">
        <f t="shared" si="110"/>
        <v>0</v>
      </c>
      <c r="AB86" s="1122">
        <f t="shared" si="110"/>
        <v>0</v>
      </c>
      <c r="AC86" s="1122">
        <f t="shared" si="110"/>
        <v>0</v>
      </c>
      <c r="AD86" s="1122">
        <f t="shared" si="110"/>
        <v>0</v>
      </c>
      <c r="AE86" s="1122">
        <f t="shared" si="110"/>
        <v>0</v>
      </c>
      <c r="AF86" s="1122">
        <f t="shared" si="110"/>
        <v>0</v>
      </c>
      <c r="AG86" s="1122">
        <f t="shared" si="110"/>
        <v>0</v>
      </c>
      <c r="AH86" s="1122">
        <f t="shared" si="110"/>
        <v>0</v>
      </c>
      <c r="AI86" s="1122">
        <f t="shared" si="110"/>
        <v>0</v>
      </c>
      <c r="AJ86" s="1122">
        <f t="shared" si="110"/>
        <v>0</v>
      </c>
      <c r="AK86" s="1122">
        <f t="shared" si="110"/>
        <v>0</v>
      </c>
      <c r="AL86" s="1122">
        <f t="shared" si="110"/>
        <v>0</v>
      </c>
      <c r="AM86" s="1122">
        <f t="shared" si="110"/>
        <v>0</v>
      </c>
      <c r="AN86" s="1122">
        <f t="shared" si="110"/>
        <v>0</v>
      </c>
      <c r="AO86" s="1122">
        <f t="shared" si="110"/>
        <v>0</v>
      </c>
      <c r="AP86" s="1122">
        <f t="shared" si="110"/>
        <v>0</v>
      </c>
      <c r="AQ86" s="1122">
        <f t="shared" si="110"/>
        <v>0</v>
      </c>
      <c r="AR86" s="1122">
        <f t="shared" si="110"/>
        <v>0</v>
      </c>
      <c r="AS86" s="1122">
        <f t="shared" si="110"/>
        <v>0</v>
      </c>
      <c r="AT86" s="1122">
        <f t="shared" si="110"/>
        <v>0</v>
      </c>
      <c r="AU86" s="1122">
        <f t="shared" si="110"/>
        <v>0</v>
      </c>
      <c r="AV86" s="1122">
        <f t="shared" si="110"/>
        <v>0</v>
      </c>
      <c r="AW86" s="1122">
        <f t="shared" si="110"/>
        <v>0</v>
      </c>
      <c r="AX86" s="1122">
        <f t="shared" si="110"/>
        <v>0</v>
      </c>
      <c r="AY86" s="1122">
        <f t="shared" si="110"/>
        <v>0</v>
      </c>
      <c r="AZ86" s="1122">
        <f t="shared" si="110"/>
        <v>0</v>
      </c>
      <c r="BA86" s="1122">
        <f t="shared" si="110"/>
        <v>0</v>
      </c>
      <c r="BB86" s="1122">
        <f t="shared" si="110"/>
        <v>0</v>
      </c>
      <c r="BC86" s="1122">
        <f t="shared" si="110"/>
        <v>0</v>
      </c>
      <c r="BD86" s="1122">
        <f t="shared" si="110"/>
        <v>0</v>
      </c>
      <c r="BE86" s="1122">
        <f t="shared" si="110"/>
        <v>0</v>
      </c>
      <c r="BF86" s="1122">
        <f t="shared" si="110"/>
        <v>0</v>
      </c>
      <c r="BG86" s="1122">
        <f t="shared" si="110"/>
        <v>0</v>
      </c>
      <c r="BH86" s="1122">
        <f t="shared" si="110"/>
        <v>0</v>
      </c>
      <c r="BI86" s="1122">
        <f t="shared" si="110"/>
        <v>0</v>
      </c>
      <c r="BJ86" s="1122">
        <f t="shared" si="110"/>
        <v>0</v>
      </c>
      <c r="BK86" s="1122">
        <f t="shared" si="110"/>
        <v>0</v>
      </c>
      <c r="BL86" s="1122">
        <f t="shared" si="110"/>
        <v>0</v>
      </c>
      <c r="BM86" s="1122">
        <f t="shared" si="110"/>
        <v>0</v>
      </c>
      <c r="BN86" s="1122">
        <f t="shared" si="110"/>
        <v>0</v>
      </c>
      <c r="BO86" s="1122">
        <f t="shared" si="110"/>
        <v>0</v>
      </c>
      <c r="BP86" s="1122">
        <f t="shared" si="110"/>
        <v>0</v>
      </c>
      <c r="BQ86" s="1122">
        <f t="shared" si="110"/>
        <v>0</v>
      </c>
      <c r="BR86" s="1122">
        <f t="shared" si="110"/>
        <v>0</v>
      </c>
      <c r="BS86" s="1122">
        <f t="shared" si="110"/>
        <v>0</v>
      </c>
      <c r="BT86" s="1122">
        <f t="shared" si="110"/>
        <v>0</v>
      </c>
      <c r="BU86" s="1122">
        <f t="shared" si="110"/>
        <v>0</v>
      </c>
      <c r="BV86" s="1122">
        <f t="shared" si="110"/>
        <v>0</v>
      </c>
      <c r="BW86" s="1122">
        <f t="shared" si="110"/>
        <v>0</v>
      </c>
      <c r="BX86" s="1122">
        <f t="shared" si="110"/>
        <v>0</v>
      </c>
      <c r="BY86" s="1122">
        <f t="shared" si="110"/>
        <v>0</v>
      </c>
      <c r="BZ86" s="1122">
        <f t="shared" si="110"/>
        <v>0</v>
      </c>
      <c r="CA86" s="1122">
        <f t="shared" si="110"/>
        <v>0</v>
      </c>
      <c r="CB86" s="1122">
        <f t="shared" si="110"/>
        <v>0</v>
      </c>
      <c r="CC86" s="1122">
        <f t="shared" si="110"/>
        <v>0</v>
      </c>
      <c r="CD86" s="1122">
        <f t="shared" si="110"/>
        <v>0</v>
      </c>
      <c r="CE86" s="1122">
        <f t="shared" si="110"/>
        <v>0</v>
      </c>
      <c r="CF86" s="1122">
        <f t="shared" si="110"/>
        <v>0</v>
      </c>
      <c r="CG86" s="1122">
        <f t="shared" si="110"/>
        <v>0</v>
      </c>
      <c r="CH86" s="1122">
        <f t="shared" si="110"/>
        <v>0</v>
      </c>
      <c r="CI86" s="1122">
        <f t="shared" si="110"/>
        <v>0</v>
      </c>
      <c r="CJ86" s="1122">
        <f t="shared" si="110"/>
        <v>0</v>
      </c>
      <c r="CK86" s="1122">
        <f t="shared" si="110"/>
        <v>0</v>
      </c>
      <c r="CL86" s="1122">
        <f t="shared" si="110"/>
        <v>0</v>
      </c>
      <c r="CM86" s="1122">
        <f t="shared" si="110"/>
        <v>0</v>
      </c>
      <c r="CN86" s="1122">
        <f t="shared" si="110"/>
        <v>0</v>
      </c>
      <c r="CO86" s="1122">
        <f t="shared" si="110"/>
        <v>0</v>
      </c>
      <c r="CP86" s="1122">
        <f t="shared" si="110"/>
        <v>0</v>
      </c>
      <c r="CQ86" s="1122">
        <f t="shared" si="110"/>
        <v>0</v>
      </c>
      <c r="CR86" s="1122">
        <f t="shared" si="110"/>
        <v>0</v>
      </c>
      <c r="CS86" s="1122">
        <f t="shared" si="110"/>
        <v>0</v>
      </c>
      <c r="CT86" s="1122">
        <f t="shared" si="110"/>
        <v>0</v>
      </c>
      <c r="CU86" s="1122">
        <f t="shared" si="110"/>
        <v>0</v>
      </c>
      <c r="CV86" s="1122">
        <f t="shared" si="110"/>
        <v>0</v>
      </c>
      <c r="CW86" s="1122">
        <f t="shared" si="110"/>
        <v>0</v>
      </c>
      <c r="CX86" s="1122">
        <f t="shared" si="110"/>
        <v>0</v>
      </c>
      <c r="CY86" s="1122">
        <f t="shared" si="110"/>
        <v>0</v>
      </c>
      <c r="CZ86" s="1122">
        <f t="shared" si="110"/>
        <v>0</v>
      </c>
      <c r="DA86" s="1122">
        <f t="shared" si="110"/>
        <v>0</v>
      </c>
      <c r="DB86" s="1122">
        <f t="shared" si="110"/>
        <v>0</v>
      </c>
      <c r="DC86" s="1122">
        <f t="shared" si="110"/>
        <v>0</v>
      </c>
      <c r="DD86" s="1122">
        <f t="shared" si="110"/>
        <v>0</v>
      </c>
      <c r="DE86" s="1122">
        <f t="shared" si="110"/>
        <v>0</v>
      </c>
      <c r="DF86" s="1122">
        <f t="shared" si="110"/>
        <v>0</v>
      </c>
      <c r="DG86" s="1122">
        <f t="shared" si="110"/>
        <v>0</v>
      </c>
      <c r="DH86" s="1122">
        <f t="shared" si="110"/>
        <v>0</v>
      </c>
      <c r="DI86" s="1122">
        <f t="shared" si="110"/>
        <v>0</v>
      </c>
      <c r="DJ86" s="1122">
        <f t="shared" si="110"/>
        <v>0</v>
      </c>
      <c r="DK86" s="1122">
        <f t="shared" si="110"/>
        <v>0</v>
      </c>
      <c r="DL86" s="1122">
        <f t="shared" si="110"/>
        <v>0</v>
      </c>
      <c r="DM86" s="1122">
        <f t="shared" si="110"/>
        <v>0</v>
      </c>
      <c r="DN86" s="1122">
        <f t="shared" si="110"/>
        <v>0</v>
      </c>
      <c r="DO86" s="1122">
        <f t="shared" si="110"/>
        <v>0</v>
      </c>
      <c r="DP86" s="1122">
        <f t="shared" si="110"/>
        <v>0</v>
      </c>
      <c r="DQ86" s="1122">
        <f t="shared" si="110"/>
        <v>0</v>
      </c>
      <c r="DR86" s="1122">
        <f t="shared" si="110"/>
        <v>0</v>
      </c>
      <c r="DS86" s="1122">
        <f t="shared" si="110"/>
        <v>0</v>
      </c>
      <c r="DT86" s="1122">
        <f t="shared" si="110"/>
        <v>0</v>
      </c>
      <c r="DU86" s="1122">
        <f t="shared" si="110"/>
        <v>0</v>
      </c>
      <c r="DV86" s="1122">
        <f t="shared" si="110"/>
        <v>0</v>
      </c>
      <c r="DW86" s="1122">
        <f t="shared" si="110"/>
        <v>0</v>
      </c>
      <c r="DX86" s="1122">
        <f t="shared" si="110"/>
        <v>0</v>
      </c>
      <c r="DY86" s="1122">
        <f t="shared" ref="DY86:EJ86" si="111">SUM(DY84:DY85)</f>
        <v>0</v>
      </c>
      <c r="DZ86" s="1122">
        <f t="shared" si="111"/>
        <v>0</v>
      </c>
      <c r="EA86" s="1122">
        <f t="shared" si="111"/>
        <v>0</v>
      </c>
      <c r="EB86" s="1122">
        <f t="shared" si="111"/>
        <v>0</v>
      </c>
      <c r="EC86" s="1122">
        <f t="shared" si="111"/>
        <v>0</v>
      </c>
      <c r="ED86" s="1122">
        <f t="shared" si="111"/>
        <v>0</v>
      </c>
      <c r="EE86" s="1122">
        <f t="shared" si="111"/>
        <v>0</v>
      </c>
      <c r="EF86" s="1122">
        <f t="shared" si="111"/>
        <v>0</v>
      </c>
      <c r="EG86" s="1122">
        <f t="shared" si="111"/>
        <v>0</v>
      </c>
      <c r="EH86" s="1122">
        <f t="shared" si="111"/>
        <v>0</v>
      </c>
      <c r="EI86" s="1122">
        <f t="shared" si="111"/>
        <v>0</v>
      </c>
      <c r="EJ86" s="1123">
        <f t="shared" si="111"/>
        <v>0</v>
      </c>
    </row>
    <row r="87" spans="1:140" ht="15.75" customHeight="1" x14ac:dyDescent="0.25">
      <c r="A87" s="6"/>
      <c r="B87" s="384"/>
      <c r="C87" s="211"/>
      <c r="D87" s="405"/>
      <c r="E87" s="406"/>
      <c r="F87" s="358"/>
      <c r="G87" s="999"/>
      <c r="H87" s="1129"/>
      <c r="I87" s="1130"/>
      <c r="J87" s="1130"/>
      <c r="K87" s="1130"/>
      <c r="L87" s="1130"/>
      <c r="M87" s="1130"/>
      <c r="N87" s="1130"/>
      <c r="O87" s="1130"/>
      <c r="P87" s="1130"/>
      <c r="Q87" s="1130"/>
      <c r="R87" s="1130"/>
      <c r="S87" s="1154"/>
      <c r="T87" s="1130"/>
      <c r="U87" s="1130"/>
      <c r="V87" s="1130"/>
      <c r="W87" s="1130"/>
      <c r="X87" s="1130"/>
      <c r="Y87" s="1130"/>
      <c r="Z87" s="1130"/>
      <c r="AA87" s="1130"/>
      <c r="AB87" s="1130"/>
      <c r="AC87" s="1130"/>
      <c r="AD87" s="1130"/>
      <c r="AE87" s="1154"/>
      <c r="AF87" s="1130"/>
      <c r="AG87" s="1130"/>
      <c r="AH87" s="1130"/>
      <c r="AI87" s="1130"/>
      <c r="AJ87" s="1130"/>
      <c r="AK87" s="1130"/>
      <c r="AL87" s="1130"/>
      <c r="AM87" s="1130"/>
      <c r="AN87" s="1130"/>
      <c r="AO87" s="1130"/>
      <c r="AP87" s="1130"/>
      <c r="AQ87" s="1130"/>
      <c r="AR87" s="1130"/>
      <c r="AS87" s="1130"/>
      <c r="AT87" s="1130"/>
      <c r="AU87" s="1130"/>
      <c r="AV87" s="1130"/>
      <c r="AW87" s="1130"/>
      <c r="AX87" s="1130"/>
      <c r="AY87" s="1130"/>
      <c r="AZ87" s="1130"/>
      <c r="BA87" s="1130"/>
      <c r="BB87" s="1130"/>
      <c r="BC87" s="1130"/>
      <c r="BD87" s="1130"/>
      <c r="BE87" s="1130"/>
      <c r="BF87" s="1130"/>
      <c r="BG87" s="1130"/>
      <c r="BH87" s="1130"/>
      <c r="BI87" s="1130"/>
      <c r="BJ87" s="1130"/>
      <c r="BK87" s="1130"/>
      <c r="BL87" s="1130"/>
      <c r="BM87" s="1130"/>
      <c r="BN87" s="1130"/>
      <c r="BO87" s="1130"/>
      <c r="BP87" s="1130"/>
      <c r="BQ87" s="1130"/>
      <c r="BR87" s="1130"/>
      <c r="BS87" s="1130"/>
      <c r="BT87" s="1130"/>
      <c r="BU87" s="1130"/>
      <c r="BV87" s="1130"/>
      <c r="BW87" s="1130"/>
      <c r="BX87" s="1130"/>
      <c r="BY87" s="1130"/>
      <c r="BZ87" s="1130"/>
      <c r="CA87" s="1130"/>
      <c r="CB87" s="1130"/>
      <c r="CC87" s="1130"/>
      <c r="CD87" s="1130"/>
      <c r="CE87" s="1130"/>
      <c r="CF87" s="1130"/>
      <c r="CG87" s="1130"/>
      <c r="CH87" s="1130"/>
      <c r="CI87" s="1130"/>
      <c r="CJ87" s="1130"/>
      <c r="CK87" s="1130"/>
      <c r="CL87" s="1130"/>
      <c r="CM87" s="1130"/>
      <c r="CN87" s="1130"/>
      <c r="CO87" s="1130"/>
      <c r="CP87" s="1130"/>
      <c r="CQ87" s="1130"/>
      <c r="CR87" s="1130"/>
      <c r="CS87" s="1130"/>
      <c r="CT87" s="1130"/>
      <c r="CU87" s="1130"/>
      <c r="CV87" s="1130"/>
      <c r="CW87" s="1130"/>
      <c r="CX87" s="1130"/>
      <c r="CY87" s="1130"/>
      <c r="CZ87" s="1130"/>
      <c r="DA87" s="1130"/>
      <c r="DB87" s="1130"/>
      <c r="DC87" s="1130"/>
      <c r="DD87" s="1130"/>
      <c r="DE87" s="1130"/>
      <c r="DF87" s="1130"/>
      <c r="DG87" s="1130"/>
      <c r="DH87" s="1130"/>
      <c r="DI87" s="1130"/>
      <c r="DJ87" s="1130"/>
      <c r="DK87" s="1130"/>
      <c r="DL87" s="1130"/>
      <c r="DM87" s="1130"/>
      <c r="DN87" s="1130"/>
      <c r="DO87" s="1130"/>
      <c r="DP87" s="1130"/>
      <c r="DQ87" s="1130"/>
      <c r="DR87" s="1130"/>
      <c r="DS87" s="1130"/>
      <c r="DT87" s="1130"/>
      <c r="DU87" s="1130"/>
      <c r="DV87" s="1130"/>
      <c r="DW87" s="1130"/>
      <c r="DX87" s="1130"/>
      <c r="DY87" s="1130"/>
      <c r="DZ87" s="1130"/>
      <c r="EA87" s="1130"/>
      <c r="EB87" s="1130"/>
      <c r="EC87" s="1130"/>
      <c r="ED87" s="1130"/>
      <c r="EE87" s="1130"/>
      <c r="EF87" s="1130"/>
      <c r="EG87" s="1130"/>
      <c r="EH87" s="1130"/>
      <c r="EI87" s="1130"/>
      <c r="EJ87" s="1131"/>
    </row>
    <row r="88" spans="1:140" ht="15.75" customHeight="1" x14ac:dyDescent="0.25">
      <c r="A88" s="6"/>
      <c r="B88" s="384" t="s">
        <v>165</v>
      </c>
      <c r="C88" s="407" t="s">
        <v>309</v>
      </c>
      <c r="D88" s="398" t="s">
        <v>310</v>
      </c>
      <c r="E88" s="398" t="s">
        <v>311</v>
      </c>
      <c r="F88" s="358"/>
      <c r="G88" s="999"/>
      <c r="H88" s="1129"/>
      <c r="I88" s="1130"/>
      <c r="J88" s="1130"/>
      <c r="K88" s="1130"/>
      <c r="L88" s="1130"/>
      <c r="M88" s="1130"/>
      <c r="N88" s="1130"/>
      <c r="O88" s="1130"/>
      <c r="P88" s="1130"/>
      <c r="Q88" s="1130"/>
      <c r="R88" s="1130"/>
      <c r="S88" s="1154"/>
      <c r="T88" s="1130"/>
      <c r="U88" s="1130"/>
      <c r="V88" s="1130"/>
      <c r="W88" s="1130"/>
      <c r="X88" s="1130"/>
      <c r="Y88" s="1130"/>
      <c r="Z88" s="1130"/>
      <c r="AA88" s="1130"/>
      <c r="AB88" s="1130"/>
      <c r="AC88" s="1130"/>
      <c r="AD88" s="1130"/>
      <c r="AE88" s="1154"/>
      <c r="AF88" s="1130"/>
      <c r="AG88" s="1130"/>
      <c r="AH88" s="1130"/>
      <c r="AI88" s="1130"/>
      <c r="AJ88" s="1130"/>
      <c r="AK88" s="1130"/>
      <c r="AL88" s="1130"/>
      <c r="AM88" s="1130"/>
      <c r="AN88" s="1130"/>
      <c r="AO88" s="1130"/>
      <c r="AP88" s="1130"/>
      <c r="AQ88" s="1130"/>
      <c r="AR88" s="1130"/>
      <c r="AS88" s="1130"/>
      <c r="AT88" s="1130"/>
      <c r="AU88" s="1130"/>
      <c r="AV88" s="1130"/>
      <c r="AW88" s="1130"/>
      <c r="AX88" s="1130"/>
      <c r="AY88" s="1130"/>
      <c r="AZ88" s="1130"/>
      <c r="BA88" s="1130"/>
      <c r="BB88" s="1130"/>
      <c r="BC88" s="1130"/>
      <c r="BD88" s="1130"/>
      <c r="BE88" s="1130"/>
      <c r="BF88" s="1130"/>
      <c r="BG88" s="1130"/>
      <c r="BH88" s="1130"/>
      <c r="BI88" s="1130"/>
      <c r="BJ88" s="1130"/>
      <c r="BK88" s="1130"/>
      <c r="BL88" s="1130"/>
      <c r="BM88" s="1130"/>
      <c r="BN88" s="1130"/>
      <c r="BO88" s="1130"/>
      <c r="BP88" s="1130"/>
      <c r="BQ88" s="1130"/>
      <c r="BR88" s="1130"/>
      <c r="BS88" s="1130"/>
      <c r="BT88" s="1130"/>
      <c r="BU88" s="1130"/>
      <c r="BV88" s="1130"/>
      <c r="BW88" s="1130"/>
      <c r="BX88" s="1130"/>
      <c r="BY88" s="1130"/>
      <c r="BZ88" s="1130"/>
      <c r="CA88" s="1130"/>
      <c r="CB88" s="1130"/>
      <c r="CC88" s="1130"/>
      <c r="CD88" s="1130"/>
      <c r="CE88" s="1130"/>
      <c r="CF88" s="1130"/>
      <c r="CG88" s="1130"/>
      <c r="CH88" s="1130"/>
      <c r="CI88" s="1130"/>
      <c r="CJ88" s="1130"/>
      <c r="CK88" s="1130"/>
      <c r="CL88" s="1130"/>
      <c r="CM88" s="1130"/>
      <c r="CN88" s="1130"/>
      <c r="CO88" s="1130"/>
      <c r="CP88" s="1130"/>
      <c r="CQ88" s="1130"/>
      <c r="CR88" s="1130"/>
      <c r="CS88" s="1130"/>
      <c r="CT88" s="1130"/>
      <c r="CU88" s="1130"/>
      <c r="CV88" s="1130"/>
      <c r="CW88" s="1130"/>
      <c r="CX88" s="1130"/>
      <c r="CY88" s="1130"/>
      <c r="CZ88" s="1130"/>
      <c r="DA88" s="1130"/>
      <c r="DB88" s="1130"/>
      <c r="DC88" s="1130"/>
      <c r="DD88" s="1130"/>
      <c r="DE88" s="1130"/>
      <c r="DF88" s="1130"/>
      <c r="DG88" s="1130"/>
      <c r="DH88" s="1130"/>
      <c r="DI88" s="1130"/>
      <c r="DJ88" s="1130"/>
      <c r="DK88" s="1130"/>
      <c r="DL88" s="1130"/>
      <c r="DM88" s="1130"/>
      <c r="DN88" s="1130"/>
      <c r="DO88" s="1130"/>
      <c r="DP88" s="1130"/>
      <c r="DQ88" s="1130"/>
      <c r="DR88" s="1130"/>
      <c r="DS88" s="1130"/>
      <c r="DT88" s="1130"/>
      <c r="DU88" s="1130"/>
      <c r="DV88" s="1130"/>
      <c r="DW88" s="1130"/>
      <c r="DX88" s="1130"/>
      <c r="DY88" s="1130"/>
      <c r="DZ88" s="1130"/>
      <c r="EA88" s="1130"/>
      <c r="EB88" s="1130"/>
      <c r="EC88" s="1130"/>
      <c r="ED88" s="1130"/>
      <c r="EE88" s="1130"/>
      <c r="EF88" s="1130"/>
      <c r="EG88" s="1130"/>
      <c r="EH88" s="1130"/>
      <c r="EI88" s="1130"/>
      <c r="EJ88" s="1131"/>
    </row>
    <row r="89" spans="1:140" ht="15.75" customHeight="1" x14ac:dyDescent="0.25">
      <c r="A89" s="6"/>
      <c r="B89" s="364" t="str">
        <f>'Dev Costs'!B21</f>
        <v>Soft Costs</v>
      </c>
      <c r="C89" s="398">
        <f>EOMONTH($D$81,E89-1)</f>
        <v>46418</v>
      </c>
      <c r="D89" s="408">
        <v>9</v>
      </c>
      <c r="E89" s="409">
        <v>1</v>
      </c>
      <c r="F89" s="358"/>
      <c r="G89" s="1086">
        <f t="shared" ref="G89:G90" si="112">SUM(H89:DX89)</f>
        <v>2382808.7651749132</v>
      </c>
      <c r="H89" s="1115">
        <f>IFERROR(IF(AND($D89=1,$C89=H$3),'Dev Costs'!$C$54,(IF(AND(H$3&lt;EDATE($C89,$D89),H$3&gt;=$C89),IF($F89= "",'Dev Costs'!$C$54/$D89,('Dev Costs'!$C$54)*H$75),0))),0)</f>
        <v>0</v>
      </c>
      <c r="I89" s="599">
        <f>IFERROR(IF(AND($D89=1,$C89=I$3),'Dev Costs'!$C$54,(IF(AND(I$3&lt;EDATE($C89,$D89),I$3&gt;=$C89),IF($F89= "",'Dev Costs'!$C$54/$D89,('Dev Costs'!$C$54)*I$75),0))),0)</f>
        <v>264756.52946387924</v>
      </c>
      <c r="J89" s="599">
        <f>IFERROR(IF(AND($D89=1,$C89=J$3),'Dev Costs'!$C$54,(IF(AND(J$3&lt;EDATE($C89,$D89),J$3&gt;=$C89),IF($F89= "",'Dev Costs'!$C$54/$D89,('Dev Costs'!$C$54)*J$75),0))),0)</f>
        <v>264756.52946387924</v>
      </c>
      <c r="K89" s="599">
        <f>IFERROR(IF(AND($D89=1,$C89=K$3),'Dev Costs'!$C$54,(IF(AND(K$3&lt;EDATE($C89,$D89),K$3&gt;=$C89),IF($F89= "",'Dev Costs'!$C$54/$D89,('Dev Costs'!$C$54)*K$75),0))),0)</f>
        <v>264756.52946387924</v>
      </c>
      <c r="L89" s="599">
        <f>IFERROR(IF(AND($D89=1,$C89=L$3),'Dev Costs'!$C$54,(IF(AND(L$3&lt;EDATE($C89,$D89),L$3&gt;=$C89),IF($F89= "",'Dev Costs'!$C$54/$D89,('Dev Costs'!$C$54)*L$75),0))),0)</f>
        <v>264756.52946387924</v>
      </c>
      <c r="M89" s="599">
        <f>IFERROR(IF(AND($D89=1,$C89=M$3),'Dev Costs'!$C$54,(IF(AND(M$3&lt;EDATE($C89,$D89),M$3&gt;=$C89),IF($F89= "",'Dev Costs'!$C$54/$D89,('Dev Costs'!$C$54)*M$75),0))),0)</f>
        <v>264756.52946387924</v>
      </c>
      <c r="N89" s="599">
        <f>IFERROR(IF(AND($D89=1,$C89=N$3),'Dev Costs'!$C$54,(IF(AND(N$3&lt;EDATE($C89,$D89),N$3&gt;=$C89),IF($F89= "",'Dev Costs'!$C$54/$D89,('Dev Costs'!$C$54)*N$75),0))),0)</f>
        <v>264756.52946387924</v>
      </c>
      <c r="O89" s="599">
        <f>IFERROR(IF(AND($D89=1,$C89=O$3),'Dev Costs'!$C$54,(IF(AND(O$3&lt;EDATE($C89,$D89),O$3&gt;=$C89),IF($F89= "",'Dev Costs'!$C$54/$D89,('Dev Costs'!$C$54)*O$75),0))),0)</f>
        <v>264756.52946387924</v>
      </c>
      <c r="P89" s="599">
        <f>IFERROR(IF(AND($D89=1,$C89=P$3),'Dev Costs'!$C$54,(IF(AND(P$3&lt;EDATE($C89,$D89),P$3&gt;=$C89),IF($F89= "",'Dev Costs'!$C$54/$D89,('Dev Costs'!$C$54)*P$75),0))),0)</f>
        <v>264756.52946387924</v>
      </c>
      <c r="Q89" s="599">
        <f>IFERROR(IF(AND($D89=1,$C89=Q$3),'Dev Costs'!$C$54,(IF(AND(Q$3&lt;EDATE($C89,$D89),Q$3&gt;=$C89),IF($F89= "",'Dev Costs'!$C$54/$D89,('Dev Costs'!$C$54)*Q$75),0))),0)</f>
        <v>264756.52946387924</v>
      </c>
      <c r="R89" s="599">
        <f>IFERROR(IF(AND($D89=1,$C89=R$3),'Dev Costs'!$C$54,(IF(AND(R$3&lt;EDATE($C89,$D89),R$3&gt;=$C89),IF($F89= "",'Dev Costs'!$C$54/$D89,('Dev Costs'!$C$54)*R$75),0))),0)</f>
        <v>0</v>
      </c>
      <c r="S89" s="599">
        <f>IFERROR(IF(AND($D89=1,$C89=S$3),'Dev Costs'!$C$54,(IF(AND(S$3&lt;EDATE($C89,$D89),S$3&gt;=$C89),IF($F89= "",'Dev Costs'!$C$54/$D89,('Dev Costs'!$C$54)*S$75),0))),0)</f>
        <v>0</v>
      </c>
      <c r="T89" s="599">
        <f>IFERROR(IF(AND($D89=1,$C89=T$3),'Dev Costs'!$C$54,(IF(AND(T$3&lt;EDATE($C89,$D89),T$3&gt;=$C89),IF($F89= "",'Dev Costs'!$C$54/$D89,('Dev Costs'!$C$54)*T$75),0))),0)</f>
        <v>0</v>
      </c>
      <c r="U89" s="599">
        <f>IFERROR(IF(AND($D89=1,$C89=U$3),'Dev Costs'!$C$54,(IF(AND(U$3&lt;EDATE($C89,$D89),U$3&gt;=$C89),IF($F89= "",'Dev Costs'!$C$54/$D89,('Dev Costs'!$C$54)*U$75),0))),0)</f>
        <v>0</v>
      </c>
      <c r="V89" s="599">
        <f>IFERROR(IF(AND($D89=1,$C89=V$3),'Dev Costs'!$C$54,(IF(AND(V$3&lt;EDATE($C89,$D89),V$3&gt;=$C89),IF($F89= "",'Dev Costs'!$C$54/$D89,('Dev Costs'!$C$54)*V$75),0))),0)</f>
        <v>0</v>
      </c>
      <c r="W89" s="599">
        <f>IFERROR(IF(AND($D89=1,$C89=W$3),'Dev Costs'!$C$54,(IF(AND(W$3&lt;EDATE($C89,$D89),W$3&gt;=$C89),IF($F89= "",'Dev Costs'!$C$54/$D89,('Dev Costs'!$C$54)*W$75),0))),0)</f>
        <v>0</v>
      </c>
      <c r="X89" s="599">
        <f>IFERROR(IF(AND($D89=1,$C89=X$3),'Dev Costs'!$C$54,(IF(AND(X$3&lt;EDATE($C89,$D89),X$3&gt;=$C89),IF($F89= "",'Dev Costs'!$C$54/$D89,('Dev Costs'!$C$54)*X$75),0))),0)</f>
        <v>0</v>
      </c>
      <c r="Y89" s="599">
        <f>IFERROR(IF(AND($D89=1,$C89=Y$3),'Dev Costs'!$C$54,(IF(AND(Y$3&lt;EDATE($C89,$D89),Y$3&gt;=$C89),IF($F89= "",'Dev Costs'!$C$54/$D89,('Dev Costs'!$C$54)*Y$75),0))),0)</f>
        <v>0</v>
      </c>
      <c r="Z89" s="599">
        <f>IFERROR(IF(AND($D89=1,$C89=Z$3),'Dev Costs'!$C$54,(IF(AND(Z$3&lt;EDATE($C89,$D89),Z$3&gt;=$C89),IF($F89= "",'Dev Costs'!$C$54/$D89,('Dev Costs'!$C$54)*Z$75),0))),0)</f>
        <v>0</v>
      </c>
      <c r="AA89" s="599">
        <f>IFERROR(IF(AND($D89=1,$C89=AA$3),'Dev Costs'!$C$54,(IF(AND(AA$3&lt;EDATE($C89,$D89),AA$3&gt;=$C89),IF($F89= "",'Dev Costs'!$C$54/$D89,('Dev Costs'!$C$54)*AA$75),0))),0)</f>
        <v>0</v>
      </c>
      <c r="AB89" s="599">
        <f>IFERROR(IF(AND($D89=1,$C89=AB$3),'Dev Costs'!$C$54,(IF(AND(AB$3&lt;EDATE($C89,$D89),AB$3&gt;=$C89),IF($F89= "",'Dev Costs'!$C$54/$D89,('Dev Costs'!$C$54)*AB$75),0))),0)</f>
        <v>0</v>
      </c>
      <c r="AC89" s="599">
        <f>IFERROR(IF(AND($D89=1,$C89=AC$3),'Dev Costs'!$C$54,(IF(AND(AC$3&lt;EDATE($C89,$D89),AC$3&gt;=$C89),IF($F89= "",'Dev Costs'!$C$54/$D89,('Dev Costs'!$C$54)*AC$75),0))),0)</f>
        <v>0</v>
      </c>
      <c r="AD89" s="599">
        <f>IFERROR(IF(AND($D89=1,$C89=AD$3),'Dev Costs'!$C$54,(IF(AND(AD$3&lt;EDATE($C89,$D89),AD$3&gt;=$C89),IF($F89= "",'Dev Costs'!$C$54/$D89,('Dev Costs'!$C$54)*AD$75),0))),0)</f>
        <v>0</v>
      </c>
      <c r="AE89" s="599">
        <f>IFERROR(IF(AND($D89=1,$C89=AE$3),'Dev Costs'!$C$54,(IF(AND(AE$3&lt;EDATE($C89,$D89),AE$3&gt;=$C89),IF($F89= "",'Dev Costs'!$C$54/$D89,('Dev Costs'!$C$54)*AE$75),0))),0)</f>
        <v>0</v>
      </c>
      <c r="AF89" s="599">
        <f>IFERROR(IF(AND($D89=1,$C89=AF$3),'Dev Costs'!$C$54,(IF(AND(AF$3&lt;EDATE($C89,$D89),AF$3&gt;=$C89),IF($F89= "",'Dev Costs'!$C$54/$D89,('Dev Costs'!$C$54)*AF$75),0))),0)</f>
        <v>0</v>
      </c>
      <c r="AG89" s="599">
        <f>IFERROR(IF(AND($D89=1,$C89=AG$3),'Dev Costs'!$C$54,(IF(AND(AG$3&lt;EDATE($C89,$D89),AG$3&gt;=$C89),IF($F89= "",'Dev Costs'!$C$54/$D89,('Dev Costs'!$C$54)*AG$75),0))),0)</f>
        <v>0</v>
      </c>
      <c r="AH89" s="599">
        <f>IFERROR(IF(AND($D89=1,$C89=AH$3),'Dev Costs'!$C$54,(IF(AND(AH$3&lt;EDATE($C89,$D89),AH$3&gt;=$C89),IF($F89= "",'Dev Costs'!$C$54/$D89,('Dev Costs'!$C$54)*AH$75),0))),0)</f>
        <v>0</v>
      </c>
      <c r="AI89" s="599">
        <f>IFERROR(IF(AND($D89=1,$C89=AI$3),'Dev Costs'!$C$54,(IF(AND(AI$3&lt;EDATE($C89,$D89),AI$3&gt;=$C89),IF($F89= "",'Dev Costs'!$C$54/$D89,('Dev Costs'!$C$54)*AI$75),0))),0)</f>
        <v>0</v>
      </c>
      <c r="AJ89" s="599">
        <f>IFERROR(IF(AND($D89=1,$C89=AJ$3),'Dev Costs'!$C$54,(IF(AND(AJ$3&lt;EDATE($C89,$D89),AJ$3&gt;=$C89),IF($F89= "",'Dev Costs'!$C$54/$D89,('Dev Costs'!$C$54)*AJ$75),0))),0)</f>
        <v>0</v>
      </c>
      <c r="AK89" s="599">
        <f>IFERROR(IF(AND($D89=1,$C89=AK$3),'Dev Costs'!$C$54,(IF(AND(AK$3&lt;EDATE($C89,$D89),AK$3&gt;=$C89),IF($F89= "",'Dev Costs'!$C$54/$D89,('Dev Costs'!$C$54)*AK$75),0))),0)</f>
        <v>0</v>
      </c>
      <c r="AL89" s="599">
        <f>IFERROR(IF(AND($D89=1,$C89=AL$3),'Dev Costs'!$C$54,(IF(AND(AL$3&lt;EDATE($C89,$D89),AL$3&gt;=$C89),IF($F89= "",'Dev Costs'!$C$54/$D89,('Dev Costs'!$C$54)*AL$75),0))),0)</f>
        <v>0</v>
      </c>
      <c r="AM89" s="599">
        <f>IFERROR(IF(AND($D89=1,$C89=AM$3),'Dev Costs'!$C$54,(IF(AND(AM$3&lt;EDATE($C89,$D89),AM$3&gt;=$C89),IF($F89= "",'Dev Costs'!$C$54/$D89,('Dev Costs'!$C$54)*AM$75),0))),0)</f>
        <v>0</v>
      </c>
      <c r="AN89" s="599">
        <f>IFERROR(IF(AND($D89=1,$C89=AN$3),'Dev Costs'!$C$54,(IF(AND(AN$3&lt;EDATE($C89,$D89),AN$3&gt;=$C89),IF($F89= "",'Dev Costs'!$C$54/$D89,('Dev Costs'!$C$54)*AN$75),0))),0)</f>
        <v>0</v>
      </c>
      <c r="AO89" s="599">
        <f>IFERROR(IF(AND($D89=1,$C89=AO$3),'Dev Costs'!$C$54,(IF(AND(AO$3&lt;EDATE($C89,$D89),AO$3&gt;=$C89),IF($F89= "",'Dev Costs'!$C$54/$D89,('Dev Costs'!$C$54)*AO$75),0))),0)</f>
        <v>0</v>
      </c>
      <c r="AP89" s="599">
        <f>IFERROR(IF(AND($D89=1,$C89=AP$3),'Dev Costs'!$C$54,(IF(AND(AP$3&lt;EDATE($C89,$D89),AP$3&gt;=$C89),IF($F89= "",'Dev Costs'!$C$54/$D89,('Dev Costs'!$C$54)*AP$75),0))),0)</f>
        <v>0</v>
      </c>
      <c r="AQ89" s="599">
        <f>IFERROR(IF(AND($D89=1,$C89=AQ$3),'Dev Costs'!$C$54,(IF(AND(AQ$3&lt;EDATE($C89,$D89),AQ$3&gt;=$C89),IF($F89= "",'Dev Costs'!$C$54/$D89,('Dev Costs'!$C$54)*AQ$75),0))),0)</f>
        <v>0</v>
      </c>
      <c r="AR89" s="599">
        <f>IFERROR(IF(AND($D89=1,$C89=AR$3),'Dev Costs'!$C$54,(IF(AND(AR$3&lt;EDATE($C89,$D89),AR$3&gt;=$C89),IF($F89= "",'Dev Costs'!$C$54/$D89,('Dev Costs'!$C$54)*AR$75),0))),0)</f>
        <v>0</v>
      </c>
      <c r="AS89" s="599">
        <f>IFERROR(IF(AND($D89=1,$C89=AS$3),'Dev Costs'!$C$54,(IF(AND(AS$3&lt;EDATE($C89,$D89),AS$3&gt;=$C89),IF($F89= "",'Dev Costs'!$C$54/$D89,('Dev Costs'!$C$54)*AS$75),0))),0)</f>
        <v>0</v>
      </c>
      <c r="AT89" s="599">
        <f>IFERROR(IF(AND($D89=1,$C89=AT$3),'Dev Costs'!$C$54,(IF(AND(AT$3&lt;EDATE($C89,$D89),AT$3&gt;=$C89),IF($F89= "",'Dev Costs'!$C$54/$D89,('Dev Costs'!$C$54)*AT$75),0))),0)</f>
        <v>0</v>
      </c>
      <c r="AU89" s="599">
        <f>IFERROR(IF(AND($D89=1,$C89=AU$3),'Dev Costs'!$C$54,(IF(AND(AU$3&lt;EDATE($C89,$D89),AU$3&gt;=$C89),IF($F89= "",'Dev Costs'!$C$54/$D89,('Dev Costs'!$C$54)*AU$75),0))),0)</f>
        <v>0</v>
      </c>
      <c r="AV89" s="599">
        <f>IFERROR(IF(AND($D89=1,$C89=AV$3),'Dev Costs'!$C$54,(IF(AND(AV$3&lt;EDATE($C89,$D89),AV$3&gt;=$C89),IF($F89= "",'Dev Costs'!$C$54/$D89,('Dev Costs'!$C$54)*AV$75),0))),0)</f>
        <v>0</v>
      </c>
      <c r="AW89" s="599">
        <f>IFERROR(IF(AND($D89=1,$C89=AW$3),'Dev Costs'!$C$54,(IF(AND(AW$3&lt;EDATE($C89,$D89),AW$3&gt;=$C89),IF($F89= "",'Dev Costs'!$C$54/$D89,('Dev Costs'!$C$54)*AW$75),0))),0)</f>
        <v>0</v>
      </c>
      <c r="AX89" s="599">
        <f>IFERROR(IF(AND($D89=1,$C89=AX$3),'Dev Costs'!$C$54,(IF(AND(AX$3&lt;EDATE($C89,$D89),AX$3&gt;=$C89),IF($F89= "",'Dev Costs'!$C$54/$D89,('Dev Costs'!$C$54)*AX$75),0))),0)</f>
        <v>0</v>
      </c>
      <c r="AY89" s="599">
        <f>IFERROR(IF(AND($D89=1,$C89=AY$3),'Dev Costs'!$C$54,(IF(AND(AY$3&lt;EDATE($C89,$D89),AY$3&gt;=$C89),IF($F89= "",'Dev Costs'!$C$54/$D89,('Dev Costs'!$C$54)*AY$75),0))),0)</f>
        <v>0</v>
      </c>
      <c r="AZ89" s="599">
        <f>IFERROR(IF(AND($D89=1,$C89=AZ$3),'Dev Costs'!$C$54,(IF(AND(AZ$3&lt;EDATE($C89,$D89),AZ$3&gt;=$C89),IF($F89= "",'Dev Costs'!$C$54/$D89,('Dev Costs'!$C$54)*AZ$75),0))),0)</f>
        <v>0</v>
      </c>
      <c r="BA89" s="599">
        <f>IFERROR(IF(AND($D89=1,$C89=BA$3),'Dev Costs'!$C$54,(IF(AND(BA$3&lt;EDATE($C89,$D89),BA$3&gt;=$C89),IF($F89= "",'Dev Costs'!$C$54/$D89,('Dev Costs'!$C$54)*BA$75),0))),0)</f>
        <v>0</v>
      </c>
      <c r="BB89" s="599">
        <f>IFERROR(IF(AND($D89=1,$C89=BB$3),'Dev Costs'!$C$54,(IF(AND(BB$3&lt;EDATE($C89,$D89),BB$3&gt;=$C89),IF($F89= "",'Dev Costs'!$C$54/$D89,('Dev Costs'!$C$54)*BB$75),0))),0)</f>
        <v>0</v>
      </c>
      <c r="BC89" s="599">
        <f>IFERROR(IF(AND($D89=1,$C89=BC$3),'Dev Costs'!$C$54,(IF(AND(BC$3&lt;EDATE($C89,$D89),BC$3&gt;=$C89),IF($F89= "",'Dev Costs'!$C$54/$D89,('Dev Costs'!$C$54)*BC$75),0))),0)</f>
        <v>0</v>
      </c>
      <c r="BD89" s="599">
        <f>IFERROR(IF(AND($D89=1,$C89=BD$3),'Dev Costs'!$C$54,(IF(AND(BD$3&lt;EDATE($C89,$D89),BD$3&gt;=$C89),IF($F89= "",'Dev Costs'!$C$54/$D89,('Dev Costs'!$C$54)*BD$75),0))),0)</f>
        <v>0</v>
      </c>
      <c r="BE89" s="599">
        <f>IFERROR(IF(AND($D89=1,$C89=BE$3),'Dev Costs'!$C$54,(IF(AND(BE$3&lt;EDATE($C89,$D89),BE$3&gt;=$C89),IF($F89= "",'Dev Costs'!$C$54/$D89,('Dev Costs'!$C$54)*BE$75),0))),0)</f>
        <v>0</v>
      </c>
      <c r="BF89" s="599">
        <f>IFERROR(IF(AND($D89=1,$C89=BF$3),'Dev Costs'!$C$54,(IF(AND(BF$3&lt;EDATE($C89,$D89),BF$3&gt;=$C89),IF($F89= "",'Dev Costs'!$C$54/$D89,('Dev Costs'!$C$54)*BF$75),0))),0)</f>
        <v>0</v>
      </c>
      <c r="BG89" s="599">
        <f>IFERROR(IF(AND($D89=1,$C89=BG$3),'Dev Costs'!$C$54,(IF(AND(BG$3&lt;EDATE($C89,$D89),BG$3&gt;=$C89),IF($F89= "",'Dev Costs'!$C$54/$D89,('Dev Costs'!$C$54)*BG$75),0))),0)</f>
        <v>0</v>
      </c>
      <c r="BH89" s="599">
        <f>IFERROR(IF(AND($D89=1,$C89=BH$3),'Dev Costs'!$C$54,(IF(AND(BH$3&lt;EDATE($C89,$D89),BH$3&gt;=$C89),IF($F89= "",'Dev Costs'!$C$54/$D89,('Dev Costs'!$C$54)*BH$75),0))),0)</f>
        <v>0</v>
      </c>
      <c r="BI89" s="599">
        <f>IFERROR(IF(AND($D89=1,$C89=BI$3),'Dev Costs'!$C$54,(IF(AND(BI$3&lt;EDATE($C89,$D89),BI$3&gt;=$C89),IF($F89= "",'Dev Costs'!$C$54/$D89,('Dev Costs'!$C$54)*BI$75),0))),0)</f>
        <v>0</v>
      </c>
      <c r="BJ89" s="599">
        <f>IFERROR(IF(AND($D89=1,$C89=BJ$3),'Dev Costs'!$C$54,(IF(AND(BJ$3&lt;EDATE($C89,$D89),BJ$3&gt;=$C89),IF($F89= "",'Dev Costs'!$C$54/$D89,('Dev Costs'!$C$54)*BJ$75),0))),0)</f>
        <v>0</v>
      </c>
      <c r="BK89" s="599">
        <f>IFERROR(IF(AND($D89=1,$C89=BK$3),'Dev Costs'!$C$54,(IF(AND(BK$3&lt;EDATE($C89,$D89),BK$3&gt;=$C89),IF($F89= "",'Dev Costs'!$C$54/$D89,('Dev Costs'!$C$54)*BK$75),0))),0)</f>
        <v>0</v>
      </c>
      <c r="BL89" s="599">
        <f>IFERROR(IF(AND($D89=1,$C89=BL$3),'Dev Costs'!$C$54,(IF(AND(BL$3&lt;EDATE($C89,$D89),BL$3&gt;=$C89),IF($F89= "",'Dev Costs'!$C$54/$D89,('Dev Costs'!$C$54)*BL$75),0))),0)</f>
        <v>0</v>
      </c>
      <c r="BM89" s="599">
        <f>IFERROR(IF(AND($D89=1,$C89=BM$3),'Dev Costs'!$C$54,(IF(AND(BM$3&lt;EDATE($C89,$D89),BM$3&gt;=$C89),IF($F89= "",'Dev Costs'!$C$54/$D89,('Dev Costs'!$C$54)*BM$75),0))),0)</f>
        <v>0</v>
      </c>
      <c r="BN89" s="599">
        <f>IFERROR(IF(AND($D89=1,$C89=BN$3),'Dev Costs'!$C$54,(IF(AND(BN$3&lt;EDATE($C89,$D89),BN$3&gt;=$C89),IF($F89= "",'Dev Costs'!$C$54/$D89,('Dev Costs'!$C$54)*BN$75),0))),0)</f>
        <v>0</v>
      </c>
      <c r="BO89" s="599">
        <f>IFERROR(IF(AND($D89=1,$C89=BO$3),'Dev Costs'!$C$54,(IF(AND(BO$3&lt;EDATE($C89,$D89),BO$3&gt;=$C89),IF($F89= "",'Dev Costs'!$C$54/$D89,('Dev Costs'!$C$54)*BO$75),0))),0)</f>
        <v>0</v>
      </c>
      <c r="BP89" s="599">
        <f>IFERROR(IF(AND($D89=1,$C89=BP$3),'Dev Costs'!$C$54,(IF(AND(BP$3&lt;EDATE($C89,$D89),BP$3&gt;=$C89),IF($F89= "",'Dev Costs'!$C$54/$D89,('Dev Costs'!$C$54)*BP$75),0))),0)</f>
        <v>0</v>
      </c>
      <c r="BQ89" s="599">
        <f>IFERROR(IF(AND($D89=1,$C89=BQ$3),'Dev Costs'!$C$54,(IF(AND(BQ$3&lt;EDATE($C89,$D89),BQ$3&gt;=$C89),IF($F89= "",'Dev Costs'!$C$54/$D89,('Dev Costs'!$C$54)*BQ$75),0))),0)</f>
        <v>0</v>
      </c>
      <c r="BR89" s="599">
        <f>IFERROR(IF(AND($D89=1,$C89=BR$3),'Dev Costs'!$C$54,(IF(AND(BR$3&lt;EDATE($C89,$D89),BR$3&gt;=$C89),IF($F89= "",'Dev Costs'!$C$54/$D89,('Dev Costs'!$C$54)*BR$75),0))),0)</f>
        <v>0</v>
      </c>
      <c r="BS89" s="599">
        <f>IFERROR(IF(AND($D89=1,$C89=BS$3),'Dev Costs'!$C$54,(IF(AND(BS$3&lt;EDATE($C89,$D89),BS$3&gt;=$C89),IF($F89= "",'Dev Costs'!$C$54/$D89,('Dev Costs'!$C$54)*BS$75),0))),0)</f>
        <v>0</v>
      </c>
      <c r="BT89" s="599">
        <f>IFERROR(IF(AND($D89=1,$C89=BT$3),'Dev Costs'!$C$54,(IF(AND(BT$3&lt;EDATE($C89,$D89),BT$3&gt;=$C89),IF($F89= "",'Dev Costs'!$C$54/$D89,('Dev Costs'!$C$54)*BT$75),0))),0)</f>
        <v>0</v>
      </c>
      <c r="BU89" s="599">
        <f>IFERROR(IF(AND($D89=1,$C89=BU$3),'Dev Costs'!$C$54,(IF(AND(BU$3&lt;EDATE($C89,$D89),BU$3&gt;=$C89),IF($F89= "",'Dev Costs'!$C$54/$D89,('Dev Costs'!$C$54)*BU$75),0))),0)</f>
        <v>0</v>
      </c>
      <c r="BV89" s="599">
        <f>IFERROR(IF(AND($D89=1,$C89=BV$3),'Dev Costs'!$C$54,(IF(AND(BV$3&lt;EDATE($C89,$D89),BV$3&gt;=$C89),IF($F89= "",'Dev Costs'!$C$54/$D89,('Dev Costs'!$C$54)*BV$75),0))),0)</f>
        <v>0</v>
      </c>
      <c r="BW89" s="599">
        <f>IFERROR(IF(AND($D89=1,$C89=BW$3),'Dev Costs'!$C$54,(IF(AND(BW$3&lt;EDATE($C89,$D89),BW$3&gt;=$C89),IF($F89= "",'Dev Costs'!$C$54/$D89,('Dev Costs'!$C$54)*BW$75),0))),0)</f>
        <v>0</v>
      </c>
      <c r="BX89" s="599">
        <f>IFERROR(IF(AND($D89=1,$C89=BX$3),'Dev Costs'!$C$54,(IF(AND(BX$3&lt;EDATE($C89,$D89),BX$3&gt;=$C89),IF($F89= "",'Dev Costs'!$C$54/$D89,('Dev Costs'!$C$54)*BX$75),0))),0)</f>
        <v>0</v>
      </c>
      <c r="BY89" s="599">
        <f>IFERROR(IF(AND($D89=1,$C89=BY$3),'Dev Costs'!$C$54,(IF(AND(BY$3&lt;EDATE($C89,$D89),BY$3&gt;=$C89),IF($F89= "",'Dev Costs'!$C$54/$D89,('Dev Costs'!$C$54)*BY$75),0))),0)</f>
        <v>0</v>
      </c>
      <c r="BZ89" s="599">
        <f>IFERROR(IF(AND($D89=1,$C89=BZ$3),'Dev Costs'!$C$54,(IF(AND(BZ$3&lt;EDATE($C89,$D89),BZ$3&gt;=$C89),IF($F89= "",'Dev Costs'!$C$54/$D89,('Dev Costs'!$C$54)*BZ$75),0))),0)</f>
        <v>0</v>
      </c>
      <c r="CA89" s="599">
        <f>IFERROR(IF(AND($D89=1,$C89=CA$3),'Dev Costs'!$C$54,(IF(AND(CA$3&lt;EDATE($C89,$D89),CA$3&gt;=$C89),IF($F89= "",'Dev Costs'!$C$54/$D89,('Dev Costs'!$C$54)*CA$75),0))),0)</f>
        <v>0</v>
      </c>
      <c r="CB89" s="599">
        <f>IFERROR(IF(AND($D89=1,$C89=CB$3),'Dev Costs'!$C$54,(IF(AND(CB$3&lt;EDATE($C89,$D89),CB$3&gt;=$C89),IF($F89= "",'Dev Costs'!$C$54/$D89,('Dev Costs'!$C$54)*CB$75),0))),0)</f>
        <v>0</v>
      </c>
      <c r="CC89" s="599">
        <f>IFERROR(IF(AND($D89=1,$C89=CC$3),'Dev Costs'!$C$54,(IF(AND(CC$3&lt;EDATE($C89,$D89),CC$3&gt;=$C89),IF($F89= "",'Dev Costs'!$C$54/$D89,('Dev Costs'!$C$54)*CC$75),0))),0)</f>
        <v>0</v>
      </c>
      <c r="CD89" s="599">
        <f>IFERROR(IF(AND($D89=1,$C89=CD$3),'Dev Costs'!$C$54,(IF(AND(CD$3&lt;EDATE($C89,$D89),CD$3&gt;=$C89),IF($F89= "",'Dev Costs'!$C$54/$D89,('Dev Costs'!$C$54)*CD$75),0))),0)</f>
        <v>0</v>
      </c>
      <c r="CE89" s="599">
        <f>IFERROR(IF(AND($D89=1,$C89=CE$3),'Dev Costs'!$C$54,(IF(AND(CE$3&lt;EDATE($C89,$D89),CE$3&gt;=$C89),IF($F89= "",'Dev Costs'!$C$54/$D89,('Dev Costs'!$C$54)*CE$75),0))),0)</f>
        <v>0</v>
      </c>
      <c r="CF89" s="599">
        <f>IFERROR(IF(AND($D89=1,$C89=CF$3),'Dev Costs'!$C$54,(IF(AND(CF$3&lt;EDATE($C89,$D89),CF$3&gt;=$C89),IF($F89= "",'Dev Costs'!$C$54/$D89,('Dev Costs'!$C$54)*CF$75),0))),0)</f>
        <v>0</v>
      </c>
      <c r="CG89" s="599">
        <f>IFERROR(IF(AND($D89=1,$C89=CG$3),'Dev Costs'!$C$54,(IF(AND(CG$3&lt;EDATE($C89,$D89),CG$3&gt;=$C89),IF($F89= "",'Dev Costs'!$C$54/$D89,('Dev Costs'!$C$54)*CG$75),0))),0)</f>
        <v>0</v>
      </c>
      <c r="CH89" s="599">
        <f>IFERROR(IF(AND($D89=1,$C89=CH$3),'Dev Costs'!$C$54,(IF(AND(CH$3&lt;EDATE($C89,$D89),CH$3&gt;=$C89),IF($F89= "",'Dev Costs'!$C$54/$D89,('Dev Costs'!$C$54)*CH$75),0))),0)</f>
        <v>0</v>
      </c>
      <c r="CI89" s="599">
        <f>IFERROR(IF(AND($D89=1,$C89=CI$3),'Dev Costs'!$C$54,(IF(AND(CI$3&lt;EDATE($C89,$D89),CI$3&gt;=$C89),IF($F89= "",'Dev Costs'!$C$54/$D89,('Dev Costs'!$C$54)*CI$75),0))),0)</f>
        <v>0</v>
      </c>
      <c r="CJ89" s="599">
        <f>IFERROR(IF(AND($D89=1,$C89=CJ$3),'Dev Costs'!$C$54,(IF(AND(CJ$3&lt;EDATE($C89,$D89),CJ$3&gt;=$C89),IF($F89= "",'Dev Costs'!$C$54/$D89,('Dev Costs'!$C$54)*CJ$75),0))),0)</f>
        <v>0</v>
      </c>
      <c r="CK89" s="599">
        <f>IFERROR(IF(AND($D89=1,$C89=CK$3),'Dev Costs'!$C$54,(IF(AND(CK$3&lt;EDATE($C89,$D89),CK$3&gt;=$C89),IF($F89= "",'Dev Costs'!$C$54/$D89,('Dev Costs'!$C$54)*CK$75),0))),0)</f>
        <v>0</v>
      </c>
      <c r="CL89" s="599">
        <f>IFERROR(IF(AND($D89=1,$C89=CL$3),'Dev Costs'!$C$54,(IF(AND(CL$3&lt;EDATE($C89,$D89),CL$3&gt;=$C89),IF($F89= "",'Dev Costs'!$C$54/$D89,('Dev Costs'!$C$54)*CL$75),0))),0)</f>
        <v>0</v>
      </c>
      <c r="CM89" s="599">
        <f>IFERROR(IF(AND($D89=1,$C89=CM$3),'Dev Costs'!$C$54,(IF(AND(CM$3&lt;EDATE($C89,$D89),CM$3&gt;=$C89),IF($F89= "",'Dev Costs'!$C$54/$D89,('Dev Costs'!$C$54)*CM$75),0))),0)</f>
        <v>0</v>
      </c>
      <c r="CN89" s="599">
        <f>IFERROR(IF(AND($D89=1,$C89=CN$3),'Dev Costs'!$C$54,(IF(AND(CN$3&lt;EDATE($C89,$D89),CN$3&gt;=$C89),IF($F89= "",'Dev Costs'!$C$54/$D89,('Dev Costs'!$C$54)*CN$75),0))),0)</f>
        <v>0</v>
      </c>
      <c r="CO89" s="599">
        <f>IFERROR(IF(AND($D89=1,$C89=CO$3),'Dev Costs'!$C$54,(IF(AND(CO$3&lt;EDATE($C89,$D89),CO$3&gt;=$C89),IF($F89= "",'Dev Costs'!$C$54/$D89,('Dev Costs'!$C$54)*CO$75),0))),0)</f>
        <v>0</v>
      </c>
      <c r="CP89" s="599">
        <f>IFERROR(IF(AND($D89=1,$C89=CP$3),'Dev Costs'!$C$54,(IF(AND(CP$3&lt;EDATE($C89,$D89),CP$3&gt;=$C89),IF($F89= "",'Dev Costs'!$C$54/$D89,('Dev Costs'!$C$54)*CP$75),0))),0)</f>
        <v>0</v>
      </c>
      <c r="CQ89" s="599">
        <f>IFERROR(IF(AND($D89=1,$C89=CQ$3),'Dev Costs'!$C$54,(IF(AND(CQ$3&lt;EDATE($C89,$D89),CQ$3&gt;=$C89),IF($F89= "",'Dev Costs'!$C$54/$D89,('Dev Costs'!$C$54)*CQ$75),0))),0)</f>
        <v>0</v>
      </c>
      <c r="CR89" s="599">
        <f>IFERROR(IF(AND($D89=1,$C89=CR$3),'Dev Costs'!$C$54,(IF(AND(CR$3&lt;EDATE($C89,$D89),CR$3&gt;=$C89),IF($F89= "",'Dev Costs'!$C$54/$D89,('Dev Costs'!$C$54)*CR$75),0))),0)</f>
        <v>0</v>
      </c>
      <c r="CS89" s="599">
        <f>IFERROR(IF(AND($D89=1,$C89=CS$3),'Dev Costs'!$C$54,(IF(AND(CS$3&lt;EDATE($C89,$D89),CS$3&gt;=$C89),IF($F89= "",'Dev Costs'!$C$54/$D89,('Dev Costs'!$C$54)*CS$75),0))),0)</f>
        <v>0</v>
      </c>
      <c r="CT89" s="599">
        <f>IFERROR(IF(AND($D89=1,$C89=CT$3),'Dev Costs'!$C$54,(IF(AND(CT$3&lt;EDATE($C89,$D89),CT$3&gt;=$C89),IF($F89= "",'Dev Costs'!$C$54/$D89,('Dev Costs'!$C$54)*CT$75),0))),0)</f>
        <v>0</v>
      </c>
      <c r="CU89" s="599">
        <f>IFERROR(IF(AND($D89=1,$C89=CU$3),'Dev Costs'!$C$54,(IF(AND(CU$3&lt;EDATE($C89,$D89),CU$3&gt;=$C89),IF($F89= "",'Dev Costs'!$C$54/$D89,('Dev Costs'!$C$54)*CU$75),0))),0)</f>
        <v>0</v>
      </c>
      <c r="CV89" s="599">
        <f>IFERROR(IF(AND($D89=1,$C89=CV$3),'Dev Costs'!$C$54,(IF(AND(CV$3&lt;EDATE($C89,$D89),CV$3&gt;=$C89),IF($F89= "",'Dev Costs'!$C$54/$D89,('Dev Costs'!$C$54)*CV$75),0))),0)</f>
        <v>0</v>
      </c>
      <c r="CW89" s="599">
        <f>IFERROR(IF(AND($D89=1,$C89=CW$3),'Dev Costs'!$C$54,(IF(AND(CW$3&lt;EDATE($C89,$D89),CW$3&gt;=$C89),IF($F89= "",'Dev Costs'!$C$54/$D89,('Dev Costs'!$C$54)*CW$75),0))),0)</f>
        <v>0</v>
      </c>
      <c r="CX89" s="599">
        <f>IFERROR(IF(AND($D89=1,$C89=CX$3),'Dev Costs'!$C$54,(IF(AND(CX$3&lt;EDATE($C89,$D89),CX$3&gt;=$C89),IF($F89= "",'Dev Costs'!$C$54/$D89,('Dev Costs'!$C$54)*CX$75),0))),0)</f>
        <v>0</v>
      </c>
      <c r="CY89" s="599">
        <f>IFERROR(IF(AND($D89=1,$C89=CY$3),'Dev Costs'!$C$54,(IF(AND(CY$3&lt;EDATE($C89,$D89),CY$3&gt;=$C89),IF($F89= "",'Dev Costs'!$C$54/$D89,('Dev Costs'!$C$54)*CY$75),0))),0)</f>
        <v>0</v>
      </c>
      <c r="CZ89" s="599">
        <f>IFERROR(IF(AND($D89=1,$C89=CZ$3),'Dev Costs'!$C$54,(IF(AND(CZ$3&lt;EDATE($C89,$D89),CZ$3&gt;=$C89),IF($F89= "",'Dev Costs'!$C$54/$D89,('Dev Costs'!$C$54)*CZ$75),0))),0)</f>
        <v>0</v>
      </c>
      <c r="DA89" s="599">
        <f>IFERROR(IF(AND($D89=1,$C89=DA$3),'Dev Costs'!$C$54,(IF(AND(DA$3&lt;EDATE($C89,$D89),DA$3&gt;=$C89),IF($F89= "",'Dev Costs'!$C$54/$D89,('Dev Costs'!$C$54)*DA$75),0))),0)</f>
        <v>0</v>
      </c>
      <c r="DB89" s="599">
        <f>IFERROR(IF(AND($D89=1,$C89=DB$3),'Dev Costs'!$C$54,(IF(AND(DB$3&lt;EDATE($C89,$D89),DB$3&gt;=$C89),IF($F89= "",'Dev Costs'!$C$54/$D89,('Dev Costs'!$C$54)*DB$75),0))),0)</f>
        <v>0</v>
      </c>
      <c r="DC89" s="599">
        <f>IFERROR(IF(AND($D89=1,$C89=DC$3),'Dev Costs'!$C$54,(IF(AND(DC$3&lt;EDATE($C89,$D89),DC$3&gt;=$C89),IF($F89= "",'Dev Costs'!$C$54/$D89,('Dev Costs'!$C$54)*DC$75),0))),0)</f>
        <v>0</v>
      </c>
      <c r="DD89" s="599">
        <f>IFERROR(IF(AND($D89=1,$C89=DD$3),'Dev Costs'!$C$54,(IF(AND(DD$3&lt;EDATE($C89,$D89),DD$3&gt;=$C89),IF($F89= "",'Dev Costs'!$C$54/$D89,('Dev Costs'!$C$54)*DD$75),0))),0)</f>
        <v>0</v>
      </c>
      <c r="DE89" s="599">
        <f>IFERROR(IF(AND($D89=1,$C89=DE$3),'Dev Costs'!$C$54,(IF(AND(DE$3&lt;EDATE($C89,$D89),DE$3&gt;=$C89),IF($F89= "",'Dev Costs'!$C$54/$D89,('Dev Costs'!$C$54)*DE$75),0))),0)</f>
        <v>0</v>
      </c>
      <c r="DF89" s="599">
        <f>IFERROR(IF(AND($D89=1,$C89=DF$3),'Dev Costs'!$C$54,(IF(AND(DF$3&lt;EDATE($C89,$D89),DF$3&gt;=$C89),IF($F89= "",'Dev Costs'!$C$54/$D89,('Dev Costs'!$C$54)*DF$75),0))),0)</f>
        <v>0</v>
      </c>
      <c r="DG89" s="599">
        <f>IFERROR(IF(AND($D89=1,$C89=DG$3),'Dev Costs'!$C$54,(IF(AND(DG$3&lt;EDATE($C89,$D89),DG$3&gt;=$C89),IF($F89= "",'Dev Costs'!$C$54/$D89,('Dev Costs'!$C$54)*DG$75),0))),0)</f>
        <v>0</v>
      </c>
      <c r="DH89" s="599">
        <f>IFERROR(IF(AND($D89=1,$C89=DH$3),'Dev Costs'!$C$54,(IF(AND(DH$3&lt;EDATE($C89,$D89),DH$3&gt;=$C89),IF($F89= "",'Dev Costs'!$C$54/$D89,('Dev Costs'!$C$54)*DH$75),0))),0)</f>
        <v>0</v>
      </c>
      <c r="DI89" s="599">
        <f>IFERROR(IF(AND($D89=1,$C89=DI$3),'Dev Costs'!$C$54,(IF(AND(DI$3&lt;EDATE($C89,$D89),DI$3&gt;=$C89),IF($F89= "",'Dev Costs'!$C$54/$D89,('Dev Costs'!$C$54)*DI$75),0))),0)</f>
        <v>0</v>
      </c>
      <c r="DJ89" s="599">
        <f>IFERROR(IF(AND($D89=1,$C89=DJ$3),'Dev Costs'!$C$54,(IF(AND(DJ$3&lt;EDATE($C89,$D89),DJ$3&gt;=$C89),IF($F89= "",'Dev Costs'!$C$54/$D89,('Dev Costs'!$C$54)*DJ$75),0))),0)</f>
        <v>0</v>
      </c>
      <c r="DK89" s="599">
        <f>IFERROR(IF(AND($D89=1,$C89=DK$3),'Dev Costs'!$C$54,(IF(AND(DK$3&lt;EDATE($C89,$D89),DK$3&gt;=$C89),IF($F89= "",'Dev Costs'!$C$54/$D89,('Dev Costs'!$C$54)*DK$75),0))),0)</f>
        <v>0</v>
      </c>
      <c r="DL89" s="599">
        <f>IFERROR(IF(AND($D89=1,$C89=DL$3),'Dev Costs'!$C$54,(IF(AND(DL$3&lt;EDATE($C89,$D89),DL$3&gt;=$C89),IF($F89= "",'Dev Costs'!$C$54/$D89,('Dev Costs'!$C$54)*DL$75),0))),0)</f>
        <v>0</v>
      </c>
      <c r="DM89" s="599">
        <f>IFERROR(IF(AND($D89=1,$C89=DM$3),'Dev Costs'!$C$54,(IF(AND(DM$3&lt;EDATE($C89,$D89),DM$3&gt;=$C89),IF($F89= "",'Dev Costs'!$C$54/$D89,('Dev Costs'!$C$54)*DM$75),0))),0)</f>
        <v>0</v>
      </c>
      <c r="DN89" s="599">
        <f>IFERROR(IF(AND($D89=1,$C89=DN$3),'Dev Costs'!$C$54,(IF(AND(DN$3&lt;EDATE($C89,$D89),DN$3&gt;=$C89),IF($F89= "",'Dev Costs'!$C$54/$D89,('Dev Costs'!$C$54)*DN$75),0))),0)</f>
        <v>0</v>
      </c>
      <c r="DO89" s="599">
        <f>IFERROR(IF(AND($D89=1,$C89=DO$3),'Dev Costs'!$C$54,(IF(AND(DO$3&lt;EDATE($C89,$D89),DO$3&gt;=$C89),IF($F89= "",'Dev Costs'!$C$54/$D89,('Dev Costs'!$C$54)*DO$75),0))),0)</f>
        <v>0</v>
      </c>
      <c r="DP89" s="599">
        <f>IFERROR(IF(AND($D89=1,$C89=DP$3),'Dev Costs'!$C$54,(IF(AND(DP$3&lt;EDATE($C89,$D89),DP$3&gt;=$C89),IF($F89= "",'Dev Costs'!$C$54/$D89,('Dev Costs'!$C$54)*DP$75),0))),0)</f>
        <v>0</v>
      </c>
      <c r="DQ89" s="599">
        <f>IFERROR(IF(AND($D89=1,$C89=DQ$3),'Dev Costs'!$C$54,(IF(AND(DQ$3&lt;EDATE($C89,$D89),DQ$3&gt;=$C89),IF($F89= "",'Dev Costs'!$C$54/$D89,('Dev Costs'!$C$54)*DQ$75),0))),0)</f>
        <v>0</v>
      </c>
      <c r="DR89" s="599">
        <f>IFERROR(IF(AND($D89=1,$C89=DR$3),'Dev Costs'!$C$54,(IF(AND(DR$3&lt;EDATE($C89,$D89),DR$3&gt;=$C89),IF($F89= "",'Dev Costs'!$C$54/$D89,('Dev Costs'!$C$54)*DR$75),0))),0)</f>
        <v>0</v>
      </c>
      <c r="DS89" s="599">
        <f>IFERROR(IF(AND($D89=1,$C89=DS$3),'Dev Costs'!$C$54,(IF(AND(DS$3&lt;EDATE($C89,$D89),DS$3&gt;=$C89),IF($F89= "",'Dev Costs'!$C$54/$D89,('Dev Costs'!$C$54)*DS$75),0))),0)</f>
        <v>0</v>
      </c>
      <c r="DT89" s="599">
        <f>IFERROR(IF(AND($D89=1,$C89=DT$3),'Dev Costs'!$C$54,(IF(AND(DT$3&lt;EDATE($C89,$D89),DT$3&gt;=$C89),IF($F89= "",'Dev Costs'!$C$54/$D89,('Dev Costs'!$C$54)*DT$75),0))),0)</f>
        <v>0</v>
      </c>
      <c r="DU89" s="599">
        <f>IFERROR(IF(AND($D89=1,$C89=DU$3),'Dev Costs'!$C$54,(IF(AND(DU$3&lt;EDATE($C89,$D89),DU$3&gt;=$C89),IF($F89= "",'Dev Costs'!$C$54/$D89,('Dev Costs'!$C$54)*DU$75),0))),0)</f>
        <v>0</v>
      </c>
      <c r="DV89" s="599">
        <f>IFERROR(IF(AND($D89=1,$C89=DV$3),'Dev Costs'!$C$54,(IF(AND(DV$3&lt;EDATE($C89,$D89),DV$3&gt;=$C89),IF($F89= "",'Dev Costs'!$C$54/$D89,('Dev Costs'!$C$54)*DV$75),0))),0)</f>
        <v>0</v>
      </c>
      <c r="DW89" s="599">
        <f>IFERROR(IF(AND($D89=1,$C89=DW$3),'Dev Costs'!$C$54,(IF(AND(DW$3&lt;EDATE($C89,$D89),DW$3&gt;=$C89),IF($F89= "",'Dev Costs'!$C$54/$D89,('Dev Costs'!$C$54)*DW$75),0))),0)</f>
        <v>0</v>
      </c>
      <c r="DX89" s="599">
        <f>IFERROR(IF(AND($D89=1,$C89=DX$3),'Dev Costs'!$C$54,(IF(AND(DX$3&lt;EDATE($C89,$D89),DX$3&gt;=$C89),IF($F89= "",'Dev Costs'!$C$54/$D89,('Dev Costs'!$C$54)*DX$75),0))),0)</f>
        <v>0</v>
      </c>
      <c r="DY89" s="599">
        <f>IFERROR(IF(AND($D89=1,$C89=DY$3),'Dev Costs'!$C$54,(IF(AND(DY$3&lt;EDATE($C89,$D89),DY$3&gt;=$C89),IF($F89= "",'Dev Costs'!$C$54/$D89,('Dev Costs'!$C$54)*DY$75),0))),0)</f>
        <v>0</v>
      </c>
      <c r="DZ89" s="599">
        <f>IFERROR(IF(AND($D89=1,$C89=DZ$3),'Dev Costs'!$C$54,(IF(AND(DZ$3&lt;EDATE($C89,$D89),DZ$3&gt;=$C89),IF($F89= "",'Dev Costs'!$C$54/$D89,('Dev Costs'!$C$54)*DZ$75),0))),0)</f>
        <v>0</v>
      </c>
      <c r="EA89" s="599">
        <f>IFERROR(IF(AND($D89=1,$C89=EA$3),'Dev Costs'!$C$54,(IF(AND(EA$3&lt;EDATE($C89,$D89),EA$3&gt;=$C89),IF($F89= "",'Dev Costs'!$C$54/$D89,('Dev Costs'!$C$54)*EA$75),0))),0)</f>
        <v>0</v>
      </c>
      <c r="EB89" s="599">
        <f>IFERROR(IF(AND($D89=1,$C89=EB$3),'Dev Costs'!$C$54,(IF(AND(EB$3&lt;EDATE($C89,$D89),EB$3&gt;=$C89),IF($F89= "",'Dev Costs'!$C$54/$D89,('Dev Costs'!$C$54)*EB$75),0))),0)</f>
        <v>0</v>
      </c>
      <c r="EC89" s="599">
        <f>IFERROR(IF(AND($D89=1,$C89=EC$3),'Dev Costs'!$C$54,(IF(AND(EC$3&lt;EDATE($C89,$D89),EC$3&gt;=$C89),IF($F89= "",'Dev Costs'!$C$54/$D89,('Dev Costs'!$C$54)*EC$75),0))),0)</f>
        <v>0</v>
      </c>
      <c r="ED89" s="599">
        <f>IFERROR(IF(AND($D89=1,$C89=ED$3),'Dev Costs'!$C$54,(IF(AND(ED$3&lt;EDATE($C89,$D89),ED$3&gt;=$C89),IF($F89= "",'Dev Costs'!$C$54/$D89,('Dev Costs'!$C$54)*ED$75),0))),0)</f>
        <v>0</v>
      </c>
      <c r="EE89" s="599">
        <f>IFERROR(IF(AND($D89=1,$C89=EE$3),'Dev Costs'!$C$54,(IF(AND(EE$3&lt;EDATE($C89,$D89),EE$3&gt;=$C89),IF($F89= "",'Dev Costs'!$C$54/$D89,('Dev Costs'!$C$54)*EE$75),0))),0)</f>
        <v>0</v>
      </c>
      <c r="EF89" s="599">
        <f>IFERROR(IF(AND($D89=1,$C89=EF$3),'Dev Costs'!$C$54,(IF(AND(EF$3&lt;EDATE($C89,$D89),EF$3&gt;=$C89),IF($F89= "",'Dev Costs'!$C$54/$D89,('Dev Costs'!$C$54)*EF$75),0))),0)</f>
        <v>0</v>
      </c>
      <c r="EG89" s="599">
        <f>IFERROR(IF(AND($D89=1,$C89=EG$3),'Dev Costs'!$C$54,(IF(AND(EG$3&lt;EDATE($C89,$D89),EG$3&gt;=$C89),IF($F89= "",'Dev Costs'!$C$54/$D89,('Dev Costs'!$C$54)*EG$75),0))),0)</f>
        <v>0</v>
      </c>
      <c r="EH89" s="599">
        <f>IFERROR(IF(AND($D89=1,$C89=EH$3),'Dev Costs'!$C$54,(IF(AND(EH$3&lt;EDATE($C89,$D89),EH$3&gt;=$C89),IF($F89= "",'Dev Costs'!$C$54/$D89,('Dev Costs'!$C$54)*EH$75),0))),0)</f>
        <v>0</v>
      </c>
      <c r="EI89" s="599">
        <f>IFERROR(IF(AND($D89=1,$C89=EI$3),'Dev Costs'!$C$54,(IF(AND(EI$3&lt;EDATE($C89,$D89),EI$3&gt;=$C89),IF($F89= "",'Dev Costs'!$C$54/$D89,('Dev Costs'!$C$54)*EI$75),0))),0)</f>
        <v>0</v>
      </c>
      <c r="EJ89" s="1117">
        <f>IFERROR(IF(AND($D89=1,$C89=EJ$3),'Dev Costs'!$C$54,(IF(AND(EJ$3&lt;EDATE($C89,$D89),EJ$3&gt;=$C89),IF($F89= "",'Dev Costs'!$C$54/$D89,('Dev Costs'!$C$54)*EJ$75),0))),0)</f>
        <v>0</v>
      </c>
    </row>
    <row r="90" spans="1:140" ht="15.75" customHeight="1" x14ac:dyDescent="0.25">
      <c r="A90" s="6"/>
      <c r="B90" s="364" t="str">
        <f>'Dev Costs'!B111</f>
        <v>OH/Profit/Fees</v>
      </c>
      <c r="C90" s="398">
        <f>EOMONTH($D$81,E90-1)</f>
        <v>46418</v>
      </c>
      <c r="D90" s="410">
        <v>24</v>
      </c>
      <c r="E90" s="411">
        <v>1</v>
      </c>
      <c r="F90" s="358"/>
      <c r="G90" s="1087">
        <f t="shared" si="112"/>
        <v>1694017.0000000005</v>
      </c>
      <c r="H90" s="1118">
        <f>IFERROR(IF(AND($D90=1,$C90=H$3),'Dev Costs'!$C$115,(IF(AND(H$3&lt;EDATE($C90,$D90),H$3&gt;=$C90),IF($F90= "",'Dev Costs'!$C$115/$D90,('Dev Costs'!$C$115)*H$75),0))),0)</f>
        <v>0</v>
      </c>
      <c r="I90" s="1119">
        <f>IFERROR(IF(AND($D90=1,$C90=I$3),'Dev Costs'!$C$115,(IF(AND(I$3&lt;EDATE($C90,$D90),I$3&gt;=$C90),IF($F90= "",'Dev Costs'!$C$115/$D90,('Dev Costs'!$C$115)*I$75),0))),0)</f>
        <v>70584.041666666672</v>
      </c>
      <c r="J90" s="1119">
        <f>IFERROR(IF(AND($D90=1,$C90=J$3),'Dev Costs'!$C$115,(IF(AND(J$3&lt;EDATE($C90,$D90),J$3&gt;=$C90),IF($F90= "",'Dev Costs'!$C$115/$D90,('Dev Costs'!$C$115)*J$75),0))),0)</f>
        <v>70584.041666666672</v>
      </c>
      <c r="K90" s="1119">
        <f>IFERROR(IF(AND($D90=1,$C90=K$3),'Dev Costs'!$C$115,(IF(AND(K$3&lt;EDATE($C90,$D90),K$3&gt;=$C90),IF($F90= "",'Dev Costs'!$C$115/$D90,('Dev Costs'!$C$115)*K$75),0))),0)</f>
        <v>70584.041666666672</v>
      </c>
      <c r="L90" s="1119">
        <f>IFERROR(IF(AND($D90=1,$C90=L$3),'Dev Costs'!$C$115,(IF(AND(L$3&lt;EDATE($C90,$D90),L$3&gt;=$C90),IF($F90= "",'Dev Costs'!$C$115/$D90,('Dev Costs'!$C$115)*L$75),0))),0)</f>
        <v>70584.041666666672</v>
      </c>
      <c r="M90" s="1119">
        <f>IFERROR(IF(AND($D90=1,$C90=M$3),'Dev Costs'!$C$115,(IF(AND(M$3&lt;EDATE($C90,$D90),M$3&gt;=$C90),IF($F90= "",'Dev Costs'!$C$115/$D90,('Dev Costs'!$C$115)*M$75),0))),0)</f>
        <v>70584.041666666672</v>
      </c>
      <c r="N90" s="1119">
        <f>IFERROR(IF(AND($D90=1,$C90=N$3),'Dev Costs'!$C$115,(IF(AND(N$3&lt;EDATE($C90,$D90),N$3&gt;=$C90),IF($F90= "",'Dev Costs'!$C$115/$D90,('Dev Costs'!$C$115)*N$75),0))),0)</f>
        <v>70584.041666666672</v>
      </c>
      <c r="O90" s="1119">
        <f>IFERROR(IF(AND($D90=1,$C90=O$3),'Dev Costs'!$C$115,(IF(AND(O$3&lt;EDATE($C90,$D90),O$3&gt;=$C90),IF($F90= "",'Dev Costs'!$C$115/$D90,('Dev Costs'!$C$115)*O$75),0))),0)</f>
        <v>70584.041666666672</v>
      </c>
      <c r="P90" s="1119">
        <f>IFERROR(IF(AND($D90=1,$C90=P$3),'Dev Costs'!$C$115,(IF(AND(P$3&lt;EDATE($C90,$D90),P$3&gt;=$C90),IF($F90= "",'Dev Costs'!$C$115/$D90,('Dev Costs'!$C$115)*P$75),0))),0)</f>
        <v>70584.041666666672</v>
      </c>
      <c r="Q90" s="1119">
        <f>IFERROR(IF(AND($D90=1,$C90=Q$3),'Dev Costs'!$C$115,(IF(AND(Q$3&lt;EDATE($C90,$D90),Q$3&gt;=$C90),IF($F90= "",'Dev Costs'!$C$115/$D90,('Dev Costs'!$C$115)*Q$75),0))),0)</f>
        <v>70584.041666666672</v>
      </c>
      <c r="R90" s="1119">
        <f>IFERROR(IF(AND($D90=1,$C90=R$3),'Dev Costs'!$C$115,(IF(AND(R$3&lt;EDATE($C90,$D90),R$3&gt;=$C90),IF($F90= "",'Dev Costs'!$C$115/$D90,('Dev Costs'!$C$115)*R$75),0))),0)</f>
        <v>70584.041666666672</v>
      </c>
      <c r="S90" s="1119">
        <f>IFERROR(IF(AND($D90=1,$C90=S$3),'Dev Costs'!$C$115,(IF(AND(S$3&lt;EDATE($C90,$D90),S$3&gt;=$C90),IF($F90= "",'Dev Costs'!$C$115/$D90,('Dev Costs'!$C$115)*S$75),0))),0)</f>
        <v>70584.041666666672</v>
      </c>
      <c r="T90" s="1119">
        <f>IFERROR(IF(AND($D90=1,$C90=T$3),'Dev Costs'!$C$115,(IF(AND(T$3&lt;EDATE($C90,$D90),T$3&gt;=$C90),IF($F90= "",'Dev Costs'!$C$115/$D90,('Dev Costs'!$C$115)*T$75),0))),0)</f>
        <v>70584.041666666672</v>
      </c>
      <c r="U90" s="1119">
        <f>IFERROR(IF(AND($D90=1,$C90=U$3),'Dev Costs'!$C$115,(IF(AND(U$3&lt;EDATE($C90,$D90),U$3&gt;=$C90),IF($F90= "",'Dev Costs'!$C$115/$D90,('Dev Costs'!$C$115)*U$75),0))),0)</f>
        <v>70584.041666666672</v>
      </c>
      <c r="V90" s="1119">
        <f>IFERROR(IF(AND($D90=1,$C90=V$3),'Dev Costs'!$C$115,(IF(AND(V$3&lt;EDATE($C90,$D90),V$3&gt;=$C90),IF($F90= "",'Dev Costs'!$C$115/$D90,('Dev Costs'!$C$115)*V$75),0))),0)</f>
        <v>70584.041666666672</v>
      </c>
      <c r="W90" s="1119">
        <f>IFERROR(IF(AND($D90=1,$C90=W$3),'Dev Costs'!$C$115,(IF(AND(W$3&lt;EDATE($C90,$D90),W$3&gt;=$C90),IF($F90= "",'Dev Costs'!$C$115/$D90,('Dev Costs'!$C$115)*W$75),0))),0)</f>
        <v>70584.041666666672</v>
      </c>
      <c r="X90" s="1119">
        <f>IFERROR(IF(AND($D90=1,$C90=X$3),'Dev Costs'!$C$115,(IF(AND(X$3&lt;EDATE($C90,$D90),X$3&gt;=$C90),IF($F90= "",'Dev Costs'!$C$115/$D90,('Dev Costs'!$C$115)*X$75),0))),0)</f>
        <v>70584.041666666672</v>
      </c>
      <c r="Y90" s="1119">
        <f>IFERROR(IF(AND($D90=1,$C90=Y$3),'Dev Costs'!$C$115,(IF(AND(Y$3&lt;EDATE($C90,$D90),Y$3&gt;=$C90),IF($F90= "",'Dev Costs'!$C$115/$D90,('Dev Costs'!$C$115)*Y$75),0))),0)</f>
        <v>70584.041666666672</v>
      </c>
      <c r="Z90" s="1119">
        <f>IFERROR(IF(AND($D90=1,$C90=Z$3),'Dev Costs'!$C$115,(IF(AND(Z$3&lt;EDATE($C90,$D90),Z$3&gt;=$C90),IF($F90= "",'Dev Costs'!$C$115/$D90,('Dev Costs'!$C$115)*Z$75),0))),0)</f>
        <v>70584.041666666672</v>
      </c>
      <c r="AA90" s="1119">
        <f>IFERROR(IF(AND($D90=1,$C90=AA$3),'Dev Costs'!$C$115,(IF(AND(AA$3&lt;EDATE($C90,$D90),AA$3&gt;=$C90),IF($F90= "",'Dev Costs'!$C$115/$D90,('Dev Costs'!$C$115)*AA$75),0))),0)</f>
        <v>70584.041666666672</v>
      </c>
      <c r="AB90" s="1119">
        <f>IFERROR(IF(AND($D90=1,$C90=AB$3),'Dev Costs'!$C$115,(IF(AND(AB$3&lt;EDATE($C90,$D90),AB$3&gt;=$C90),IF($F90= "",'Dev Costs'!$C$115/$D90,('Dev Costs'!$C$115)*AB$75),0))),0)</f>
        <v>70584.041666666672</v>
      </c>
      <c r="AC90" s="1119">
        <f>IFERROR(IF(AND($D90=1,$C90=AC$3),'Dev Costs'!$C$115,(IF(AND(AC$3&lt;EDATE($C90,$D90),AC$3&gt;=$C90),IF($F90= "",'Dev Costs'!$C$115/$D90,('Dev Costs'!$C$115)*AC$75),0))),0)</f>
        <v>70584.041666666672</v>
      </c>
      <c r="AD90" s="1119">
        <f>IFERROR(IF(AND($D90=1,$C90=AD$3),'Dev Costs'!$C$115,(IF(AND(AD$3&lt;EDATE($C90,$D90),AD$3&gt;=$C90),IF($F90= "",'Dev Costs'!$C$115/$D90,('Dev Costs'!$C$115)*AD$75),0))),0)</f>
        <v>70584.041666666672</v>
      </c>
      <c r="AE90" s="1119">
        <f>IFERROR(IF(AND($D90=1,$C90=AE$3),'Dev Costs'!$C$115,(IF(AND(AE$3&lt;EDATE($C90,$D90),AE$3&gt;=$C90),IF($F90= "",'Dev Costs'!$C$115/$D90,('Dev Costs'!$C$115)*AE$75),0))),0)</f>
        <v>70584.041666666672</v>
      </c>
      <c r="AF90" s="1119">
        <f>IFERROR(IF(AND($D90=1,$C90=AF$3),'Dev Costs'!$C$115,(IF(AND(AF$3&lt;EDATE($C90,$D90),AF$3&gt;=$C90),IF($F90= "",'Dev Costs'!$C$115/$D90,('Dev Costs'!$C$115)*AF$75),0))),0)</f>
        <v>70584.041666666672</v>
      </c>
      <c r="AG90" s="1119">
        <f>IFERROR(IF(AND($D90=1,$C90=AG$3),'Dev Costs'!$C$115,(IF(AND(AG$3&lt;EDATE($C90,$D90),AG$3&gt;=$C90),IF($F90= "",'Dev Costs'!$C$115/$D90,('Dev Costs'!$C$115)*AG$75),0))),0)</f>
        <v>0</v>
      </c>
      <c r="AH90" s="1119">
        <f>IFERROR(IF(AND($D90=1,$C90=AH$3),'Dev Costs'!$C$115,(IF(AND(AH$3&lt;EDATE($C90,$D90),AH$3&gt;=$C90),IF($F90= "",'Dev Costs'!$C$115/$D90,('Dev Costs'!$C$115)*AH$75),0))),0)</f>
        <v>0</v>
      </c>
      <c r="AI90" s="1119">
        <f>IFERROR(IF(AND($D90=1,$C90=AI$3),'Dev Costs'!$C$115,(IF(AND(AI$3&lt;EDATE($C90,$D90),AI$3&gt;=$C90),IF($F90= "",'Dev Costs'!$C$115/$D90,('Dev Costs'!$C$115)*AI$75),0))),0)</f>
        <v>0</v>
      </c>
      <c r="AJ90" s="1119">
        <f>IFERROR(IF(AND($D90=1,$C90=AJ$3),'Dev Costs'!$C$115,(IF(AND(AJ$3&lt;EDATE($C90,$D90),AJ$3&gt;=$C90),IF($F90= "",'Dev Costs'!$C$115/$D90,('Dev Costs'!$C$115)*AJ$75),0))),0)</f>
        <v>0</v>
      </c>
      <c r="AK90" s="1119">
        <f>IFERROR(IF(AND($D90=1,$C90=AK$3),'Dev Costs'!$C$115,(IF(AND(AK$3&lt;EDATE($C90,$D90),AK$3&gt;=$C90),IF($F90= "",'Dev Costs'!$C$115/$D90,('Dev Costs'!$C$115)*AK$75),0))),0)</f>
        <v>0</v>
      </c>
      <c r="AL90" s="1119">
        <f>IFERROR(IF(AND($D90=1,$C90=AL$3),'Dev Costs'!$C$115,(IF(AND(AL$3&lt;EDATE($C90,$D90),AL$3&gt;=$C90),IF($F90= "",'Dev Costs'!$C$115/$D90,('Dev Costs'!$C$115)*AL$75),0))),0)</f>
        <v>0</v>
      </c>
      <c r="AM90" s="1119">
        <f>IFERROR(IF(AND($D90=1,$C90=AM$3),'Dev Costs'!$C$115,(IF(AND(AM$3&lt;EDATE($C90,$D90),AM$3&gt;=$C90),IF($F90= "",'Dev Costs'!$C$115/$D90,('Dev Costs'!$C$115)*AM$75),0))),0)</f>
        <v>0</v>
      </c>
      <c r="AN90" s="1119">
        <f>IFERROR(IF(AND($D90=1,$C90=AN$3),'Dev Costs'!$C$115,(IF(AND(AN$3&lt;EDATE($C90,$D90),AN$3&gt;=$C90),IF($F90= "",'Dev Costs'!$C$115/$D90,('Dev Costs'!$C$115)*AN$75),0))),0)</f>
        <v>0</v>
      </c>
      <c r="AO90" s="1119">
        <f>IFERROR(IF(AND($D90=1,$C90=AO$3),'Dev Costs'!$C$115,(IF(AND(AO$3&lt;EDATE($C90,$D90),AO$3&gt;=$C90),IF($F90= "",'Dev Costs'!$C$115/$D90,('Dev Costs'!$C$115)*AO$75),0))),0)</f>
        <v>0</v>
      </c>
      <c r="AP90" s="1119">
        <f>IFERROR(IF(AND($D90=1,$C90=AP$3),'Dev Costs'!$C$115,(IF(AND(AP$3&lt;EDATE($C90,$D90),AP$3&gt;=$C90),IF($F90= "",'Dev Costs'!$C$115/$D90,('Dev Costs'!$C$115)*AP$75),0))),0)</f>
        <v>0</v>
      </c>
      <c r="AQ90" s="1119">
        <f>IFERROR(IF(AND($D90=1,$C90=AQ$3),'Dev Costs'!$C$115,(IF(AND(AQ$3&lt;EDATE($C90,$D90),AQ$3&gt;=$C90),IF($F90= "",'Dev Costs'!$C$115/$D90,('Dev Costs'!$C$115)*AQ$75),0))),0)</f>
        <v>0</v>
      </c>
      <c r="AR90" s="1119">
        <f>IFERROR(IF(AND($D90=1,$C90=AR$3),'Dev Costs'!$C$115,(IF(AND(AR$3&lt;EDATE($C90,$D90),AR$3&gt;=$C90),IF($F90= "",'Dev Costs'!$C$115/$D90,('Dev Costs'!$C$115)*AR$75),0))),0)</f>
        <v>0</v>
      </c>
      <c r="AS90" s="1119">
        <f>IFERROR(IF(AND($D90=1,$C90=AS$3),'Dev Costs'!$C$115,(IF(AND(AS$3&lt;EDATE($C90,$D90),AS$3&gt;=$C90),IF($F90= "",'Dev Costs'!$C$115/$D90,('Dev Costs'!$C$115)*AS$75),0))),0)</f>
        <v>0</v>
      </c>
      <c r="AT90" s="1119">
        <f>IFERROR(IF(AND($D90=1,$C90=AT$3),'Dev Costs'!$C$115,(IF(AND(AT$3&lt;EDATE($C90,$D90),AT$3&gt;=$C90),IF($F90= "",'Dev Costs'!$C$115/$D90,('Dev Costs'!$C$115)*AT$75),0))),0)</f>
        <v>0</v>
      </c>
      <c r="AU90" s="1119">
        <f>IFERROR(IF(AND($D90=1,$C90=AU$3),'Dev Costs'!$C$115,(IF(AND(AU$3&lt;EDATE($C90,$D90),AU$3&gt;=$C90),IF($F90= "",'Dev Costs'!$C$115/$D90,('Dev Costs'!$C$115)*AU$75),0))),0)</f>
        <v>0</v>
      </c>
      <c r="AV90" s="1119">
        <f>IFERROR(IF(AND($D90=1,$C90=AV$3),'Dev Costs'!$C$115,(IF(AND(AV$3&lt;EDATE($C90,$D90),AV$3&gt;=$C90),IF($F90= "",'Dev Costs'!$C$115/$D90,('Dev Costs'!$C$115)*AV$75),0))),0)</f>
        <v>0</v>
      </c>
      <c r="AW90" s="1119">
        <f>IFERROR(IF(AND($D90=1,$C90=AW$3),'Dev Costs'!$C$115,(IF(AND(AW$3&lt;EDATE($C90,$D90),AW$3&gt;=$C90),IF($F90= "",'Dev Costs'!$C$115/$D90,('Dev Costs'!$C$115)*AW$75),0))),0)</f>
        <v>0</v>
      </c>
      <c r="AX90" s="1119">
        <f>IFERROR(IF(AND($D90=1,$C90=AX$3),'Dev Costs'!$C$115,(IF(AND(AX$3&lt;EDATE($C90,$D90),AX$3&gt;=$C90),IF($F90= "",'Dev Costs'!$C$115/$D90,('Dev Costs'!$C$115)*AX$75),0))),0)</f>
        <v>0</v>
      </c>
      <c r="AY90" s="1119">
        <f>IFERROR(IF(AND($D90=1,$C90=AY$3),'Dev Costs'!$C$115,(IF(AND(AY$3&lt;EDATE($C90,$D90),AY$3&gt;=$C90),IF($F90= "",'Dev Costs'!$C$115/$D90,('Dev Costs'!$C$115)*AY$75),0))),0)</f>
        <v>0</v>
      </c>
      <c r="AZ90" s="1119">
        <f>IFERROR(IF(AND($D90=1,$C90=AZ$3),'Dev Costs'!$C$115,(IF(AND(AZ$3&lt;EDATE($C90,$D90),AZ$3&gt;=$C90),IF($F90= "",'Dev Costs'!$C$115/$D90,('Dev Costs'!$C$115)*AZ$75),0))),0)</f>
        <v>0</v>
      </c>
      <c r="BA90" s="1119">
        <f>IFERROR(IF(AND($D90=1,$C90=BA$3),'Dev Costs'!$C$115,(IF(AND(BA$3&lt;EDATE($C90,$D90),BA$3&gt;=$C90),IF($F90= "",'Dev Costs'!$C$115/$D90,('Dev Costs'!$C$115)*BA$75),0))),0)</f>
        <v>0</v>
      </c>
      <c r="BB90" s="1119">
        <f>IFERROR(IF(AND($D90=1,$C90=BB$3),'Dev Costs'!$C$115,(IF(AND(BB$3&lt;EDATE($C90,$D90),BB$3&gt;=$C90),IF($F90= "",'Dev Costs'!$C$115/$D90,('Dev Costs'!$C$115)*BB$75),0))),0)</f>
        <v>0</v>
      </c>
      <c r="BC90" s="1119">
        <f>IFERROR(IF(AND($D90=1,$C90=BC$3),'Dev Costs'!$C$115,(IF(AND(BC$3&lt;EDATE($C90,$D90),BC$3&gt;=$C90),IF($F90= "",'Dev Costs'!$C$115/$D90,('Dev Costs'!$C$115)*BC$75),0))),0)</f>
        <v>0</v>
      </c>
      <c r="BD90" s="1119">
        <f>IFERROR(IF(AND($D90=1,$C90=BD$3),'Dev Costs'!$C$115,(IF(AND(BD$3&lt;EDATE($C90,$D90),BD$3&gt;=$C90),IF($F90= "",'Dev Costs'!$C$115/$D90,('Dev Costs'!$C$115)*BD$75),0))),0)</f>
        <v>0</v>
      </c>
      <c r="BE90" s="1119">
        <f>IFERROR(IF(AND($D90=1,$C90=BE$3),'Dev Costs'!$C$115,(IF(AND(BE$3&lt;EDATE($C90,$D90),BE$3&gt;=$C90),IF($F90= "",'Dev Costs'!$C$115/$D90,('Dev Costs'!$C$115)*BE$75),0))),0)</f>
        <v>0</v>
      </c>
      <c r="BF90" s="1119">
        <f>IFERROR(IF(AND($D90=1,$C90=BF$3),'Dev Costs'!$C$115,(IF(AND(BF$3&lt;EDATE($C90,$D90),BF$3&gt;=$C90),IF($F90= "",'Dev Costs'!$C$115/$D90,('Dev Costs'!$C$115)*BF$75),0))),0)</f>
        <v>0</v>
      </c>
      <c r="BG90" s="1119">
        <f>IFERROR(IF(AND($D90=1,$C90=BG$3),'Dev Costs'!$C$115,(IF(AND(BG$3&lt;EDATE($C90,$D90),BG$3&gt;=$C90),IF($F90= "",'Dev Costs'!$C$115/$D90,('Dev Costs'!$C$115)*BG$75),0))),0)</f>
        <v>0</v>
      </c>
      <c r="BH90" s="1119">
        <f>IFERROR(IF(AND($D90=1,$C90=BH$3),'Dev Costs'!$C$115,(IF(AND(BH$3&lt;EDATE($C90,$D90),BH$3&gt;=$C90),IF($F90= "",'Dev Costs'!$C$115/$D90,('Dev Costs'!$C$115)*BH$75),0))),0)</f>
        <v>0</v>
      </c>
      <c r="BI90" s="1119">
        <f>IFERROR(IF(AND($D90=1,$C90=BI$3),'Dev Costs'!$C$115,(IF(AND(BI$3&lt;EDATE($C90,$D90),BI$3&gt;=$C90),IF($F90= "",'Dev Costs'!$C$115/$D90,('Dev Costs'!$C$115)*BI$75),0))),0)</f>
        <v>0</v>
      </c>
      <c r="BJ90" s="1119">
        <f>IFERROR(IF(AND($D90=1,$C90=BJ$3),'Dev Costs'!$C$115,(IF(AND(BJ$3&lt;EDATE($C90,$D90),BJ$3&gt;=$C90),IF($F90= "",'Dev Costs'!$C$115/$D90,('Dev Costs'!$C$115)*BJ$75),0))),0)</f>
        <v>0</v>
      </c>
      <c r="BK90" s="1119">
        <f>IFERROR(IF(AND($D90=1,$C90=BK$3),'Dev Costs'!$C$115,(IF(AND(BK$3&lt;EDATE($C90,$D90),BK$3&gt;=$C90),IF($F90= "",'Dev Costs'!$C$115/$D90,('Dev Costs'!$C$115)*BK$75),0))),0)</f>
        <v>0</v>
      </c>
      <c r="BL90" s="1119">
        <f>IFERROR(IF(AND($D90=1,$C90=BL$3),'Dev Costs'!$C$115,(IF(AND(BL$3&lt;EDATE($C90,$D90),BL$3&gt;=$C90),IF($F90= "",'Dev Costs'!$C$115/$D90,('Dev Costs'!$C$115)*BL$75),0))),0)</f>
        <v>0</v>
      </c>
      <c r="BM90" s="1119">
        <f>IFERROR(IF(AND($D90=1,$C90=BM$3),'Dev Costs'!$C$115,(IF(AND(BM$3&lt;EDATE($C90,$D90),BM$3&gt;=$C90),IF($F90= "",'Dev Costs'!$C$115/$D90,('Dev Costs'!$C$115)*BM$75),0))),0)</f>
        <v>0</v>
      </c>
      <c r="BN90" s="1119">
        <f>IFERROR(IF(AND($D90=1,$C90=BN$3),'Dev Costs'!$C$115,(IF(AND(BN$3&lt;EDATE($C90,$D90),BN$3&gt;=$C90),IF($F90= "",'Dev Costs'!$C$115/$D90,('Dev Costs'!$C$115)*BN$75),0))),0)</f>
        <v>0</v>
      </c>
      <c r="BO90" s="1119">
        <f>IFERROR(IF(AND($D90=1,$C90=BO$3),'Dev Costs'!$C$115,(IF(AND(BO$3&lt;EDATE($C90,$D90),BO$3&gt;=$C90),IF($F90= "",'Dev Costs'!$C$115/$D90,('Dev Costs'!$C$115)*BO$75),0))),0)</f>
        <v>0</v>
      </c>
      <c r="BP90" s="1119">
        <f>IFERROR(IF(AND($D90=1,$C90=BP$3),'Dev Costs'!$C$115,(IF(AND(BP$3&lt;EDATE($C90,$D90),BP$3&gt;=$C90),IF($F90= "",'Dev Costs'!$C$115/$D90,('Dev Costs'!$C$115)*BP$75),0))),0)</f>
        <v>0</v>
      </c>
      <c r="BQ90" s="1119">
        <f>IFERROR(IF(AND($D90=1,$C90=BQ$3),'Dev Costs'!$C$115,(IF(AND(BQ$3&lt;EDATE($C90,$D90),BQ$3&gt;=$C90),IF($F90= "",'Dev Costs'!$C$115/$D90,('Dev Costs'!$C$115)*BQ$75),0))),0)</f>
        <v>0</v>
      </c>
      <c r="BR90" s="1119">
        <f>IFERROR(IF(AND($D90=1,$C90=BR$3),'Dev Costs'!$C$115,(IF(AND(BR$3&lt;EDATE($C90,$D90),BR$3&gt;=$C90),IF($F90= "",'Dev Costs'!$C$115/$D90,('Dev Costs'!$C$115)*BR$75),0))),0)</f>
        <v>0</v>
      </c>
      <c r="BS90" s="1119">
        <f>IFERROR(IF(AND($D90=1,$C90=BS$3),'Dev Costs'!$C$115,(IF(AND(BS$3&lt;EDATE($C90,$D90),BS$3&gt;=$C90),IF($F90= "",'Dev Costs'!$C$115/$D90,('Dev Costs'!$C$115)*BS$75),0))),0)</f>
        <v>0</v>
      </c>
      <c r="BT90" s="1119">
        <f>IFERROR(IF(AND($D90=1,$C90=BT$3),'Dev Costs'!$C$115,(IF(AND(BT$3&lt;EDATE($C90,$D90),BT$3&gt;=$C90),IF($F90= "",'Dev Costs'!$C$115/$D90,('Dev Costs'!$C$115)*BT$75),0))),0)</f>
        <v>0</v>
      </c>
      <c r="BU90" s="1119">
        <f>IFERROR(IF(AND($D90=1,$C90=BU$3),'Dev Costs'!$C$115,(IF(AND(BU$3&lt;EDATE($C90,$D90),BU$3&gt;=$C90),IF($F90= "",'Dev Costs'!$C$115/$D90,('Dev Costs'!$C$115)*BU$75),0))),0)</f>
        <v>0</v>
      </c>
      <c r="BV90" s="1119">
        <f>IFERROR(IF(AND($D90=1,$C90=BV$3),'Dev Costs'!$C$115,(IF(AND(BV$3&lt;EDATE($C90,$D90),BV$3&gt;=$C90),IF($F90= "",'Dev Costs'!$C$115/$D90,('Dev Costs'!$C$115)*BV$75),0))),0)</f>
        <v>0</v>
      </c>
      <c r="BW90" s="1119">
        <f>IFERROR(IF(AND($D90=1,$C90=BW$3),'Dev Costs'!$C$115,(IF(AND(BW$3&lt;EDATE($C90,$D90),BW$3&gt;=$C90),IF($F90= "",'Dev Costs'!$C$115/$D90,('Dev Costs'!$C$115)*BW$75),0))),0)</f>
        <v>0</v>
      </c>
      <c r="BX90" s="1119">
        <f>IFERROR(IF(AND($D90=1,$C90=BX$3),'Dev Costs'!$C$115,(IF(AND(BX$3&lt;EDATE($C90,$D90),BX$3&gt;=$C90),IF($F90= "",'Dev Costs'!$C$115/$D90,('Dev Costs'!$C$115)*BX$75),0))),0)</f>
        <v>0</v>
      </c>
      <c r="BY90" s="1119">
        <f>IFERROR(IF(AND($D90=1,$C90=BY$3),'Dev Costs'!$C$115,(IF(AND(BY$3&lt;EDATE($C90,$D90),BY$3&gt;=$C90),IF($F90= "",'Dev Costs'!$C$115/$D90,('Dev Costs'!$C$115)*BY$75),0))),0)</f>
        <v>0</v>
      </c>
      <c r="BZ90" s="1119">
        <f>IFERROR(IF(AND($D90=1,$C90=BZ$3),'Dev Costs'!$C$115,(IF(AND(BZ$3&lt;EDATE($C90,$D90),BZ$3&gt;=$C90),IF($F90= "",'Dev Costs'!$C$115/$D90,('Dev Costs'!$C$115)*BZ$75),0))),0)</f>
        <v>0</v>
      </c>
      <c r="CA90" s="1119">
        <f>IFERROR(IF(AND($D90=1,$C90=CA$3),'Dev Costs'!$C$115,(IF(AND(CA$3&lt;EDATE($C90,$D90),CA$3&gt;=$C90),IF($F90= "",'Dev Costs'!$C$115/$D90,('Dev Costs'!$C$115)*CA$75),0))),0)</f>
        <v>0</v>
      </c>
      <c r="CB90" s="1119">
        <f>IFERROR(IF(AND($D90=1,$C90=CB$3),'Dev Costs'!$C$115,(IF(AND(CB$3&lt;EDATE($C90,$D90),CB$3&gt;=$C90),IF($F90= "",'Dev Costs'!$C$115/$D90,('Dev Costs'!$C$115)*CB$75),0))),0)</f>
        <v>0</v>
      </c>
      <c r="CC90" s="1119">
        <f>IFERROR(IF(AND($D90=1,$C90=CC$3),'Dev Costs'!$C$115,(IF(AND(CC$3&lt;EDATE($C90,$D90),CC$3&gt;=$C90),IF($F90= "",'Dev Costs'!$C$115/$D90,('Dev Costs'!$C$115)*CC$75),0))),0)</f>
        <v>0</v>
      </c>
      <c r="CD90" s="1119">
        <f>IFERROR(IF(AND($D90=1,$C90=CD$3),'Dev Costs'!$C$115,(IF(AND(CD$3&lt;EDATE($C90,$D90),CD$3&gt;=$C90),IF($F90= "",'Dev Costs'!$C$115/$D90,('Dev Costs'!$C$115)*CD$75),0))),0)</f>
        <v>0</v>
      </c>
      <c r="CE90" s="1119">
        <f>IFERROR(IF(AND($D90=1,$C90=CE$3),'Dev Costs'!$C$115,(IF(AND(CE$3&lt;EDATE($C90,$D90),CE$3&gt;=$C90),IF($F90= "",'Dev Costs'!$C$115/$D90,('Dev Costs'!$C$115)*CE$75),0))),0)</f>
        <v>0</v>
      </c>
      <c r="CF90" s="1119">
        <f>IFERROR(IF(AND($D90=1,$C90=CF$3),'Dev Costs'!$C$115,(IF(AND(CF$3&lt;EDATE($C90,$D90),CF$3&gt;=$C90),IF($F90= "",'Dev Costs'!$C$115/$D90,('Dev Costs'!$C$115)*CF$75),0))),0)</f>
        <v>0</v>
      </c>
      <c r="CG90" s="1119">
        <f>IFERROR(IF(AND($D90=1,$C90=CG$3),'Dev Costs'!$C$115,(IF(AND(CG$3&lt;EDATE($C90,$D90),CG$3&gt;=$C90),IF($F90= "",'Dev Costs'!$C$115/$D90,('Dev Costs'!$C$115)*CG$75),0))),0)</f>
        <v>0</v>
      </c>
      <c r="CH90" s="1119">
        <f>IFERROR(IF(AND($D90=1,$C90=CH$3),'Dev Costs'!$C$115,(IF(AND(CH$3&lt;EDATE($C90,$D90),CH$3&gt;=$C90),IF($F90= "",'Dev Costs'!$C$115/$D90,('Dev Costs'!$C$115)*CH$75),0))),0)</f>
        <v>0</v>
      </c>
      <c r="CI90" s="1119">
        <f>IFERROR(IF(AND($D90=1,$C90=CI$3),'Dev Costs'!$C$115,(IF(AND(CI$3&lt;EDATE($C90,$D90),CI$3&gt;=$C90),IF($F90= "",'Dev Costs'!$C$115/$D90,('Dev Costs'!$C$115)*CI$75),0))),0)</f>
        <v>0</v>
      </c>
      <c r="CJ90" s="1119">
        <f>IFERROR(IF(AND($D90=1,$C90=CJ$3),'Dev Costs'!$C$115,(IF(AND(CJ$3&lt;EDATE($C90,$D90),CJ$3&gt;=$C90),IF($F90= "",'Dev Costs'!$C$115/$D90,('Dev Costs'!$C$115)*CJ$75),0))),0)</f>
        <v>0</v>
      </c>
      <c r="CK90" s="1119">
        <f>IFERROR(IF(AND($D90=1,$C90=CK$3),'Dev Costs'!$C$115,(IF(AND(CK$3&lt;EDATE($C90,$D90),CK$3&gt;=$C90),IF($F90= "",'Dev Costs'!$C$115/$D90,('Dev Costs'!$C$115)*CK$75),0))),0)</f>
        <v>0</v>
      </c>
      <c r="CL90" s="1119">
        <f>IFERROR(IF(AND($D90=1,$C90=CL$3),'Dev Costs'!$C$115,(IF(AND(CL$3&lt;EDATE($C90,$D90),CL$3&gt;=$C90),IF($F90= "",'Dev Costs'!$C$115/$D90,('Dev Costs'!$C$115)*CL$75),0))),0)</f>
        <v>0</v>
      </c>
      <c r="CM90" s="1119">
        <f>IFERROR(IF(AND($D90=1,$C90=CM$3),'Dev Costs'!$C$115,(IF(AND(CM$3&lt;EDATE($C90,$D90),CM$3&gt;=$C90),IF($F90= "",'Dev Costs'!$C$115/$D90,('Dev Costs'!$C$115)*CM$75),0))),0)</f>
        <v>0</v>
      </c>
      <c r="CN90" s="1119">
        <f>IFERROR(IF(AND($D90=1,$C90=CN$3),'Dev Costs'!$C$115,(IF(AND(CN$3&lt;EDATE($C90,$D90),CN$3&gt;=$C90),IF($F90= "",'Dev Costs'!$C$115/$D90,('Dev Costs'!$C$115)*CN$75),0))),0)</f>
        <v>0</v>
      </c>
      <c r="CO90" s="1119">
        <f>IFERROR(IF(AND($D90=1,$C90=CO$3),'Dev Costs'!$C$115,(IF(AND(CO$3&lt;EDATE($C90,$D90),CO$3&gt;=$C90),IF($F90= "",'Dev Costs'!$C$115/$D90,('Dev Costs'!$C$115)*CO$75),0))),0)</f>
        <v>0</v>
      </c>
      <c r="CP90" s="1119">
        <f>IFERROR(IF(AND($D90=1,$C90=CP$3),'Dev Costs'!$C$115,(IF(AND(CP$3&lt;EDATE($C90,$D90),CP$3&gt;=$C90),IF($F90= "",'Dev Costs'!$C$115/$D90,('Dev Costs'!$C$115)*CP$75),0))),0)</f>
        <v>0</v>
      </c>
      <c r="CQ90" s="1119">
        <f>IFERROR(IF(AND($D90=1,$C90=CQ$3),'Dev Costs'!$C$115,(IF(AND(CQ$3&lt;EDATE($C90,$D90),CQ$3&gt;=$C90),IF($F90= "",'Dev Costs'!$C$115/$D90,('Dev Costs'!$C$115)*CQ$75),0))),0)</f>
        <v>0</v>
      </c>
      <c r="CR90" s="1119">
        <f>IFERROR(IF(AND($D90=1,$C90=CR$3),'Dev Costs'!$C$115,(IF(AND(CR$3&lt;EDATE($C90,$D90),CR$3&gt;=$C90),IF($F90= "",'Dev Costs'!$C$115/$D90,('Dev Costs'!$C$115)*CR$75),0))),0)</f>
        <v>0</v>
      </c>
      <c r="CS90" s="1119">
        <f>IFERROR(IF(AND($D90=1,$C90=CS$3),'Dev Costs'!$C$115,(IF(AND(CS$3&lt;EDATE($C90,$D90),CS$3&gt;=$C90),IF($F90= "",'Dev Costs'!$C$115/$D90,('Dev Costs'!$C$115)*CS$75),0))),0)</f>
        <v>0</v>
      </c>
      <c r="CT90" s="1119">
        <f>IFERROR(IF(AND($D90=1,$C90=CT$3),'Dev Costs'!$C$115,(IF(AND(CT$3&lt;EDATE($C90,$D90),CT$3&gt;=$C90),IF($F90= "",'Dev Costs'!$C$115/$D90,('Dev Costs'!$C$115)*CT$75),0))),0)</f>
        <v>0</v>
      </c>
      <c r="CU90" s="1119">
        <f>IFERROR(IF(AND($D90=1,$C90=CU$3),'Dev Costs'!$C$115,(IF(AND(CU$3&lt;EDATE($C90,$D90),CU$3&gt;=$C90),IF($F90= "",'Dev Costs'!$C$115/$D90,('Dev Costs'!$C$115)*CU$75),0))),0)</f>
        <v>0</v>
      </c>
      <c r="CV90" s="1119">
        <f>IFERROR(IF(AND($D90=1,$C90=CV$3),'Dev Costs'!$C$115,(IF(AND(CV$3&lt;EDATE($C90,$D90),CV$3&gt;=$C90),IF($F90= "",'Dev Costs'!$C$115/$D90,('Dev Costs'!$C$115)*CV$75),0))),0)</f>
        <v>0</v>
      </c>
      <c r="CW90" s="1119">
        <f>IFERROR(IF(AND($D90=1,$C90=CW$3),'Dev Costs'!$C$115,(IF(AND(CW$3&lt;EDATE($C90,$D90),CW$3&gt;=$C90),IF($F90= "",'Dev Costs'!$C$115/$D90,('Dev Costs'!$C$115)*CW$75),0))),0)</f>
        <v>0</v>
      </c>
      <c r="CX90" s="1119">
        <f>IFERROR(IF(AND($D90=1,$C90=CX$3),'Dev Costs'!$C$115,(IF(AND(CX$3&lt;EDATE($C90,$D90),CX$3&gt;=$C90),IF($F90= "",'Dev Costs'!$C$115/$D90,('Dev Costs'!$C$115)*CX$75),0))),0)</f>
        <v>0</v>
      </c>
      <c r="CY90" s="1119">
        <f>IFERROR(IF(AND($D90=1,$C90=CY$3),'Dev Costs'!$C$115,(IF(AND(CY$3&lt;EDATE($C90,$D90),CY$3&gt;=$C90),IF($F90= "",'Dev Costs'!$C$115/$D90,('Dev Costs'!$C$115)*CY$75),0))),0)</f>
        <v>0</v>
      </c>
      <c r="CZ90" s="1119">
        <f>IFERROR(IF(AND($D90=1,$C90=CZ$3),'Dev Costs'!$C$115,(IF(AND(CZ$3&lt;EDATE($C90,$D90),CZ$3&gt;=$C90),IF($F90= "",'Dev Costs'!$C$115/$D90,('Dev Costs'!$C$115)*CZ$75),0))),0)</f>
        <v>0</v>
      </c>
      <c r="DA90" s="1119">
        <f>IFERROR(IF(AND($D90=1,$C90=DA$3),'Dev Costs'!$C$115,(IF(AND(DA$3&lt;EDATE($C90,$D90),DA$3&gt;=$C90),IF($F90= "",'Dev Costs'!$C$115/$D90,('Dev Costs'!$C$115)*DA$75),0))),0)</f>
        <v>0</v>
      </c>
      <c r="DB90" s="1119">
        <f>IFERROR(IF(AND($D90=1,$C90=DB$3),'Dev Costs'!$C$115,(IF(AND(DB$3&lt;EDATE($C90,$D90),DB$3&gt;=$C90),IF($F90= "",'Dev Costs'!$C$115/$D90,('Dev Costs'!$C$115)*DB$75),0))),0)</f>
        <v>0</v>
      </c>
      <c r="DC90" s="1119">
        <f>IFERROR(IF(AND($D90=1,$C90=DC$3),'Dev Costs'!$C$115,(IF(AND(DC$3&lt;EDATE($C90,$D90),DC$3&gt;=$C90),IF($F90= "",'Dev Costs'!$C$115/$D90,('Dev Costs'!$C$115)*DC$75),0))),0)</f>
        <v>0</v>
      </c>
      <c r="DD90" s="1119">
        <f>IFERROR(IF(AND($D90=1,$C90=DD$3),'Dev Costs'!$C$115,(IF(AND(DD$3&lt;EDATE($C90,$D90),DD$3&gt;=$C90),IF($F90= "",'Dev Costs'!$C$115/$D90,('Dev Costs'!$C$115)*DD$75),0))),0)</f>
        <v>0</v>
      </c>
      <c r="DE90" s="1119">
        <f>IFERROR(IF(AND($D90=1,$C90=DE$3),'Dev Costs'!$C$115,(IF(AND(DE$3&lt;EDATE($C90,$D90),DE$3&gt;=$C90),IF($F90= "",'Dev Costs'!$C$115/$D90,('Dev Costs'!$C$115)*DE$75),0))),0)</f>
        <v>0</v>
      </c>
      <c r="DF90" s="1119">
        <f>IFERROR(IF(AND($D90=1,$C90=DF$3),'Dev Costs'!$C$115,(IF(AND(DF$3&lt;EDATE($C90,$D90),DF$3&gt;=$C90),IF($F90= "",'Dev Costs'!$C$115/$D90,('Dev Costs'!$C$115)*DF$75),0))),0)</f>
        <v>0</v>
      </c>
      <c r="DG90" s="1119">
        <f>IFERROR(IF(AND($D90=1,$C90=DG$3),'Dev Costs'!$C$115,(IF(AND(DG$3&lt;EDATE($C90,$D90),DG$3&gt;=$C90),IF($F90= "",'Dev Costs'!$C$115/$D90,('Dev Costs'!$C$115)*DG$75),0))),0)</f>
        <v>0</v>
      </c>
      <c r="DH90" s="1119">
        <f>IFERROR(IF(AND($D90=1,$C90=DH$3),'Dev Costs'!$C$115,(IF(AND(DH$3&lt;EDATE($C90,$D90),DH$3&gt;=$C90),IF($F90= "",'Dev Costs'!$C$115/$D90,('Dev Costs'!$C$115)*DH$75),0))),0)</f>
        <v>0</v>
      </c>
      <c r="DI90" s="1119">
        <f>IFERROR(IF(AND($D90=1,$C90=DI$3),'Dev Costs'!$C$115,(IF(AND(DI$3&lt;EDATE($C90,$D90),DI$3&gt;=$C90),IF($F90= "",'Dev Costs'!$C$115/$D90,('Dev Costs'!$C$115)*DI$75),0))),0)</f>
        <v>0</v>
      </c>
      <c r="DJ90" s="1119">
        <f>IFERROR(IF(AND($D90=1,$C90=DJ$3),'Dev Costs'!$C$115,(IF(AND(DJ$3&lt;EDATE($C90,$D90),DJ$3&gt;=$C90),IF($F90= "",'Dev Costs'!$C$115/$D90,('Dev Costs'!$C$115)*DJ$75),0))),0)</f>
        <v>0</v>
      </c>
      <c r="DK90" s="1119">
        <f>IFERROR(IF(AND($D90=1,$C90=DK$3),'Dev Costs'!$C$115,(IF(AND(DK$3&lt;EDATE($C90,$D90),DK$3&gt;=$C90),IF($F90= "",'Dev Costs'!$C$115/$D90,('Dev Costs'!$C$115)*DK$75),0))),0)</f>
        <v>0</v>
      </c>
      <c r="DL90" s="1119">
        <f>IFERROR(IF(AND($D90=1,$C90=DL$3),'Dev Costs'!$C$115,(IF(AND(DL$3&lt;EDATE($C90,$D90),DL$3&gt;=$C90),IF($F90= "",'Dev Costs'!$C$115/$D90,('Dev Costs'!$C$115)*DL$75),0))),0)</f>
        <v>0</v>
      </c>
      <c r="DM90" s="1119">
        <f>IFERROR(IF(AND($D90=1,$C90=DM$3),'Dev Costs'!$C$115,(IF(AND(DM$3&lt;EDATE($C90,$D90),DM$3&gt;=$C90),IF($F90= "",'Dev Costs'!$C$115/$D90,('Dev Costs'!$C$115)*DM$75),0))),0)</f>
        <v>0</v>
      </c>
      <c r="DN90" s="1119">
        <f>IFERROR(IF(AND($D90=1,$C90=DN$3),'Dev Costs'!$C$115,(IF(AND(DN$3&lt;EDATE($C90,$D90),DN$3&gt;=$C90),IF($F90= "",'Dev Costs'!$C$115/$D90,('Dev Costs'!$C$115)*DN$75),0))),0)</f>
        <v>0</v>
      </c>
      <c r="DO90" s="1119">
        <f>IFERROR(IF(AND($D90=1,$C90=DO$3),'Dev Costs'!$C$115,(IF(AND(DO$3&lt;EDATE($C90,$D90),DO$3&gt;=$C90),IF($F90= "",'Dev Costs'!$C$115/$D90,('Dev Costs'!$C$115)*DO$75),0))),0)</f>
        <v>0</v>
      </c>
      <c r="DP90" s="1119">
        <f>IFERROR(IF(AND($D90=1,$C90=DP$3),'Dev Costs'!$C$115,(IF(AND(DP$3&lt;EDATE($C90,$D90),DP$3&gt;=$C90),IF($F90= "",'Dev Costs'!$C$115/$D90,('Dev Costs'!$C$115)*DP$75),0))),0)</f>
        <v>0</v>
      </c>
      <c r="DQ90" s="1119">
        <f>IFERROR(IF(AND($D90=1,$C90=DQ$3),'Dev Costs'!$C$115,(IF(AND(DQ$3&lt;EDATE($C90,$D90),DQ$3&gt;=$C90),IF($F90= "",'Dev Costs'!$C$115/$D90,('Dev Costs'!$C$115)*DQ$75),0))),0)</f>
        <v>0</v>
      </c>
      <c r="DR90" s="1119">
        <f>IFERROR(IF(AND($D90=1,$C90=DR$3),'Dev Costs'!$C$115,(IF(AND(DR$3&lt;EDATE($C90,$D90),DR$3&gt;=$C90),IF($F90= "",'Dev Costs'!$C$115/$D90,('Dev Costs'!$C$115)*DR$75),0))),0)</f>
        <v>0</v>
      </c>
      <c r="DS90" s="1119">
        <f>IFERROR(IF(AND($D90=1,$C90=DS$3),'Dev Costs'!$C$115,(IF(AND(DS$3&lt;EDATE($C90,$D90),DS$3&gt;=$C90),IF($F90= "",'Dev Costs'!$C$115/$D90,('Dev Costs'!$C$115)*DS$75),0))),0)</f>
        <v>0</v>
      </c>
      <c r="DT90" s="1119">
        <f>IFERROR(IF(AND($D90=1,$C90=DT$3),'Dev Costs'!$C$115,(IF(AND(DT$3&lt;EDATE($C90,$D90),DT$3&gt;=$C90),IF($F90= "",'Dev Costs'!$C$115/$D90,('Dev Costs'!$C$115)*DT$75),0))),0)</f>
        <v>0</v>
      </c>
      <c r="DU90" s="1119">
        <f>IFERROR(IF(AND($D90=1,$C90=DU$3),'Dev Costs'!$C$115,(IF(AND(DU$3&lt;EDATE($C90,$D90),DU$3&gt;=$C90),IF($F90= "",'Dev Costs'!$C$115/$D90,('Dev Costs'!$C$115)*DU$75),0))),0)</f>
        <v>0</v>
      </c>
      <c r="DV90" s="1119">
        <f>IFERROR(IF(AND($D90=1,$C90=DV$3),'Dev Costs'!$C$115,(IF(AND(DV$3&lt;EDATE($C90,$D90),DV$3&gt;=$C90),IF($F90= "",'Dev Costs'!$C$115/$D90,('Dev Costs'!$C$115)*DV$75),0))),0)</f>
        <v>0</v>
      </c>
      <c r="DW90" s="1119">
        <f>IFERROR(IF(AND($D90=1,$C90=DW$3),'Dev Costs'!$C$115,(IF(AND(DW$3&lt;EDATE($C90,$D90),DW$3&gt;=$C90),IF($F90= "",'Dev Costs'!$C$115/$D90,('Dev Costs'!$C$115)*DW$75),0))),0)</f>
        <v>0</v>
      </c>
      <c r="DX90" s="1119">
        <f>IFERROR(IF(AND($D90=1,$C90=DX$3),'Dev Costs'!$C$115,(IF(AND(DX$3&lt;EDATE($C90,$D90),DX$3&gt;=$C90),IF($F90= "",'Dev Costs'!$C$115/$D90,('Dev Costs'!$C$115)*DX$75),0))),0)</f>
        <v>0</v>
      </c>
      <c r="DY90" s="1119">
        <f>IFERROR(IF(AND($D90=1,$C90=DY$3),'Dev Costs'!$C$115,(IF(AND(DY$3&lt;EDATE($C90,$D90),DY$3&gt;=$C90),IF($F90= "",'Dev Costs'!$C$115/$D90,('Dev Costs'!$C$115)*DY$75),0))),0)</f>
        <v>0</v>
      </c>
      <c r="DZ90" s="1119">
        <f>IFERROR(IF(AND($D90=1,$C90=DZ$3),'Dev Costs'!$C$115,(IF(AND(DZ$3&lt;EDATE($C90,$D90),DZ$3&gt;=$C90),IF($F90= "",'Dev Costs'!$C$115/$D90,('Dev Costs'!$C$115)*DZ$75),0))),0)</f>
        <v>0</v>
      </c>
      <c r="EA90" s="1119">
        <f>IFERROR(IF(AND($D90=1,$C90=EA$3),'Dev Costs'!$C$115,(IF(AND(EA$3&lt;EDATE($C90,$D90),EA$3&gt;=$C90),IF($F90= "",'Dev Costs'!$C$115/$D90,('Dev Costs'!$C$115)*EA$75),0))),0)</f>
        <v>0</v>
      </c>
      <c r="EB90" s="1119">
        <f>IFERROR(IF(AND($D90=1,$C90=EB$3),'Dev Costs'!$C$115,(IF(AND(EB$3&lt;EDATE($C90,$D90),EB$3&gt;=$C90),IF($F90= "",'Dev Costs'!$C$115/$D90,('Dev Costs'!$C$115)*EB$75),0))),0)</f>
        <v>0</v>
      </c>
      <c r="EC90" s="1119">
        <f>IFERROR(IF(AND($D90=1,$C90=EC$3),'Dev Costs'!$C$115,(IF(AND(EC$3&lt;EDATE($C90,$D90),EC$3&gt;=$C90),IF($F90= "",'Dev Costs'!$C$115/$D90,('Dev Costs'!$C$115)*EC$75),0))),0)</f>
        <v>0</v>
      </c>
      <c r="ED90" s="1119">
        <f>IFERROR(IF(AND($D90=1,$C90=ED$3),'Dev Costs'!$C$115,(IF(AND(ED$3&lt;EDATE($C90,$D90),ED$3&gt;=$C90),IF($F90= "",'Dev Costs'!$C$115/$D90,('Dev Costs'!$C$115)*ED$75),0))),0)</f>
        <v>0</v>
      </c>
      <c r="EE90" s="1119">
        <f>IFERROR(IF(AND($D90=1,$C90=EE$3),'Dev Costs'!$C$115,(IF(AND(EE$3&lt;EDATE($C90,$D90),EE$3&gt;=$C90),IF($F90= "",'Dev Costs'!$C$115/$D90,('Dev Costs'!$C$115)*EE$75),0))),0)</f>
        <v>0</v>
      </c>
      <c r="EF90" s="1119">
        <f>IFERROR(IF(AND($D90=1,$C90=EF$3),'Dev Costs'!$C$115,(IF(AND(EF$3&lt;EDATE($C90,$D90),EF$3&gt;=$C90),IF($F90= "",'Dev Costs'!$C$115/$D90,('Dev Costs'!$C$115)*EF$75),0))),0)</f>
        <v>0</v>
      </c>
      <c r="EG90" s="1119">
        <f>IFERROR(IF(AND($D90=1,$C90=EG$3),'Dev Costs'!$C$115,(IF(AND(EG$3&lt;EDATE($C90,$D90),EG$3&gt;=$C90),IF($F90= "",'Dev Costs'!$C$115/$D90,('Dev Costs'!$C$115)*EG$75),0))),0)</f>
        <v>0</v>
      </c>
      <c r="EH90" s="1119">
        <f>IFERROR(IF(AND($D90=1,$C90=EH$3),'Dev Costs'!$C$115,(IF(AND(EH$3&lt;EDATE($C90,$D90),EH$3&gt;=$C90),IF($F90= "",'Dev Costs'!$C$115/$D90,('Dev Costs'!$C$115)*EH$75),0))),0)</f>
        <v>0</v>
      </c>
      <c r="EI90" s="1119">
        <f>IFERROR(IF(AND($D90=1,$C90=EI$3),'Dev Costs'!$C$115,(IF(AND(EI$3&lt;EDATE($C90,$D90),EI$3&gt;=$C90),IF($F90= "",'Dev Costs'!$C$115/$D90,('Dev Costs'!$C$115)*EI$75),0))),0)</f>
        <v>0</v>
      </c>
      <c r="EJ90" s="1120">
        <f>IFERROR(IF(AND($D90=1,$C90=EJ$3),'Dev Costs'!$C$115,(IF(AND(EJ$3&lt;EDATE($C90,$D90),EJ$3&gt;=$C90),IF($F90= "",'Dev Costs'!$C$115/$D90,('Dev Costs'!$C$115)*EJ$75),0))),0)</f>
        <v>0</v>
      </c>
    </row>
    <row r="91" spans="1:140" ht="15.75" customHeight="1" x14ac:dyDescent="0.25">
      <c r="A91" s="6"/>
      <c r="B91" s="384" t="s">
        <v>196</v>
      </c>
      <c r="C91" s="402"/>
      <c r="D91" s="405"/>
      <c r="E91" s="412"/>
      <c r="F91" s="358"/>
      <c r="G91" s="1089">
        <f t="shared" ref="G91:AL91" si="113">SUM(G89:G90)</f>
        <v>4076825.7651749137</v>
      </c>
      <c r="H91" s="1156">
        <f t="shared" si="113"/>
        <v>0</v>
      </c>
      <c r="I91" s="1157">
        <f t="shared" si="113"/>
        <v>335340.57113054593</v>
      </c>
      <c r="J91" s="1130">
        <f t="shared" si="113"/>
        <v>335340.57113054593</v>
      </c>
      <c r="K91" s="1130">
        <f t="shared" si="113"/>
        <v>335340.57113054593</v>
      </c>
      <c r="L91" s="1130">
        <f t="shared" si="113"/>
        <v>335340.57113054593</v>
      </c>
      <c r="M91" s="1130">
        <f t="shared" si="113"/>
        <v>335340.57113054593</v>
      </c>
      <c r="N91" s="1130">
        <f t="shared" si="113"/>
        <v>335340.57113054593</v>
      </c>
      <c r="O91" s="1130">
        <f t="shared" si="113"/>
        <v>335340.57113054593</v>
      </c>
      <c r="P91" s="1130">
        <f t="shared" si="113"/>
        <v>335340.57113054593</v>
      </c>
      <c r="Q91" s="1130">
        <f t="shared" si="113"/>
        <v>335340.57113054593</v>
      </c>
      <c r="R91" s="1130">
        <f t="shared" si="113"/>
        <v>70584.041666666672</v>
      </c>
      <c r="S91" s="1130">
        <f t="shared" si="113"/>
        <v>70584.041666666672</v>
      </c>
      <c r="T91" s="1130">
        <f t="shared" si="113"/>
        <v>70584.041666666672</v>
      </c>
      <c r="U91" s="1130">
        <f t="shared" si="113"/>
        <v>70584.041666666672</v>
      </c>
      <c r="V91" s="1130">
        <f t="shared" si="113"/>
        <v>70584.041666666672</v>
      </c>
      <c r="W91" s="1130">
        <f t="shared" si="113"/>
        <v>70584.041666666672</v>
      </c>
      <c r="X91" s="1130">
        <f t="shared" si="113"/>
        <v>70584.041666666672</v>
      </c>
      <c r="Y91" s="1130">
        <f t="shared" si="113"/>
        <v>70584.041666666672</v>
      </c>
      <c r="Z91" s="1130">
        <f t="shared" si="113"/>
        <v>70584.041666666672</v>
      </c>
      <c r="AA91" s="1130">
        <f t="shared" si="113"/>
        <v>70584.041666666672</v>
      </c>
      <c r="AB91" s="1130">
        <f t="shared" si="113"/>
        <v>70584.041666666672</v>
      </c>
      <c r="AC91" s="1130">
        <f t="shared" si="113"/>
        <v>70584.041666666672</v>
      </c>
      <c r="AD91" s="1130">
        <f t="shared" si="113"/>
        <v>70584.041666666672</v>
      </c>
      <c r="AE91" s="1130">
        <f t="shared" si="113"/>
        <v>70584.041666666672</v>
      </c>
      <c r="AF91" s="1130">
        <f t="shared" si="113"/>
        <v>70584.041666666672</v>
      </c>
      <c r="AG91" s="1130">
        <f t="shared" si="113"/>
        <v>0</v>
      </c>
      <c r="AH91" s="1130">
        <f t="shared" si="113"/>
        <v>0</v>
      </c>
      <c r="AI91" s="1130">
        <f t="shared" si="113"/>
        <v>0</v>
      </c>
      <c r="AJ91" s="1130">
        <f t="shared" si="113"/>
        <v>0</v>
      </c>
      <c r="AK91" s="1130">
        <f t="shared" si="113"/>
        <v>0</v>
      </c>
      <c r="AL91" s="1130">
        <f t="shared" si="113"/>
        <v>0</v>
      </c>
      <c r="AM91" s="1130">
        <f t="shared" ref="AM91:BR91" si="114">SUM(AM89:AM90)</f>
        <v>0</v>
      </c>
      <c r="AN91" s="1130">
        <f t="shared" si="114"/>
        <v>0</v>
      </c>
      <c r="AO91" s="1130">
        <f t="shared" si="114"/>
        <v>0</v>
      </c>
      <c r="AP91" s="1130">
        <f t="shared" si="114"/>
        <v>0</v>
      </c>
      <c r="AQ91" s="1130">
        <f t="shared" si="114"/>
        <v>0</v>
      </c>
      <c r="AR91" s="1130">
        <f t="shared" si="114"/>
        <v>0</v>
      </c>
      <c r="AS91" s="1130">
        <f t="shared" si="114"/>
        <v>0</v>
      </c>
      <c r="AT91" s="1130">
        <f t="shared" si="114"/>
        <v>0</v>
      </c>
      <c r="AU91" s="1130">
        <f t="shared" si="114"/>
        <v>0</v>
      </c>
      <c r="AV91" s="1130">
        <f t="shared" si="114"/>
        <v>0</v>
      </c>
      <c r="AW91" s="1130">
        <f t="shared" si="114"/>
        <v>0</v>
      </c>
      <c r="AX91" s="1130">
        <f t="shared" si="114"/>
        <v>0</v>
      </c>
      <c r="AY91" s="1130">
        <f t="shared" si="114"/>
        <v>0</v>
      </c>
      <c r="AZ91" s="1130">
        <f t="shared" si="114"/>
        <v>0</v>
      </c>
      <c r="BA91" s="1130">
        <f t="shared" si="114"/>
        <v>0</v>
      </c>
      <c r="BB91" s="1130">
        <f t="shared" si="114"/>
        <v>0</v>
      </c>
      <c r="BC91" s="1130">
        <f t="shared" si="114"/>
        <v>0</v>
      </c>
      <c r="BD91" s="1130">
        <f t="shared" si="114"/>
        <v>0</v>
      </c>
      <c r="BE91" s="1130">
        <f t="shared" si="114"/>
        <v>0</v>
      </c>
      <c r="BF91" s="1130">
        <f t="shared" si="114"/>
        <v>0</v>
      </c>
      <c r="BG91" s="1130">
        <f t="shared" si="114"/>
        <v>0</v>
      </c>
      <c r="BH91" s="1130">
        <f t="shared" si="114"/>
        <v>0</v>
      </c>
      <c r="BI91" s="1130">
        <f t="shared" si="114"/>
        <v>0</v>
      </c>
      <c r="BJ91" s="1130">
        <f t="shared" si="114"/>
        <v>0</v>
      </c>
      <c r="BK91" s="1130">
        <f t="shared" si="114"/>
        <v>0</v>
      </c>
      <c r="BL91" s="1130">
        <f t="shared" si="114"/>
        <v>0</v>
      </c>
      <c r="BM91" s="1130">
        <f t="shared" si="114"/>
        <v>0</v>
      </c>
      <c r="BN91" s="1130">
        <f t="shared" si="114"/>
        <v>0</v>
      </c>
      <c r="BO91" s="1130">
        <f t="shared" si="114"/>
        <v>0</v>
      </c>
      <c r="BP91" s="1130">
        <f t="shared" si="114"/>
        <v>0</v>
      </c>
      <c r="BQ91" s="1130">
        <f t="shared" si="114"/>
        <v>0</v>
      </c>
      <c r="BR91" s="1130">
        <f t="shared" si="114"/>
        <v>0</v>
      </c>
      <c r="BS91" s="1130">
        <f t="shared" ref="BS91:CX91" si="115">SUM(BS89:BS90)</f>
        <v>0</v>
      </c>
      <c r="BT91" s="1130">
        <f t="shared" si="115"/>
        <v>0</v>
      </c>
      <c r="BU91" s="1130">
        <f t="shared" si="115"/>
        <v>0</v>
      </c>
      <c r="BV91" s="1130">
        <f t="shared" si="115"/>
        <v>0</v>
      </c>
      <c r="BW91" s="1130">
        <f t="shared" si="115"/>
        <v>0</v>
      </c>
      <c r="BX91" s="1130">
        <f t="shared" si="115"/>
        <v>0</v>
      </c>
      <c r="BY91" s="1130">
        <f t="shared" si="115"/>
        <v>0</v>
      </c>
      <c r="BZ91" s="1130">
        <f t="shared" si="115"/>
        <v>0</v>
      </c>
      <c r="CA91" s="1130">
        <f t="shared" si="115"/>
        <v>0</v>
      </c>
      <c r="CB91" s="1130">
        <f t="shared" si="115"/>
        <v>0</v>
      </c>
      <c r="CC91" s="1130">
        <f t="shared" si="115"/>
        <v>0</v>
      </c>
      <c r="CD91" s="1130">
        <f t="shared" si="115"/>
        <v>0</v>
      </c>
      <c r="CE91" s="1130">
        <f t="shared" si="115"/>
        <v>0</v>
      </c>
      <c r="CF91" s="1130">
        <f t="shared" si="115"/>
        <v>0</v>
      </c>
      <c r="CG91" s="1130">
        <f t="shared" si="115"/>
        <v>0</v>
      </c>
      <c r="CH91" s="1130">
        <f t="shared" si="115"/>
        <v>0</v>
      </c>
      <c r="CI91" s="1130">
        <f t="shared" si="115"/>
        <v>0</v>
      </c>
      <c r="CJ91" s="1130">
        <f t="shared" si="115"/>
        <v>0</v>
      </c>
      <c r="CK91" s="1130">
        <f t="shared" si="115"/>
        <v>0</v>
      </c>
      <c r="CL91" s="1130">
        <f t="shared" si="115"/>
        <v>0</v>
      </c>
      <c r="CM91" s="1130">
        <f t="shared" si="115"/>
        <v>0</v>
      </c>
      <c r="CN91" s="1130">
        <f t="shared" si="115"/>
        <v>0</v>
      </c>
      <c r="CO91" s="1130">
        <f t="shared" si="115"/>
        <v>0</v>
      </c>
      <c r="CP91" s="1130">
        <f t="shared" si="115"/>
        <v>0</v>
      </c>
      <c r="CQ91" s="1130">
        <f t="shared" si="115"/>
        <v>0</v>
      </c>
      <c r="CR91" s="1130">
        <f t="shared" si="115"/>
        <v>0</v>
      </c>
      <c r="CS91" s="1130">
        <f t="shared" si="115"/>
        <v>0</v>
      </c>
      <c r="CT91" s="1130">
        <f t="shared" si="115"/>
        <v>0</v>
      </c>
      <c r="CU91" s="1130">
        <f t="shared" si="115"/>
        <v>0</v>
      </c>
      <c r="CV91" s="1130">
        <f t="shared" si="115"/>
        <v>0</v>
      </c>
      <c r="CW91" s="1130">
        <f t="shared" si="115"/>
        <v>0</v>
      </c>
      <c r="CX91" s="1130">
        <f t="shared" si="115"/>
        <v>0</v>
      </c>
      <c r="CY91" s="1130">
        <f t="shared" ref="CY91:ED91" si="116">SUM(CY89:CY90)</f>
        <v>0</v>
      </c>
      <c r="CZ91" s="1130">
        <f t="shared" si="116"/>
        <v>0</v>
      </c>
      <c r="DA91" s="1130">
        <f t="shared" si="116"/>
        <v>0</v>
      </c>
      <c r="DB91" s="1130">
        <f t="shared" si="116"/>
        <v>0</v>
      </c>
      <c r="DC91" s="1130">
        <f t="shared" si="116"/>
        <v>0</v>
      </c>
      <c r="DD91" s="1130">
        <f t="shared" si="116"/>
        <v>0</v>
      </c>
      <c r="DE91" s="1130">
        <f t="shared" si="116"/>
        <v>0</v>
      </c>
      <c r="DF91" s="1130">
        <f t="shared" si="116"/>
        <v>0</v>
      </c>
      <c r="DG91" s="1130">
        <f t="shared" si="116"/>
        <v>0</v>
      </c>
      <c r="DH91" s="1130">
        <f t="shared" si="116"/>
        <v>0</v>
      </c>
      <c r="DI91" s="1130">
        <f t="shared" si="116"/>
        <v>0</v>
      </c>
      <c r="DJ91" s="1130">
        <f t="shared" si="116"/>
        <v>0</v>
      </c>
      <c r="DK91" s="1130">
        <f t="shared" si="116"/>
        <v>0</v>
      </c>
      <c r="DL91" s="1130">
        <f t="shared" si="116"/>
        <v>0</v>
      </c>
      <c r="DM91" s="1130">
        <f t="shared" si="116"/>
        <v>0</v>
      </c>
      <c r="DN91" s="1130">
        <f t="shared" si="116"/>
        <v>0</v>
      </c>
      <c r="DO91" s="1130">
        <f t="shared" si="116"/>
        <v>0</v>
      </c>
      <c r="DP91" s="1130">
        <f t="shared" si="116"/>
        <v>0</v>
      </c>
      <c r="DQ91" s="1130">
        <f t="shared" si="116"/>
        <v>0</v>
      </c>
      <c r="DR91" s="1130">
        <f t="shared" si="116"/>
        <v>0</v>
      </c>
      <c r="DS91" s="1130">
        <f t="shared" si="116"/>
        <v>0</v>
      </c>
      <c r="DT91" s="1130">
        <f t="shared" si="116"/>
        <v>0</v>
      </c>
      <c r="DU91" s="1130">
        <f t="shared" si="116"/>
        <v>0</v>
      </c>
      <c r="DV91" s="1130">
        <f t="shared" si="116"/>
        <v>0</v>
      </c>
      <c r="DW91" s="1130">
        <f t="shared" si="116"/>
        <v>0</v>
      </c>
      <c r="DX91" s="1130">
        <f t="shared" si="116"/>
        <v>0</v>
      </c>
      <c r="DY91" s="1130">
        <f t="shared" si="116"/>
        <v>0</v>
      </c>
      <c r="DZ91" s="1130">
        <f t="shared" si="116"/>
        <v>0</v>
      </c>
      <c r="EA91" s="1130">
        <f t="shared" si="116"/>
        <v>0</v>
      </c>
      <c r="EB91" s="1130">
        <f t="shared" si="116"/>
        <v>0</v>
      </c>
      <c r="EC91" s="1130">
        <f t="shared" si="116"/>
        <v>0</v>
      </c>
      <c r="ED91" s="1130">
        <f t="shared" si="116"/>
        <v>0</v>
      </c>
      <c r="EE91" s="1130">
        <f t="shared" ref="EE91:EJ91" si="117">SUM(EE89:EE90)</f>
        <v>0</v>
      </c>
      <c r="EF91" s="1130">
        <f t="shared" si="117"/>
        <v>0</v>
      </c>
      <c r="EG91" s="1130">
        <f t="shared" si="117"/>
        <v>0</v>
      </c>
      <c r="EH91" s="1130">
        <f t="shared" si="117"/>
        <v>0</v>
      </c>
      <c r="EI91" s="1130">
        <f t="shared" si="117"/>
        <v>0</v>
      </c>
      <c r="EJ91" s="1131">
        <f t="shared" si="117"/>
        <v>0</v>
      </c>
    </row>
    <row r="92" spans="1:140" ht="15.75" customHeight="1" x14ac:dyDescent="0.25">
      <c r="A92" s="6"/>
      <c r="B92" s="364"/>
      <c r="C92" s="211"/>
      <c r="D92" s="405"/>
      <c r="E92" s="406"/>
      <c r="F92" s="358"/>
      <c r="G92" s="999"/>
      <c r="H92" s="1110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79"/>
      <c r="AM92" s="579"/>
      <c r="AN92" s="579"/>
      <c r="AO92" s="579"/>
      <c r="AP92" s="579"/>
      <c r="AQ92" s="579"/>
      <c r="AR92" s="579"/>
      <c r="AS92" s="579"/>
      <c r="AT92" s="579"/>
      <c r="AU92" s="579"/>
      <c r="AV92" s="579"/>
      <c r="AW92" s="579"/>
      <c r="AX92" s="579"/>
      <c r="AY92" s="579"/>
      <c r="AZ92" s="579"/>
      <c r="BA92" s="579"/>
      <c r="BB92" s="579"/>
      <c r="BC92" s="579"/>
      <c r="BD92" s="579"/>
      <c r="BE92" s="579"/>
      <c r="BF92" s="579"/>
      <c r="BG92" s="579"/>
      <c r="BH92" s="579"/>
      <c r="BI92" s="579"/>
      <c r="BJ92" s="579"/>
      <c r="BK92" s="579"/>
      <c r="BL92" s="579"/>
      <c r="BM92" s="579"/>
      <c r="BN92" s="579"/>
      <c r="BO92" s="579"/>
      <c r="BP92" s="579"/>
      <c r="BQ92" s="579"/>
      <c r="BR92" s="579"/>
      <c r="BS92" s="579"/>
      <c r="BT92" s="579"/>
      <c r="BU92" s="579"/>
      <c r="BV92" s="579"/>
      <c r="BW92" s="579"/>
      <c r="BX92" s="579"/>
      <c r="BY92" s="579"/>
      <c r="BZ92" s="579"/>
      <c r="CA92" s="579"/>
      <c r="CB92" s="579"/>
      <c r="CC92" s="579"/>
      <c r="CD92" s="579"/>
      <c r="CE92" s="579"/>
      <c r="CF92" s="579"/>
      <c r="CG92" s="579"/>
      <c r="CH92" s="579"/>
      <c r="CI92" s="579"/>
      <c r="CJ92" s="579"/>
      <c r="CK92" s="579"/>
      <c r="CL92" s="579"/>
      <c r="CM92" s="579"/>
      <c r="CN92" s="579"/>
      <c r="CO92" s="579"/>
      <c r="CP92" s="579"/>
      <c r="CQ92" s="579"/>
      <c r="CR92" s="579"/>
      <c r="CS92" s="579"/>
      <c r="CT92" s="579"/>
      <c r="CU92" s="579"/>
      <c r="CV92" s="579"/>
      <c r="CW92" s="579"/>
      <c r="CX92" s="579"/>
      <c r="CY92" s="579"/>
      <c r="CZ92" s="579"/>
      <c r="DA92" s="579"/>
      <c r="DB92" s="579"/>
      <c r="DC92" s="579"/>
      <c r="DD92" s="579"/>
      <c r="DE92" s="579"/>
      <c r="DF92" s="579"/>
      <c r="DG92" s="579"/>
      <c r="DH92" s="579"/>
      <c r="DI92" s="579"/>
      <c r="DJ92" s="579"/>
      <c r="DK92" s="579"/>
      <c r="DL92" s="579"/>
      <c r="DM92" s="579"/>
      <c r="DN92" s="579"/>
      <c r="DO92" s="579"/>
      <c r="DP92" s="579"/>
      <c r="DQ92" s="579"/>
      <c r="DR92" s="579"/>
      <c r="DS92" s="579"/>
      <c r="DT92" s="579"/>
      <c r="DU92" s="579"/>
      <c r="DV92" s="579"/>
      <c r="DW92" s="579"/>
      <c r="DX92" s="579"/>
      <c r="DY92" s="579"/>
      <c r="DZ92" s="579"/>
      <c r="EA92" s="579"/>
      <c r="EB92" s="579"/>
      <c r="EC92" s="579"/>
      <c r="ED92" s="579"/>
      <c r="EE92" s="579"/>
      <c r="EF92" s="579"/>
      <c r="EG92" s="579"/>
      <c r="EH92" s="579"/>
      <c r="EI92" s="579"/>
      <c r="EJ92" s="1114"/>
    </row>
    <row r="93" spans="1:140" ht="15.75" customHeight="1" x14ac:dyDescent="0.25">
      <c r="A93" s="6"/>
      <c r="B93" s="364"/>
      <c r="C93" s="211"/>
      <c r="D93" s="405"/>
      <c r="E93" s="406"/>
      <c r="F93" s="358"/>
      <c r="G93" s="999"/>
      <c r="H93" s="1110"/>
      <c r="I93" s="579"/>
      <c r="J93" s="579"/>
      <c r="K93" s="579"/>
      <c r="L93" s="579"/>
      <c r="M93" s="579"/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  <c r="AA93" s="579"/>
      <c r="AB93" s="579"/>
      <c r="AC93" s="579"/>
      <c r="AD93" s="579"/>
      <c r="AE93" s="579"/>
      <c r="AF93" s="579"/>
      <c r="AG93" s="579"/>
      <c r="AH93" s="579"/>
      <c r="AI93" s="579"/>
      <c r="AJ93" s="579"/>
      <c r="AK93" s="579"/>
      <c r="AL93" s="579"/>
      <c r="AM93" s="579"/>
      <c r="AN93" s="579"/>
      <c r="AO93" s="579"/>
      <c r="AP93" s="579"/>
      <c r="AQ93" s="579"/>
      <c r="AR93" s="579"/>
      <c r="AS93" s="579"/>
      <c r="AT93" s="579"/>
      <c r="AU93" s="579"/>
      <c r="AV93" s="579"/>
      <c r="AW93" s="579"/>
      <c r="AX93" s="579"/>
      <c r="AY93" s="579"/>
      <c r="AZ93" s="579"/>
      <c r="BA93" s="579"/>
      <c r="BB93" s="579"/>
      <c r="BC93" s="579"/>
      <c r="BD93" s="579"/>
      <c r="BE93" s="579"/>
      <c r="BF93" s="579"/>
      <c r="BG93" s="579"/>
      <c r="BH93" s="579"/>
      <c r="BI93" s="579"/>
      <c r="BJ93" s="579"/>
      <c r="BK93" s="579"/>
      <c r="BL93" s="579"/>
      <c r="BM93" s="579"/>
      <c r="BN93" s="579"/>
      <c r="BO93" s="579"/>
      <c r="BP93" s="579"/>
      <c r="BQ93" s="579"/>
      <c r="BR93" s="579"/>
      <c r="BS93" s="579"/>
      <c r="BT93" s="579"/>
      <c r="BU93" s="579"/>
      <c r="BV93" s="579"/>
      <c r="BW93" s="579"/>
      <c r="BX93" s="579"/>
      <c r="BY93" s="579"/>
      <c r="BZ93" s="579"/>
      <c r="CA93" s="579"/>
      <c r="CB93" s="579"/>
      <c r="CC93" s="579"/>
      <c r="CD93" s="579"/>
      <c r="CE93" s="579"/>
      <c r="CF93" s="579"/>
      <c r="CG93" s="579"/>
      <c r="CH93" s="579"/>
      <c r="CI93" s="579"/>
      <c r="CJ93" s="579"/>
      <c r="CK93" s="579"/>
      <c r="CL93" s="579"/>
      <c r="CM93" s="579"/>
      <c r="CN93" s="579"/>
      <c r="CO93" s="579"/>
      <c r="CP93" s="579"/>
      <c r="CQ93" s="579"/>
      <c r="CR93" s="579"/>
      <c r="CS93" s="579"/>
      <c r="CT93" s="579"/>
      <c r="CU93" s="579"/>
      <c r="CV93" s="579"/>
      <c r="CW93" s="579"/>
      <c r="CX93" s="579"/>
      <c r="CY93" s="579"/>
      <c r="CZ93" s="579"/>
      <c r="DA93" s="579"/>
      <c r="DB93" s="579"/>
      <c r="DC93" s="579"/>
      <c r="DD93" s="579"/>
      <c r="DE93" s="579"/>
      <c r="DF93" s="579"/>
      <c r="DG93" s="579"/>
      <c r="DH93" s="579"/>
      <c r="DI93" s="579"/>
      <c r="DJ93" s="579"/>
      <c r="DK93" s="579"/>
      <c r="DL93" s="579"/>
      <c r="DM93" s="579"/>
      <c r="DN93" s="579"/>
      <c r="DO93" s="579"/>
      <c r="DP93" s="579"/>
      <c r="DQ93" s="579"/>
      <c r="DR93" s="579"/>
      <c r="DS93" s="579"/>
      <c r="DT93" s="579"/>
      <c r="DU93" s="579"/>
      <c r="DV93" s="579"/>
      <c r="DW93" s="579"/>
      <c r="DX93" s="579"/>
      <c r="DY93" s="579"/>
      <c r="DZ93" s="579"/>
      <c r="EA93" s="579"/>
      <c r="EB93" s="579"/>
      <c r="EC93" s="579"/>
      <c r="ED93" s="579"/>
      <c r="EE93" s="579"/>
      <c r="EF93" s="579"/>
      <c r="EG93" s="579"/>
      <c r="EH93" s="579"/>
      <c r="EI93" s="579"/>
      <c r="EJ93" s="1114"/>
    </row>
    <row r="94" spans="1:140" ht="15.75" customHeight="1" x14ac:dyDescent="0.25">
      <c r="A94" s="6"/>
      <c r="B94" s="384" t="s">
        <v>197</v>
      </c>
      <c r="C94" s="407" t="s">
        <v>309</v>
      </c>
      <c r="D94" s="398" t="s">
        <v>310</v>
      </c>
      <c r="E94" s="398" t="s">
        <v>311</v>
      </c>
      <c r="F94" s="413" t="s">
        <v>312</v>
      </c>
      <c r="G94" s="999"/>
      <c r="H94" s="1110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79"/>
      <c r="AM94" s="579"/>
      <c r="AN94" s="579"/>
      <c r="AO94" s="579"/>
      <c r="AP94" s="579"/>
      <c r="AQ94" s="579"/>
      <c r="AR94" s="579"/>
      <c r="AS94" s="579"/>
      <c r="AT94" s="579"/>
      <c r="AU94" s="579"/>
      <c r="AV94" s="579"/>
      <c r="AW94" s="579"/>
      <c r="AX94" s="579"/>
      <c r="AY94" s="579"/>
      <c r="AZ94" s="579"/>
      <c r="BA94" s="579"/>
      <c r="BB94" s="579"/>
      <c r="BC94" s="579"/>
      <c r="BD94" s="579"/>
      <c r="BE94" s="579"/>
      <c r="BF94" s="579"/>
      <c r="BG94" s="579"/>
      <c r="BH94" s="579"/>
      <c r="BI94" s="579"/>
      <c r="BJ94" s="579"/>
      <c r="BK94" s="579"/>
      <c r="BL94" s="579"/>
      <c r="BM94" s="579"/>
      <c r="BN94" s="579"/>
      <c r="BO94" s="579"/>
      <c r="BP94" s="579"/>
      <c r="BQ94" s="579"/>
      <c r="BR94" s="579"/>
      <c r="BS94" s="579"/>
      <c r="BT94" s="579"/>
      <c r="BU94" s="579"/>
      <c r="BV94" s="579"/>
      <c r="BW94" s="579"/>
      <c r="BX94" s="579"/>
      <c r="BY94" s="579"/>
      <c r="BZ94" s="579"/>
      <c r="CA94" s="579"/>
      <c r="CB94" s="579"/>
      <c r="CC94" s="579"/>
      <c r="CD94" s="579"/>
      <c r="CE94" s="579"/>
      <c r="CF94" s="579"/>
      <c r="CG94" s="579"/>
      <c r="CH94" s="579"/>
      <c r="CI94" s="579"/>
      <c r="CJ94" s="579"/>
      <c r="CK94" s="579"/>
      <c r="CL94" s="579"/>
      <c r="CM94" s="579"/>
      <c r="CN94" s="579"/>
      <c r="CO94" s="579"/>
      <c r="CP94" s="579"/>
      <c r="CQ94" s="579"/>
      <c r="CR94" s="579"/>
      <c r="CS94" s="579"/>
      <c r="CT94" s="579"/>
      <c r="CU94" s="579"/>
      <c r="CV94" s="579"/>
      <c r="CW94" s="579"/>
      <c r="CX94" s="579"/>
      <c r="CY94" s="579"/>
      <c r="CZ94" s="579"/>
      <c r="DA94" s="579"/>
      <c r="DB94" s="579"/>
      <c r="DC94" s="579"/>
      <c r="DD94" s="579"/>
      <c r="DE94" s="579"/>
      <c r="DF94" s="579"/>
      <c r="DG94" s="579"/>
      <c r="DH94" s="579"/>
      <c r="DI94" s="1158"/>
      <c r="DJ94" s="1158"/>
      <c r="DK94" s="1158"/>
      <c r="DL94" s="1158"/>
      <c r="DM94" s="1158"/>
      <c r="DN94" s="1158"/>
      <c r="DO94" s="1158"/>
      <c r="DP94" s="1158"/>
      <c r="DQ94" s="1158"/>
      <c r="DR94" s="1158"/>
      <c r="DS94" s="1158"/>
      <c r="DT94" s="1158"/>
      <c r="DU94" s="1158"/>
      <c r="DV94" s="1158"/>
      <c r="DW94" s="1158"/>
      <c r="DX94" s="1158"/>
      <c r="DY94" s="1158"/>
      <c r="DZ94" s="1158"/>
      <c r="EA94" s="1158"/>
      <c r="EB94" s="1158"/>
      <c r="EC94" s="1158"/>
      <c r="ED94" s="1158"/>
      <c r="EE94" s="1158"/>
      <c r="EF94" s="1158"/>
      <c r="EG94" s="1158"/>
      <c r="EH94" s="1158"/>
      <c r="EI94" s="1158"/>
      <c r="EJ94" s="1159"/>
    </row>
    <row r="95" spans="1:140" ht="15.75" customHeight="1" x14ac:dyDescent="0.25">
      <c r="A95" s="6"/>
      <c r="B95" s="655" t="str">
        <f>'Dev Costs'!B56</f>
        <v>Hard Costs</v>
      </c>
      <c r="C95" s="656">
        <f>EOMONTH($D$81,E95-1)</f>
        <v>46418</v>
      </c>
      <c r="D95" s="657">
        <f>E81</f>
        <v>24</v>
      </c>
      <c r="E95" s="658">
        <v>1</v>
      </c>
      <c r="F95" s="659">
        <f>INT(CONCATENATE(D95,E75))</f>
        <v>241</v>
      </c>
      <c r="G95" s="1090">
        <f t="shared" ref="G95:G96" si="118">SUM(H95:DX95)</f>
        <v>16570575.022500005</v>
      </c>
      <c r="H95" s="1125">
        <f>IFERROR(IF(AND($D95=1,$C95=H$3),'Dev Costs'!$C$10,(IF(AND(H$3&lt;EDATE($C95,$D95),H$3&gt;=$C95),IF($F95= "",('Dev Costs'!$C$109)/$D95,('Dev Costs'!$C$109)*H$75),0))),0)</f>
        <v>0</v>
      </c>
      <c r="I95" s="600">
        <f>IFERROR(IF(AND($D95=1,$C95=I$3),'Dev Costs'!$C$10,(IF(AND(I$3&lt;EDATE($C95,$D95),I$3&gt;=$C95),IF($F95= "",('Dev Costs'!$C$109)/$D95,('Dev Costs'!$C$109)*I$75),0))),0)</f>
        <v>641270.71966079669</v>
      </c>
      <c r="J95" s="600">
        <f>IFERROR(IF(AND($D95=1,$C95=J$3),'Dev Costs'!$C$10,(IF(AND(J$3&lt;EDATE($C95,$D95),J$3&gt;=$C95),IF($F95= "",('Dev Costs'!$C$109)/$D95,('Dev Costs'!$C$109)*J$75),0))),0)</f>
        <v>653633.08820657234</v>
      </c>
      <c r="K95" s="600">
        <f>IFERROR(IF(AND($D95=1,$C95=K$3),'Dev Costs'!$C$10,(IF(AND(K$3&lt;EDATE($C95,$D95),K$3&gt;=$C95),IF($F95= "",('Dev Costs'!$C$109)/$D95,('Dev Costs'!$C$109)*K$75),0))),0)</f>
        <v>665078.29219485435</v>
      </c>
      <c r="L95" s="600">
        <f>IFERROR(IF(AND($D95=1,$C95=L$3),'Dev Costs'!$C$10,(IF(AND(L$3&lt;EDATE($C95,$D95),L$3&gt;=$C95),IF($F95= "",('Dev Costs'!$C$109)/$D95,('Dev Costs'!$C$109)*L$75),0))),0)</f>
        <v>675550.22429783083</v>
      </c>
      <c r="M95" s="600">
        <f>IFERROR(IF(AND($D95=1,$C95=M$3),'Dev Costs'!$C$10,(IF(AND(M$3&lt;EDATE($C95,$D95),M$3&gt;=$C95),IF($F95= "",('Dev Costs'!$C$109)/$D95,('Dev Costs'!$C$109)*M$75),0))),0)</f>
        <v>684996.9499004602</v>
      </c>
      <c r="N95" s="600">
        <f>IFERROR(IF(AND($D95=1,$C95=N$3),'Dev Costs'!$C$10,(IF(AND(N$3&lt;EDATE($C95,$D95),N$3&gt;=$C95),IF($F95= "",('Dev Costs'!$C$109)/$D95,('Dev Costs'!$C$109)*N$75),0))),0)</f>
        <v>693371.13572535559</v>
      </c>
      <c r="O95" s="600">
        <f>IFERROR(IF(AND($D95=1,$C95=O$3),'Dev Costs'!$C$10,(IF(AND(O$3&lt;EDATE($C95,$D95),O$3&gt;=$C95),IF($F95= "",('Dev Costs'!$C$109)/$D95,('Dev Costs'!$C$109)*O$75),0))),0)</f>
        <v>700630.44465583412</v>
      </c>
      <c r="P95" s="600">
        <f>IFERROR(IF(AND($D95=1,$C95=P$3),'Dev Costs'!$C$10,(IF(AND(P$3&lt;EDATE($C95,$D95),P$3&gt;=$C95),IF($F95= "",('Dev Costs'!$C$109)/$D95,('Dev Costs'!$C$109)*P$75),0))),0)</f>
        <v>706737.89215189661</v>
      </c>
      <c r="Q95" s="600">
        <f>IFERROR(IF(AND($D95=1,$C95=Q$3),'Dev Costs'!$C$10,(IF(AND(Q$3&lt;EDATE($C95,$D95),Q$3&gt;=$C95),IF($F95= "",('Dev Costs'!$C$109)/$D95,('Dev Costs'!$C$109)*Q$75),0))),0)</f>
        <v>711662.16006226209</v>
      </c>
      <c r="R95" s="600">
        <f>IFERROR(IF(AND($D95=1,$C95=R$3),'Dev Costs'!$C$10,(IF(AND(R$3&lt;EDATE($C95,$D95),R$3&gt;=$C95),IF($F95= "",('Dev Costs'!$C$109)/$D95,('Dev Costs'!$C$109)*R$75),0))),0)</f>
        <v>715377.86410750833</v>
      </c>
      <c r="S95" s="600">
        <f>IFERROR(IF(AND($D95=1,$C95=S$3),'Dev Costs'!$C$10,(IF(AND(S$3&lt;EDATE($C95,$D95),S$3&gt;=$C95),IF($F95= "",('Dev Costs'!$C$109)/$D95,('Dev Costs'!$C$109)*S$75),0))),0)</f>
        <v>717865.77183805185</v>
      </c>
      <c r="T95" s="600">
        <f>IFERROR(IF(AND($D95=1,$C95=T$3),'Dev Costs'!$C$10,(IF(AND(T$3&lt;EDATE($C95,$D95),T$3&gt;=$C95),IF($F95= "",('Dev Costs'!$C$109)/$D95,('Dev Costs'!$C$109)*T$75),0))),0)</f>
        <v>719112.96844857943</v>
      </c>
      <c r="U95" s="600">
        <f>IFERROR(IF(AND($D95=1,$C95=U$3),'Dev Costs'!$C$10,(IF(AND(U$3&lt;EDATE($C95,$D95),U$3&gt;=$C95),IF($F95= "",('Dev Costs'!$C$109)/$D95,('Dev Costs'!$C$109)*U$75),0))),0)</f>
        <v>719112.96844857943</v>
      </c>
      <c r="V95" s="600">
        <f>IFERROR(IF(AND($D95=1,$C95=V$3),'Dev Costs'!$C$10,(IF(AND(V$3&lt;EDATE($C95,$D95),V$3&gt;=$C95),IF($F95= "",('Dev Costs'!$C$109)/$D95,('Dev Costs'!$C$109)*V$75),0))),0)</f>
        <v>717865.77183804952</v>
      </c>
      <c r="W95" s="600">
        <f>IFERROR(IF(AND($D95=1,$C95=W$3),'Dev Costs'!$C$10,(IF(AND(W$3&lt;EDATE($C95,$D95),W$3&gt;=$C95),IF($F95= "",('Dev Costs'!$C$109)/$D95,('Dev Costs'!$C$109)*W$75),0))),0)</f>
        <v>715377.86410751077</v>
      </c>
      <c r="X95" s="600">
        <f>IFERROR(IF(AND($D95=1,$C95=X$3),'Dev Costs'!$C$10,(IF(AND(X$3&lt;EDATE($C95,$D95),X$3&gt;=$C95),IF($F95= "",('Dev Costs'!$C$109)/$D95,('Dev Costs'!$C$109)*X$75),0))),0)</f>
        <v>711662.16006226209</v>
      </c>
      <c r="Y95" s="600">
        <f>IFERROR(IF(AND($D95=1,$C95=Y$3),'Dev Costs'!$C$10,(IF(AND(Y$3&lt;EDATE($C95,$D95),Y$3&gt;=$C95),IF($F95= "",('Dev Costs'!$C$109)/$D95,('Dev Costs'!$C$109)*Y$75),0))),0)</f>
        <v>706737.89215189661</v>
      </c>
      <c r="Z95" s="600">
        <f>IFERROR(IF(AND($D95=1,$C95=Z$3),'Dev Costs'!$C$10,(IF(AND(Z$3&lt;EDATE($C95,$D95),Z$3&gt;=$C95),IF($F95= "",('Dev Costs'!$C$109)/$D95,('Dev Costs'!$C$109)*Z$75),0))),0)</f>
        <v>700630.44465583412</v>
      </c>
      <c r="AA95" s="600">
        <f>IFERROR(IF(AND($D95=1,$C95=AA$3),'Dev Costs'!$C$10,(IF(AND(AA$3&lt;EDATE($C95,$D95),AA$3&gt;=$C95),IF($F95= "",('Dev Costs'!$C$109)/$D95,('Dev Costs'!$C$109)*AA$75),0))),0)</f>
        <v>693371.13572535559</v>
      </c>
      <c r="AB95" s="600">
        <f>IFERROR(IF(AND($D95=1,$C95=AB$3),'Dev Costs'!$C$10,(IF(AND(AB$3&lt;EDATE($C95,$D95),AB$3&gt;=$C95),IF($F95= "",('Dev Costs'!$C$109)/$D95,('Dev Costs'!$C$109)*AB$75),0))),0)</f>
        <v>684996.94990046264</v>
      </c>
      <c r="AC95" s="600">
        <f>IFERROR(IF(AND($D95=1,$C95=AC$3),'Dev Costs'!$C$10,(IF(AND(AC$3&lt;EDATE($C95,$D95),AC$3&gt;=$C95),IF($F95= "",('Dev Costs'!$C$109)/$D95,('Dev Costs'!$C$109)*AC$75),0))),0)</f>
        <v>675550.22429782839</v>
      </c>
      <c r="AD95" s="600">
        <f>IFERROR(IF(AND($D95=1,$C95=AD$3),'Dev Costs'!$C$10,(IF(AND(AD$3&lt;EDATE($C95,$D95),AD$3&gt;=$C95),IF($F95= "",('Dev Costs'!$C$109)/$D95,('Dev Costs'!$C$109)*AD$75),0))),0)</f>
        <v>665078.29219485191</v>
      </c>
      <c r="AE95" s="600">
        <f>IFERROR(IF(AND($D95=1,$C95=AE$3),'Dev Costs'!$C$10,(IF(AND(AE$3&lt;EDATE($C95,$D95),AE$3&gt;=$C95),IF($F95= "",('Dev Costs'!$C$109)/$D95,('Dev Costs'!$C$109)*AE$75),0))),0)</f>
        <v>653633.088206577</v>
      </c>
      <c r="AF95" s="600">
        <f>IFERROR(IF(AND($D95=1,$C95=AF$3),'Dev Costs'!$C$10,(IF(AND(AF$3&lt;EDATE($C95,$D95),AF$3&gt;=$C95),IF($F95= "",('Dev Costs'!$C$109)/$D95,('Dev Costs'!$C$109)*AF$75),0))),0)</f>
        <v>641270.71966079425</v>
      </c>
      <c r="AG95" s="600">
        <f>IFERROR(IF(AND($D95=1,$C95=AG$3),'Dev Costs'!$C$10,(IF(AND(AG$3&lt;EDATE($C95,$D95),AG$3&gt;=$C95),IF($F95= "",('Dev Costs'!$C$109)/$D95,('Dev Costs'!$C$109)*AG$75),0))),0)</f>
        <v>0</v>
      </c>
      <c r="AH95" s="600">
        <f>IFERROR(IF(AND($D95=1,$C95=AH$3),'Dev Costs'!$C$10,(IF(AND(AH$3&lt;EDATE($C95,$D95),AH$3&gt;=$C95),IF($F95= "",('Dev Costs'!$C$109)/$D95,('Dev Costs'!$C$109)*AH$75),0))),0)</f>
        <v>0</v>
      </c>
      <c r="AI95" s="600">
        <f>IFERROR(IF(AND($D95=1,$C95=AI$3),'Dev Costs'!$C$10,(IF(AND(AI$3&lt;EDATE($C95,$D95),AI$3&gt;=$C95),IF($F95= "",('Dev Costs'!$C$109)/$D95,('Dev Costs'!$C$109)*AI$75),0))),0)</f>
        <v>0</v>
      </c>
      <c r="AJ95" s="600">
        <f>IFERROR(IF(AND($D95=1,$C95=AJ$3),'Dev Costs'!$C$10,(IF(AND(AJ$3&lt;EDATE($C95,$D95),AJ$3&gt;=$C95),IF($F95= "",('Dev Costs'!$C$109)/$D95,('Dev Costs'!$C$109)*AJ$75),0))),0)</f>
        <v>0</v>
      </c>
      <c r="AK95" s="600">
        <f>IFERROR(IF(AND($D95=1,$C95=AK$3),'Dev Costs'!$C$10,(IF(AND(AK$3&lt;EDATE($C95,$D95),AK$3&gt;=$C95),IF($F95= "",('Dev Costs'!$C$109)/$D95,('Dev Costs'!$C$109)*AK$75),0))),0)</f>
        <v>0</v>
      </c>
      <c r="AL95" s="600">
        <f>IFERROR(IF(AND($D95=1,$C95=AL$3),'Dev Costs'!$C$10,(IF(AND(AL$3&lt;EDATE($C95,$D95),AL$3&gt;=$C95),IF($F95= "",('Dev Costs'!$C$109)/$D95,('Dev Costs'!$C$109)*AL$75),0))),0)</f>
        <v>0</v>
      </c>
      <c r="AM95" s="600">
        <f>IFERROR(IF(AND($D95=1,$C95=AM$3),'Dev Costs'!$C$10,(IF(AND(AM$3&lt;EDATE($C95,$D95),AM$3&gt;=$C95),IF($F95= "",('Dev Costs'!$C$109)/$D95,('Dev Costs'!$C$109)*AM$75),0))),0)</f>
        <v>0</v>
      </c>
      <c r="AN95" s="600">
        <f>IFERROR(IF(AND($D95=1,$C95=AN$3),'Dev Costs'!$C$10,(IF(AND(AN$3&lt;EDATE($C95,$D95),AN$3&gt;=$C95),IF($F95= "",('Dev Costs'!$C$109)/$D95,('Dev Costs'!$C$109)*AN$75),0))),0)</f>
        <v>0</v>
      </c>
      <c r="AO95" s="600">
        <f>IFERROR(IF(AND($D95=1,$C95=AO$3),'Dev Costs'!$C$10,(IF(AND(AO$3&lt;EDATE($C95,$D95),AO$3&gt;=$C95),IF($F95= "",('Dev Costs'!$C$109)/$D95,('Dev Costs'!$C$109)*AO$75),0))),0)</f>
        <v>0</v>
      </c>
      <c r="AP95" s="600">
        <f>IFERROR(IF(AND($D95=1,$C95=AP$3),'Dev Costs'!$C$10,(IF(AND(AP$3&lt;EDATE($C95,$D95),AP$3&gt;=$C95),IF($F95= "",('Dev Costs'!$C$109)/$D95,('Dev Costs'!$C$109)*AP$75),0))),0)</f>
        <v>0</v>
      </c>
      <c r="AQ95" s="600">
        <f>IFERROR(IF(AND($D95=1,$C95=AQ$3),'Dev Costs'!$C$10,(IF(AND(AQ$3&lt;EDATE($C95,$D95),AQ$3&gt;=$C95),IF($F95= "",('Dev Costs'!$C$109)/$D95,('Dev Costs'!$C$109)*AQ$75),0))),0)</f>
        <v>0</v>
      </c>
      <c r="AR95" s="600">
        <f>IFERROR(IF(AND($D95=1,$C95=AR$3),'Dev Costs'!$C$10,(IF(AND(AR$3&lt;EDATE($C95,$D95),AR$3&gt;=$C95),IF($F95= "",('Dev Costs'!$C$109)/$D95,('Dev Costs'!$C$109)*AR$75),0))),0)</f>
        <v>0</v>
      </c>
      <c r="AS95" s="600">
        <f>IFERROR(IF(AND($D95=1,$C95=AS$3),'Dev Costs'!$C$10,(IF(AND(AS$3&lt;EDATE($C95,$D95),AS$3&gt;=$C95),IF($F95= "",('Dev Costs'!$C$109)/$D95,('Dev Costs'!$C$109)*AS$75),0))),0)</f>
        <v>0</v>
      </c>
      <c r="AT95" s="600">
        <f>IFERROR(IF(AND($D95=1,$C95=AT$3),'Dev Costs'!$C$10,(IF(AND(AT$3&lt;EDATE($C95,$D95),AT$3&gt;=$C95),IF($F95= "",('Dev Costs'!$C$109)/$D95,('Dev Costs'!$C$109)*AT$75),0))),0)</f>
        <v>0</v>
      </c>
      <c r="AU95" s="600">
        <f>IFERROR(IF(AND($D95=1,$C95=AU$3),'Dev Costs'!$C$10,(IF(AND(AU$3&lt;EDATE($C95,$D95),AU$3&gt;=$C95),IF($F95= "",('Dev Costs'!$C$109)/$D95,('Dev Costs'!$C$109)*AU$75),0))),0)</f>
        <v>0</v>
      </c>
      <c r="AV95" s="600">
        <f>IFERROR(IF(AND($D95=1,$C95=AV$3),'Dev Costs'!$C$10,(IF(AND(AV$3&lt;EDATE($C95,$D95),AV$3&gt;=$C95),IF($F95= "",('Dev Costs'!$C$109)/$D95,('Dev Costs'!$C$109)*AV$75),0))),0)</f>
        <v>0</v>
      </c>
      <c r="AW95" s="600">
        <f>IFERROR(IF(AND($D95=1,$C95=AW$3),'Dev Costs'!$C$10,(IF(AND(AW$3&lt;EDATE($C95,$D95),AW$3&gt;=$C95),IF($F95= "",('Dev Costs'!$C$109)/$D95,('Dev Costs'!$C$109)*AW$75),0))),0)</f>
        <v>0</v>
      </c>
      <c r="AX95" s="600">
        <f>IFERROR(IF(AND($D95=1,$C95=AX$3),'Dev Costs'!$C$10,(IF(AND(AX$3&lt;EDATE($C95,$D95),AX$3&gt;=$C95),IF($F95= "",('Dev Costs'!$C$109)/$D95,('Dev Costs'!$C$109)*AX$75),0))),0)</f>
        <v>0</v>
      </c>
      <c r="AY95" s="600">
        <f>IFERROR(IF(AND($D95=1,$C95=AY$3),'Dev Costs'!$C$10,(IF(AND(AY$3&lt;EDATE($C95,$D95),AY$3&gt;=$C95),IF($F95= "",('Dev Costs'!$C$109)/$D95,('Dev Costs'!$C$109)*AY$75),0))),0)</f>
        <v>0</v>
      </c>
      <c r="AZ95" s="600">
        <f>IFERROR(IF(AND($D95=1,$C95=AZ$3),'Dev Costs'!$C$10,(IF(AND(AZ$3&lt;EDATE($C95,$D95),AZ$3&gt;=$C95),IF($F95= "",('Dev Costs'!$C$109)/$D95,('Dev Costs'!$C$109)*AZ$75),0))),0)</f>
        <v>0</v>
      </c>
      <c r="BA95" s="600">
        <f>IFERROR(IF(AND($D95=1,$C95=BA$3),'Dev Costs'!$C$10,(IF(AND(BA$3&lt;EDATE($C95,$D95),BA$3&gt;=$C95),IF($F95= "",('Dev Costs'!$C$109)/$D95,('Dev Costs'!$C$109)*BA$75),0))),0)</f>
        <v>0</v>
      </c>
      <c r="BB95" s="600">
        <f>IFERROR(IF(AND($D95=1,$C95=BB$3),'Dev Costs'!$C$10,(IF(AND(BB$3&lt;EDATE($C95,$D95),BB$3&gt;=$C95),IF($F95= "",('Dev Costs'!$C$109)/$D95,('Dev Costs'!$C$109)*BB$75),0))),0)</f>
        <v>0</v>
      </c>
      <c r="BC95" s="600">
        <f>IFERROR(IF(AND($D95=1,$C95=BC$3),'Dev Costs'!$C$10,(IF(AND(BC$3&lt;EDATE($C95,$D95),BC$3&gt;=$C95),IF($F95= "",('Dev Costs'!$C$109)/$D95,('Dev Costs'!$C$109)*BC$75),0))),0)</f>
        <v>0</v>
      </c>
      <c r="BD95" s="600">
        <f>IFERROR(IF(AND($D95=1,$C95=BD$3),'Dev Costs'!$C$10,(IF(AND(BD$3&lt;EDATE($C95,$D95),BD$3&gt;=$C95),IF($F95= "",('Dev Costs'!$C$109)/$D95,('Dev Costs'!$C$109)*BD$75),0))),0)</f>
        <v>0</v>
      </c>
      <c r="BE95" s="600">
        <f>IFERROR(IF(AND($D95=1,$C95=BE$3),'Dev Costs'!$C$10,(IF(AND(BE$3&lt;EDATE($C95,$D95),BE$3&gt;=$C95),IF($F95= "",('Dev Costs'!$C$109)/$D95,('Dev Costs'!$C$109)*BE$75),0))),0)</f>
        <v>0</v>
      </c>
      <c r="BF95" s="600">
        <f>IFERROR(IF(AND($D95=1,$C95=BF$3),'Dev Costs'!$C$10,(IF(AND(BF$3&lt;EDATE($C95,$D95),BF$3&gt;=$C95),IF($F95= "",('Dev Costs'!$C$109)/$D95,('Dev Costs'!$C$109)*BF$75),0))),0)</f>
        <v>0</v>
      </c>
      <c r="BG95" s="600">
        <f>IFERROR(IF(AND($D95=1,$C95=BG$3),'Dev Costs'!$C$10,(IF(AND(BG$3&lt;EDATE($C95,$D95),BG$3&gt;=$C95),IF($F95= "",('Dev Costs'!$C$109)/$D95,('Dev Costs'!$C$109)*BG$75),0))),0)</f>
        <v>0</v>
      </c>
      <c r="BH95" s="600">
        <f>IFERROR(IF(AND($D95=1,$C95=BH$3),'Dev Costs'!$C$10,(IF(AND(BH$3&lt;EDATE($C95,$D95),BH$3&gt;=$C95),IF($F95= "",('Dev Costs'!$C$109)/$D95,('Dev Costs'!$C$109)*BH$75),0))),0)</f>
        <v>0</v>
      </c>
      <c r="BI95" s="600">
        <f>IFERROR(IF(AND($D95=1,$C95=BI$3),'Dev Costs'!$C$10,(IF(AND(BI$3&lt;EDATE($C95,$D95),BI$3&gt;=$C95),IF($F95= "",('Dev Costs'!$C$109)/$D95,('Dev Costs'!$C$109)*BI$75),0))),0)</f>
        <v>0</v>
      </c>
      <c r="BJ95" s="600">
        <f>IFERROR(IF(AND($D95=1,$C95=BJ$3),'Dev Costs'!$C$10,(IF(AND(BJ$3&lt;EDATE($C95,$D95),BJ$3&gt;=$C95),IF($F95= "",('Dev Costs'!$C$109)/$D95,('Dev Costs'!$C$109)*BJ$75),0))),0)</f>
        <v>0</v>
      </c>
      <c r="BK95" s="600">
        <f>IFERROR(IF(AND($D95=1,$C95=BK$3),'Dev Costs'!$C$10,(IF(AND(BK$3&lt;EDATE($C95,$D95),BK$3&gt;=$C95),IF($F95= "",('Dev Costs'!$C$109)/$D95,('Dev Costs'!$C$109)*BK$75),0))),0)</f>
        <v>0</v>
      </c>
      <c r="BL95" s="600">
        <f>IFERROR(IF(AND($D95=1,$C95=BL$3),'Dev Costs'!$C$10,(IF(AND(BL$3&lt;EDATE($C95,$D95),BL$3&gt;=$C95),IF($F95= "",('Dev Costs'!$C$109)/$D95,('Dev Costs'!$C$109)*BL$75),0))),0)</f>
        <v>0</v>
      </c>
      <c r="BM95" s="600">
        <f>IFERROR(IF(AND($D95=1,$C95=BM$3),'Dev Costs'!$C$10,(IF(AND(BM$3&lt;EDATE($C95,$D95),BM$3&gt;=$C95),IF($F95= "",('Dev Costs'!$C$109)/$D95,('Dev Costs'!$C$109)*BM$75),0))),0)</f>
        <v>0</v>
      </c>
      <c r="BN95" s="600">
        <f>IFERROR(IF(AND($D95=1,$C95=BN$3),'Dev Costs'!$C$10,(IF(AND(BN$3&lt;EDATE($C95,$D95),BN$3&gt;=$C95),IF($F95= "",('Dev Costs'!$C$109)/$D95,('Dev Costs'!$C$109)*BN$75),0))),0)</f>
        <v>0</v>
      </c>
      <c r="BO95" s="600">
        <f>IFERROR(IF(AND($D95=1,$C95=BO$3),'Dev Costs'!$C$10,(IF(AND(BO$3&lt;EDATE($C95,$D95),BO$3&gt;=$C95),IF($F95= "",('Dev Costs'!$C$109)/$D95,('Dev Costs'!$C$109)*BO$75),0))),0)</f>
        <v>0</v>
      </c>
      <c r="BP95" s="600">
        <f>IFERROR(IF(AND($D95=1,$C95=BP$3),'Dev Costs'!$C$10,(IF(AND(BP$3&lt;EDATE($C95,$D95),BP$3&gt;=$C95),IF($F95= "",('Dev Costs'!$C$109)/$D95,('Dev Costs'!$C$109)*BP$75),0))),0)</f>
        <v>0</v>
      </c>
      <c r="BQ95" s="600">
        <f>IFERROR(IF(AND($D95=1,$C95=BQ$3),'Dev Costs'!$C$10,(IF(AND(BQ$3&lt;EDATE($C95,$D95),BQ$3&gt;=$C95),IF($F95= "",('Dev Costs'!$C$109)/$D95,('Dev Costs'!$C$109)*BQ$75),0))),0)</f>
        <v>0</v>
      </c>
      <c r="BR95" s="600">
        <f>IFERROR(IF(AND($D95=1,$C95=BR$3),'Dev Costs'!$C$10,(IF(AND(BR$3&lt;EDATE($C95,$D95),BR$3&gt;=$C95),IF($F95= "",('Dev Costs'!$C$109)/$D95,('Dev Costs'!$C$109)*BR$75),0))),0)</f>
        <v>0</v>
      </c>
      <c r="BS95" s="600">
        <f>IFERROR(IF(AND($D95=1,$C95=BS$3),'Dev Costs'!$C$10,(IF(AND(BS$3&lt;EDATE($C95,$D95),BS$3&gt;=$C95),IF($F95= "",('Dev Costs'!$C$109)/$D95,('Dev Costs'!$C$109)*BS$75),0))),0)</f>
        <v>0</v>
      </c>
      <c r="BT95" s="600">
        <f>IFERROR(IF(AND($D95=1,$C95=BT$3),'Dev Costs'!$C$10,(IF(AND(BT$3&lt;EDATE($C95,$D95),BT$3&gt;=$C95),IF($F95= "",('Dev Costs'!$C$109)/$D95,('Dev Costs'!$C$109)*BT$75),0))),0)</f>
        <v>0</v>
      </c>
      <c r="BU95" s="600">
        <f>IFERROR(IF(AND($D95=1,$C95=BU$3),'Dev Costs'!$C$10,(IF(AND(BU$3&lt;EDATE($C95,$D95),BU$3&gt;=$C95),IF($F95= "",('Dev Costs'!$C$109)/$D95,('Dev Costs'!$C$109)*BU$75),0))),0)</f>
        <v>0</v>
      </c>
      <c r="BV95" s="600">
        <f>IFERROR(IF(AND($D95=1,$C95=BV$3),'Dev Costs'!$C$10,(IF(AND(BV$3&lt;EDATE($C95,$D95),BV$3&gt;=$C95),IF($F95= "",('Dev Costs'!$C$109)/$D95,('Dev Costs'!$C$109)*BV$75),0))),0)</f>
        <v>0</v>
      </c>
      <c r="BW95" s="600">
        <f>IFERROR(IF(AND($D95=1,$C95=BW$3),'Dev Costs'!$C$10,(IF(AND(BW$3&lt;EDATE($C95,$D95),BW$3&gt;=$C95),IF($F95= "",('Dev Costs'!$C$109)/$D95,('Dev Costs'!$C$109)*BW$75),0))),0)</f>
        <v>0</v>
      </c>
      <c r="BX95" s="600">
        <f>IFERROR(IF(AND($D95=1,$C95=BX$3),'Dev Costs'!$C$10,(IF(AND(BX$3&lt;EDATE($C95,$D95),BX$3&gt;=$C95),IF($F95= "",('Dev Costs'!$C$109)/$D95,('Dev Costs'!$C$109)*BX$75),0))),0)</f>
        <v>0</v>
      </c>
      <c r="BY95" s="600">
        <f>IFERROR(IF(AND($D95=1,$C95=BY$3),'Dev Costs'!$C$10,(IF(AND(BY$3&lt;EDATE($C95,$D95),BY$3&gt;=$C95),IF($F95= "",('Dev Costs'!$C$109)/$D95,('Dev Costs'!$C$109)*BY$75),0))),0)</f>
        <v>0</v>
      </c>
      <c r="BZ95" s="600">
        <f>IFERROR(IF(AND($D95=1,$C95=BZ$3),'Dev Costs'!$C$10,(IF(AND(BZ$3&lt;EDATE($C95,$D95),BZ$3&gt;=$C95),IF($F95= "",('Dev Costs'!$C$109)/$D95,('Dev Costs'!$C$109)*BZ$75),0))),0)</f>
        <v>0</v>
      </c>
      <c r="CA95" s="600">
        <f>IFERROR(IF(AND($D95=1,$C95=CA$3),'Dev Costs'!$C$10,(IF(AND(CA$3&lt;EDATE($C95,$D95),CA$3&gt;=$C95),IF($F95= "",('Dev Costs'!$C$109)/$D95,('Dev Costs'!$C$109)*CA$75),0))),0)</f>
        <v>0</v>
      </c>
      <c r="CB95" s="600">
        <f>IFERROR(IF(AND($D95=1,$C95=CB$3),'Dev Costs'!$C$10,(IF(AND(CB$3&lt;EDATE($C95,$D95),CB$3&gt;=$C95),IF($F95= "",('Dev Costs'!$C$109)/$D95,('Dev Costs'!$C$109)*CB$75),0))),0)</f>
        <v>0</v>
      </c>
      <c r="CC95" s="600">
        <f>IFERROR(IF(AND($D95=1,$C95=CC$3),'Dev Costs'!$C$10,(IF(AND(CC$3&lt;EDATE($C95,$D95),CC$3&gt;=$C95),IF($F95= "",('Dev Costs'!$C$109)/$D95,('Dev Costs'!$C$109)*CC$75),0))),0)</f>
        <v>0</v>
      </c>
      <c r="CD95" s="600">
        <f>IFERROR(IF(AND($D95=1,$C95=CD$3),'Dev Costs'!$C$10,(IF(AND(CD$3&lt;EDATE($C95,$D95),CD$3&gt;=$C95),IF($F95= "",('Dev Costs'!$C$109)/$D95,('Dev Costs'!$C$109)*CD$75),0))),0)</f>
        <v>0</v>
      </c>
      <c r="CE95" s="600">
        <f>IFERROR(IF(AND($D95=1,$C95=CE$3),'Dev Costs'!$C$10,(IF(AND(CE$3&lt;EDATE($C95,$D95),CE$3&gt;=$C95),IF($F95= "",('Dev Costs'!$C$109)/$D95,('Dev Costs'!$C$109)*CE$75),0))),0)</f>
        <v>0</v>
      </c>
      <c r="CF95" s="600">
        <f>IFERROR(IF(AND($D95=1,$C95=CF$3),'Dev Costs'!$C$10,(IF(AND(CF$3&lt;EDATE($C95,$D95),CF$3&gt;=$C95),IF($F95= "",('Dev Costs'!$C$109)/$D95,('Dev Costs'!$C$109)*CF$75),0))),0)</f>
        <v>0</v>
      </c>
      <c r="CG95" s="600">
        <f>IFERROR(IF(AND($D95=1,$C95=CG$3),'Dev Costs'!$C$10,(IF(AND(CG$3&lt;EDATE($C95,$D95),CG$3&gt;=$C95),IF($F95= "",('Dev Costs'!$C$109)/$D95,('Dev Costs'!$C$109)*CG$75),0))),0)</f>
        <v>0</v>
      </c>
      <c r="CH95" s="600">
        <f>IFERROR(IF(AND($D95=1,$C95=CH$3),'Dev Costs'!$C$10,(IF(AND(CH$3&lt;EDATE($C95,$D95),CH$3&gt;=$C95),IF($F95= "",('Dev Costs'!$C$109)/$D95,('Dev Costs'!$C$109)*CH$75),0))),0)</f>
        <v>0</v>
      </c>
      <c r="CI95" s="600">
        <f>IFERROR(IF(AND($D95=1,$C95=CI$3),'Dev Costs'!$C$10,(IF(AND(CI$3&lt;EDATE($C95,$D95),CI$3&gt;=$C95),IF($F95= "",('Dev Costs'!$C$109)/$D95,('Dev Costs'!$C$109)*CI$75),0))),0)</f>
        <v>0</v>
      </c>
      <c r="CJ95" s="600">
        <f>IFERROR(IF(AND($D95=1,$C95=CJ$3),'Dev Costs'!$C$10,(IF(AND(CJ$3&lt;EDATE($C95,$D95),CJ$3&gt;=$C95),IF($F95= "",('Dev Costs'!$C$109)/$D95,('Dev Costs'!$C$109)*CJ$75),0))),0)</f>
        <v>0</v>
      </c>
      <c r="CK95" s="600">
        <f>IFERROR(IF(AND($D95=1,$C95=CK$3),'Dev Costs'!$C$10,(IF(AND(CK$3&lt;EDATE($C95,$D95),CK$3&gt;=$C95),IF($F95= "",('Dev Costs'!$C$109)/$D95,('Dev Costs'!$C$109)*CK$75),0))),0)</f>
        <v>0</v>
      </c>
      <c r="CL95" s="600">
        <f>IFERROR(IF(AND($D95=1,$C95=CL$3),'Dev Costs'!$C$10,(IF(AND(CL$3&lt;EDATE($C95,$D95),CL$3&gt;=$C95),IF($F95= "",('Dev Costs'!$C$109)/$D95,('Dev Costs'!$C$109)*CL$75),0))),0)</f>
        <v>0</v>
      </c>
      <c r="CM95" s="600">
        <f>IFERROR(IF(AND($D95=1,$C95=CM$3),'Dev Costs'!$C$10,(IF(AND(CM$3&lt;EDATE($C95,$D95),CM$3&gt;=$C95),IF($F95= "",('Dev Costs'!$C$109)/$D95,('Dev Costs'!$C$109)*CM$75),0))),0)</f>
        <v>0</v>
      </c>
      <c r="CN95" s="600">
        <f>IFERROR(IF(AND($D95=1,$C95=CN$3),'Dev Costs'!$C$10,(IF(AND(CN$3&lt;EDATE($C95,$D95),CN$3&gt;=$C95),IF($F95= "",('Dev Costs'!$C$109)/$D95,('Dev Costs'!$C$109)*CN$75),0))),0)</f>
        <v>0</v>
      </c>
      <c r="CO95" s="600">
        <f>IFERROR(IF(AND($D95=1,$C95=CO$3),'Dev Costs'!$C$10,(IF(AND(CO$3&lt;EDATE($C95,$D95),CO$3&gt;=$C95),IF($F95= "",('Dev Costs'!$C$109)/$D95,('Dev Costs'!$C$109)*CO$75),0))),0)</f>
        <v>0</v>
      </c>
      <c r="CP95" s="600">
        <f>IFERROR(IF(AND($D95=1,$C95=CP$3),'Dev Costs'!$C$10,(IF(AND(CP$3&lt;EDATE($C95,$D95),CP$3&gt;=$C95),IF($F95= "",('Dev Costs'!$C$109)/$D95,('Dev Costs'!$C$109)*CP$75),0))),0)</f>
        <v>0</v>
      </c>
      <c r="CQ95" s="600">
        <f>IFERROR(IF(AND($D95=1,$C95=CQ$3),'Dev Costs'!$C$10,(IF(AND(CQ$3&lt;EDATE($C95,$D95),CQ$3&gt;=$C95),IF($F95= "",('Dev Costs'!$C$109)/$D95,('Dev Costs'!$C$109)*CQ$75),0))),0)</f>
        <v>0</v>
      </c>
      <c r="CR95" s="600">
        <f>IFERROR(IF(AND($D95=1,$C95=CR$3),'Dev Costs'!$C$10,(IF(AND(CR$3&lt;EDATE($C95,$D95),CR$3&gt;=$C95),IF($F95= "",('Dev Costs'!$C$109)/$D95,('Dev Costs'!$C$109)*CR$75),0))),0)</f>
        <v>0</v>
      </c>
      <c r="CS95" s="600">
        <f>IFERROR(IF(AND($D95=1,$C95=CS$3),'Dev Costs'!$C$10,(IF(AND(CS$3&lt;EDATE($C95,$D95),CS$3&gt;=$C95),IF($F95= "",('Dev Costs'!$C$109)/$D95,('Dev Costs'!$C$109)*CS$75),0))),0)</f>
        <v>0</v>
      </c>
      <c r="CT95" s="600">
        <f>IFERROR(IF(AND($D95=1,$C95=CT$3),'Dev Costs'!$C$10,(IF(AND(CT$3&lt;EDATE($C95,$D95),CT$3&gt;=$C95),IF($F95= "",('Dev Costs'!$C$109)/$D95,('Dev Costs'!$C$109)*CT$75),0))),0)</f>
        <v>0</v>
      </c>
      <c r="CU95" s="600">
        <f>IFERROR(IF(AND($D95=1,$C95=CU$3),'Dev Costs'!$C$10,(IF(AND(CU$3&lt;EDATE($C95,$D95),CU$3&gt;=$C95),IF($F95= "",('Dev Costs'!$C$109)/$D95,('Dev Costs'!$C$109)*CU$75),0))),0)</f>
        <v>0</v>
      </c>
      <c r="CV95" s="600">
        <f>IFERROR(IF(AND($D95=1,$C95=CV$3),'Dev Costs'!$C$10,(IF(AND(CV$3&lt;EDATE($C95,$D95),CV$3&gt;=$C95),IF($F95= "",('Dev Costs'!$C$109)/$D95,('Dev Costs'!$C$109)*CV$75),0))),0)</f>
        <v>0</v>
      </c>
      <c r="CW95" s="600">
        <f>IFERROR(IF(AND($D95=1,$C95=CW$3),'Dev Costs'!$C$10,(IF(AND(CW$3&lt;EDATE($C95,$D95),CW$3&gt;=$C95),IF($F95= "",('Dev Costs'!$C$109)/$D95,('Dev Costs'!$C$109)*CW$75),0))),0)</f>
        <v>0</v>
      </c>
      <c r="CX95" s="600">
        <f>IFERROR(IF(AND($D95=1,$C95=CX$3),'Dev Costs'!$C$10,(IF(AND(CX$3&lt;EDATE($C95,$D95),CX$3&gt;=$C95),IF($F95= "",('Dev Costs'!$C$109)/$D95,('Dev Costs'!$C$109)*CX$75),0))),0)</f>
        <v>0</v>
      </c>
      <c r="CY95" s="600">
        <f>IFERROR(IF(AND($D95=1,$C95=CY$3),'Dev Costs'!$C$10,(IF(AND(CY$3&lt;EDATE($C95,$D95),CY$3&gt;=$C95),IF($F95= "",('Dev Costs'!$C$109)/$D95,('Dev Costs'!$C$109)*CY$75),0))),0)</f>
        <v>0</v>
      </c>
      <c r="CZ95" s="600">
        <f>IFERROR(IF(AND($D95=1,$C95=CZ$3),'Dev Costs'!$C$10,(IF(AND(CZ$3&lt;EDATE($C95,$D95),CZ$3&gt;=$C95),IF($F95= "",('Dev Costs'!$C$109)/$D95,('Dev Costs'!$C$109)*CZ$75),0))),0)</f>
        <v>0</v>
      </c>
      <c r="DA95" s="600">
        <f>IFERROR(IF(AND($D95=1,$C95=DA$3),'Dev Costs'!$C$10,(IF(AND(DA$3&lt;EDATE($C95,$D95),DA$3&gt;=$C95),IF($F95= "",('Dev Costs'!$C$109)/$D95,('Dev Costs'!$C$109)*DA$75),0))),0)</f>
        <v>0</v>
      </c>
      <c r="DB95" s="600">
        <f>IFERROR(IF(AND($D95=1,$C95=DB$3),'Dev Costs'!$C$10,(IF(AND(DB$3&lt;EDATE($C95,$D95),DB$3&gt;=$C95),IF($F95= "",('Dev Costs'!$C$109)/$D95,('Dev Costs'!$C$109)*DB$75),0))),0)</f>
        <v>0</v>
      </c>
      <c r="DC95" s="600">
        <f>IFERROR(IF(AND($D95=1,$C95=DC$3),'Dev Costs'!$C$10,(IF(AND(DC$3&lt;EDATE($C95,$D95),DC$3&gt;=$C95),IF($F95= "",('Dev Costs'!$C$109)/$D95,('Dev Costs'!$C$109)*DC$75),0))),0)</f>
        <v>0</v>
      </c>
      <c r="DD95" s="600">
        <f>IFERROR(IF(AND($D95=1,$C95=DD$3),'Dev Costs'!$C$10,(IF(AND(DD$3&lt;EDATE($C95,$D95),DD$3&gt;=$C95),IF($F95= "",('Dev Costs'!$C$109)/$D95,('Dev Costs'!$C$109)*DD$75),0))),0)</f>
        <v>0</v>
      </c>
      <c r="DE95" s="600">
        <f>IFERROR(IF(AND($D95=1,$C95=DE$3),'Dev Costs'!$C$10,(IF(AND(DE$3&lt;EDATE($C95,$D95),DE$3&gt;=$C95),IF($F95= "",('Dev Costs'!$C$109)/$D95,('Dev Costs'!$C$109)*DE$75),0))),0)</f>
        <v>0</v>
      </c>
      <c r="DF95" s="600">
        <f>IFERROR(IF(AND($D95=1,$C95=DF$3),'Dev Costs'!$C$10,(IF(AND(DF$3&lt;EDATE($C95,$D95),DF$3&gt;=$C95),IF($F95= "",('Dev Costs'!$C$109)/$D95,('Dev Costs'!$C$109)*DF$75),0))),0)</f>
        <v>0</v>
      </c>
      <c r="DG95" s="600">
        <f>IFERROR(IF(AND($D95=1,$C95=DG$3),'Dev Costs'!$C$10,(IF(AND(DG$3&lt;EDATE($C95,$D95),DG$3&gt;=$C95),IF($F95= "",('Dev Costs'!$C$109)/$D95,('Dev Costs'!$C$109)*DG$75),0))),0)</f>
        <v>0</v>
      </c>
      <c r="DH95" s="600">
        <f>IFERROR(IF(AND($D95=1,$C95=DH$3),'Dev Costs'!$C$10,(IF(AND(DH$3&lt;EDATE($C95,$D95),DH$3&gt;=$C95),IF($F95= "",('Dev Costs'!$C$109)/$D95,('Dev Costs'!$C$109)*DH$75),0))),0)</f>
        <v>0</v>
      </c>
      <c r="DI95" s="600">
        <f>IFERROR(IF(AND($D95=1,$C95=DI$3),'Dev Costs'!$C$10,(IF(AND(DI$3&lt;EDATE($C95,$D95),DI$3&gt;=$C95),IF($F95= "",('Dev Costs'!$C$109)/$D95,('Dev Costs'!$C$109)*DI$75),0))),0)</f>
        <v>0</v>
      </c>
      <c r="DJ95" s="600">
        <f>IFERROR(IF(AND($D95=1,$C95=DJ$3),'Dev Costs'!$C$10,(IF(AND(DJ$3&lt;EDATE($C95,$D95),DJ$3&gt;=$C95),IF($F95= "",('Dev Costs'!$C$109)/$D95,('Dev Costs'!$C$109)*DJ$75),0))),0)</f>
        <v>0</v>
      </c>
      <c r="DK95" s="600">
        <f>IFERROR(IF(AND($D95=1,$C95=DK$3),'Dev Costs'!$C$10,(IF(AND(DK$3&lt;EDATE($C95,$D95),DK$3&gt;=$C95),IF($F95= "",('Dev Costs'!$C$109)/$D95,('Dev Costs'!$C$109)*DK$75),0))),0)</f>
        <v>0</v>
      </c>
      <c r="DL95" s="600">
        <f>IFERROR(IF(AND($D95=1,$C95=DL$3),'Dev Costs'!$C$10,(IF(AND(DL$3&lt;EDATE($C95,$D95),DL$3&gt;=$C95),IF($F95= "",('Dev Costs'!$C$109)/$D95,('Dev Costs'!$C$109)*DL$75),0))),0)</f>
        <v>0</v>
      </c>
      <c r="DM95" s="600">
        <f>IFERROR(IF(AND($D95=1,$C95=DM$3),'Dev Costs'!$C$10,(IF(AND(DM$3&lt;EDATE($C95,$D95),DM$3&gt;=$C95),IF($F95= "",('Dev Costs'!$C$109)/$D95,('Dev Costs'!$C$109)*DM$75),0))),0)</f>
        <v>0</v>
      </c>
      <c r="DN95" s="600">
        <f>IFERROR(IF(AND($D95=1,$C95=DN$3),'Dev Costs'!$C$10,(IF(AND(DN$3&lt;EDATE($C95,$D95),DN$3&gt;=$C95),IF($F95= "",('Dev Costs'!$C$109)/$D95,('Dev Costs'!$C$109)*DN$75),0))),0)</f>
        <v>0</v>
      </c>
      <c r="DO95" s="600">
        <f>IFERROR(IF(AND($D95=1,$C95=DO$3),'Dev Costs'!$C$10,(IF(AND(DO$3&lt;EDATE($C95,$D95),DO$3&gt;=$C95),IF($F95= "",('Dev Costs'!$C$109)/$D95,('Dev Costs'!$C$109)*DO$75),0))),0)</f>
        <v>0</v>
      </c>
      <c r="DP95" s="600">
        <f>IFERROR(IF(AND($D95=1,$C95=DP$3),'Dev Costs'!$C$10,(IF(AND(DP$3&lt;EDATE($C95,$D95),DP$3&gt;=$C95),IF($F95= "",('Dev Costs'!$C$109)/$D95,('Dev Costs'!$C$109)*DP$75),0))),0)</f>
        <v>0</v>
      </c>
      <c r="DQ95" s="600">
        <f>IFERROR(IF(AND($D95=1,$C95=DQ$3),'Dev Costs'!$C$10,(IF(AND(DQ$3&lt;EDATE($C95,$D95),DQ$3&gt;=$C95),IF($F95= "",('Dev Costs'!$C$109)/$D95,('Dev Costs'!$C$109)*DQ$75),0))),0)</f>
        <v>0</v>
      </c>
      <c r="DR95" s="600">
        <f>IFERROR(IF(AND($D95=1,$C95=DR$3),'Dev Costs'!$C$10,(IF(AND(DR$3&lt;EDATE($C95,$D95),DR$3&gt;=$C95),IF($F95= "",('Dev Costs'!$C$109)/$D95,('Dev Costs'!$C$109)*DR$75),0))),0)</f>
        <v>0</v>
      </c>
      <c r="DS95" s="600">
        <f>IFERROR(IF(AND($D95=1,$C95=DS$3),'Dev Costs'!$C$10,(IF(AND(DS$3&lt;EDATE($C95,$D95),DS$3&gt;=$C95),IF($F95= "",('Dev Costs'!$C$109)/$D95,('Dev Costs'!$C$109)*DS$75),0))),0)</f>
        <v>0</v>
      </c>
      <c r="DT95" s="600">
        <f>IFERROR(IF(AND($D95=1,$C95=DT$3),'Dev Costs'!$C$10,(IF(AND(DT$3&lt;EDATE($C95,$D95),DT$3&gt;=$C95),IF($F95= "",('Dev Costs'!$C$109)/$D95,('Dev Costs'!$C$109)*DT$75),0))),0)</f>
        <v>0</v>
      </c>
      <c r="DU95" s="600">
        <f>IFERROR(IF(AND($D95=1,$C95=DU$3),'Dev Costs'!$C$10,(IF(AND(DU$3&lt;EDATE($C95,$D95),DU$3&gt;=$C95),IF($F95= "",('Dev Costs'!$C$109)/$D95,('Dev Costs'!$C$109)*DU$75),0))),0)</f>
        <v>0</v>
      </c>
      <c r="DV95" s="600">
        <f>IFERROR(IF(AND($D95=1,$C95=DV$3),'Dev Costs'!$C$10,(IF(AND(DV$3&lt;EDATE($C95,$D95),DV$3&gt;=$C95),IF($F95= "",('Dev Costs'!$C$109)/$D95,('Dev Costs'!$C$109)*DV$75),0))),0)</f>
        <v>0</v>
      </c>
      <c r="DW95" s="600">
        <f>IFERROR(IF(AND($D95=1,$C95=DW$3),'Dev Costs'!$C$10,(IF(AND(DW$3&lt;EDATE($C95,$D95),DW$3&gt;=$C95),IF($F95= "",('Dev Costs'!$C$109)/$D95,('Dev Costs'!$C$109)*DW$75),0))),0)</f>
        <v>0</v>
      </c>
      <c r="DX95" s="600">
        <f>IFERROR(IF(AND($D95=1,$C95=DX$3),'Dev Costs'!$C$10,(IF(AND(DX$3&lt;EDATE($C95,$D95),DX$3&gt;=$C95),IF($F95= "",('Dev Costs'!$C$109)/$D95,('Dev Costs'!$C$109)*DX$75),0))),0)</f>
        <v>0</v>
      </c>
      <c r="DY95" s="600">
        <f>IFERROR(IF(AND($D95=1,$C95=DY$3),'Dev Costs'!$C$10,(IF(AND(DY$3&lt;EDATE($C95,$D95),DY$3&gt;=$C95),IF($F95= "",('Dev Costs'!$C$109)/$D95,('Dev Costs'!$C$109)*DY$75),0))),0)</f>
        <v>0</v>
      </c>
      <c r="DZ95" s="600">
        <f>IFERROR(IF(AND($D95=1,$C95=DZ$3),'Dev Costs'!$C$10,(IF(AND(DZ$3&lt;EDATE($C95,$D95),DZ$3&gt;=$C95),IF($F95= "",('Dev Costs'!$C$109)/$D95,('Dev Costs'!$C$109)*DZ$75),0))),0)</f>
        <v>0</v>
      </c>
      <c r="EA95" s="600">
        <f>IFERROR(IF(AND($D95=1,$C95=EA$3),'Dev Costs'!$C$10,(IF(AND(EA$3&lt;EDATE($C95,$D95),EA$3&gt;=$C95),IF($F95= "",('Dev Costs'!$C$109)/$D95,('Dev Costs'!$C$109)*EA$75),0))),0)</f>
        <v>0</v>
      </c>
      <c r="EB95" s="600">
        <f>IFERROR(IF(AND($D95=1,$C95=EB$3),'Dev Costs'!$C$10,(IF(AND(EB$3&lt;EDATE($C95,$D95),EB$3&gt;=$C95),IF($F95= "",('Dev Costs'!$C$109)/$D95,('Dev Costs'!$C$109)*EB$75),0))),0)</f>
        <v>0</v>
      </c>
      <c r="EC95" s="600">
        <f>IFERROR(IF(AND($D95=1,$C95=EC$3),'Dev Costs'!$C$10,(IF(AND(EC$3&lt;EDATE($C95,$D95),EC$3&gt;=$C95),IF($F95= "",('Dev Costs'!$C$109)/$D95,('Dev Costs'!$C$109)*EC$75),0))),0)</f>
        <v>0</v>
      </c>
      <c r="ED95" s="600">
        <f>IFERROR(IF(AND($D95=1,$C95=ED$3),'Dev Costs'!$C$10,(IF(AND(ED$3&lt;EDATE($C95,$D95),ED$3&gt;=$C95),IF($F95= "",('Dev Costs'!$C$109)/$D95,('Dev Costs'!$C$109)*ED$75),0))),0)</f>
        <v>0</v>
      </c>
      <c r="EE95" s="600">
        <f>IFERROR(IF(AND($D95=1,$C95=EE$3),'Dev Costs'!$C$10,(IF(AND(EE$3&lt;EDATE($C95,$D95),EE$3&gt;=$C95),IF($F95= "",('Dev Costs'!$C$109)/$D95,('Dev Costs'!$C$109)*EE$75),0))),0)</f>
        <v>0</v>
      </c>
      <c r="EF95" s="600">
        <f>IFERROR(IF(AND($D95=1,$C95=EF$3),'Dev Costs'!$C$10,(IF(AND(EF$3&lt;EDATE($C95,$D95),EF$3&gt;=$C95),IF($F95= "",('Dev Costs'!$C$109)/$D95,('Dev Costs'!$C$109)*EF$75),0))),0)</f>
        <v>0</v>
      </c>
      <c r="EG95" s="600">
        <f>IFERROR(IF(AND($D95=1,$C95=EG$3),'Dev Costs'!$C$10,(IF(AND(EG$3&lt;EDATE($C95,$D95),EG$3&gt;=$C95),IF($F95= "",('Dev Costs'!$C$109)/$D95,('Dev Costs'!$C$109)*EG$75),0))),0)</f>
        <v>0</v>
      </c>
      <c r="EH95" s="600">
        <f>IFERROR(IF(AND($D95=1,$C95=EH$3),'Dev Costs'!$C$10,(IF(AND(EH$3&lt;EDATE($C95,$D95),EH$3&gt;=$C95),IF($F95= "",('Dev Costs'!$C$109)/$D95,('Dev Costs'!$C$109)*EH$75),0))),0)</f>
        <v>0</v>
      </c>
      <c r="EI95" s="600">
        <f>IFERROR(IF(AND($D95=1,$C95=EI$3),'Dev Costs'!$C$10,(IF(AND(EI$3&lt;EDATE($C95,$D95),EI$3&gt;=$C95),IF($F95= "",('Dev Costs'!$C$109)/$D95,('Dev Costs'!$C$109)*EI$75),0))),0)</f>
        <v>0</v>
      </c>
      <c r="EJ95" s="1126">
        <f>IFERROR(IF(AND($D95=1,$C95=EJ$3),'Dev Costs'!$C$10,(IF(AND(EJ$3&lt;EDATE($C95,$D95),EJ$3&gt;=$C95),IF($F95= "",('Dev Costs'!$C$109)/$D95,('Dev Costs'!$C$109)*EJ$75),0))),0)</f>
        <v>0</v>
      </c>
    </row>
    <row r="96" spans="1:140" ht="15.75" customHeight="1" x14ac:dyDescent="0.25">
      <c r="A96" s="6"/>
      <c r="B96" s="384" t="s">
        <v>641</v>
      </c>
      <c r="C96" s="211"/>
      <c r="D96" s="414"/>
      <c r="E96" s="405"/>
      <c r="F96" s="405"/>
      <c r="G96" s="1089">
        <f t="shared" si="118"/>
        <v>16570575.022500005</v>
      </c>
      <c r="H96" s="1115">
        <f t="shared" ref="H96:AM96" si="119">SUM(H95:H95)</f>
        <v>0</v>
      </c>
      <c r="I96" s="599">
        <f t="shared" si="119"/>
        <v>641270.71966079669</v>
      </c>
      <c r="J96" s="599">
        <f t="shared" si="119"/>
        <v>653633.08820657234</v>
      </c>
      <c r="K96" s="599">
        <f t="shared" si="119"/>
        <v>665078.29219485435</v>
      </c>
      <c r="L96" s="599">
        <f t="shared" si="119"/>
        <v>675550.22429783083</v>
      </c>
      <c r="M96" s="599">
        <f t="shared" si="119"/>
        <v>684996.9499004602</v>
      </c>
      <c r="N96" s="599">
        <f t="shared" si="119"/>
        <v>693371.13572535559</v>
      </c>
      <c r="O96" s="599">
        <f t="shared" si="119"/>
        <v>700630.44465583412</v>
      </c>
      <c r="P96" s="599">
        <f t="shared" si="119"/>
        <v>706737.89215189661</v>
      </c>
      <c r="Q96" s="599">
        <f t="shared" si="119"/>
        <v>711662.16006226209</v>
      </c>
      <c r="R96" s="599">
        <f t="shared" si="119"/>
        <v>715377.86410750833</v>
      </c>
      <c r="S96" s="599">
        <f t="shared" si="119"/>
        <v>717865.77183805185</v>
      </c>
      <c r="T96" s="599">
        <f t="shared" si="119"/>
        <v>719112.96844857943</v>
      </c>
      <c r="U96" s="599">
        <f t="shared" si="119"/>
        <v>719112.96844857943</v>
      </c>
      <c r="V96" s="599">
        <f t="shared" si="119"/>
        <v>717865.77183804952</v>
      </c>
      <c r="W96" s="599">
        <f t="shared" si="119"/>
        <v>715377.86410751077</v>
      </c>
      <c r="X96" s="599">
        <f t="shared" si="119"/>
        <v>711662.16006226209</v>
      </c>
      <c r="Y96" s="599">
        <f t="shared" si="119"/>
        <v>706737.89215189661</v>
      </c>
      <c r="Z96" s="599">
        <f t="shared" si="119"/>
        <v>700630.44465583412</v>
      </c>
      <c r="AA96" s="599">
        <f t="shared" si="119"/>
        <v>693371.13572535559</v>
      </c>
      <c r="AB96" s="599">
        <f t="shared" si="119"/>
        <v>684996.94990046264</v>
      </c>
      <c r="AC96" s="599">
        <f t="shared" si="119"/>
        <v>675550.22429782839</v>
      </c>
      <c r="AD96" s="599">
        <f t="shared" si="119"/>
        <v>665078.29219485191</v>
      </c>
      <c r="AE96" s="599">
        <f t="shared" si="119"/>
        <v>653633.088206577</v>
      </c>
      <c r="AF96" s="599">
        <f t="shared" si="119"/>
        <v>641270.71966079425</v>
      </c>
      <c r="AG96" s="599">
        <f t="shared" si="119"/>
        <v>0</v>
      </c>
      <c r="AH96" s="599">
        <f t="shared" si="119"/>
        <v>0</v>
      </c>
      <c r="AI96" s="599">
        <f t="shared" si="119"/>
        <v>0</v>
      </c>
      <c r="AJ96" s="599">
        <f t="shared" si="119"/>
        <v>0</v>
      </c>
      <c r="AK96" s="599">
        <f t="shared" si="119"/>
        <v>0</v>
      </c>
      <c r="AL96" s="599">
        <f t="shared" si="119"/>
        <v>0</v>
      </c>
      <c r="AM96" s="599">
        <f t="shared" si="119"/>
        <v>0</v>
      </c>
      <c r="AN96" s="599">
        <f t="shared" ref="AN96:BS96" si="120">SUM(AN95:AN95)</f>
        <v>0</v>
      </c>
      <c r="AO96" s="599">
        <f t="shared" si="120"/>
        <v>0</v>
      </c>
      <c r="AP96" s="599">
        <f t="shared" si="120"/>
        <v>0</v>
      </c>
      <c r="AQ96" s="599">
        <f t="shared" si="120"/>
        <v>0</v>
      </c>
      <c r="AR96" s="599">
        <f t="shared" si="120"/>
        <v>0</v>
      </c>
      <c r="AS96" s="599">
        <f t="shared" si="120"/>
        <v>0</v>
      </c>
      <c r="AT96" s="599">
        <f t="shared" si="120"/>
        <v>0</v>
      </c>
      <c r="AU96" s="599">
        <f t="shared" si="120"/>
        <v>0</v>
      </c>
      <c r="AV96" s="599">
        <f t="shared" si="120"/>
        <v>0</v>
      </c>
      <c r="AW96" s="599">
        <f t="shared" si="120"/>
        <v>0</v>
      </c>
      <c r="AX96" s="599">
        <f t="shared" si="120"/>
        <v>0</v>
      </c>
      <c r="AY96" s="599">
        <f t="shared" si="120"/>
        <v>0</v>
      </c>
      <c r="AZ96" s="599">
        <f t="shared" si="120"/>
        <v>0</v>
      </c>
      <c r="BA96" s="599">
        <f t="shared" si="120"/>
        <v>0</v>
      </c>
      <c r="BB96" s="599">
        <f t="shared" si="120"/>
        <v>0</v>
      </c>
      <c r="BC96" s="599">
        <f t="shared" si="120"/>
        <v>0</v>
      </c>
      <c r="BD96" s="599">
        <f t="shared" si="120"/>
        <v>0</v>
      </c>
      <c r="BE96" s="599">
        <f t="shared" si="120"/>
        <v>0</v>
      </c>
      <c r="BF96" s="599">
        <f t="shared" si="120"/>
        <v>0</v>
      </c>
      <c r="BG96" s="599">
        <f t="shared" si="120"/>
        <v>0</v>
      </c>
      <c r="BH96" s="599">
        <f t="shared" si="120"/>
        <v>0</v>
      </c>
      <c r="BI96" s="599">
        <f t="shared" si="120"/>
        <v>0</v>
      </c>
      <c r="BJ96" s="599">
        <f t="shared" si="120"/>
        <v>0</v>
      </c>
      <c r="BK96" s="599">
        <f t="shared" si="120"/>
        <v>0</v>
      </c>
      <c r="BL96" s="599">
        <f t="shared" si="120"/>
        <v>0</v>
      </c>
      <c r="BM96" s="599">
        <f t="shared" si="120"/>
        <v>0</v>
      </c>
      <c r="BN96" s="599">
        <f t="shared" si="120"/>
        <v>0</v>
      </c>
      <c r="BO96" s="599">
        <f t="shared" si="120"/>
        <v>0</v>
      </c>
      <c r="BP96" s="599">
        <f t="shared" si="120"/>
        <v>0</v>
      </c>
      <c r="BQ96" s="599">
        <f t="shared" si="120"/>
        <v>0</v>
      </c>
      <c r="BR96" s="599">
        <f t="shared" si="120"/>
        <v>0</v>
      </c>
      <c r="BS96" s="599">
        <f t="shared" si="120"/>
        <v>0</v>
      </c>
      <c r="BT96" s="599">
        <f t="shared" ref="BT96:CY96" si="121">SUM(BT95:BT95)</f>
        <v>0</v>
      </c>
      <c r="BU96" s="599">
        <f t="shared" si="121"/>
        <v>0</v>
      </c>
      <c r="BV96" s="599">
        <f t="shared" si="121"/>
        <v>0</v>
      </c>
      <c r="BW96" s="599">
        <f t="shared" si="121"/>
        <v>0</v>
      </c>
      <c r="BX96" s="599">
        <f t="shared" si="121"/>
        <v>0</v>
      </c>
      <c r="BY96" s="599">
        <f t="shared" si="121"/>
        <v>0</v>
      </c>
      <c r="BZ96" s="599">
        <f t="shared" si="121"/>
        <v>0</v>
      </c>
      <c r="CA96" s="599">
        <f t="shared" si="121"/>
        <v>0</v>
      </c>
      <c r="CB96" s="599">
        <f t="shared" si="121"/>
        <v>0</v>
      </c>
      <c r="CC96" s="599">
        <f t="shared" si="121"/>
        <v>0</v>
      </c>
      <c r="CD96" s="599">
        <f t="shared" si="121"/>
        <v>0</v>
      </c>
      <c r="CE96" s="599">
        <f t="shared" si="121"/>
        <v>0</v>
      </c>
      <c r="CF96" s="599">
        <f t="shared" si="121"/>
        <v>0</v>
      </c>
      <c r="CG96" s="599">
        <f t="shared" si="121"/>
        <v>0</v>
      </c>
      <c r="CH96" s="599">
        <f t="shared" si="121"/>
        <v>0</v>
      </c>
      <c r="CI96" s="599">
        <f t="shared" si="121"/>
        <v>0</v>
      </c>
      <c r="CJ96" s="599">
        <f t="shared" si="121"/>
        <v>0</v>
      </c>
      <c r="CK96" s="599">
        <f t="shared" si="121"/>
        <v>0</v>
      </c>
      <c r="CL96" s="599">
        <f t="shared" si="121"/>
        <v>0</v>
      </c>
      <c r="CM96" s="599">
        <f t="shared" si="121"/>
        <v>0</v>
      </c>
      <c r="CN96" s="599">
        <f t="shared" si="121"/>
        <v>0</v>
      </c>
      <c r="CO96" s="599">
        <f t="shared" si="121"/>
        <v>0</v>
      </c>
      <c r="CP96" s="599">
        <f t="shared" si="121"/>
        <v>0</v>
      </c>
      <c r="CQ96" s="599">
        <f t="shared" si="121"/>
        <v>0</v>
      </c>
      <c r="CR96" s="599">
        <f t="shared" si="121"/>
        <v>0</v>
      </c>
      <c r="CS96" s="599">
        <f t="shared" si="121"/>
        <v>0</v>
      </c>
      <c r="CT96" s="599">
        <f t="shared" si="121"/>
        <v>0</v>
      </c>
      <c r="CU96" s="599">
        <f t="shared" si="121"/>
        <v>0</v>
      </c>
      <c r="CV96" s="599">
        <f t="shared" si="121"/>
        <v>0</v>
      </c>
      <c r="CW96" s="599">
        <f t="shared" si="121"/>
        <v>0</v>
      </c>
      <c r="CX96" s="599">
        <f t="shared" si="121"/>
        <v>0</v>
      </c>
      <c r="CY96" s="599">
        <f t="shared" si="121"/>
        <v>0</v>
      </c>
      <c r="CZ96" s="599">
        <f t="shared" ref="CZ96:EE96" si="122">SUM(CZ95:CZ95)</f>
        <v>0</v>
      </c>
      <c r="DA96" s="599">
        <f t="shared" si="122"/>
        <v>0</v>
      </c>
      <c r="DB96" s="599">
        <f t="shared" si="122"/>
        <v>0</v>
      </c>
      <c r="DC96" s="599">
        <f t="shared" si="122"/>
        <v>0</v>
      </c>
      <c r="DD96" s="599">
        <f t="shared" si="122"/>
        <v>0</v>
      </c>
      <c r="DE96" s="599">
        <f t="shared" si="122"/>
        <v>0</v>
      </c>
      <c r="DF96" s="599">
        <f t="shared" si="122"/>
        <v>0</v>
      </c>
      <c r="DG96" s="599">
        <f t="shared" si="122"/>
        <v>0</v>
      </c>
      <c r="DH96" s="599">
        <f t="shared" si="122"/>
        <v>0</v>
      </c>
      <c r="DI96" s="599">
        <f t="shared" si="122"/>
        <v>0</v>
      </c>
      <c r="DJ96" s="599">
        <f t="shared" si="122"/>
        <v>0</v>
      </c>
      <c r="DK96" s="599">
        <f t="shared" si="122"/>
        <v>0</v>
      </c>
      <c r="DL96" s="599">
        <f t="shared" si="122"/>
        <v>0</v>
      </c>
      <c r="DM96" s="599">
        <f t="shared" si="122"/>
        <v>0</v>
      </c>
      <c r="DN96" s="599">
        <f t="shared" si="122"/>
        <v>0</v>
      </c>
      <c r="DO96" s="599">
        <f t="shared" si="122"/>
        <v>0</v>
      </c>
      <c r="DP96" s="599">
        <f t="shared" si="122"/>
        <v>0</v>
      </c>
      <c r="DQ96" s="599">
        <f t="shared" si="122"/>
        <v>0</v>
      </c>
      <c r="DR96" s="599">
        <f t="shared" si="122"/>
        <v>0</v>
      </c>
      <c r="DS96" s="599">
        <f t="shared" si="122"/>
        <v>0</v>
      </c>
      <c r="DT96" s="599">
        <f t="shared" si="122"/>
        <v>0</v>
      </c>
      <c r="DU96" s="599">
        <f t="shared" si="122"/>
        <v>0</v>
      </c>
      <c r="DV96" s="599">
        <f t="shared" si="122"/>
        <v>0</v>
      </c>
      <c r="DW96" s="599">
        <f t="shared" si="122"/>
        <v>0</v>
      </c>
      <c r="DX96" s="599">
        <f t="shared" si="122"/>
        <v>0</v>
      </c>
      <c r="DY96" s="599">
        <f t="shared" si="122"/>
        <v>0</v>
      </c>
      <c r="DZ96" s="599">
        <f t="shared" si="122"/>
        <v>0</v>
      </c>
      <c r="EA96" s="599">
        <f t="shared" si="122"/>
        <v>0</v>
      </c>
      <c r="EB96" s="599">
        <f t="shared" si="122"/>
        <v>0</v>
      </c>
      <c r="EC96" s="599">
        <f t="shared" si="122"/>
        <v>0</v>
      </c>
      <c r="ED96" s="599">
        <f t="shared" si="122"/>
        <v>0</v>
      </c>
      <c r="EE96" s="599">
        <f t="shared" si="122"/>
        <v>0</v>
      </c>
      <c r="EF96" s="599">
        <f t="shared" ref="EF96:EJ96" si="123">SUM(EF95:EF95)</f>
        <v>0</v>
      </c>
      <c r="EG96" s="599">
        <f t="shared" si="123"/>
        <v>0</v>
      </c>
      <c r="EH96" s="599">
        <f t="shared" si="123"/>
        <v>0</v>
      </c>
      <c r="EI96" s="599">
        <f t="shared" si="123"/>
        <v>0</v>
      </c>
      <c r="EJ96" s="1117">
        <f t="shared" si="123"/>
        <v>0</v>
      </c>
    </row>
    <row r="97" spans="1:140" ht="15.75" customHeight="1" x14ac:dyDescent="0.25">
      <c r="A97" s="6"/>
      <c r="B97" s="364"/>
      <c r="C97" s="415"/>
      <c r="D97" s="414"/>
      <c r="E97" s="358"/>
      <c r="F97" s="358"/>
      <c r="G97" s="1082"/>
      <c r="H97" s="1115"/>
      <c r="I97" s="599"/>
      <c r="J97" s="599"/>
      <c r="K97" s="599"/>
      <c r="L97" s="599"/>
      <c r="M97" s="599"/>
      <c r="N97" s="599"/>
      <c r="O97" s="599"/>
      <c r="P97" s="599"/>
      <c r="Q97" s="599"/>
      <c r="R97" s="599"/>
      <c r="S97" s="599"/>
      <c r="T97" s="599"/>
      <c r="U97" s="599"/>
      <c r="V97" s="599"/>
      <c r="W97" s="599"/>
      <c r="X97" s="599"/>
      <c r="Y97" s="599"/>
      <c r="Z97" s="599"/>
      <c r="AA97" s="599"/>
      <c r="AB97" s="599"/>
      <c r="AC97" s="599"/>
      <c r="AD97" s="599"/>
      <c r="AE97" s="599"/>
      <c r="AF97" s="599"/>
      <c r="AG97" s="599"/>
      <c r="AH97" s="599"/>
      <c r="AI97" s="599"/>
      <c r="AJ97" s="599"/>
      <c r="AK97" s="599"/>
      <c r="AL97" s="599"/>
      <c r="AM97" s="599"/>
      <c r="AN97" s="599"/>
      <c r="AO97" s="599"/>
      <c r="AP97" s="599"/>
      <c r="AQ97" s="599"/>
      <c r="AR97" s="599"/>
      <c r="AS97" s="599"/>
      <c r="AT97" s="599"/>
      <c r="AU97" s="599"/>
      <c r="AV97" s="599"/>
      <c r="AW97" s="599"/>
      <c r="AX97" s="599"/>
      <c r="AY97" s="599"/>
      <c r="AZ97" s="599"/>
      <c r="BA97" s="599"/>
      <c r="BB97" s="599"/>
      <c r="BC97" s="599"/>
      <c r="BD97" s="599"/>
      <c r="BE97" s="599"/>
      <c r="BF97" s="599"/>
      <c r="BG97" s="599"/>
      <c r="BH97" s="599"/>
      <c r="BI97" s="599"/>
      <c r="BJ97" s="599"/>
      <c r="BK97" s="599"/>
      <c r="BL97" s="599"/>
      <c r="BM97" s="599"/>
      <c r="BN97" s="599"/>
      <c r="BO97" s="599"/>
      <c r="BP97" s="599"/>
      <c r="BQ97" s="599"/>
      <c r="BR97" s="599"/>
      <c r="BS97" s="599"/>
      <c r="BT97" s="599"/>
      <c r="BU97" s="599"/>
      <c r="BV97" s="599"/>
      <c r="BW97" s="599"/>
      <c r="BX97" s="599"/>
      <c r="BY97" s="599"/>
      <c r="BZ97" s="599"/>
      <c r="CA97" s="599"/>
      <c r="CB97" s="599"/>
      <c r="CC97" s="599"/>
      <c r="CD97" s="599"/>
      <c r="CE97" s="599"/>
      <c r="CF97" s="599"/>
      <c r="CG97" s="599"/>
      <c r="CH97" s="599"/>
      <c r="CI97" s="599"/>
      <c r="CJ97" s="599"/>
      <c r="CK97" s="599"/>
      <c r="CL97" s="599"/>
      <c r="CM97" s="599"/>
      <c r="CN97" s="599"/>
      <c r="CO97" s="599"/>
      <c r="CP97" s="599"/>
      <c r="CQ97" s="599"/>
      <c r="CR97" s="599"/>
      <c r="CS97" s="599"/>
      <c r="CT97" s="599"/>
      <c r="CU97" s="599"/>
      <c r="CV97" s="599"/>
      <c r="CW97" s="599"/>
      <c r="CX97" s="599"/>
      <c r="CY97" s="599"/>
      <c r="CZ97" s="599"/>
      <c r="DA97" s="599"/>
      <c r="DB97" s="599"/>
      <c r="DC97" s="599"/>
      <c r="DD97" s="599"/>
      <c r="DE97" s="599"/>
      <c r="DF97" s="599"/>
      <c r="DG97" s="599"/>
      <c r="DH97" s="599"/>
      <c r="DI97" s="599"/>
      <c r="DJ97" s="599"/>
      <c r="DK97" s="599"/>
      <c r="DL97" s="599"/>
      <c r="DM97" s="599"/>
      <c r="DN97" s="599"/>
      <c r="DO97" s="599"/>
      <c r="DP97" s="599"/>
      <c r="DQ97" s="599"/>
      <c r="DR97" s="599"/>
      <c r="DS97" s="599"/>
      <c r="DT97" s="599"/>
      <c r="DU97" s="599"/>
      <c r="DV97" s="599"/>
      <c r="DW97" s="599"/>
      <c r="DX97" s="599"/>
      <c r="DY97" s="599"/>
      <c r="DZ97" s="599"/>
      <c r="EA97" s="599"/>
      <c r="EB97" s="599"/>
      <c r="EC97" s="599"/>
      <c r="ED97" s="599"/>
      <c r="EE97" s="599"/>
      <c r="EF97" s="599"/>
      <c r="EG97" s="599"/>
      <c r="EH97" s="599"/>
      <c r="EI97" s="599"/>
      <c r="EJ97" s="1117"/>
    </row>
    <row r="98" spans="1:140" ht="15.75" customHeight="1" x14ac:dyDescent="0.25">
      <c r="A98" s="6"/>
      <c r="B98" s="393"/>
      <c r="C98" s="415"/>
      <c r="D98" s="405"/>
      <c r="E98" s="416"/>
      <c r="F98" s="358"/>
      <c r="G98" s="1082"/>
      <c r="H98" s="1115"/>
      <c r="I98" s="599"/>
      <c r="J98" s="599"/>
      <c r="K98" s="599"/>
      <c r="L98" s="599"/>
      <c r="M98" s="599"/>
      <c r="N98" s="599"/>
      <c r="O98" s="599"/>
      <c r="P98" s="599"/>
      <c r="Q98" s="599"/>
      <c r="R98" s="599"/>
      <c r="S98" s="599"/>
      <c r="T98" s="599"/>
      <c r="U98" s="599"/>
      <c r="V98" s="599"/>
      <c r="W98" s="599"/>
      <c r="X98" s="599"/>
      <c r="Y98" s="599"/>
      <c r="Z98" s="599"/>
      <c r="AA98" s="599"/>
      <c r="AB98" s="599"/>
      <c r="AC98" s="599"/>
      <c r="AD98" s="599"/>
      <c r="AE98" s="599"/>
      <c r="AF98" s="599"/>
      <c r="AG98" s="599"/>
      <c r="AH98" s="599"/>
      <c r="AI98" s="599"/>
      <c r="AJ98" s="599"/>
      <c r="AK98" s="599"/>
      <c r="AL98" s="599"/>
      <c r="AM98" s="599"/>
      <c r="AN98" s="599"/>
      <c r="AO98" s="599"/>
      <c r="AP98" s="599"/>
      <c r="AQ98" s="599"/>
      <c r="AR98" s="599"/>
      <c r="AS98" s="599"/>
      <c r="AT98" s="599"/>
      <c r="AU98" s="599"/>
      <c r="AV98" s="599"/>
      <c r="AW98" s="599"/>
      <c r="AX98" s="599"/>
      <c r="AY98" s="599"/>
      <c r="AZ98" s="599"/>
      <c r="BA98" s="599"/>
      <c r="BB98" s="599"/>
      <c r="BC98" s="599"/>
      <c r="BD98" s="599"/>
      <c r="BE98" s="599"/>
      <c r="BF98" s="599"/>
      <c r="BG98" s="599"/>
      <c r="BH98" s="599"/>
      <c r="BI98" s="599"/>
      <c r="BJ98" s="599"/>
      <c r="BK98" s="599"/>
      <c r="BL98" s="599"/>
      <c r="BM98" s="599"/>
      <c r="BN98" s="599"/>
      <c r="BO98" s="599"/>
      <c r="BP98" s="599"/>
      <c r="BQ98" s="599"/>
      <c r="BR98" s="599"/>
      <c r="BS98" s="599"/>
      <c r="BT98" s="599"/>
      <c r="BU98" s="599"/>
      <c r="BV98" s="599"/>
      <c r="BW98" s="599"/>
      <c r="BX98" s="599"/>
      <c r="BY98" s="599"/>
      <c r="BZ98" s="599"/>
      <c r="CA98" s="599"/>
      <c r="CB98" s="599"/>
      <c r="CC98" s="599"/>
      <c r="CD98" s="599"/>
      <c r="CE98" s="599"/>
      <c r="CF98" s="599"/>
      <c r="CG98" s="599"/>
      <c r="CH98" s="599"/>
      <c r="CI98" s="599"/>
      <c r="CJ98" s="599"/>
      <c r="CK98" s="599"/>
      <c r="CL98" s="599"/>
      <c r="CM98" s="599"/>
      <c r="CN98" s="599"/>
      <c r="CO98" s="599"/>
      <c r="CP98" s="599"/>
      <c r="CQ98" s="599"/>
      <c r="CR98" s="599"/>
      <c r="CS98" s="599"/>
      <c r="CT98" s="599"/>
      <c r="CU98" s="599"/>
      <c r="CV98" s="599"/>
      <c r="CW98" s="599"/>
      <c r="CX98" s="599"/>
      <c r="CY98" s="599"/>
      <c r="CZ98" s="599"/>
      <c r="DA98" s="599"/>
      <c r="DB98" s="599"/>
      <c r="DC98" s="599"/>
      <c r="DD98" s="599"/>
      <c r="DE98" s="599"/>
      <c r="DF98" s="599"/>
      <c r="DG98" s="599"/>
      <c r="DH98" s="599"/>
      <c r="DI98" s="599"/>
      <c r="DJ98" s="599"/>
      <c r="DK98" s="599"/>
      <c r="DL98" s="599"/>
      <c r="DM98" s="599"/>
      <c r="DN98" s="599"/>
      <c r="DO98" s="599"/>
      <c r="DP98" s="599"/>
      <c r="DQ98" s="599"/>
      <c r="DR98" s="599"/>
      <c r="DS98" s="599"/>
      <c r="DT98" s="599"/>
      <c r="DU98" s="599"/>
      <c r="DV98" s="599"/>
      <c r="DW98" s="599"/>
      <c r="DX98" s="599"/>
      <c r="DY98" s="599"/>
      <c r="DZ98" s="599"/>
      <c r="EA98" s="599"/>
      <c r="EB98" s="599"/>
      <c r="EC98" s="599"/>
      <c r="ED98" s="599"/>
      <c r="EE98" s="599"/>
      <c r="EF98" s="599"/>
      <c r="EG98" s="599"/>
      <c r="EH98" s="599"/>
      <c r="EI98" s="599"/>
      <c r="EJ98" s="1117"/>
    </row>
    <row r="99" spans="1:140" ht="23.25" customHeight="1" thickBot="1" x14ac:dyDescent="0.3">
      <c r="A99" s="43"/>
      <c r="B99" s="417" t="s">
        <v>642</v>
      </c>
      <c r="C99" s="418"/>
      <c r="D99" s="418"/>
      <c r="E99" s="419"/>
      <c r="F99" s="418"/>
      <c r="G99" s="419">
        <f>G86+G91+G96</f>
        <v>23927400.787674919</v>
      </c>
      <c r="H99" s="1310">
        <f t="shared" ref="H99:AM99" si="124">(H96+H91+H86)</f>
        <v>3280000</v>
      </c>
      <c r="I99" s="1311">
        <f t="shared" si="124"/>
        <v>976611.29079134262</v>
      </c>
      <c r="J99" s="1311">
        <f t="shared" si="124"/>
        <v>988973.65933711827</v>
      </c>
      <c r="K99" s="1311">
        <f t="shared" si="124"/>
        <v>1000418.8633254003</v>
      </c>
      <c r="L99" s="1311">
        <f t="shared" si="124"/>
        <v>1010890.7954283768</v>
      </c>
      <c r="M99" s="1311">
        <f t="shared" si="124"/>
        <v>1020337.5210310061</v>
      </c>
      <c r="N99" s="1311">
        <f t="shared" si="124"/>
        <v>1028711.7068559015</v>
      </c>
      <c r="O99" s="1311">
        <f t="shared" si="124"/>
        <v>1035971.01578638</v>
      </c>
      <c r="P99" s="1311">
        <f t="shared" si="124"/>
        <v>1042078.4632824425</v>
      </c>
      <c r="Q99" s="1311">
        <f t="shared" si="124"/>
        <v>1047002.731192808</v>
      </c>
      <c r="R99" s="1311">
        <f t="shared" si="124"/>
        <v>785961.90577417496</v>
      </c>
      <c r="S99" s="1311">
        <f t="shared" si="124"/>
        <v>788449.81350471848</v>
      </c>
      <c r="T99" s="1311">
        <f t="shared" si="124"/>
        <v>789697.01011524606</v>
      </c>
      <c r="U99" s="1311">
        <f t="shared" si="124"/>
        <v>789697.01011524606</v>
      </c>
      <c r="V99" s="1311">
        <f t="shared" si="124"/>
        <v>788449.81350471615</v>
      </c>
      <c r="W99" s="1311">
        <f t="shared" si="124"/>
        <v>785961.9057741774</v>
      </c>
      <c r="X99" s="1311">
        <f t="shared" si="124"/>
        <v>782246.20172892872</v>
      </c>
      <c r="Y99" s="1311">
        <f t="shared" si="124"/>
        <v>777321.93381856324</v>
      </c>
      <c r="Z99" s="1311">
        <f t="shared" si="124"/>
        <v>771214.48632250074</v>
      </c>
      <c r="AA99" s="1311">
        <f t="shared" si="124"/>
        <v>763955.17739202222</v>
      </c>
      <c r="AB99" s="1311">
        <f t="shared" si="124"/>
        <v>755580.99156712927</v>
      </c>
      <c r="AC99" s="1311">
        <f t="shared" si="124"/>
        <v>746134.26596449502</v>
      </c>
      <c r="AD99" s="1311">
        <f t="shared" si="124"/>
        <v>735662.33386151853</v>
      </c>
      <c r="AE99" s="1311">
        <f t="shared" si="124"/>
        <v>724217.12987324363</v>
      </c>
      <c r="AF99" s="1311">
        <f t="shared" si="124"/>
        <v>711854.76132746087</v>
      </c>
      <c r="AG99" s="1311">
        <f t="shared" si="124"/>
        <v>0</v>
      </c>
      <c r="AH99" s="1311">
        <f t="shared" si="124"/>
        <v>0</v>
      </c>
      <c r="AI99" s="1311">
        <f t="shared" si="124"/>
        <v>0</v>
      </c>
      <c r="AJ99" s="1311">
        <f t="shared" si="124"/>
        <v>0</v>
      </c>
      <c r="AK99" s="1311">
        <f t="shared" si="124"/>
        <v>0</v>
      </c>
      <c r="AL99" s="1311">
        <f t="shared" si="124"/>
        <v>0</v>
      </c>
      <c r="AM99" s="1311">
        <f t="shared" si="124"/>
        <v>0</v>
      </c>
      <c r="AN99" s="1311">
        <f t="shared" ref="AN99:BS99" si="125">(AN96+AN91+AN86)</f>
        <v>0</v>
      </c>
      <c r="AO99" s="1311">
        <f t="shared" si="125"/>
        <v>0</v>
      </c>
      <c r="AP99" s="1311">
        <f t="shared" si="125"/>
        <v>0</v>
      </c>
      <c r="AQ99" s="1311">
        <f t="shared" si="125"/>
        <v>0</v>
      </c>
      <c r="AR99" s="1311">
        <f t="shared" si="125"/>
        <v>0</v>
      </c>
      <c r="AS99" s="1311">
        <f t="shared" si="125"/>
        <v>0</v>
      </c>
      <c r="AT99" s="1311">
        <f t="shared" si="125"/>
        <v>0</v>
      </c>
      <c r="AU99" s="1311">
        <f t="shared" si="125"/>
        <v>0</v>
      </c>
      <c r="AV99" s="1311">
        <f t="shared" si="125"/>
        <v>0</v>
      </c>
      <c r="AW99" s="1311">
        <f t="shared" si="125"/>
        <v>0</v>
      </c>
      <c r="AX99" s="1311">
        <f t="shared" si="125"/>
        <v>0</v>
      </c>
      <c r="AY99" s="1311">
        <f t="shared" si="125"/>
        <v>0</v>
      </c>
      <c r="AZ99" s="1311">
        <f t="shared" si="125"/>
        <v>0</v>
      </c>
      <c r="BA99" s="1311">
        <f t="shared" si="125"/>
        <v>0</v>
      </c>
      <c r="BB99" s="1311">
        <f t="shared" si="125"/>
        <v>0</v>
      </c>
      <c r="BC99" s="1311">
        <f t="shared" si="125"/>
        <v>0</v>
      </c>
      <c r="BD99" s="1311">
        <f t="shared" si="125"/>
        <v>0</v>
      </c>
      <c r="BE99" s="1311">
        <f t="shared" si="125"/>
        <v>0</v>
      </c>
      <c r="BF99" s="1311">
        <f t="shared" si="125"/>
        <v>0</v>
      </c>
      <c r="BG99" s="1311">
        <f t="shared" si="125"/>
        <v>0</v>
      </c>
      <c r="BH99" s="1311">
        <f t="shared" si="125"/>
        <v>0</v>
      </c>
      <c r="BI99" s="1311">
        <f t="shared" si="125"/>
        <v>0</v>
      </c>
      <c r="BJ99" s="1311">
        <f t="shared" si="125"/>
        <v>0</v>
      </c>
      <c r="BK99" s="1311">
        <f t="shared" si="125"/>
        <v>0</v>
      </c>
      <c r="BL99" s="1311">
        <f t="shared" si="125"/>
        <v>0</v>
      </c>
      <c r="BM99" s="1311">
        <f t="shared" si="125"/>
        <v>0</v>
      </c>
      <c r="BN99" s="1311">
        <f t="shared" si="125"/>
        <v>0</v>
      </c>
      <c r="BO99" s="1311">
        <f t="shared" si="125"/>
        <v>0</v>
      </c>
      <c r="BP99" s="1311">
        <f t="shared" si="125"/>
        <v>0</v>
      </c>
      <c r="BQ99" s="1311">
        <f t="shared" si="125"/>
        <v>0</v>
      </c>
      <c r="BR99" s="1311">
        <f t="shared" si="125"/>
        <v>0</v>
      </c>
      <c r="BS99" s="1311">
        <f t="shared" si="125"/>
        <v>0</v>
      </c>
      <c r="BT99" s="1311">
        <f t="shared" ref="BT99:CY99" si="126">(BT96+BT91+BT86)</f>
        <v>0</v>
      </c>
      <c r="BU99" s="1311">
        <f t="shared" si="126"/>
        <v>0</v>
      </c>
      <c r="BV99" s="1311">
        <f t="shared" si="126"/>
        <v>0</v>
      </c>
      <c r="BW99" s="1311">
        <f t="shared" si="126"/>
        <v>0</v>
      </c>
      <c r="BX99" s="1311">
        <f t="shared" si="126"/>
        <v>0</v>
      </c>
      <c r="BY99" s="1311">
        <f t="shared" si="126"/>
        <v>0</v>
      </c>
      <c r="BZ99" s="1311">
        <f t="shared" si="126"/>
        <v>0</v>
      </c>
      <c r="CA99" s="1311">
        <f t="shared" si="126"/>
        <v>0</v>
      </c>
      <c r="CB99" s="1311">
        <f t="shared" si="126"/>
        <v>0</v>
      </c>
      <c r="CC99" s="1311">
        <f t="shared" si="126"/>
        <v>0</v>
      </c>
      <c r="CD99" s="1311">
        <f t="shared" si="126"/>
        <v>0</v>
      </c>
      <c r="CE99" s="1311">
        <f t="shared" si="126"/>
        <v>0</v>
      </c>
      <c r="CF99" s="1311">
        <f t="shared" si="126"/>
        <v>0</v>
      </c>
      <c r="CG99" s="1311">
        <f t="shared" si="126"/>
        <v>0</v>
      </c>
      <c r="CH99" s="1311">
        <f t="shared" si="126"/>
        <v>0</v>
      </c>
      <c r="CI99" s="1311">
        <f t="shared" si="126"/>
        <v>0</v>
      </c>
      <c r="CJ99" s="1311">
        <f t="shared" si="126"/>
        <v>0</v>
      </c>
      <c r="CK99" s="1311">
        <f t="shared" si="126"/>
        <v>0</v>
      </c>
      <c r="CL99" s="1311">
        <f t="shared" si="126"/>
        <v>0</v>
      </c>
      <c r="CM99" s="1311">
        <f t="shared" si="126"/>
        <v>0</v>
      </c>
      <c r="CN99" s="1311">
        <f t="shared" si="126"/>
        <v>0</v>
      </c>
      <c r="CO99" s="1311">
        <f t="shared" si="126"/>
        <v>0</v>
      </c>
      <c r="CP99" s="1311">
        <f t="shared" si="126"/>
        <v>0</v>
      </c>
      <c r="CQ99" s="1311">
        <f t="shared" si="126"/>
        <v>0</v>
      </c>
      <c r="CR99" s="1311">
        <f t="shared" si="126"/>
        <v>0</v>
      </c>
      <c r="CS99" s="1311">
        <f t="shared" si="126"/>
        <v>0</v>
      </c>
      <c r="CT99" s="1311">
        <f t="shared" si="126"/>
        <v>0</v>
      </c>
      <c r="CU99" s="1311">
        <f t="shared" si="126"/>
        <v>0</v>
      </c>
      <c r="CV99" s="1311">
        <f t="shared" si="126"/>
        <v>0</v>
      </c>
      <c r="CW99" s="1311">
        <f t="shared" si="126"/>
        <v>0</v>
      </c>
      <c r="CX99" s="1311">
        <f t="shared" si="126"/>
        <v>0</v>
      </c>
      <c r="CY99" s="1311">
        <f t="shared" si="126"/>
        <v>0</v>
      </c>
      <c r="CZ99" s="1311">
        <f t="shared" ref="CZ99:EJ99" si="127">(CZ96+CZ91+CZ86)</f>
        <v>0</v>
      </c>
      <c r="DA99" s="1311">
        <f t="shared" si="127"/>
        <v>0</v>
      </c>
      <c r="DB99" s="1311">
        <f t="shared" si="127"/>
        <v>0</v>
      </c>
      <c r="DC99" s="1311">
        <f t="shared" si="127"/>
        <v>0</v>
      </c>
      <c r="DD99" s="1311">
        <f t="shared" si="127"/>
        <v>0</v>
      </c>
      <c r="DE99" s="1311">
        <f t="shared" si="127"/>
        <v>0</v>
      </c>
      <c r="DF99" s="1311">
        <f t="shared" si="127"/>
        <v>0</v>
      </c>
      <c r="DG99" s="1311">
        <f t="shared" si="127"/>
        <v>0</v>
      </c>
      <c r="DH99" s="1311">
        <f t="shared" si="127"/>
        <v>0</v>
      </c>
      <c r="DI99" s="1311">
        <f t="shared" si="127"/>
        <v>0</v>
      </c>
      <c r="DJ99" s="1311">
        <f t="shared" si="127"/>
        <v>0</v>
      </c>
      <c r="DK99" s="1311">
        <f t="shared" si="127"/>
        <v>0</v>
      </c>
      <c r="DL99" s="1311">
        <f t="shared" si="127"/>
        <v>0</v>
      </c>
      <c r="DM99" s="1311">
        <f t="shared" si="127"/>
        <v>0</v>
      </c>
      <c r="DN99" s="1311">
        <f t="shared" si="127"/>
        <v>0</v>
      </c>
      <c r="DO99" s="1311">
        <f t="shared" si="127"/>
        <v>0</v>
      </c>
      <c r="DP99" s="1311">
        <f t="shared" si="127"/>
        <v>0</v>
      </c>
      <c r="DQ99" s="1311">
        <f t="shared" si="127"/>
        <v>0</v>
      </c>
      <c r="DR99" s="1311">
        <f t="shared" si="127"/>
        <v>0</v>
      </c>
      <c r="DS99" s="1311">
        <f t="shared" si="127"/>
        <v>0</v>
      </c>
      <c r="DT99" s="1311">
        <f t="shared" si="127"/>
        <v>0</v>
      </c>
      <c r="DU99" s="1311">
        <f t="shared" si="127"/>
        <v>0</v>
      </c>
      <c r="DV99" s="1311">
        <f t="shared" si="127"/>
        <v>0</v>
      </c>
      <c r="DW99" s="1311">
        <f t="shared" si="127"/>
        <v>0</v>
      </c>
      <c r="DX99" s="1311">
        <f t="shared" si="127"/>
        <v>0</v>
      </c>
      <c r="DY99" s="1311">
        <f t="shared" si="127"/>
        <v>0</v>
      </c>
      <c r="DZ99" s="1311">
        <f t="shared" si="127"/>
        <v>0</v>
      </c>
      <c r="EA99" s="1311">
        <f t="shared" si="127"/>
        <v>0</v>
      </c>
      <c r="EB99" s="1311">
        <f t="shared" si="127"/>
        <v>0</v>
      </c>
      <c r="EC99" s="1311">
        <f t="shared" si="127"/>
        <v>0</v>
      </c>
      <c r="ED99" s="1311">
        <f t="shared" si="127"/>
        <v>0</v>
      </c>
      <c r="EE99" s="1311">
        <f t="shared" si="127"/>
        <v>0</v>
      </c>
      <c r="EF99" s="1311">
        <f t="shared" si="127"/>
        <v>0</v>
      </c>
      <c r="EG99" s="1311">
        <f t="shared" si="127"/>
        <v>0</v>
      </c>
      <c r="EH99" s="1311">
        <f t="shared" si="127"/>
        <v>0</v>
      </c>
      <c r="EI99" s="1311">
        <f t="shared" si="127"/>
        <v>0</v>
      </c>
      <c r="EJ99" s="1312">
        <f t="shared" si="127"/>
        <v>0</v>
      </c>
    </row>
    <row r="100" spans="1:140" ht="23.25" customHeight="1" thickBot="1" x14ac:dyDescent="0.3">
      <c r="A100" s="358"/>
      <c r="B100" s="391" t="s">
        <v>643</v>
      </c>
      <c r="C100" s="373"/>
      <c r="D100" s="420"/>
      <c r="E100" s="421"/>
      <c r="F100" s="422" t="s">
        <v>313</v>
      </c>
      <c r="G100" s="1091">
        <f>XIRR(H100:DX100,H3:DX3)</f>
        <v>0.12832521796226495</v>
      </c>
      <c r="H100" s="1313">
        <f>IF(H5&gt;$E$4,0,IF(H$5&lt;&gt;$E$4,H74-H99,H74+$C$147))</f>
        <v>-3280000</v>
      </c>
      <c r="I100" s="1272">
        <f>IF(I5&gt;$E$4,0,IF(I$5&lt;&gt;$E$4,I74-I99,I74+$C$147))</f>
        <v>-976611.29079134262</v>
      </c>
      <c r="J100" s="1272">
        <f t="shared" ref="J100:BU100" si="128">IF(J5&gt;$E$4,0,IF(J$5&lt;&gt;$E$4,J74-J99,J74+$C$147))</f>
        <v>-988973.65933711827</v>
      </c>
      <c r="K100" s="1272">
        <f t="shared" si="128"/>
        <v>-1000418.8633254003</v>
      </c>
      <c r="L100" s="1272">
        <f t="shared" si="128"/>
        <v>-1010890.7954283768</v>
      </c>
      <c r="M100" s="1272">
        <f t="shared" si="128"/>
        <v>-1020337.5210310061</v>
      </c>
      <c r="N100" s="1272">
        <f t="shared" si="128"/>
        <v>-1028711.7068559015</v>
      </c>
      <c r="O100" s="1272">
        <f t="shared" si="128"/>
        <v>-1035971.01578638</v>
      </c>
      <c r="P100" s="1272">
        <f t="shared" si="128"/>
        <v>-1042078.4632824425</v>
      </c>
      <c r="Q100" s="1272">
        <f t="shared" si="128"/>
        <v>-1047002.731192808</v>
      </c>
      <c r="R100" s="1272">
        <f t="shared" si="128"/>
        <v>-785961.90577417496</v>
      </c>
      <c r="S100" s="1272">
        <f t="shared" si="128"/>
        <v>-788449.81350471848</v>
      </c>
      <c r="T100" s="1272">
        <f t="shared" si="128"/>
        <v>-789697.01011524606</v>
      </c>
      <c r="U100" s="1272">
        <f t="shared" si="128"/>
        <v>-789697.01011524606</v>
      </c>
      <c r="V100" s="1272">
        <f t="shared" si="128"/>
        <v>-788449.81350471615</v>
      </c>
      <c r="W100" s="1272">
        <f t="shared" si="128"/>
        <v>-785961.9057741774</v>
      </c>
      <c r="X100" s="1272">
        <f t="shared" si="128"/>
        <v>-782246.20172892872</v>
      </c>
      <c r="Y100" s="1272">
        <f t="shared" si="128"/>
        <v>-777321.93381856324</v>
      </c>
      <c r="Z100" s="1272">
        <f t="shared" si="128"/>
        <v>-771214.48632250074</v>
      </c>
      <c r="AA100" s="1272">
        <f t="shared" si="128"/>
        <v>-763955.17739202222</v>
      </c>
      <c r="AB100" s="1272">
        <f t="shared" si="128"/>
        <v>-755580.99156712927</v>
      </c>
      <c r="AC100" s="1272">
        <f t="shared" si="128"/>
        <v>-746134.26596449502</v>
      </c>
      <c r="AD100" s="1272">
        <f t="shared" si="128"/>
        <v>-735662.33386151853</v>
      </c>
      <c r="AE100" s="1272">
        <f t="shared" si="128"/>
        <v>-724217.12987324363</v>
      </c>
      <c r="AF100" s="1272">
        <f t="shared" si="128"/>
        <v>-711854.76132746087</v>
      </c>
      <c r="AG100" s="1272">
        <f t="shared" si="128"/>
        <v>24931.911803370309</v>
      </c>
      <c r="AH100" s="1272">
        <f t="shared" si="128"/>
        <v>39388.83331204061</v>
      </c>
      <c r="AI100" s="1272">
        <f t="shared" si="128"/>
        <v>54118.390207210927</v>
      </c>
      <c r="AJ100" s="1272">
        <f t="shared" si="128"/>
        <v>68575.311715881238</v>
      </c>
      <c r="AK100" s="1272">
        <f t="shared" si="128"/>
        <v>82682.666674551554</v>
      </c>
      <c r="AL100" s="1272">
        <f t="shared" si="128"/>
        <v>97412.223569721871</v>
      </c>
      <c r="AM100" s="1272">
        <f t="shared" si="128"/>
        <v>111869.14507839219</v>
      </c>
      <c r="AN100" s="1272">
        <f t="shared" si="128"/>
        <v>126326.06658706249</v>
      </c>
      <c r="AO100" s="1272">
        <f t="shared" si="128"/>
        <v>140489.15062273279</v>
      </c>
      <c r="AP100" s="1272">
        <f t="shared" si="128"/>
        <v>154946.07213140308</v>
      </c>
      <c r="AQ100" s="1272">
        <f t="shared" si="128"/>
        <v>146839.74983807071</v>
      </c>
      <c r="AR100" s="1272">
        <f t="shared" si="128"/>
        <v>146839.74983807071</v>
      </c>
      <c r="AS100" s="1272">
        <f t="shared" si="128"/>
        <v>151244.94233321279</v>
      </c>
      <c r="AT100" s="1272">
        <f t="shared" si="128"/>
        <v>151244.94233321279</v>
      </c>
      <c r="AU100" s="1272">
        <f t="shared" si="128"/>
        <v>151244.94233321279</v>
      </c>
      <c r="AV100" s="1272">
        <f t="shared" si="128"/>
        <v>151244.94233321279</v>
      </c>
      <c r="AW100" s="1272">
        <f>IF(AW5&gt;$E$4,0,IF(AW$5&lt;&gt;$E$4,AW74-AW99,AW74+$C$147))</f>
        <v>151244.94233321279</v>
      </c>
      <c r="AX100" s="1272">
        <f t="shared" si="128"/>
        <v>151244.94233321279</v>
      </c>
      <c r="AY100" s="1272">
        <f t="shared" si="128"/>
        <v>151244.94233321279</v>
      </c>
      <c r="AZ100" s="1272">
        <f t="shared" si="128"/>
        <v>151244.94233321279</v>
      </c>
      <c r="BA100" s="1272">
        <f t="shared" si="128"/>
        <v>151244.94233321279</v>
      </c>
      <c r="BB100" s="1272">
        <f t="shared" si="128"/>
        <v>151244.94233321279</v>
      </c>
      <c r="BC100" s="1272">
        <f t="shared" si="128"/>
        <v>151244.94233321279</v>
      </c>
      <c r="BD100" s="1272">
        <f t="shared" si="128"/>
        <v>151244.94233321279</v>
      </c>
      <c r="BE100" s="1272">
        <f t="shared" si="128"/>
        <v>155782.29060320911</v>
      </c>
      <c r="BF100" s="1272">
        <f t="shared" si="128"/>
        <v>155782.29060320911</v>
      </c>
      <c r="BG100" s="1272">
        <f t="shared" si="128"/>
        <v>155782.29060320911</v>
      </c>
      <c r="BH100" s="1272">
        <f t="shared" si="128"/>
        <v>155782.29060320911</v>
      </c>
      <c r="BI100" s="1272">
        <f t="shared" si="128"/>
        <v>155782.29060320911</v>
      </c>
      <c r="BJ100" s="1272">
        <f t="shared" si="128"/>
        <v>155782.29060320911</v>
      </c>
      <c r="BK100" s="1272">
        <f t="shared" si="128"/>
        <v>155782.29060320911</v>
      </c>
      <c r="BL100" s="1272">
        <f t="shared" si="128"/>
        <v>155782.29060320911</v>
      </c>
      <c r="BM100" s="1272">
        <f t="shared" si="128"/>
        <v>155782.29060320911</v>
      </c>
      <c r="BN100" s="1272">
        <f t="shared" si="128"/>
        <v>155782.29060320911</v>
      </c>
      <c r="BO100" s="1272">
        <f t="shared" si="128"/>
        <v>155782.29060320911</v>
      </c>
      <c r="BP100" s="1272">
        <f t="shared" si="128"/>
        <v>34114055.717875846</v>
      </c>
      <c r="BQ100" s="1272">
        <f t="shared" si="128"/>
        <v>0</v>
      </c>
      <c r="BR100" s="1272">
        <f t="shared" si="128"/>
        <v>0</v>
      </c>
      <c r="BS100" s="1272">
        <f t="shared" si="128"/>
        <v>0</v>
      </c>
      <c r="BT100" s="1272">
        <f t="shared" si="128"/>
        <v>0</v>
      </c>
      <c r="BU100" s="1272">
        <f t="shared" si="128"/>
        <v>0</v>
      </c>
      <c r="BV100" s="1272">
        <f t="shared" ref="BV100:EG100" si="129">IF(BV5&gt;$E$4,0,IF(BV$5&lt;&gt;$E$4,BV74-BV99,BV74+$C$147))</f>
        <v>0</v>
      </c>
      <c r="BW100" s="1272">
        <f t="shared" si="129"/>
        <v>0</v>
      </c>
      <c r="BX100" s="1272">
        <f t="shared" si="129"/>
        <v>0</v>
      </c>
      <c r="BY100" s="1272">
        <f t="shared" si="129"/>
        <v>0</v>
      </c>
      <c r="BZ100" s="1272">
        <f t="shared" si="129"/>
        <v>0</v>
      </c>
      <c r="CA100" s="1272">
        <f t="shared" si="129"/>
        <v>0</v>
      </c>
      <c r="CB100" s="1272">
        <f t="shared" si="129"/>
        <v>0</v>
      </c>
      <c r="CC100" s="1272">
        <f t="shared" si="129"/>
        <v>0</v>
      </c>
      <c r="CD100" s="1272">
        <f t="shared" si="129"/>
        <v>0</v>
      </c>
      <c r="CE100" s="1272">
        <f t="shared" si="129"/>
        <v>0</v>
      </c>
      <c r="CF100" s="1272">
        <f t="shared" si="129"/>
        <v>0</v>
      </c>
      <c r="CG100" s="1272">
        <f t="shared" si="129"/>
        <v>0</v>
      </c>
      <c r="CH100" s="1272">
        <f t="shared" si="129"/>
        <v>0</v>
      </c>
      <c r="CI100" s="1272">
        <f t="shared" si="129"/>
        <v>0</v>
      </c>
      <c r="CJ100" s="1272">
        <f t="shared" si="129"/>
        <v>0</v>
      </c>
      <c r="CK100" s="1272">
        <f t="shared" si="129"/>
        <v>0</v>
      </c>
      <c r="CL100" s="1272">
        <f t="shared" si="129"/>
        <v>0</v>
      </c>
      <c r="CM100" s="1272">
        <f t="shared" si="129"/>
        <v>0</v>
      </c>
      <c r="CN100" s="1272">
        <f t="shared" si="129"/>
        <v>0</v>
      </c>
      <c r="CO100" s="1272">
        <f t="shared" si="129"/>
        <v>0</v>
      </c>
      <c r="CP100" s="1272">
        <f t="shared" si="129"/>
        <v>0</v>
      </c>
      <c r="CQ100" s="1272">
        <f t="shared" si="129"/>
        <v>0</v>
      </c>
      <c r="CR100" s="1272">
        <f t="shared" si="129"/>
        <v>0</v>
      </c>
      <c r="CS100" s="1272">
        <f t="shared" si="129"/>
        <v>0</v>
      </c>
      <c r="CT100" s="1272">
        <f t="shared" si="129"/>
        <v>0</v>
      </c>
      <c r="CU100" s="1272">
        <f t="shared" si="129"/>
        <v>0</v>
      </c>
      <c r="CV100" s="1272">
        <f t="shared" si="129"/>
        <v>0</v>
      </c>
      <c r="CW100" s="1272">
        <f t="shared" si="129"/>
        <v>0</v>
      </c>
      <c r="CX100" s="1272">
        <f t="shared" si="129"/>
        <v>0</v>
      </c>
      <c r="CY100" s="1272">
        <f t="shared" si="129"/>
        <v>0</v>
      </c>
      <c r="CZ100" s="1272">
        <f t="shared" si="129"/>
        <v>0</v>
      </c>
      <c r="DA100" s="1272">
        <f t="shared" si="129"/>
        <v>0</v>
      </c>
      <c r="DB100" s="1272">
        <f t="shared" si="129"/>
        <v>0</v>
      </c>
      <c r="DC100" s="1272">
        <f t="shared" si="129"/>
        <v>0</v>
      </c>
      <c r="DD100" s="1272">
        <f t="shared" si="129"/>
        <v>0</v>
      </c>
      <c r="DE100" s="1272">
        <f t="shared" si="129"/>
        <v>0</v>
      </c>
      <c r="DF100" s="1272">
        <f t="shared" si="129"/>
        <v>0</v>
      </c>
      <c r="DG100" s="1272">
        <f t="shared" si="129"/>
        <v>0</v>
      </c>
      <c r="DH100" s="1272">
        <f t="shared" si="129"/>
        <v>0</v>
      </c>
      <c r="DI100" s="1272">
        <f t="shared" si="129"/>
        <v>0</v>
      </c>
      <c r="DJ100" s="1272">
        <f t="shared" si="129"/>
        <v>0</v>
      </c>
      <c r="DK100" s="1272">
        <f t="shared" si="129"/>
        <v>0</v>
      </c>
      <c r="DL100" s="1272">
        <f t="shared" si="129"/>
        <v>0</v>
      </c>
      <c r="DM100" s="1272">
        <f t="shared" si="129"/>
        <v>0</v>
      </c>
      <c r="DN100" s="1272">
        <f t="shared" si="129"/>
        <v>0</v>
      </c>
      <c r="DO100" s="1272">
        <f t="shared" si="129"/>
        <v>0</v>
      </c>
      <c r="DP100" s="1272">
        <f t="shared" si="129"/>
        <v>0</v>
      </c>
      <c r="DQ100" s="1272">
        <f t="shared" si="129"/>
        <v>0</v>
      </c>
      <c r="DR100" s="1272">
        <f t="shared" si="129"/>
        <v>0</v>
      </c>
      <c r="DS100" s="1272">
        <f t="shared" si="129"/>
        <v>0</v>
      </c>
      <c r="DT100" s="1272">
        <f t="shared" si="129"/>
        <v>0</v>
      </c>
      <c r="DU100" s="1272">
        <f t="shared" si="129"/>
        <v>0</v>
      </c>
      <c r="DV100" s="1272">
        <f t="shared" si="129"/>
        <v>0</v>
      </c>
      <c r="DW100" s="1272">
        <f t="shared" si="129"/>
        <v>0</v>
      </c>
      <c r="DX100" s="1272">
        <f t="shared" si="129"/>
        <v>0</v>
      </c>
      <c r="DY100" s="1272">
        <f t="shared" si="129"/>
        <v>0</v>
      </c>
      <c r="DZ100" s="1272">
        <f t="shared" si="129"/>
        <v>0</v>
      </c>
      <c r="EA100" s="1272">
        <f t="shared" si="129"/>
        <v>0</v>
      </c>
      <c r="EB100" s="1272">
        <f t="shared" si="129"/>
        <v>0</v>
      </c>
      <c r="EC100" s="1272">
        <f t="shared" si="129"/>
        <v>0</v>
      </c>
      <c r="ED100" s="1272">
        <f t="shared" si="129"/>
        <v>0</v>
      </c>
      <c r="EE100" s="1272">
        <f t="shared" si="129"/>
        <v>0</v>
      </c>
      <c r="EF100" s="1272">
        <f t="shared" si="129"/>
        <v>0</v>
      </c>
      <c r="EG100" s="1272">
        <f t="shared" si="129"/>
        <v>0</v>
      </c>
      <c r="EH100" s="1272">
        <f t="shared" ref="EH100:EJ100" si="130">IF(EH5&gt;$E$4,0,IF(EH$5&lt;&gt;$E$4,EH74-EH99,EH74+$C$147))</f>
        <v>0</v>
      </c>
      <c r="EI100" s="1272">
        <f t="shared" si="130"/>
        <v>0</v>
      </c>
      <c r="EJ100" s="1273">
        <f t="shared" si="130"/>
        <v>0</v>
      </c>
    </row>
    <row r="101" spans="1:140" ht="20.25" customHeight="1" x14ac:dyDescent="0.25">
      <c r="A101" s="6"/>
      <c r="B101" s="423"/>
      <c r="C101" s="371"/>
      <c r="D101" s="371"/>
      <c r="E101" s="424"/>
      <c r="F101" s="425"/>
      <c r="G101" s="1092"/>
      <c r="H101" s="1163"/>
      <c r="I101" s="1164"/>
      <c r="J101" s="1164"/>
      <c r="K101" s="1164"/>
      <c r="L101" s="1164"/>
      <c r="M101" s="1164"/>
      <c r="N101" s="1164"/>
      <c r="O101" s="1164"/>
      <c r="P101" s="1164"/>
      <c r="Q101" s="1164"/>
      <c r="R101" s="1164"/>
      <c r="S101" s="1164"/>
      <c r="T101" s="1164"/>
      <c r="U101" s="1164"/>
      <c r="V101" s="1164"/>
      <c r="W101" s="1164"/>
      <c r="X101" s="1164"/>
      <c r="Y101" s="1164"/>
      <c r="Z101" s="1164"/>
      <c r="AA101" s="1164"/>
      <c r="AB101" s="1164"/>
      <c r="AC101" s="1164"/>
      <c r="AD101" s="1164"/>
      <c r="AE101" s="1164"/>
      <c r="AF101" s="1164"/>
      <c r="AG101" s="1164"/>
      <c r="AH101" s="1164"/>
      <c r="AI101" s="1164"/>
      <c r="AJ101" s="1164"/>
      <c r="AK101" s="1164"/>
      <c r="AL101" s="1164"/>
      <c r="AM101" s="1164"/>
      <c r="AN101" s="1164"/>
      <c r="AO101" s="1164"/>
      <c r="AP101" s="1164"/>
      <c r="AQ101" s="1164"/>
      <c r="AR101" s="1164"/>
      <c r="AS101" s="1164"/>
      <c r="AT101" s="1164"/>
      <c r="AU101" s="1164"/>
      <c r="AV101" s="1164"/>
      <c r="AW101" s="1164"/>
      <c r="AX101" s="1164"/>
      <c r="AY101" s="1164"/>
      <c r="AZ101" s="1164"/>
      <c r="BA101" s="1164"/>
      <c r="BB101" s="1164"/>
      <c r="BC101" s="1164"/>
      <c r="BD101" s="1164"/>
      <c r="BE101" s="1164"/>
      <c r="BF101" s="1164"/>
      <c r="BG101" s="1164"/>
      <c r="BH101" s="1164"/>
      <c r="BI101" s="1164"/>
      <c r="BJ101" s="1164"/>
      <c r="BK101" s="1164"/>
      <c r="BL101" s="1164"/>
      <c r="BM101" s="1164"/>
      <c r="BN101" s="1164"/>
      <c r="BO101" s="1164"/>
      <c r="BP101" s="1164"/>
      <c r="BQ101" s="1164"/>
      <c r="BR101" s="1164"/>
      <c r="BS101" s="1164"/>
      <c r="BT101" s="1164"/>
      <c r="BU101" s="1164"/>
      <c r="BV101" s="1164"/>
      <c r="BW101" s="1164"/>
      <c r="BX101" s="1164"/>
      <c r="BY101" s="1164"/>
      <c r="BZ101" s="1164"/>
      <c r="CA101" s="1164"/>
      <c r="CB101" s="1164"/>
      <c r="CC101" s="1164"/>
      <c r="CD101" s="1164"/>
      <c r="CE101" s="1164"/>
      <c r="CF101" s="1164"/>
      <c r="CG101" s="1164"/>
      <c r="CH101" s="1164"/>
      <c r="CI101" s="1164"/>
      <c r="CJ101" s="1164"/>
      <c r="CK101" s="1164"/>
      <c r="CL101" s="1164"/>
      <c r="CM101" s="1164"/>
      <c r="CN101" s="1164"/>
      <c r="CO101" s="1164"/>
      <c r="CP101" s="1164"/>
      <c r="CQ101" s="1164"/>
      <c r="CR101" s="1164"/>
      <c r="CS101" s="1164"/>
      <c r="CT101" s="1164"/>
      <c r="CU101" s="1164"/>
      <c r="CV101" s="1164"/>
      <c r="CW101" s="1164"/>
      <c r="CX101" s="1164"/>
      <c r="CY101" s="1164"/>
      <c r="CZ101" s="1164"/>
      <c r="DA101" s="1164"/>
      <c r="DB101" s="1164"/>
      <c r="DC101" s="1164"/>
      <c r="DD101" s="1164"/>
      <c r="DE101" s="1164"/>
      <c r="DF101" s="1164"/>
      <c r="DG101" s="1164"/>
      <c r="DH101" s="1164"/>
      <c r="DI101" s="1164"/>
      <c r="DJ101" s="1164"/>
      <c r="DK101" s="1164"/>
      <c r="DL101" s="1164"/>
      <c r="DM101" s="1164"/>
      <c r="DN101" s="1164"/>
      <c r="DO101" s="1164"/>
      <c r="DP101" s="1164"/>
      <c r="DQ101" s="1164"/>
      <c r="DR101" s="1164"/>
      <c r="DS101" s="1164"/>
      <c r="DT101" s="1164"/>
      <c r="DU101" s="1164"/>
      <c r="DV101" s="1164"/>
      <c r="DW101" s="1164"/>
      <c r="DX101" s="1164"/>
      <c r="DY101" s="1164"/>
      <c r="DZ101" s="1164"/>
      <c r="EA101" s="1164"/>
      <c r="EB101" s="1164"/>
      <c r="EC101" s="1164"/>
      <c r="ED101" s="1164"/>
      <c r="EE101" s="1164"/>
      <c r="EF101" s="1164"/>
      <c r="EG101" s="1164"/>
      <c r="EH101" s="1164"/>
      <c r="EI101" s="1164"/>
      <c r="EJ101" s="1165"/>
    </row>
    <row r="102" spans="1:140" ht="20.25" customHeight="1" x14ac:dyDescent="0.25">
      <c r="A102" s="6"/>
      <c r="B102" s="357" t="s">
        <v>644</v>
      </c>
      <c r="C102" s="371"/>
      <c r="D102" s="371"/>
      <c r="E102" s="371"/>
      <c r="F102" s="425"/>
      <c r="G102" s="1092"/>
      <c r="H102" s="1163"/>
      <c r="I102" s="1164"/>
      <c r="J102" s="1164"/>
      <c r="K102" s="1164"/>
      <c r="L102" s="1164"/>
      <c r="M102" s="1164"/>
      <c r="N102" s="1164"/>
      <c r="O102" s="1164"/>
      <c r="P102" s="1166"/>
      <c r="Q102" s="1164"/>
      <c r="R102" s="1164"/>
      <c r="S102" s="1164"/>
      <c r="T102" s="1164"/>
      <c r="U102" s="1164"/>
      <c r="V102" s="1164"/>
      <c r="W102" s="1164"/>
      <c r="X102" s="1164"/>
      <c r="Y102" s="1164"/>
      <c r="Z102" s="1164"/>
      <c r="AA102" s="1164"/>
      <c r="AB102" s="1164"/>
      <c r="AC102" s="1164"/>
      <c r="AD102" s="1164"/>
      <c r="AE102" s="1164"/>
      <c r="AF102" s="1164"/>
      <c r="AG102" s="1164"/>
      <c r="AH102" s="1164"/>
      <c r="AI102" s="1164"/>
      <c r="AJ102" s="1164"/>
      <c r="AK102" s="1164"/>
      <c r="AL102" s="1164"/>
      <c r="AM102" s="1164"/>
      <c r="AN102" s="1164"/>
      <c r="AO102" s="1164"/>
      <c r="AP102" s="1164"/>
      <c r="AQ102" s="1164"/>
      <c r="AR102" s="1164"/>
      <c r="AS102" s="1164"/>
      <c r="AT102" s="1164"/>
      <c r="AU102" s="1164"/>
      <c r="AV102" s="1164"/>
      <c r="AW102" s="1164"/>
      <c r="AX102" s="1164"/>
      <c r="AY102" s="1164"/>
      <c r="AZ102" s="1164"/>
      <c r="BA102" s="1164"/>
      <c r="BB102" s="1164"/>
      <c r="BC102" s="1164"/>
      <c r="BD102" s="1164"/>
      <c r="BE102" s="1164"/>
      <c r="BF102" s="1164"/>
      <c r="BG102" s="1164"/>
      <c r="BH102" s="1164"/>
      <c r="BI102" s="1164"/>
      <c r="BJ102" s="1164"/>
      <c r="BK102" s="1164"/>
      <c r="BL102" s="1164"/>
      <c r="BM102" s="1164"/>
      <c r="BN102" s="1164"/>
      <c r="BO102" s="1164"/>
      <c r="BP102" s="1164"/>
      <c r="BQ102" s="1164"/>
      <c r="BR102" s="1164"/>
      <c r="BS102" s="1164"/>
      <c r="BT102" s="1164"/>
      <c r="BU102" s="1164"/>
      <c r="BV102" s="1164"/>
      <c r="BW102" s="1164"/>
      <c r="BX102" s="1164"/>
      <c r="BY102" s="1164"/>
      <c r="BZ102" s="1164"/>
      <c r="CA102" s="1164"/>
      <c r="CB102" s="1164"/>
      <c r="CC102" s="1164"/>
      <c r="CD102" s="1164"/>
      <c r="CE102" s="1164"/>
      <c r="CF102" s="1164"/>
      <c r="CG102" s="1164"/>
      <c r="CH102" s="1164"/>
      <c r="CI102" s="1164"/>
      <c r="CJ102" s="1164"/>
      <c r="CK102" s="1164"/>
      <c r="CL102" s="1164"/>
      <c r="CM102" s="1164"/>
      <c r="CN102" s="1164"/>
      <c r="CO102" s="1164"/>
      <c r="CP102" s="1164"/>
      <c r="CQ102" s="1164"/>
      <c r="CR102" s="1164"/>
      <c r="CS102" s="1164"/>
      <c r="CT102" s="1164"/>
      <c r="CU102" s="1164"/>
      <c r="CV102" s="1164"/>
      <c r="CW102" s="1164"/>
      <c r="CX102" s="1164"/>
      <c r="CY102" s="1164"/>
      <c r="CZ102" s="1164"/>
      <c r="DA102" s="1164"/>
      <c r="DB102" s="1164"/>
      <c r="DC102" s="1164"/>
      <c r="DD102" s="1164"/>
      <c r="DE102" s="1164"/>
      <c r="DF102" s="1164"/>
      <c r="DG102" s="1164"/>
      <c r="DH102" s="1164"/>
      <c r="DI102" s="1164"/>
      <c r="DJ102" s="1164"/>
      <c r="DK102" s="1164"/>
      <c r="DL102" s="1164"/>
      <c r="DM102" s="1164"/>
      <c r="DN102" s="1164"/>
      <c r="DO102" s="1164"/>
      <c r="DP102" s="1164"/>
      <c r="DQ102" s="1164"/>
      <c r="DR102" s="1164"/>
      <c r="DS102" s="1164"/>
      <c r="DT102" s="1164"/>
      <c r="DU102" s="1164"/>
      <c r="DV102" s="1164"/>
      <c r="DW102" s="1164"/>
      <c r="DX102" s="1164"/>
      <c r="DY102" s="1164"/>
      <c r="DZ102" s="1164"/>
      <c r="EA102" s="1164"/>
      <c r="EB102" s="1164"/>
      <c r="EC102" s="1164"/>
      <c r="ED102" s="1164"/>
      <c r="EE102" s="1164"/>
      <c r="EF102" s="1164"/>
      <c r="EG102" s="1164"/>
      <c r="EH102" s="1164"/>
      <c r="EI102" s="1164"/>
      <c r="EJ102" s="1165"/>
    </row>
    <row r="103" spans="1:140" ht="15.75" customHeight="1" x14ac:dyDescent="0.25">
      <c r="A103" s="6"/>
      <c r="B103" s="364"/>
      <c r="C103" s="426"/>
      <c r="D103" s="427"/>
      <c r="E103" s="358"/>
      <c r="F103" s="427"/>
      <c r="G103" s="1093"/>
      <c r="H103" s="1110"/>
      <c r="I103" s="579"/>
      <c r="J103" s="579"/>
      <c r="K103" s="579"/>
      <c r="L103" s="579"/>
      <c r="M103" s="579"/>
      <c r="N103" s="579"/>
      <c r="O103" s="579"/>
      <c r="P103" s="579"/>
      <c r="Q103" s="579"/>
      <c r="R103" s="579"/>
      <c r="S103" s="579"/>
      <c r="T103" s="579"/>
      <c r="U103" s="579"/>
      <c r="V103" s="579"/>
      <c r="W103" s="579"/>
      <c r="X103" s="579"/>
      <c r="Y103" s="579"/>
      <c r="Z103" s="579"/>
      <c r="AA103" s="579"/>
      <c r="AB103" s="579"/>
      <c r="AC103" s="579"/>
      <c r="AD103" s="579"/>
      <c r="AE103" s="579"/>
      <c r="AF103" s="579"/>
      <c r="AG103" s="579"/>
      <c r="AH103" s="579"/>
      <c r="AI103" s="579"/>
      <c r="AJ103" s="579"/>
      <c r="AK103" s="579"/>
      <c r="AL103" s="579"/>
      <c r="AM103" s="579"/>
      <c r="AN103" s="579"/>
      <c r="AO103" s="579"/>
      <c r="AP103" s="579"/>
      <c r="AQ103" s="579"/>
      <c r="AR103" s="579"/>
      <c r="AS103" s="579"/>
      <c r="AT103" s="579"/>
      <c r="AU103" s="579"/>
      <c r="AV103" s="579"/>
      <c r="AW103" s="579"/>
      <c r="AX103" s="579"/>
      <c r="AY103" s="579"/>
      <c r="AZ103" s="579"/>
      <c r="BA103" s="579"/>
      <c r="BB103" s="579"/>
      <c r="BC103" s="579"/>
      <c r="BD103" s="579"/>
      <c r="BE103" s="579"/>
      <c r="BF103" s="579"/>
      <c r="BG103" s="579"/>
      <c r="BH103" s="579"/>
      <c r="BI103" s="579"/>
      <c r="BJ103" s="579"/>
      <c r="BK103" s="579"/>
      <c r="BL103" s="579"/>
      <c r="BM103" s="579"/>
      <c r="BN103" s="579"/>
      <c r="BO103" s="579"/>
      <c r="BP103" s="579"/>
      <c r="BQ103" s="579"/>
      <c r="BR103" s="579"/>
      <c r="BS103" s="579"/>
      <c r="BT103" s="579"/>
      <c r="BU103" s="579"/>
      <c r="BV103" s="579"/>
      <c r="BW103" s="579"/>
      <c r="BX103" s="579"/>
      <c r="BY103" s="579"/>
      <c r="BZ103" s="579"/>
      <c r="CA103" s="579"/>
      <c r="CB103" s="579"/>
      <c r="CC103" s="579"/>
      <c r="CD103" s="579"/>
      <c r="CE103" s="579"/>
      <c r="CF103" s="579"/>
      <c r="CG103" s="579"/>
      <c r="CH103" s="579"/>
      <c r="CI103" s="579"/>
      <c r="CJ103" s="579"/>
      <c r="CK103" s="579"/>
      <c r="CL103" s="579"/>
      <c r="CM103" s="579"/>
      <c r="CN103" s="579"/>
      <c r="CO103" s="579"/>
      <c r="CP103" s="579"/>
      <c r="CQ103" s="579"/>
      <c r="CR103" s="579"/>
      <c r="CS103" s="579"/>
      <c r="CT103" s="579"/>
      <c r="CU103" s="579"/>
      <c r="CV103" s="579"/>
      <c r="CW103" s="579"/>
      <c r="CX103" s="579"/>
      <c r="CY103" s="579"/>
      <c r="CZ103" s="579"/>
      <c r="DA103" s="579"/>
      <c r="DB103" s="579"/>
      <c r="DC103" s="579"/>
      <c r="DD103" s="579"/>
      <c r="DE103" s="579"/>
      <c r="DF103" s="579"/>
      <c r="DG103" s="579"/>
      <c r="DH103" s="579"/>
      <c r="DI103" s="579"/>
      <c r="DJ103" s="579"/>
      <c r="DK103" s="579"/>
      <c r="DL103" s="579"/>
      <c r="DM103" s="579"/>
      <c r="DN103" s="579"/>
      <c r="DO103" s="579"/>
      <c r="DP103" s="579"/>
      <c r="DQ103" s="579"/>
      <c r="DR103" s="579"/>
      <c r="DS103" s="579"/>
      <c r="DT103" s="579"/>
      <c r="DU103" s="579"/>
      <c r="DV103" s="579"/>
      <c r="DW103" s="579"/>
      <c r="DX103" s="579"/>
      <c r="DY103" s="579"/>
      <c r="DZ103" s="579"/>
      <c r="EA103" s="579"/>
      <c r="EB103" s="579"/>
      <c r="EC103" s="579"/>
      <c r="ED103" s="579"/>
      <c r="EE103" s="579"/>
      <c r="EF103" s="579"/>
      <c r="EG103" s="579"/>
      <c r="EH103" s="579"/>
      <c r="EI103" s="579"/>
      <c r="EJ103" s="1114"/>
    </row>
    <row r="104" spans="1:140" ht="15.75" customHeight="1" x14ac:dyDescent="0.25">
      <c r="A104" s="6"/>
      <c r="B104" s="428" t="s">
        <v>20</v>
      </c>
      <c r="C104" s="358"/>
      <c r="D104" s="427"/>
      <c r="E104" s="211" t="s">
        <v>314</v>
      </c>
      <c r="F104" s="211" t="s">
        <v>28</v>
      </c>
      <c r="G104" s="1082"/>
      <c r="H104" s="1110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  <c r="AA104" s="579"/>
      <c r="AB104" s="579"/>
      <c r="AC104" s="579"/>
      <c r="AD104" s="579"/>
      <c r="AE104" s="579"/>
      <c r="AF104" s="599"/>
      <c r="AG104" s="579"/>
      <c r="AH104" s="579"/>
      <c r="AI104" s="579"/>
      <c r="AJ104" s="579"/>
      <c r="AK104" s="579"/>
      <c r="AL104" s="579"/>
      <c r="AM104" s="599"/>
      <c r="AN104" s="599"/>
      <c r="AO104" s="579"/>
      <c r="AP104" s="579"/>
      <c r="AQ104" s="579"/>
      <c r="AR104" s="579"/>
      <c r="AS104" s="579"/>
      <c r="AT104" s="579"/>
      <c r="AU104" s="579"/>
      <c r="AV104" s="579"/>
      <c r="AW104" s="579"/>
      <c r="AX104" s="579"/>
      <c r="AY104" s="579"/>
      <c r="AZ104" s="579"/>
      <c r="BA104" s="579"/>
      <c r="BB104" s="579"/>
      <c r="BC104" s="579"/>
      <c r="BD104" s="579"/>
      <c r="BE104" s="579"/>
      <c r="BF104" s="579"/>
      <c r="BG104" s="579"/>
      <c r="BH104" s="579"/>
      <c r="BI104" s="579"/>
      <c r="BJ104" s="579"/>
      <c r="BK104" s="579"/>
      <c r="BL104" s="579"/>
      <c r="BM104" s="579"/>
      <c r="BN104" s="579"/>
      <c r="BO104" s="579"/>
      <c r="BP104" s="579"/>
      <c r="BQ104" s="579"/>
      <c r="BR104" s="579"/>
      <c r="BS104" s="579"/>
      <c r="BT104" s="579"/>
      <c r="BU104" s="579"/>
      <c r="BV104" s="579"/>
      <c r="BW104" s="579"/>
      <c r="BX104" s="579"/>
      <c r="BY104" s="579"/>
      <c r="BZ104" s="579"/>
      <c r="CA104" s="579"/>
      <c r="CB104" s="579"/>
      <c r="CC104" s="579"/>
      <c r="CD104" s="579"/>
      <c r="CE104" s="579"/>
      <c r="CF104" s="579"/>
      <c r="CG104" s="579"/>
      <c r="CH104" s="579"/>
      <c r="CI104" s="579"/>
      <c r="CJ104" s="579"/>
      <c r="CK104" s="579"/>
      <c r="CL104" s="579"/>
      <c r="CM104" s="579"/>
      <c r="CN104" s="579"/>
      <c r="CO104" s="579"/>
      <c r="CP104" s="579"/>
      <c r="CQ104" s="579"/>
      <c r="CR104" s="579"/>
      <c r="CS104" s="579"/>
      <c r="CT104" s="579"/>
      <c r="CU104" s="579"/>
      <c r="CV104" s="579"/>
      <c r="CW104" s="579"/>
      <c r="CX104" s="579"/>
      <c r="CY104" s="579"/>
      <c r="CZ104" s="579"/>
      <c r="DA104" s="579"/>
      <c r="DB104" s="579"/>
      <c r="DC104" s="579"/>
      <c r="DD104" s="579"/>
      <c r="DE104" s="579"/>
      <c r="DF104" s="579"/>
      <c r="DG104" s="579"/>
      <c r="DH104" s="579"/>
      <c r="DI104" s="579"/>
      <c r="DJ104" s="579"/>
      <c r="DK104" s="579"/>
      <c r="DL104" s="579"/>
      <c r="DM104" s="579"/>
      <c r="DN104" s="579"/>
      <c r="DO104" s="579"/>
      <c r="DP104" s="579"/>
      <c r="DQ104" s="579"/>
      <c r="DR104" s="579"/>
      <c r="DS104" s="579"/>
      <c r="DT104" s="579"/>
      <c r="DU104" s="579"/>
      <c r="DV104" s="579"/>
      <c r="DW104" s="579"/>
      <c r="DX104" s="579"/>
      <c r="DY104" s="579"/>
      <c r="DZ104" s="579"/>
      <c r="EA104" s="579"/>
      <c r="EB104" s="579"/>
      <c r="EC104" s="579"/>
      <c r="ED104" s="579"/>
      <c r="EE104" s="579"/>
      <c r="EF104" s="579"/>
      <c r="EG104" s="579"/>
      <c r="EH104" s="579"/>
      <c r="EI104" s="579"/>
      <c r="EJ104" s="1114"/>
    </row>
    <row r="105" spans="1:140" ht="15.75" customHeight="1" x14ac:dyDescent="0.25">
      <c r="A105" s="6"/>
      <c r="B105" s="364" t="s">
        <v>315</v>
      </c>
      <c r="C105" s="358"/>
      <c r="D105" s="427"/>
      <c r="E105" s="429">
        <f>PREF+JVEQUITY+EQUITY</f>
        <v>10092371.326885089</v>
      </c>
      <c r="F105" s="430">
        <f>E105/COST</f>
        <v>0.42179137702594516</v>
      </c>
      <c r="G105" s="1082"/>
      <c r="H105" s="1115">
        <f>IF(H5=0,$E$105,G108)</f>
        <v>10092371.326885089</v>
      </c>
      <c r="I105" s="599">
        <f t="shared" ref="I105:AN105" si="131">IF(I5=0,$E$105,H107)</f>
        <v>6338815.1166453157</v>
      </c>
      <c r="J105" s="599">
        <f t="shared" si="131"/>
        <v>5362203.8258539727</v>
      </c>
      <c r="K105" s="599">
        <f t="shared" si="131"/>
        <v>4373230.1665168544</v>
      </c>
      <c r="L105" s="599">
        <f t="shared" si="131"/>
        <v>3372811.3031914541</v>
      </c>
      <c r="M105" s="599">
        <f t="shared" si="131"/>
        <v>2361920.5077630775</v>
      </c>
      <c r="N105" s="599">
        <f t="shared" si="131"/>
        <v>1341582.9867320713</v>
      </c>
      <c r="O105" s="599">
        <f t="shared" si="131"/>
        <v>312871.27987616975</v>
      </c>
      <c r="P105" s="599">
        <f t="shared" si="131"/>
        <v>0</v>
      </c>
      <c r="Q105" s="599">
        <f t="shared" si="131"/>
        <v>0</v>
      </c>
      <c r="R105" s="599">
        <f t="shared" si="131"/>
        <v>0</v>
      </c>
      <c r="S105" s="599">
        <f t="shared" si="131"/>
        <v>0</v>
      </c>
      <c r="T105" s="599">
        <f t="shared" si="131"/>
        <v>0</v>
      </c>
      <c r="U105" s="599">
        <f t="shared" si="131"/>
        <v>0</v>
      </c>
      <c r="V105" s="599">
        <f t="shared" si="131"/>
        <v>0</v>
      </c>
      <c r="W105" s="599">
        <f t="shared" si="131"/>
        <v>0</v>
      </c>
      <c r="X105" s="599">
        <f t="shared" si="131"/>
        <v>0</v>
      </c>
      <c r="Y105" s="599">
        <f t="shared" si="131"/>
        <v>0</v>
      </c>
      <c r="Z105" s="599">
        <f t="shared" si="131"/>
        <v>0</v>
      </c>
      <c r="AA105" s="599">
        <f t="shared" si="131"/>
        <v>0</v>
      </c>
      <c r="AB105" s="599">
        <f t="shared" si="131"/>
        <v>0</v>
      </c>
      <c r="AC105" s="599">
        <f t="shared" si="131"/>
        <v>0</v>
      </c>
      <c r="AD105" s="599">
        <f t="shared" si="131"/>
        <v>0</v>
      </c>
      <c r="AE105" s="599">
        <f t="shared" si="131"/>
        <v>0</v>
      </c>
      <c r="AF105" s="599">
        <f t="shared" si="131"/>
        <v>0</v>
      </c>
      <c r="AG105" s="599">
        <f t="shared" si="131"/>
        <v>0</v>
      </c>
      <c r="AH105" s="599">
        <f t="shared" si="131"/>
        <v>0</v>
      </c>
      <c r="AI105" s="599">
        <f t="shared" si="131"/>
        <v>0</v>
      </c>
      <c r="AJ105" s="599">
        <f t="shared" si="131"/>
        <v>0</v>
      </c>
      <c r="AK105" s="599">
        <f t="shared" si="131"/>
        <v>0</v>
      </c>
      <c r="AL105" s="599">
        <f t="shared" si="131"/>
        <v>0</v>
      </c>
      <c r="AM105" s="599">
        <f t="shared" si="131"/>
        <v>0</v>
      </c>
      <c r="AN105" s="599">
        <f t="shared" si="131"/>
        <v>0</v>
      </c>
      <c r="AO105" s="599">
        <f t="shared" ref="AO105:BT105" si="132">IF(AO5=0,$E$105,AN107)</f>
        <v>0</v>
      </c>
      <c r="AP105" s="599">
        <f t="shared" si="132"/>
        <v>0</v>
      </c>
      <c r="AQ105" s="599">
        <f t="shared" si="132"/>
        <v>0</v>
      </c>
      <c r="AR105" s="599">
        <f t="shared" si="132"/>
        <v>0</v>
      </c>
      <c r="AS105" s="599">
        <f t="shared" si="132"/>
        <v>0</v>
      </c>
      <c r="AT105" s="599">
        <f t="shared" si="132"/>
        <v>0</v>
      </c>
      <c r="AU105" s="599">
        <f t="shared" si="132"/>
        <v>0</v>
      </c>
      <c r="AV105" s="599">
        <f t="shared" si="132"/>
        <v>0</v>
      </c>
      <c r="AW105" s="599">
        <f t="shared" si="132"/>
        <v>0</v>
      </c>
      <c r="AX105" s="599">
        <f t="shared" si="132"/>
        <v>0</v>
      </c>
      <c r="AY105" s="599">
        <f t="shared" si="132"/>
        <v>0</v>
      </c>
      <c r="AZ105" s="599">
        <f t="shared" si="132"/>
        <v>0</v>
      </c>
      <c r="BA105" s="599">
        <f t="shared" si="132"/>
        <v>0</v>
      </c>
      <c r="BB105" s="599">
        <f t="shared" si="132"/>
        <v>0</v>
      </c>
      <c r="BC105" s="599">
        <f t="shared" si="132"/>
        <v>0</v>
      </c>
      <c r="BD105" s="599">
        <f t="shared" si="132"/>
        <v>0</v>
      </c>
      <c r="BE105" s="599">
        <f t="shared" si="132"/>
        <v>0</v>
      </c>
      <c r="BF105" s="599">
        <f t="shared" si="132"/>
        <v>0</v>
      </c>
      <c r="BG105" s="599">
        <f t="shared" si="132"/>
        <v>0</v>
      </c>
      <c r="BH105" s="599">
        <f t="shared" si="132"/>
        <v>0</v>
      </c>
      <c r="BI105" s="599">
        <f t="shared" si="132"/>
        <v>0</v>
      </c>
      <c r="BJ105" s="599">
        <f t="shared" si="132"/>
        <v>0</v>
      </c>
      <c r="BK105" s="599">
        <f t="shared" si="132"/>
        <v>0</v>
      </c>
      <c r="BL105" s="599">
        <f t="shared" si="132"/>
        <v>0</v>
      </c>
      <c r="BM105" s="599">
        <f t="shared" si="132"/>
        <v>0</v>
      </c>
      <c r="BN105" s="599">
        <f t="shared" si="132"/>
        <v>0</v>
      </c>
      <c r="BO105" s="599">
        <f t="shared" si="132"/>
        <v>0</v>
      </c>
      <c r="BP105" s="599">
        <f t="shared" si="132"/>
        <v>0</v>
      </c>
      <c r="BQ105" s="599">
        <f t="shared" si="132"/>
        <v>0</v>
      </c>
      <c r="BR105" s="599">
        <f t="shared" si="132"/>
        <v>0</v>
      </c>
      <c r="BS105" s="599">
        <f t="shared" si="132"/>
        <v>0</v>
      </c>
      <c r="BT105" s="599">
        <f t="shared" si="132"/>
        <v>0</v>
      </c>
      <c r="BU105" s="599">
        <f t="shared" ref="BU105:CZ105" si="133">IF(BU5=0,$E$105,BT107)</f>
        <v>0</v>
      </c>
      <c r="BV105" s="599">
        <f t="shared" si="133"/>
        <v>0</v>
      </c>
      <c r="BW105" s="599">
        <f t="shared" si="133"/>
        <v>0</v>
      </c>
      <c r="BX105" s="599">
        <f t="shared" si="133"/>
        <v>0</v>
      </c>
      <c r="BY105" s="599">
        <f t="shared" si="133"/>
        <v>0</v>
      </c>
      <c r="BZ105" s="599">
        <f t="shared" si="133"/>
        <v>0</v>
      </c>
      <c r="CA105" s="599">
        <f t="shared" si="133"/>
        <v>0</v>
      </c>
      <c r="CB105" s="599">
        <f t="shared" si="133"/>
        <v>0</v>
      </c>
      <c r="CC105" s="599">
        <f t="shared" si="133"/>
        <v>0</v>
      </c>
      <c r="CD105" s="599">
        <f t="shared" si="133"/>
        <v>0</v>
      </c>
      <c r="CE105" s="599">
        <f t="shared" si="133"/>
        <v>0</v>
      </c>
      <c r="CF105" s="599">
        <f t="shared" si="133"/>
        <v>0</v>
      </c>
      <c r="CG105" s="599">
        <f t="shared" si="133"/>
        <v>0</v>
      </c>
      <c r="CH105" s="599">
        <f t="shared" si="133"/>
        <v>0</v>
      </c>
      <c r="CI105" s="599">
        <f t="shared" si="133"/>
        <v>0</v>
      </c>
      <c r="CJ105" s="599">
        <f t="shared" si="133"/>
        <v>0</v>
      </c>
      <c r="CK105" s="599">
        <f t="shared" si="133"/>
        <v>0</v>
      </c>
      <c r="CL105" s="599">
        <f t="shared" si="133"/>
        <v>0</v>
      </c>
      <c r="CM105" s="599">
        <f t="shared" si="133"/>
        <v>0</v>
      </c>
      <c r="CN105" s="599">
        <f t="shared" si="133"/>
        <v>0</v>
      </c>
      <c r="CO105" s="599">
        <f t="shared" si="133"/>
        <v>0</v>
      </c>
      <c r="CP105" s="599">
        <f t="shared" si="133"/>
        <v>0</v>
      </c>
      <c r="CQ105" s="599">
        <f t="shared" si="133"/>
        <v>0</v>
      </c>
      <c r="CR105" s="599">
        <f t="shared" si="133"/>
        <v>0</v>
      </c>
      <c r="CS105" s="599">
        <f t="shared" si="133"/>
        <v>0</v>
      </c>
      <c r="CT105" s="599">
        <f t="shared" si="133"/>
        <v>0</v>
      </c>
      <c r="CU105" s="599">
        <f t="shared" si="133"/>
        <v>0</v>
      </c>
      <c r="CV105" s="599">
        <f t="shared" si="133"/>
        <v>0</v>
      </c>
      <c r="CW105" s="599">
        <f t="shared" si="133"/>
        <v>0</v>
      </c>
      <c r="CX105" s="599">
        <f t="shared" si="133"/>
        <v>0</v>
      </c>
      <c r="CY105" s="599">
        <f t="shared" si="133"/>
        <v>0</v>
      </c>
      <c r="CZ105" s="599">
        <f t="shared" si="133"/>
        <v>0</v>
      </c>
      <c r="DA105" s="599">
        <f t="shared" ref="DA105:EJ105" si="134">IF(DA5=0,$E$105,CZ107)</f>
        <v>0</v>
      </c>
      <c r="DB105" s="599">
        <f t="shared" si="134"/>
        <v>0</v>
      </c>
      <c r="DC105" s="599">
        <f t="shared" si="134"/>
        <v>0</v>
      </c>
      <c r="DD105" s="599">
        <f t="shared" si="134"/>
        <v>0</v>
      </c>
      <c r="DE105" s="599">
        <f t="shared" si="134"/>
        <v>0</v>
      </c>
      <c r="DF105" s="599">
        <f t="shared" si="134"/>
        <v>0</v>
      </c>
      <c r="DG105" s="599">
        <f t="shared" si="134"/>
        <v>0</v>
      </c>
      <c r="DH105" s="599">
        <f t="shared" si="134"/>
        <v>0</v>
      </c>
      <c r="DI105" s="599">
        <f t="shared" si="134"/>
        <v>0</v>
      </c>
      <c r="DJ105" s="599">
        <f t="shared" si="134"/>
        <v>0</v>
      </c>
      <c r="DK105" s="599">
        <f t="shared" si="134"/>
        <v>0</v>
      </c>
      <c r="DL105" s="599">
        <f t="shared" si="134"/>
        <v>0</v>
      </c>
      <c r="DM105" s="599">
        <f t="shared" si="134"/>
        <v>0</v>
      </c>
      <c r="DN105" s="599">
        <f t="shared" si="134"/>
        <v>0</v>
      </c>
      <c r="DO105" s="599">
        <f t="shared" si="134"/>
        <v>0</v>
      </c>
      <c r="DP105" s="599">
        <f t="shared" si="134"/>
        <v>0</v>
      </c>
      <c r="DQ105" s="599">
        <f t="shared" si="134"/>
        <v>0</v>
      </c>
      <c r="DR105" s="599">
        <f t="shared" si="134"/>
        <v>0</v>
      </c>
      <c r="DS105" s="599">
        <f t="shared" si="134"/>
        <v>0</v>
      </c>
      <c r="DT105" s="599">
        <f t="shared" si="134"/>
        <v>0</v>
      </c>
      <c r="DU105" s="599">
        <f t="shared" si="134"/>
        <v>0</v>
      </c>
      <c r="DV105" s="599">
        <f t="shared" si="134"/>
        <v>0</v>
      </c>
      <c r="DW105" s="599">
        <f t="shared" si="134"/>
        <v>0</v>
      </c>
      <c r="DX105" s="599">
        <f t="shared" si="134"/>
        <v>0</v>
      </c>
      <c r="DY105" s="599">
        <f t="shared" si="134"/>
        <v>0</v>
      </c>
      <c r="DZ105" s="599">
        <f t="shared" si="134"/>
        <v>0</v>
      </c>
      <c r="EA105" s="599">
        <f t="shared" si="134"/>
        <v>0</v>
      </c>
      <c r="EB105" s="599">
        <f t="shared" si="134"/>
        <v>0</v>
      </c>
      <c r="EC105" s="599">
        <f t="shared" si="134"/>
        <v>0</v>
      </c>
      <c r="ED105" s="599">
        <f t="shared" si="134"/>
        <v>0</v>
      </c>
      <c r="EE105" s="599">
        <f t="shared" si="134"/>
        <v>0</v>
      </c>
      <c r="EF105" s="599">
        <f t="shared" si="134"/>
        <v>0</v>
      </c>
      <c r="EG105" s="599">
        <f t="shared" si="134"/>
        <v>0</v>
      </c>
      <c r="EH105" s="599">
        <f t="shared" si="134"/>
        <v>0</v>
      </c>
      <c r="EI105" s="599">
        <f t="shared" si="134"/>
        <v>0</v>
      </c>
      <c r="EJ105" s="1117">
        <f t="shared" si="134"/>
        <v>0</v>
      </c>
    </row>
    <row r="106" spans="1:140" ht="15.75" customHeight="1" x14ac:dyDescent="0.25">
      <c r="A106" s="6"/>
      <c r="B106" s="364" t="s">
        <v>316</v>
      </c>
      <c r="C106" s="358"/>
      <c r="D106" s="427"/>
      <c r="E106" s="358"/>
      <c r="F106" s="427"/>
      <c r="G106" s="1082"/>
      <c r="H106" s="1115">
        <f>-MIN(H99+E126,$E$105+SUM($G$106:G106))</f>
        <v>-3753556.2102397741</v>
      </c>
      <c r="I106" s="599">
        <f>-MIN(I99,$E$105+SUM($G$106:H106))</f>
        <v>-976611.29079134262</v>
      </c>
      <c r="J106" s="599">
        <f>-MIN(J99,$E$105+SUM($G$106:I106))</f>
        <v>-988973.65933711827</v>
      </c>
      <c r="K106" s="599">
        <f>-MIN(K99,$E$105+SUM($G$106:J106))</f>
        <v>-1000418.8633254003</v>
      </c>
      <c r="L106" s="599">
        <f>-MIN(L99,$E$105+SUM($G$106:K106))</f>
        <v>-1010890.7954283768</v>
      </c>
      <c r="M106" s="599">
        <f>-MIN(M99,$E$105+SUM($G$106:L106))</f>
        <v>-1020337.5210310061</v>
      </c>
      <c r="N106" s="599">
        <f>-MIN(N99,$E$105+SUM($G$106:M106))</f>
        <v>-1028711.7068559015</v>
      </c>
      <c r="O106" s="599">
        <f>-MIN(O99,$E$105+SUM($G$106:N106))</f>
        <v>-312871.27987616882</v>
      </c>
      <c r="P106" s="599">
        <f>-MIN(P99,$E$105+SUM($G$106:O106))</f>
        <v>0</v>
      </c>
      <c r="Q106" s="599">
        <f>-MIN(Q99,$E$105+SUM($G$106:P106))</f>
        <v>0</v>
      </c>
      <c r="R106" s="599">
        <f>-MIN(R99,$E$105+SUM($G$106:Q106))</f>
        <v>0</v>
      </c>
      <c r="S106" s="599">
        <f>-MIN(S99,$E$105+SUM($G$106:R106))</f>
        <v>0</v>
      </c>
      <c r="T106" s="599">
        <f>-MIN(T99,$E$105+SUM($G$106:S106))</f>
        <v>0</v>
      </c>
      <c r="U106" s="599">
        <f>-MIN(U99,$E$105+SUM($G$106:T106))</f>
        <v>0</v>
      </c>
      <c r="V106" s="599">
        <f>-MIN(V99,$E$105+SUM($G$106:U106))</f>
        <v>0</v>
      </c>
      <c r="W106" s="599">
        <f>-MIN(W99,$E$105+SUM($G$106:V106))</f>
        <v>0</v>
      </c>
      <c r="X106" s="599">
        <f>-MIN(X99,$E$105+SUM($G$106:W106))</f>
        <v>0</v>
      </c>
      <c r="Y106" s="599">
        <f>-MIN(Y99,$E$105+SUM($G$106:X106))</f>
        <v>0</v>
      </c>
      <c r="Z106" s="599">
        <f>-MIN(Z99,$E$105+SUM($G$106:Y106))</f>
        <v>0</v>
      </c>
      <c r="AA106" s="599">
        <f>-MIN(AA99,$E$105+SUM($G$106:Z106))</f>
        <v>0</v>
      </c>
      <c r="AB106" s="599">
        <f>-MIN(AB99,$E$105+SUM($G$106:AA106))</f>
        <v>0</v>
      </c>
      <c r="AC106" s="599">
        <f>-MIN(AC99,$E$105+SUM($G$106:AB106))</f>
        <v>0</v>
      </c>
      <c r="AD106" s="599">
        <f>-MIN(AD99,$E$105+SUM($G$106:AC106))</f>
        <v>0</v>
      </c>
      <c r="AE106" s="599">
        <f>-MIN(AE99,$E$105+SUM($G$106:AD106))</f>
        <v>0</v>
      </c>
      <c r="AF106" s="599">
        <f>-MIN(AF99,$E$105+SUM($G$106:AE106))</f>
        <v>0</v>
      </c>
      <c r="AG106" s="599">
        <f>-MIN(AG99,$E$105+SUM($G$106:AF106))</f>
        <v>0</v>
      </c>
      <c r="AH106" s="599">
        <f>-MIN(AH99,$E$105+SUM($G$106:AG106))</f>
        <v>0</v>
      </c>
      <c r="AI106" s="599">
        <f>-MIN(AI99,$E$105+SUM($G$106:AH106))</f>
        <v>0</v>
      </c>
      <c r="AJ106" s="599">
        <f>-MIN(AJ99,$E$105+SUM($G$106:AI106))</f>
        <v>0</v>
      </c>
      <c r="AK106" s="599">
        <f>-MIN(AK99,$E$105+SUM($G$106:AJ106))</f>
        <v>0</v>
      </c>
      <c r="AL106" s="599">
        <f>-MIN(AL99,$E$105+SUM($G$106:AK106))</f>
        <v>0</v>
      </c>
      <c r="AM106" s="599">
        <f>-MIN(AM99,$E$105+SUM($G$106:AL106))</f>
        <v>0</v>
      </c>
      <c r="AN106" s="599">
        <f>-MIN(AN99,$E$105+SUM($G$106:AM106))</f>
        <v>0</v>
      </c>
      <c r="AO106" s="599">
        <f>-MIN(AO99,$E$105+SUM($G$106:AN106))</f>
        <v>0</v>
      </c>
      <c r="AP106" s="599">
        <f>-MIN(AP99,$E$105+SUM($G$106:AO106))</f>
        <v>0</v>
      </c>
      <c r="AQ106" s="599">
        <f>-MIN(AQ99,$E$105+SUM($G$106:AP106))</f>
        <v>0</v>
      </c>
      <c r="AR106" s="599">
        <f>-MIN(AR99,$E$105+SUM($G$106:AQ106))</f>
        <v>0</v>
      </c>
      <c r="AS106" s="599">
        <f>-MIN(AS99,$E$105+SUM($G$106:AR106))</f>
        <v>0</v>
      </c>
      <c r="AT106" s="599">
        <f>-MIN(AT99,$E$105+SUM($G$106:AS106))</f>
        <v>0</v>
      </c>
      <c r="AU106" s="599">
        <f>-MIN(AU99,$E$105+SUM($G$106:AT106))</f>
        <v>0</v>
      </c>
      <c r="AV106" s="599">
        <f>-MIN(AV99,$E$105+SUM($G$106:AU106))</f>
        <v>0</v>
      </c>
      <c r="AW106" s="599">
        <f>-MIN(AW99,$E$105+SUM($G$106:AV106))</f>
        <v>0</v>
      </c>
      <c r="AX106" s="599">
        <f>-MIN(AX99,$E$105+SUM($G$106:AW106))</f>
        <v>0</v>
      </c>
      <c r="AY106" s="599">
        <f>-MIN(AY99,$E$105+SUM($G$106:AX106))</f>
        <v>0</v>
      </c>
      <c r="AZ106" s="599">
        <f>-MIN(AZ99,$E$105+SUM($G$106:AY106))</f>
        <v>0</v>
      </c>
      <c r="BA106" s="599">
        <f>-MIN(BA99,$E$105+SUM($G$106:AZ106))</f>
        <v>0</v>
      </c>
      <c r="BB106" s="599">
        <f>-MIN(BB99,$E$105+SUM($G$106:BA106))</f>
        <v>0</v>
      </c>
      <c r="BC106" s="599">
        <f>-MIN(BC99,$E$105+SUM($G$106:BB106))</f>
        <v>0</v>
      </c>
      <c r="BD106" s="599">
        <f>-MIN(BD99,$E$105+SUM($G$106:BC106))</f>
        <v>0</v>
      </c>
      <c r="BE106" s="599">
        <f>-MIN(BE99,$E$105+SUM($G$106:BD106))</f>
        <v>0</v>
      </c>
      <c r="BF106" s="599">
        <f>-MIN(BF99,$E$105+SUM($G$106:BE106))</f>
        <v>0</v>
      </c>
      <c r="BG106" s="599">
        <f>-MIN(BG99,$E$105+SUM($G$106:BF106))</f>
        <v>0</v>
      </c>
      <c r="BH106" s="599">
        <f>-MIN(BH99,$E$105+SUM($G$106:BG106))</f>
        <v>0</v>
      </c>
      <c r="BI106" s="599">
        <f>-MIN(BI99,$E$105+SUM($G$106:BH106))</f>
        <v>0</v>
      </c>
      <c r="BJ106" s="599">
        <f>-MIN(BJ99,$E$105+SUM($G$106:BI106))</f>
        <v>0</v>
      </c>
      <c r="BK106" s="599">
        <f>-MIN(BK99,$E$105+SUM($G$106:BJ106))</f>
        <v>0</v>
      </c>
      <c r="BL106" s="599">
        <f>-MIN(BL99,$E$105+SUM($G$106:BK106))</f>
        <v>0</v>
      </c>
      <c r="BM106" s="599">
        <f>-MIN(BM99,$E$105+SUM($G$106:BL106))</f>
        <v>0</v>
      </c>
      <c r="BN106" s="599">
        <f>-MIN(BN99,$E$105+SUM($G$106:BM106))</f>
        <v>0</v>
      </c>
      <c r="BO106" s="599">
        <f>-MIN(BO99,$E$105+SUM($G$106:BN106))</f>
        <v>0</v>
      </c>
      <c r="BP106" s="599">
        <f>-MIN(BP99,$E$105+SUM($G$106:BO106))</f>
        <v>0</v>
      </c>
      <c r="BQ106" s="599">
        <f>-MIN(BQ99,$E$105+SUM($G$106:BP106))</f>
        <v>0</v>
      </c>
      <c r="BR106" s="599">
        <f>-MIN(BR99,$E$105+SUM($G$106:BQ106))</f>
        <v>0</v>
      </c>
      <c r="BS106" s="599">
        <f>-MIN(BS99,$E$105+SUM($G$106:BR106))</f>
        <v>0</v>
      </c>
      <c r="BT106" s="599">
        <f>-MIN(BT99,$E$105+SUM($G$106:BS106))</f>
        <v>0</v>
      </c>
      <c r="BU106" s="599">
        <f>-MIN(BU99,$E$105+SUM($G$106:BT106))</f>
        <v>0</v>
      </c>
      <c r="BV106" s="599">
        <f>-MIN(BV99,$E$105+SUM($G$106:BU106))</f>
        <v>0</v>
      </c>
      <c r="BW106" s="599">
        <f>-MIN(BW99,$E$105+SUM($G$106:BV106))</f>
        <v>0</v>
      </c>
      <c r="BX106" s="599">
        <f>-MIN(BX99,$E$105+SUM($G$106:BW106))</f>
        <v>0</v>
      </c>
      <c r="BY106" s="599">
        <f>-MIN(BY99,$E$105+SUM($G$106:BX106))</f>
        <v>0</v>
      </c>
      <c r="BZ106" s="599">
        <f>-MIN(BZ99,$E$105+SUM($G$106:BY106))</f>
        <v>0</v>
      </c>
      <c r="CA106" s="599">
        <f>-MIN(CA99,$E$105+SUM($G$106:BZ106))</f>
        <v>0</v>
      </c>
      <c r="CB106" s="599">
        <f>-MIN(CB99,$E$105+SUM($G$106:CA106))</f>
        <v>0</v>
      </c>
      <c r="CC106" s="599">
        <f>-MIN(CC99,$E$105+SUM($G$106:CB106))</f>
        <v>0</v>
      </c>
      <c r="CD106" s="599">
        <f>-MIN(CD99,$E$105+SUM($G$106:CC106))</f>
        <v>0</v>
      </c>
      <c r="CE106" s="599">
        <f>-MIN(CE99,$E$105+SUM($G$106:CD106))</f>
        <v>0</v>
      </c>
      <c r="CF106" s="599">
        <f>-MIN(CF99,$E$105+SUM($G$106:CE106))</f>
        <v>0</v>
      </c>
      <c r="CG106" s="599">
        <f>-MIN(CG99,$E$105+SUM($G$106:CF106))</f>
        <v>0</v>
      </c>
      <c r="CH106" s="599">
        <f>-MIN(CH99,$E$105+SUM($G$106:CG106))</f>
        <v>0</v>
      </c>
      <c r="CI106" s="599">
        <f>-MIN(CI99,$E$105+SUM($G$106:CH106))</f>
        <v>0</v>
      </c>
      <c r="CJ106" s="599">
        <f>-MIN(CJ99,$E$105+SUM($G$106:CI106))</f>
        <v>0</v>
      </c>
      <c r="CK106" s="599">
        <f>-MIN(CK99,$E$105+SUM($G$106:CJ106))</f>
        <v>0</v>
      </c>
      <c r="CL106" s="599">
        <f>-MIN(CL99,$E$105+SUM($G$106:CK106))</f>
        <v>0</v>
      </c>
      <c r="CM106" s="599">
        <f>-MIN(CM99,$E$105+SUM($G$106:CL106))</f>
        <v>0</v>
      </c>
      <c r="CN106" s="599">
        <f>-MIN(CN99,$E$105+SUM($G$106:CM106))</f>
        <v>0</v>
      </c>
      <c r="CO106" s="599">
        <f>-MIN(CO99,$E$105+SUM($G$106:CN106))</f>
        <v>0</v>
      </c>
      <c r="CP106" s="599">
        <f>-MIN(CP99,$E$105+SUM($G$106:CO106))</f>
        <v>0</v>
      </c>
      <c r="CQ106" s="599">
        <f>-MIN(CQ99,$E$105+SUM($G$106:CP106))</f>
        <v>0</v>
      </c>
      <c r="CR106" s="599">
        <f>-MIN(CR99,$E$105+SUM($G$106:CQ106))</f>
        <v>0</v>
      </c>
      <c r="CS106" s="599">
        <f>-MIN(CS99,$E$105+SUM($G$106:CR106))</f>
        <v>0</v>
      </c>
      <c r="CT106" s="599">
        <f>-MIN(CT99,$E$105+SUM($G$106:CS106))</f>
        <v>0</v>
      </c>
      <c r="CU106" s="599">
        <f>-MIN(CU99,$E$105+SUM($G$106:CT106))</f>
        <v>0</v>
      </c>
      <c r="CV106" s="599">
        <f>-MIN(CV99,$E$105+SUM($G$106:CU106))</f>
        <v>0</v>
      </c>
      <c r="CW106" s="599">
        <f>-MIN(CW99,$E$105+SUM($G$106:CV106))</f>
        <v>0</v>
      </c>
      <c r="CX106" s="599">
        <f>-MIN(CX99,$E$105+SUM($G$106:CW106))</f>
        <v>0</v>
      </c>
      <c r="CY106" s="599">
        <f>-MIN(CY99,$E$105+SUM($G$106:CX106))</f>
        <v>0</v>
      </c>
      <c r="CZ106" s="599">
        <f>-MIN(CZ99,$E$105+SUM($G$106:CY106))</f>
        <v>0</v>
      </c>
      <c r="DA106" s="599">
        <f>-MIN(DA99,$E$105+SUM($G$106:CZ106))</f>
        <v>0</v>
      </c>
      <c r="DB106" s="599">
        <f>-MIN(DB99,$E$105+SUM($G$106:DA106))</f>
        <v>0</v>
      </c>
      <c r="DC106" s="599">
        <f>-MIN(DC99,$E$105+SUM($G$106:DB106))</f>
        <v>0</v>
      </c>
      <c r="DD106" s="599">
        <f>-MIN(DD99,$E$105+SUM($G$106:DC106))</f>
        <v>0</v>
      </c>
      <c r="DE106" s="599">
        <f>-MIN(DE99,$E$105+SUM($G$106:DD106))</f>
        <v>0</v>
      </c>
      <c r="DF106" s="599">
        <f>-MIN(DF99,$E$105+SUM($G$106:DE106))</f>
        <v>0</v>
      </c>
      <c r="DG106" s="599">
        <f>-MIN(DG99,$E$105+SUM($G$106:DF106))</f>
        <v>0</v>
      </c>
      <c r="DH106" s="599">
        <f>-MIN(DH99,$E$105+SUM($G$106:DG106))</f>
        <v>0</v>
      </c>
      <c r="DI106" s="599">
        <f>-MIN(DI99,$E$105+SUM($G$106:DH106))</f>
        <v>0</v>
      </c>
      <c r="DJ106" s="599">
        <f>-MIN(DJ99,$E$105+SUM($G$106:DI106))</f>
        <v>0</v>
      </c>
      <c r="DK106" s="599">
        <f>-MIN(DK99,$E$105+SUM($G$106:DJ106))</f>
        <v>0</v>
      </c>
      <c r="DL106" s="599">
        <f>-MIN(DL99,$E$105+SUM($G$106:DK106))</f>
        <v>0</v>
      </c>
      <c r="DM106" s="599">
        <f>-MIN(DM99,$E$105+SUM($G$106:DL106))</f>
        <v>0</v>
      </c>
      <c r="DN106" s="599">
        <f>-MIN(DN99,$E$105+SUM($G$106:DM106))</f>
        <v>0</v>
      </c>
      <c r="DO106" s="599">
        <f>-MIN(DO99,$E$105+SUM($G$106:DN106))</f>
        <v>0</v>
      </c>
      <c r="DP106" s="599">
        <f>-MIN(DP99,$E$105+SUM($G$106:DO106))</f>
        <v>0</v>
      </c>
      <c r="DQ106" s="599">
        <f>-MIN(DQ99,$E$105+SUM($G$106:DP106))</f>
        <v>0</v>
      </c>
      <c r="DR106" s="599">
        <f>-MIN(DR99,$E$105+SUM($G$106:DQ106))</f>
        <v>0</v>
      </c>
      <c r="DS106" s="599">
        <f>-MIN(DS99,$E$105+SUM($G$106:DR106))</f>
        <v>0</v>
      </c>
      <c r="DT106" s="599">
        <f>-MIN(DT99,$E$105+SUM($G$106:DS106))</f>
        <v>0</v>
      </c>
      <c r="DU106" s="599">
        <f>-MIN(DU99,$E$105+SUM($G$106:DT106))</f>
        <v>0</v>
      </c>
      <c r="DV106" s="599">
        <f>-MIN(DV99,$E$105+SUM($G$106:DU106))</f>
        <v>0</v>
      </c>
      <c r="DW106" s="599">
        <f>-MIN(DW99,$E$105+SUM($G$106:DV106))</f>
        <v>0</v>
      </c>
      <c r="DX106" s="599">
        <f>-MIN(DX99,$E$105+SUM($G$106:DW106))</f>
        <v>0</v>
      </c>
      <c r="DY106" s="599">
        <f>-MIN(DY99,$E$105+SUM($G$106:DX106))</f>
        <v>0</v>
      </c>
      <c r="DZ106" s="599">
        <f>-MIN(DZ99,$E$105+SUM($G$106:DY106))</f>
        <v>0</v>
      </c>
      <c r="EA106" s="599">
        <f>-MIN(EA99,$E$105+SUM($G$106:DZ106))</f>
        <v>0</v>
      </c>
      <c r="EB106" s="599">
        <f>-MIN(EB99,$E$105+SUM($G$106:EA106))</f>
        <v>0</v>
      </c>
      <c r="EC106" s="599">
        <f>-MIN(EC99,$E$105+SUM($G$106:EB106))</f>
        <v>0</v>
      </c>
      <c r="ED106" s="599">
        <f>-MIN(ED99,$E$105+SUM($G$106:EC106))</f>
        <v>0</v>
      </c>
      <c r="EE106" s="599">
        <f>-MIN(EE99,$E$105+SUM($G$106:ED106))</f>
        <v>0</v>
      </c>
      <c r="EF106" s="599">
        <f>-MIN(EF99,$E$105+SUM($G$106:EE106))</f>
        <v>0</v>
      </c>
      <c r="EG106" s="599">
        <f>-MIN(EG99,$E$105+SUM($G$106:EF106))</f>
        <v>0</v>
      </c>
      <c r="EH106" s="599">
        <f>-MIN(EH99,$E$105+SUM($G$106:EG106))</f>
        <v>0</v>
      </c>
      <c r="EI106" s="599">
        <f>-MIN(EI99,$E$105+SUM($G$106:EH106))</f>
        <v>0</v>
      </c>
      <c r="EJ106" s="1117">
        <f>-MIN(EJ99,$E$105+SUM($G$106:EI106))</f>
        <v>0</v>
      </c>
    </row>
    <row r="107" spans="1:140" ht="15.75" customHeight="1" x14ac:dyDescent="0.25">
      <c r="A107" s="6"/>
      <c r="B107" s="364" t="s">
        <v>317</v>
      </c>
      <c r="C107" s="358"/>
      <c r="D107" s="427"/>
      <c r="E107" s="358"/>
      <c r="F107" s="358"/>
      <c r="G107" s="1082"/>
      <c r="H107" s="1118">
        <f>IF(H105+H106 &gt;1,H105+H106,0)</f>
        <v>6338815.1166453157</v>
      </c>
      <c r="I107" s="1119">
        <f t="shared" ref="I107" si="135">IF(I105+I106 &gt;1,I105+I106,0)</f>
        <v>5362203.8258539727</v>
      </c>
      <c r="J107" s="1119">
        <f t="shared" ref="J107:BU107" si="136">IF(J105+J106 &gt;1,J105+J106,0)</f>
        <v>4373230.1665168544</v>
      </c>
      <c r="K107" s="1119">
        <f t="shared" si="136"/>
        <v>3372811.3031914541</v>
      </c>
      <c r="L107" s="1119">
        <f t="shared" si="136"/>
        <v>2361920.5077630775</v>
      </c>
      <c r="M107" s="1119">
        <f t="shared" si="136"/>
        <v>1341582.9867320713</v>
      </c>
      <c r="N107" s="1119">
        <f t="shared" si="136"/>
        <v>312871.27987616975</v>
      </c>
      <c r="O107" s="1119">
        <f t="shared" si="136"/>
        <v>0</v>
      </c>
      <c r="P107" s="1119">
        <f t="shared" si="136"/>
        <v>0</v>
      </c>
      <c r="Q107" s="1119">
        <f t="shared" si="136"/>
        <v>0</v>
      </c>
      <c r="R107" s="1119">
        <f t="shared" si="136"/>
        <v>0</v>
      </c>
      <c r="S107" s="1119">
        <f t="shared" si="136"/>
        <v>0</v>
      </c>
      <c r="T107" s="1119">
        <f t="shared" si="136"/>
        <v>0</v>
      </c>
      <c r="U107" s="1119">
        <f t="shared" si="136"/>
        <v>0</v>
      </c>
      <c r="V107" s="1119">
        <f t="shared" si="136"/>
        <v>0</v>
      </c>
      <c r="W107" s="1119">
        <f t="shared" si="136"/>
        <v>0</v>
      </c>
      <c r="X107" s="1119">
        <f t="shared" si="136"/>
        <v>0</v>
      </c>
      <c r="Y107" s="1119">
        <f t="shared" si="136"/>
        <v>0</v>
      </c>
      <c r="Z107" s="1119">
        <f t="shared" si="136"/>
        <v>0</v>
      </c>
      <c r="AA107" s="1119">
        <f t="shared" si="136"/>
        <v>0</v>
      </c>
      <c r="AB107" s="1119">
        <f t="shared" si="136"/>
        <v>0</v>
      </c>
      <c r="AC107" s="1119">
        <f t="shared" si="136"/>
        <v>0</v>
      </c>
      <c r="AD107" s="1119">
        <f t="shared" si="136"/>
        <v>0</v>
      </c>
      <c r="AE107" s="1119">
        <f t="shared" si="136"/>
        <v>0</v>
      </c>
      <c r="AF107" s="1119">
        <f t="shared" si="136"/>
        <v>0</v>
      </c>
      <c r="AG107" s="1119">
        <f t="shared" si="136"/>
        <v>0</v>
      </c>
      <c r="AH107" s="1119">
        <f t="shared" si="136"/>
        <v>0</v>
      </c>
      <c r="AI107" s="1119">
        <f t="shared" si="136"/>
        <v>0</v>
      </c>
      <c r="AJ107" s="1119">
        <f t="shared" si="136"/>
        <v>0</v>
      </c>
      <c r="AK107" s="1119">
        <f t="shared" si="136"/>
        <v>0</v>
      </c>
      <c r="AL107" s="1119">
        <f t="shared" si="136"/>
        <v>0</v>
      </c>
      <c r="AM107" s="1119">
        <f t="shared" si="136"/>
        <v>0</v>
      </c>
      <c r="AN107" s="1119">
        <f t="shared" si="136"/>
        <v>0</v>
      </c>
      <c r="AO107" s="1119">
        <f t="shared" si="136"/>
        <v>0</v>
      </c>
      <c r="AP107" s="1119">
        <f t="shared" si="136"/>
        <v>0</v>
      </c>
      <c r="AQ107" s="1119">
        <f t="shared" si="136"/>
        <v>0</v>
      </c>
      <c r="AR107" s="1119">
        <f t="shared" si="136"/>
        <v>0</v>
      </c>
      <c r="AS107" s="1119">
        <f t="shared" si="136"/>
        <v>0</v>
      </c>
      <c r="AT107" s="1119">
        <f t="shared" si="136"/>
        <v>0</v>
      </c>
      <c r="AU107" s="1119">
        <f t="shared" si="136"/>
        <v>0</v>
      </c>
      <c r="AV107" s="1119">
        <f t="shared" si="136"/>
        <v>0</v>
      </c>
      <c r="AW107" s="1119">
        <f t="shared" si="136"/>
        <v>0</v>
      </c>
      <c r="AX107" s="1119">
        <f t="shared" si="136"/>
        <v>0</v>
      </c>
      <c r="AY107" s="1119">
        <f t="shared" si="136"/>
        <v>0</v>
      </c>
      <c r="AZ107" s="1119">
        <f t="shared" si="136"/>
        <v>0</v>
      </c>
      <c r="BA107" s="1119">
        <f t="shared" si="136"/>
        <v>0</v>
      </c>
      <c r="BB107" s="1119">
        <f t="shared" si="136"/>
        <v>0</v>
      </c>
      <c r="BC107" s="1119">
        <f t="shared" si="136"/>
        <v>0</v>
      </c>
      <c r="BD107" s="1119">
        <f t="shared" si="136"/>
        <v>0</v>
      </c>
      <c r="BE107" s="1119">
        <f t="shared" si="136"/>
        <v>0</v>
      </c>
      <c r="BF107" s="1119">
        <f t="shared" si="136"/>
        <v>0</v>
      </c>
      <c r="BG107" s="1119">
        <f t="shared" si="136"/>
        <v>0</v>
      </c>
      <c r="BH107" s="1119">
        <f t="shared" si="136"/>
        <v>0</v>
      </c>
      <c r="BI107" s="1119">
        <f t="shared" si="136"/>
        <v>0</v>
      </c>
      <c r="BJ107" s="1119">
        <f t="shared" si="136"/>
        <v>0</v>
      </c>
      <c r="BK107" s="1119">
        <f t="shared" si="136"/>
        <v>0</v>
      </c>
      <c r="BL107" s="1119">
        <f t="shared" si="136"/>
        <v>0</v>
      </c>
      <c r="BM107" s="1119">
        <f t="shared" si="136"/>
        <v>0</v>
      </c>
      <c r="BN107" s="1119">
        <f t="shared" si="136"/>
        <v>0</v>
      </c>
      <c r="BO107" s="1119">
        <f t="shared" si="136"/>
        <v>0</v>
      </c>
      <c r="BP107" s="1119">
        <f t="shared" si="136"/>
        <v>0</v>
      </c>
      <c r="BQ107" s="1119">
        <f t="shared" si="136"/>
        <v>0</v>
      </c>
      <c r="BR107" s="1119">
        <f t="shared" si="136"/>
        <v>0</v>
      </c>
      <c r="BS107" s="1119">
        <f t="shared" si="136"/>
        <v>0</v>
      </c>
      <c r="BT107" s="1119">
        <f t="shared" si="136"/>
        <v>0</v>
      </c>
      <c r="BU107" s="1119">
        <f t="shared" si="136"/>
        <v>0</v>
      </c>
      <c r="BV107" s="1119">
        <f t="shared" ref="BV107:EG107" si="137">IF(BV105+BV106 &gt;1,BV105+BV106,0)</f>
        <v>0</v>
      </c>
      <c r="BW107" s="1119">
        <f t="shared" si="137"/>
        <v>0</v>
      </c>
      <c r="BX107" s="1119">
        <f t="shared" si="137"/>
        <v>0</v>
      </c>
      <c r="BY107" s="1119">
        <f t="shared" si="137"/>
        <v>0</v>
      </c>
      <c r="BZ107" s="1119">
        <f t="shared" si="137"/>
        <v>0</v>
      </c>
      <c r="CA107" s="1119">
        <f t="shared" si="137"/>
        <v>0</v>
      </c>
      <c r="CB107" s="1119">
        <f t="shared" si="137"/>
        <v>0</v>
      </c>
      <c r="CC107" s="1119">
        <f t="shared" si="137"/>
        <v>0</v>
      </c>
      <c r="CD107" s="1119">
        <f t="shared" si="137"/>
        <v>0</v>
      </c>
      <c r="CE107" s="1119">
        <f t="shared" si="137"/>
        <v>0</v>
      </c>
      <c r="CF107" s="1119">
        <f t="shared" si="137"/>
        <v>0</v>
      </c>
      <c r="CG107" s="1119">
        <f t="shared" si="137"/>
        <v>0</v>
      </c>
      <c r="CH107" s="1119">
        <f t="shared" si="137"/>
        <v>0</v>
      </c>
      <c r="CI107" s="1119">
        <f t="shared" si="137"/>
        <v>0</v>
      </c>
      <c r="CJ107" s="1119">
        <f t="shared" si="137"/>
        <v>0</v>
      </c>
      <c r="CK107" s="1119">
        <f t="shared" si="137"/>
        <v>0</v>
      </c>
      <c r="CL107" s="1119">
        <f t="shared" si="137"/>
        <v>0</v>
      </c>
      <c r="CM107" s="1119">
        <f t="shared" si="137"/>
        <v>0</v>
      </c>
      <c r="CN107" s="1119">
        <f t="shared" si="137"/>
        <v>0</v>
      </c>
      <c r="CO107" s="1119">
        <f t="shared" si="137"/>
        <v>0</v>
      </c>
      <c r="CP107" s="1119">
        <f t="shared" si="137"/>
        <v>0</v>
      </c>
      <c r="CQ107" s="1119">
        <f t="shared" si="137"/>
        <v>0</v>
      </c>
      <c r="CR107" s="1119">
        <f t="shared" si="137"/>
        <v>0</v>
      </c>
      <c r="CS107" s="1119">
        <f t="shared" si="137"/>
        <v>0</v>
      </c>
      <c r="CT107" s="1119">
        <f t="shared" si="137"/>
        <v>0</v>
      </c>
      <c r="CU107" s="1119">
        <f t="shared" si="137"/>
        <v>0</v>
      </c>
      <c r="CV107" s="1119">
        <f t="shared" si="137"/>
        <v>0</v>
      </c>
      <c r="CW107" s="1119">
        <f t="shared" si="137"/>
        <v>0</v>
      </c>
      <c r="CX107" s="1119">
        <f t="shared" si="137"/>
        <v>0</v>
      </c>
      <c r="CY107" s="1119">
        <f t="shared" si="137"/>
        <v>0</v>
      </c>
      <c r="CZ107" s="1119">
        <f t="shared" si="137"/>
        <v>0</v>
      </c>
      <c r="DA107" s="1119">
        <f t="shared" si="137"/>
        <v>0</v>
      </c>
      <c r="DB107" s="1119">
        <f t="shared" si="137"/>
        <v>0</v>
      </c>
      <c r="DC107" s="1119">
        <f t="shared" si="137"/>
        <v>0</v>
      </c>
      <c r="DD107" s="1119">
        <f t="shared" si="137"/>
        <v>0</v>
      </c>
      <c r="DE107" s="1119">
        <f t="shared" si="137"/>
        <v>0</v>
      </c>
      <c r="DF107" s="1119">
        <f t="shared" si="137"/>
        <v>0</v>
      </c>
      <c r="DG107" s="1119">
        <f t="shared" si="137"/>
        <v>0</v>
      </c>
      <c r="DH107" s="1119">
        <f t="shared" si="137"/>
        <v>0</v>
      </c>
      <c r="DI107" s="1119">
        <f t="shared" si="137"/>
        <v>0</v>
      </c>
      <c r="DJ107" s="1119">
        <f t="shared" si="137"/>
        <v>0</v>
      </c>
      <c r="DK107" s="1119">
        <f t="shared" si="137"/>
        <v>0</v>
      </c>
      <c r="DL107" s="1119">
        <f t="shared" si="137"/>
        <v>0</v>
      </c>
      <c r="DM107" s="1119">
        <f t="shared" si="137"/>
        <v>0</v>
      </c>
      <c r="DN107" s="1119">
        <f t="shared" si="137"/>
        <v>0</v>
      </c>
      <c r="DO107" s="1119">
        <f t="shared" si="137"/>
        <v>0</v>
      </c>
      <c r="DP107" s="1119">
        <f t="shared" si="137"/>
        <v>0</v>
      </c>
      <c r="DQ107" s="1119">
        <f t="shared" si="137"/>
        <v>0</v>
      </c>
      <c r="DR107" s="1119">
        <f t="shared" si="137"/>
        <v>0</v>
      </c>
      <c r="DS107" s="1119">
        <f t="shared" si="137"/>
        <v>0</v>
      </c>
      <c r="DT107" s="1119">
        <f t="shared" si="137"/>
        <v>0</v>
      </c>
      <c r="DU107" s="1119">
        <f t="shared" si="137"/>
        <v>0</v>
      </c>
      <c r="DV107" s="1119">
        <f t="shared" si="137"/>
        <v>0</v>
      </c>
      <c r="DW107" s="1119">
        <f t="shared" si="137"/>
        <v>0</v>
      </c>
      <c r="DX107" s="1119">
        <f t="shared" si="137"/>
        <v>0</v>
      </c>
      <c r="DY107" s="1119">
        <f t="shared" si="137"/>
        <v>0</v>
      </c>
      <c r="DZ107" s="1119">
        <f t="shared" si="137"/>
        <v>0</v>
      </c>
      <c r="EA107" s="1119">
        <f t="shared" si="137"/>
        <v>0</v>
      </c>
      <c r="EB107" s="1119">
        <f t="shared" si="137"/>
        <v>0</v>
      </c>
      <c r="EC107" s="1119">
        <f t="shared" si="137"/>
        <v>0</v>
      </c>
      <c r="ED107" s="1119">
        <f t="shared" si="137"/>
        <v>0</v>
      </c>
      <c r="EE107" s="1119">
        <f t="shared" si="137"/>
        <v>0</v>
      </c>
      <c r="EF107" s="1119">
        <f t="shared" si="137"/>
        <v>0</v>
      </c>
      <c r="EG107" s="1119">
        <f t="shared" si="137"/>
        <v>0</v>
      </c>
      <c r="EH107" s="1119">
        <f t="shared" ref="EH107:EJ107" si="138">IF(EH105+EH106 &gt;1,EH105+EH106,0)</f>
        <v>0</v>
      </c>
      <c r="EI107" s="1119">
        <f t="shared" si="138"/>
        <v>0</v>
      </c>
      <c r="EJ107" s="1120">
        <f t="shared" si="138"/>
        <v>0</v>
      </c>
    </row>
    <row r="108" spans="1:140" ht="15.75" customHeight="1" x14ac:dyDescent="0.25">
      <c r="A108" s="6"/>
      <c r="B108" s="364" t="s">
        <v>318</v>
      </c>
      <c r="C108" s="358"/>
      <c r="D108" s="427"/>
      <c r="E108" s="358"/>
      <c r="F108" s="358"/>
      <c r="G108" s="1082"/>
      <c r="H108" s="1115">
        <f>IF(H5&gt;$E$4,0,-SUM($H$106:H106))</f>
        <v>3753556.2102397741</v>
      </c>
      <c r="I108" s="599">
        <f>IF(I5&gt;$E$4,0,-SUM($H$106:I106))</f>
        <v>4730167.5010311166</v>
      </c>
      <c r="J108" s="599">
        <f>IF(J5&gt;$E$4,0,-SUM($H$106:J106))</f>
        <v>5719141.1603682349</v>
      </c>
      <c r="K108" s="599">
        <f>IF(K5&gt;$E$4,0,-SUM($H$106:K106))</f>
        <v>6719560.0236936351</v>
      </c>
      <c r="L108" s="599">
        <f>IF(L5&gt;$E$4,0,-SUM($H$106:L106))</f>
        <v>7730450.8191220118</v>
      </c>
      <c r="M108" s="599">
        <f>IF(M5&gt;$E$4,0,-SUM($H$106:M106))</f>
        <v>8750788.340153018</v>
      </c>
      <c r="N108" s="599">
        <f>IF(N5&gt;$E$4,0,-SUM($H$106:N106))</f>
        <v>9779500.0470089205</v>
      </c>
      <c r="O108" s="599">
        <f>IF(O5&gt;$E$4,0,-SUM($H$106:O106))</f>
        <v>10092371.326885089</v>
      </c>
      <c r="P108" s="599">
        <f>IF(P5&gt;$E$4,0,-SUM($H$106:P106))</f>
        <v>10092371.326885089</v>
      </c>
      <c r="Q108" s="599">
        <f>IF(Q5&gt;$E$4,0,-SUM($H$106:Q106))</f>
        <v>10092371.326885089</v>
      </c>
      <c r="R108" s="599">
        <f>IF(R5&gt;$E$4,0,-SUM($H$106:R106))</f>
        <v>10092371.326885089</v>
      </c>
      <c r="S108" s="599">
        <f>IF(S5&gt;$E$4,0,-SUM($H$106:S106))</f>
        <v>10092371.326885089</v>
      </c>
      <c r="T108" s="599">
        <f>IF(T5&gt;$E$4,0,-SUM($H$106:T106))</f>
        <v>10092371.326885089</v>
      </c>
      <c r="U108" s="599">
        <f>IF(U5&gt;$E$4,0,-SUM($H$106:U106))</f>
        <v>10092371.326885089</v>
      </c>
      <c r="V108" s="599">
        <f>IF(V5&gt;$E$4,0,-SUM($H$106:V106))</f>
        <v>10092371.326885089</v>
      </c>
      <c r="W108" s="599">
        <f>IF(W5&gt;$E$4,0,-SUM($H$106:W106))</f>
        <v>10092371.326885089</v>
      </c>
      <c r="X108" s="599">
        <f>IF(X5&gt;$E$4,0,-SUM($H$106:X106))</f>
        <v>10092371.326885089</v>
      </c>
      <c r="Y108" s="599">
        <f>IF(Y5&gt;$E$4,0,-SUM($H$106:Y106))</f>
        <v>10092371.326885089</v>
      </c>
      <c r="Z108" s="599">
        <f>IF(Z5&gt;$E$4,0,-SUM($H$106:Z106))</f>
        <v>10092371.326885089</v>
      </c>
      <c r="AA108" s="599">
        <f>IF(AA5&gt;$E$4,0,-SUM($H$106:AA106))</f>
        <v>10092371.326885089</v>
      </c>
      <c r="AB108" s="599">
        <f>IF(AB5&gt;$E$4,0,-SUM($H$106:AB106))</f>
        <v>10092371.326885089</v>
      </c>
      <c r="AC108" s="599">
        <f>IF(AC5&gt;$E$4,0,-SUM($H$106:AC106))</f>
        <v>10092371.326885089</v>
      </c>
      <c r="AD108" s="599">
        <f>IF(AD5&gt;$E$4,0,-SUM($H$106:AD106))</f>
        <v>10092371.326885089</v>
      </c>
      <c r="AE108" s="599">
        <f>IF(AE5&gt;$E$4,0,-SUM($H$106:AE106))</f>
        <v>10092371.326885089</v>
      </c>
      <c r="AF108" s="599">
        <f>IF(AF5&gt;$E$4,0,-SUM($H$106:AF106))</f>
        <v>10092371.326885089</v>
      </c>
      <c r="AG108" s="599">
        <f>IF(AG5&gt;$E$4,0,-SUM($H$106:AG106))</f>
        <v>10092371.326885089</v>
      </c>
      <c r="AH108" s="599">
        <f>IF(AH5&gt;$E$4,0,-SUM($H$106:AH106))</f>
        <v>10092371.326885089</v>
      </c>
      <c r="AI108" s="599">
        <f>IF(AI5&gt;$E$4,0,-SUM($H$106:AI106))</f>
        <v>10092371.326885089</v>
      </c>
      <c r="AJ108" s="599">
        <f>IF(AJ5&gt;$E$4,0,-SUM($H$106:AJ106))</f>
        <v>10092371.326885089</v>
      </c>
      <c r="AK108" s="599">
        <f>IF(AK5&gt;$E$4,0,-SUM($H$106:AK106))</f>
        <v>10092371.326885089</v>
      </c>
      <c r="AL108" s="599">
        <f>IF(AL5&gt;$E$4,0,-SUM($H$106:AL106))</f>
        <v>10092371.326885089</v>
      </c>
      <c r="AM108" s="599">
        <f>IF(AM5&gt;$E$4,0,-SUM($H$106:AM106))</f>
        <v>10092371.326885089</v>
      </c>
      <c r="AN108" s="599">
        <f>IF(AN5&gt;$E$4,0,-SUM($H$106:AN106))</f>
        <v>10092371.326885089</v>
      </c>
      <c r="AO108" s="599">
        <f>IF(AO5&gt;$E$4,0,-SUM($H$106:AO106))</f>
        <v>10092371.326885089</v>
      </c>
      <c r="AP108" s="599">
        <f>IF(AP5&gt;$E$4,0,-SUM($H$106:AP106))</f>
        <v>10092371.326885089</v>
      </c>
      <c r="AQ108" s="599">
        <f>IF(AQ5&gt;$E$4,0,-SUM($H$106:AQ106))</f>
        <v>10092371.326885089</v>
      </c>
      <c r="AR108" s="599">
        <f>IF(AR5&gt;$E$4,0,-SUM($H$106:AR106))</f>
        <v>10092371.326885089</v>
      </c>
      <c r="AS108" s="599">
        <f>IF(AS5&gt;$E$4,0,-SUM($H$106:AS106))</f>
        <v>10092371.326885089</v>
      </c>
      <c r="AT108" s="599">
        <f>IF(AT5&gt;$E$4,0,-SUM($H$106:AT106))</f>
        <v>10092371.326885089</v>
      </c>
      <c r="AU108" s="599">
        <f>IF(AU5&gt;$E$4,0,-SUM($H$106:AU106))</f>
        <v>10092371.326885089</v>
      </c>
      <c r="AV108" s="599">
        <f>IF(AV5&gt;$E$4,0,-SUM($H$106:AV106))</f>
        <v>10092371.326885089</v>
      </c>
      <c r="AW108" s="599">
        <f>IF(AW5&gt;$E$4,0,-SUM($H$106:AW106))</f>
        <v>10092371.326885089</v>
      </c>
      <c r="AX108" s="599">
        <f>IF(AX5&gt;$E$4,0,-SUM($H$106:AX106))</f>
        <v>10092371.326885089</v>
      </c>
      <c r="AY108" s="599">
        <f>IF(AY5&gt;$E$4,0,-SUM($H$106:AY106))</f>
        <v>10092371.326885089</v>
      </c>
      <c r="AZ108" s="599">
        <f>IF(AZ5&gt;$E$4,0,-SUM($H$106:AZ106))</f>
        <v>10092371.326885089</v>
      </c>
      <c r="BA108" s="599">
        <f>IF(BA5&gt;$E$4,0,-SUM($H$106:BA106))</f>
        <v>10092371.326885089</v>
      </c>
      <c r="BB108" s="599">
        <f>IF(BB5&gt;$E$4,0,-SUM($H$106:BB106))</f>
        <v>10092371.326885089</v>
      </c>
      <c r="BC108" s="599">
        <f>IF(BC5&gt;$E$4,0,-SUM($H$106:BC106))</f>
        <v>10092371.326885089</v>
      </c>
      <c r="BD108" s="599">
        <f>IF(BD5&gt;$E$4,0,-SUM($H$106:BD106))</f>
        <v>10092371.326885089</v>
      </c>
      <c r="BE108" s="599">
        <f>IF(BE5&gt;$E$4,0,-SUM($H$106:BE106))</f>
        <v>10092371.326885089</v>
      </c>
      <c r="BF108" s="599">
        <f>IF(BF5&gt;$E$4,0,-SUM($H$106:BF106))</f>
        <v>10092371.326885089</v>
      </c>
      <c r="BG108" s="599">
        <f>IF(BG5&gt;$E$4,0,-SUM($H$106:BG106))</f>
        <v>10092371.326885089</v>
      </c>
      <c r="BH108" s="599">
        <f>IF(BH5&gt;$E$4,0,-SUM($H$106:BH106))</f>
        <v>10092371.326885089</v>
      </c>
      <c r="BI108" s="599">
        <f>IF(BI5&gt;$E$4,0,-SUM($H$106:BI106))</f>
        <v>10092371.326885089</v>
      </c>
      <c r="BJ108" s="599">
        <f>IF(BJ5&gt;$E$4,0,-SUM($H$106:BJ106))</f>
        <v>10092371.326885089</v>
      </c>
      <c r="BK108" s="599">
        <f>IF(BK5&gt;$E$4,0,-SUM($H$106:BK106))</f>
        <v>10092371.326885089</v>
      </c>
      <c r="BL108" s="599">
        <f>IF(BL5&gt;$E$4,0,-SUM($H$106:BL106))</f>
        <v>10092371.326885089</v>
      </c>
      <c r="BM108" s="599">
        <f>IF(BM5&gt;$E$4,0,-SUM($H$106:BM106))</f>
        <v>10092371.326885089</v>
      </c>
      <c r="BN108" s="599">
        <f>IF(BN5&gt;$E$4,0,-SUM($H$106:BN106))</f>
        <v>10092371.326885089</v>
      </c>
      <c r="BO108" s="599">
        <f>IF(BO5&gt;$E$4,0,-SUM($H$106:BO106))</f>
        <v>10092371.326885089</v>
      </c>
      <c r="BP108" s="599">
        <f>IF(BP5&gt;$E$4,0,-SUM($H$106:BP106))</f>
        <v>10092371.326885089</v>
      </c>
      <c r="BQ108" s="599">
        <f>IF(BQ5&gt;$E$4,0,-SUM($H$106:BQ106))</f>
        <v>0</v>
      </c>
      <c r="BR108" s="599">
        <f>IF(BR5&gt;$E$4,0,-SUM($H$106:BR106))</f>
        <v>0</v>
      </c>
      <c r="BS108" s="599">
        <f>IF(BS5&gt;$E$4,0,-SUM($H$106:BS106))</f>
        <v>0</v>
      </c>
      <c r="BT108" s="599">
        <f>IF(BT5&gt;$E$4,0,-SUM($H$106:BT106))</f>
        <v>0</v>
      </c>
      <c r="BU108" s="599">
        <f>IF(BU5&gt;$E$4,0,-SUM($H$106:BU106))</f>
        <v>0</v>
      </c>
      <c r="BV108" s="599">
        <f>IF(BV5&gt;$E$4,0,-SUM($H$106:BV106))</f>
        <v>0</v>
      </c>
      <c r="BW108" s="599">
        <f>IF(BW5&gt;$E$4,0,-SUM($H$106:BW106))</f>
        <v>0</v>
      </c>
      <c r="BX108" s="599">
        <f>IF(BX5&gt;$E$4,0,-SUM($H$106:BX106))</f>
        <v>0</v>
      </c>
      <c r="BY108" s="599">
        <f>IF(BY5&gt;$E$4,0,-SUM($H$106:BY106))</f>
        <v>0</v>
      </c>
      <c r="BZ108" s="599">
        <f>IF(BZ5&gt;$E$4,0,-SUM($H$106:BZ106))</f>
        <v>0</v>
      </c>
      <c r="CA108" s="599">
        <f>IF(CA5&gt;$E$4,0,-SUM($H$106:CA106))</f>
        <v>0</v>
      </c>
      <c r="CB108" s="599">
        <f>IF(CB5&gt;$E$4,0,-SUM($H$106:CB106))</f>
        <v>0</v>
      </c>
      <c r="CC108" s="599">
        <f>IF(CC5&gt;$E$4,0,-SUM($H$106:CC106))</f>
        <v>0</v>
      </c>
      <c r="CD108" s="599">
        <f>IF(CD5&gt;$E$4,0,-SUM($H$106:CD106))</f>
        <v>0</v>
      </c>
      <c r="CE108" s="599">
        <f>IF(CE5&gt;$E$4,0,-SUM($H$106:CE106))</f>
        <v>0</v>
      </c>
      <c r="CF108" s="599">
        <f>IF(CF5&gt;$E$4,0,-SUM($H$106:CF106))</f>
        <v>0</v>
      </c>
      <c r="CG108" s="599">
        <f>IF(CG5&gt;$E$4,0,-SUM($H$106:CG106))</f>
        <v>0</v>
      </c>
      <c r="CH108" s="599">
        <f>IF(CH5&gt;$E$4,0,-SUM($H$106:CH106))</f>
        <v>0</v>
      </c>
      <c r="CI108" s="599">
        <f>IF(CI5&gt;$E$4,0,-SUM($H$106:CI106))</f>
        <v>0</v>
      </c>
      <c r="CJ108" s="599">
        <f>IF(CJ5&gt;$E$4,0,-SUM($H$106:CJ106))</f>
        <v>0</v>
      </c>
      <c r="CK108" s="599">
        <f>IF(CK5&gt;$E$4,0,-SUM($H$106:CK106))</f>
        <v>0</v>
      </c>
      <c r="CL108" s="599">
        <f>IF(CL5&gt;$E$4,0,-SUM($H$106:CL106))</f>
        <v>0</v>
      </c>
      <c r="CM108" s="599">
        <f>IF(CM5&gt;$E$4,0,-SUM($H$106:CM106))</f>
        <v>0</v>
      </c>
      <c r="CN108" s="599">
        <f>IF(CN5&gt;$E$4,0,-SUM($H$106:CN106))</f>
        <v>0</v>
      </c>
      <c r="CO108" s="599">
        <f>IF(CO5&gt;$E$4,0,-SUM($H$106:CO106))</f>
        <v>0</v>
      </c>
      <c r="CP108" s="599">
        <f>IF(CP5&gt;$E$4,0,-SUM($H$106:CP106))</f>
        <v>0</v>
      </c>
      <c r="CQ108" s="599">
        <f>IF(CQ5&gt;$E$4,0,-SUM($H$106:CQ106))</f>
        <v>0</v>
      </c>
      <c r="CR108" s="599">
        <f>IF(CR5&gt;$E$4,0,-SUM($H$106:CR106))</f>
        <v>0</v>
      </c>
      <c r="CS108" s="599">
        <f>IF(CS5&gt;$E$4,0,-SUM($H$106:CS106))</f>
        <v>0</v>
      </c>
      <c r="CT108" s="599">
        <f>IF(CT5&gt;$E$4,0,-SUM($H$106:CT106))</f>
        <v>0</v>
      </c>
      <c r="CU108" s="599">
        <f>IF(CU5&gt;$E$4,0,-SUM($H$106:CU106))</f>
        <v>0</v>
      </c>
      <c r="CV108" s="599">
        <f>IF(CV5&gt;$E$4,0,-SUM($H$106:CV106))</f>
        <v>0</v>
      </c>
      <c r="CW108" s="599">
        <f>IF(CW5&gt;$E$4,0,-SUM($H$106:CW106))</f>
        <v>0</v>
      </c>
      <c r="CX108" s="599">
        <f>IF(CX5&gt;$E$4,0,-SUM($H$106:CX106))</f>
        <v>0</v>
      </c>
      <c r="CY108" s="599">
        <f>IF(CY5&gt;$E$4,0,-SUM($H$106:CY106))</f>
        <v>0</v>
      </c>
      <c r="CZ108" s="599">
        <f>IF(CZ5&gt;$E$4,0,-SUM($H$106:CZ106))</f>
        <v>0</v>
      </c>
      <c r="DA108" s="599">
        <f>IF(DA5&gt;$E$4,0,-SUM($H$106:DA106))</f>
        <v>0</v>
      </c>
      <c r="DB108" s="599">
        <f>IF(DB5&gt;$E$4,0,-SUM($H$106:DB106))</f>
        <v>0</v>
      </c>
      <c r="DC108" s="599">
        <f>IF(DC5&gt;$E$4,0,-SUM($H$106:DC106))</f>
        <v>0</v>
      </c>
      <c r="DD108" s="599">
        <f>IF(DD5&gt;$E$4,0,-SUM($H$106:DD106))</f>
        <v>0</v>
      </c>
      <c r="DE108" s="599">
        <f>IF(DE5&gt;$E$4,0,-SUM($H$106:DE106))</f>
        <v>0</v>
      </c>
      <c r="DF108" s="599">
        <f>IF(DF5&gt;$E$4,0,-SUM($H$106:DF106))</f>
        <v>0</v>
      </c>
      <c r="DG108" s="599">
        <f>IF(DG5&gt;$E$4,0,-SUM($H$106:DG106))</f>
        <v>0</v>
      </c>
      <c r="DH108" s="599">
        <f>IF(DH5&gt;$E$4,0,-SUM($H$106:DH106))</f>
        <v>0</v>
      </c>
      <c r="DI108" s="599">
        <f>IF(DI5&gt;$E$4,0,-SUM($H$106:DI106))</f>
        <v>0</v>
      </c>
      <c r="DJ108" s="599">
        <f>IF(DJ5&gt;$E$4,0,-SUM($H$106:DJ106))</f>
        <v>0</v>
      </c>
      <c r="DK108" s="599">
        <f>IF(DK5&gt;$E$4,0,-SUM($H$106:DK106))</f>
        <v>0</v>
      </c>
      <c r="DL108" s="599">
        <f>IF(DL5&gt;$E$4,0,-SUM($H$106:DL106))</f>
        <v>0</v>
      </c>
      <c r="DM108" s="599">
        <f>IF(DM5&gt;$E$4,0,-SUM($H$106:DM106))</f>
        <v>0</v>
      </c>
      <c r="DN108" s="599">
        <f>IF(DN5&gt;$E$4,0,-SUM($H$106:DN106))</f>
        <v>0</v>
      </c>
      <c r="DO108" s="599">
        <f>IF(DO5&gt;$E$4,0,-SUM($H$106:DO106))</f>
        <v>0</v>
      </c>
      <c r="DP108" s="599">
        <f>IF(DP5&gt;$E$4,0,-SUM($H$106:DP106))</f>
        <v>0</v>
      </c>
      <c r="DQ108" s="599">
        <f>IF(DQ5&gt;$E$4,0,-SUM($H$106:DQ106))</f>
        <v>0</v>
      </c>
      <c r="DR108" s="599">
        <f>IF(DR5&gt;$E$4,0,-SUM($H$106:DR106))</f>
        <v>0</v>
      </c>
      <c r="DS108" s="599">
        <f>IF(DS5&gt;$E$4,0,-SUM($H$106:DS106))</f>
        <v>0</v>
      </c>
      <c r="DT108" s="599">
        <f>IF(DT5&gt;$E$4,0,-SUM($H$106:DT106))</f>
        <v>0</v>
      </c>
      <c r="DU108" s="599">
        <f>IF(DU5&gt;$E$4,0,-SUM($H$106:DU106))</f>
        <v>0</v>
      </c>
      <c r="DV108" s="599">
        <f>IF(DV5&gt;$E$4,0,-SUM($H$106:DV106))</f>
        <v>0</v>
      </c>
      <c r="DW108" s="599">
        <f>IF(DW5&gt;$E$4,0,-SUM($H$106:DW106))</f>
        <v>0</v>
      </c>
      <c r="DX108" s="599">
        <f>IF(DX5&gt;$E$4,0,-SUM($H$106:DX106))</f>
        <v>0</v>
      </c>
      <c r="DY108" s="599">
        <f>IF(DY5&gt;$E$4,0,-SUM($H$106:DY106))</f>
        <v>0</v>
      </c>
      <c r="DZ108" s="599">
        <f>IF(DZ5&gt;$E$4,0,-SUM($H$106:DZ106))</f>
        <v>0</v>
      </c>
      <c r="EA108" s="599">
        <f>IF(EA5&gt;$E$4,0,-SUM($H$106:EA106))</f>
        <v>0</v>
      </c>
      <c r="EB108" s="599">
        <f>IF(EB5&gt;$E$4,0,-SUM($H$106:EB106))</f>
        <v>0</v>
      </c>
      <c r="EC108" s="599">
        <f>IF(EC5&gt;$E$4,0,-SUM($H$106:EC106))</f>
        <v>0</v>
      </c>
      <c r="ED108" s="599">
        <f>IF(ED5&gt;$E$4,0,-SUM($H$106:ED106))</f>
        <v>0</v>
      </c>
      <c r="EE108" s="599">
        <f>IF(EE5&gt;$E$4,0,-SUM($H$106:EE106))</f>
        <v>0</v>
      </c>
      <c r="EF108" s="599">
        <f>IF(EF5&gt;$E$4,0,-SUM($H$106:EF106))</f>
        <v>0</v>
      </c>
      <c r="EG108" s="599">
        <f>IF(EG5&gt;$E$4,0,-SUM($H$106:EG106))</f>
        <v>0</v>
      </c>
      <c r="EH108" s="599">
        <f>IF(EH5&gt;$E$4,0,-SUM($H$106:EH106))</f>
        <v>0</v>
      </c>
      <c r="EI108" s="599">
        <f>IF(EI5&gt;$E$4,0,-SUM($H$106:EI106))</f>
        <v>0</v>
      </c>
      <c r="EJ108" s="1117">
        <f>IF(EJ5&gt;$E$4,0,-SUM($H$106:EJ106))</f>
        <v>0</v>
      </c>
    </row>
    <row r="109" spans="1:140" ht="15.75" customHeight="1" x14ac:dyDescent="0.25">
      <c r="A109" s="6"/>
      <c r="B109" s="376"/>
      <c r="C109" s="377"/>
      <c r="D109" s="427"/>
      <c r="E109" s="358"/>
      <c r="F109" s="358"/>
      <c r="G109" s="1082"/>
      <c r="H109" s="1115"/>
      <c r="I109" s="599"/>
      <c r="J109" s="599"/>
      <c r="K109" s="599"/>
      <c r="L109" s="599"/>
      <c r="M109" s="599"/>
      <c r="N109" s="599"/>
      <c r="O109" s="599"/>
      <c r="P109" s="599"/>
      <c r="Q109" s="599"/>
      <c r="R109" s="599"/>
      <c r="S109" s="599"/>
      <c r="T109" s="599"/>
      <c r="U109" s="599"/>
      <c r="V109" s="599"/>
      <c r="W109" s="599"/>
      <c r="X109" s="599"/>
      <c r="Y109" s="599"/>
      <c r="Z109" s="599"/>
      <c r="AA109" s="599"/>
      <c r="AB109" s="599"/>
      <c r="AC109" s="599"/>
      <c r="AD109" s="599"/>
      <c r="AE109" s="599"/>
      <c r="AF109" s="599"/>
      <c r="AG109" s="599"/>
      <c r="AH109" s="599"/>
      <c r="AI109" s="599"/>
      <c r="AJ109" s="599"/>
      <c r="AK109" s="599"/>
      <c r="AL109" s="599"/>
      <c r="AM109" s="599"/>
      <c r="AN109" s="599"/>
      <c r="AO109" s="599"/>
      <c r="AP109" s="599"/>
      <c r="AQ109" s="599"/>
      <c r="AR109" s="599"/>
      <c r="AS109" s="599"/>
      <c r="AT109" s="599"/>
      <c r="AU109" s="599"/>
      <c r="AV109" s="599"/>
      <c r="AW109" s="599"/>
      <c r="AX109" s="599"/>
      <c r="AY109" s="599"/>
      <c r="AZ109" s="599"/>
      <c r="BA109" s="599"/>
      <c r="BB109" s="599"/>
      <c r="BC109" s="599"/>
      <c r="BD109" s="599"/>
      <c r="BE109" s="599"/>
      <c r="BF109" s="599"/>
      <c r="BG109" s="599"/>
      <c r="BH109" s="599"/>
      <c r="BI109" s="599"/>
      <c r="BJ109" s="599"/>
      <c r="BK109" s="599"/>
      <c r="BL109" s="599"/>
      <c r="BM109" s="599"/>
      <c r="BN109" s="599"/>
      <c r="BO109" s="599"/>
      <c r="BP109" s="599"/>
      <c r="BQ109" s="599"/>
      <c r="BR109" s="599"/>
      <c r="BS109" s="599"/>
      <c r="BT109" s="599"/>
      <c r="BU109" s="599"/>
      <c r="BV109" s="599"/>
      <c r="BW109" s="599"/>
      <c r="BX109" s="599"/>
      <c r="BY109" s="599"/>
      <c r="BZ109" s="599"/>
      <c r="CA109" s="599"/>
      <c r="CB109" s="599"/>
      <c r="CC109" s="599"/>
      <c r="CD109" s="599"/>
      <c r="CE109" s="599"/>
      <c r="CF109" s="599"/>
      <c r="CG109" s="599"/>
      <c r="CH109" s="599"/>
      <c r="CI109" s="599"/>
      <c r="CJ109" s="599"/>
      <c r="CK109" s="599"/>
      <c r="CL109" s="599"/>
      <c r="CM109" s="599"/>
      <c r="CN109" s="599"/>
      <c r="CO109" s="599"/>
      <c r="CP109" s="599"/>
      <c r="CQ109" s="599"/>
      <c r="CR109" s="599"/>
      <c r="CS109" s="599"/>
      <c r="CT109" s="599"/>
      <c r="CU109" s="599"/>
      <c r="CV109" s="599"/>
      <c r="CW109" s="599"/>
      <c r="CX109" s="599"/>
      <c r="CY109" s="599"/>
      <c r="CZ109" s="599"/>
      <c r="DA109" s="599"/>
      <c r="DB109" s="599"/>
      <c r="DC109" s="599"/>
      <c r="DD109" s="599"/>
      <c r="DE109" s="599"/>
      <c r="DF109" s="599"/>
      <c r="DG109" s="599"/>
      <c r="DH109" s="599"/>
      <c r="DI109" s="599"/>
      <c r="DJ109" s="599"/>
      <c r="DK109" s="599"/>
      <c r="DL109" s="599"/>
      <c r="DM109" s="599"/>
      <c r="DN109" s="599"/>
      <c r="DO109" s="599"/>
      <c r="DP109" s="599"/>
      <c r="DQ109" s="599"/>
      <c r="DR109" s="599"/>
      <c r="DS109" s="599"/>
      <c r="DT109" s="599"/>
      <c r="DU109" s="599"/>
      <c r="DV109" s="599"/>
      <c r="DW109" s="599"/>
      <c r="DX109" s="599"/>
      <c r="DY109" s="599"/>
      <c r="DZ109" s="599"/>
      <c r="EA109" s="599"/>
      <c r="EB109" s="599"/>
      <c r="EC109" s="599"/>
      <c r="ED109" s="599"/>
      <c r="EE109" s="599"/>
      <c r="EF109" s="599"/>
      <c r="EG109" s="599"/>
      <c r="EH109" s="599"/>
      <c r="EI109" s="599"/>
      <c r="EJ109" s="1117"/>
    </row>
    <row r="110" spans="1:140" ht="15.75" customHeight="1" x14ac:dyDescent="0.25">
      <c r="A110" s="6"/>
      <c r="B110" s="560" t="s">
        <v>607</v>
      </c>
      <c r="C110" s="358"/>
      <c r="D110" s="358"/>
      <c r="E110" s="211" t="s">
        <v>216</v>
      </c>
      <c r="F110" s="211" t="s">
        <v>28</v>
      </c>
      <c r="G110" s="1082"/>
      <c r="H110" s="1115"/>
      <c r="I110" s="599"/>
      <c r="J110" s="599"/>
      <c r="K110" s="599"/>
      <c r="L110" s="599"/>
      <c r="M110" s="599"/>
      <c r="N110" s="599"/>
      <c r="O110" s="599"/>
      <c r="P110" s="599"/>
      <c r="Q110" s="599"/>
      <c r="R110" s="599"/>
      <c r="S110" s="599"/>
      <c r="T110" s="599"/>
      <c r="U110" s="599"/>
      <c r="V110" s="599"/>
      <c r="W110" s="599"/>
      <c r="X110" s="599"/>
      <c r="Y110" s="599"/>
      <c r="Z110" s="599"/>
      <c r="AA110" s="599"/>
      <c r="AB110" s="599"/>
      <c r="AC110" s="599"/>
      <c r="AD110" s="599"/>
      <c r="AE110" s="599"/>
      <c r="AF110" s="599"/>
      <c r="AG110" s="599"/>
      <c r="AH110" s="599"/>
      <c r="AI110" s="599"/>
      <c r="AJ110" s="599"/>
      <c r="AK110" s="599"/>
      <c r="AL110" s="599"/>
      <c r="AM110" s="599"/>
      <c r="AN110" s="599"/>
      <c r="AO110" s="599"/>
      <c r="AP110" s="599"/>
      <c r="AQ110" s="599"/>
      <c r="AR110" s="599"/>
      <c r="AS110" s="599"/>
      <c r="AT110" s="599"/>
      <c r="AU110" s="599"/>
      <c r="AV110" s="599"/>
      <c r="AW110" s="599"/>
      <c r="AX110" s="599"/>
      <c r="AY110" s="599"/>
      <c r="AZ110" s="599"/>
      <c r="BA110" s="599"/>
      <c r="BB110" s="599"/>
      <c r="BC110" s="599"/>
      <c r="BD110" s="599"/>
      <c r="BE110" s="599"/>
      <c r="BF110" s="599"/>
      <c r="BG110" s="599"/>
      <c r="BH110" s="599"/>
      <c r="BI110" s="599"/>
      <c r="BJ110" s="599"/>
      <c r="BK110" s="599"/>
      <c r="BL110" s="599"/>
      <c r="BM110" s="599"/>
      <c r="BN110" s="599"/>
      <c r="BO110" s="599"/>
      <c r="BP110" s="599"/>
      <c r="BQ110" s="599"/>
      <c r="BR110" s="599"/>
      <c r="BS110" s="599"/>
      <c r="BT110" s="599"/>
      <c r="BU110" s="599"/>
      <c r="BV110" s="599"/>
      <c r="BW110" s="599"/>
      <c r="BX110" s="599"/>
      <c r="BY110" s="599"/>
      <c r="BZ110" s="599"/>
      <c r="CA110" s="599"/>
      <c r="CB110" s="599"/>
      <c r="CC110" s="599"/>
      <c r="CD110" s="599"/>
      <c r="CE110" s="599"/>
      <c r="CF110" s="599"/>
      <c r="CG110" s="599"/>
      <c r="CH110" s="599"/>
      <c r="CI110" s="599"/>
      <c r="CJ110" s="599"/>
      <c r="CK110" s="599"/>
      <c r="CL110" s="599"/>
      <c r="CM110" s="599"/>
      <c r="CN110" s="599"/>
      <c r="CO110" s="599"/>
      <c r="CP110" s="599"/>
      <c r="CQ110" s="599"/>
      <c r="CR110" s="599"/>
      <c r="CS110" s="599"/>
      <c r="CT110" s="599"/>
      <c r="CU110" s="599"/>
      <c r="CV110" s="599"/>
      <c r="CW110" s="599"/>
      <c r="CX110" s="599"/>
      <c r="CY110" s="599"/>
      <c r="CZ110" s="599"/>
      <c r="DA110" s="599"/>
      <c r="DB110" s="599"/>
      <c r="DC110" s="599"/>
      <c r="DD110" s="599"/>
      <c r="DE110" s="599"/>
      <c r="DF110" s="599"/>
      <c r="DG110" s="599"/>
      <c r="DH110" s="599"/>
      <c r="DI110" s="599"/>
      <c r="DJ110" s="599"/>
      <c r="DK110" s="599"/>
      <c r="DL110" s="599"/>
      <c r="DM110" s="599"/>
      <c r="DN110" s="599"/>
      <c r="DO110" s="599"/>
      <c r="DP110" s="599"/>
      <c r="DQ110" s="599"/>
      <c r="DR110" s="599"/>
      <c r="DS110" s="599"/>
      <c r="DT110" s="599"/>
      <c r="DU110" s="599"/>
      <c r="DV110" s="599"/>
      <c r="DW110" s="599"/>
      <c r="DX110" s="599"/>
      <c r="DY110" s="599"/>
      <c r="DZ110" s="599"/>
      <c r="EA110" s="599"/>
      <c r="EB110" s="599"/>
      <c r="EC110" s="599"/>
      <c r="ED110" s="599"/>
      <c r="EE110" s="599"/>
      <c r="EF110" s="599"/>
      <c r="EG110" s="599"/>
      <c r="EH110" s="599"/>
      <c r="EI110" s="599"/>
      <c r="EJ110" s="1117"/>
    </row>
    <row r="111" spans="1:140" ht="15.75" customHeight="1" x14ac:dyDescent="0.25">
      <c r="A111" s="6"/>
      <c r="B111" s="364" t="s">
        <v>315</v>
      </c>
      <c r="C111" s="358"/>
      <c r="D111" s="358"/>
      <c r="E111" s="431">
        <f>MEZZ</f>
        <v>0</v>
      </c>
      <c r="F111" s="430">
        <f>E111/COST</f>
        <v>0</v>
      </c>
      <c r="G111" s="1082"/>
      <c r="H111" s="1115">
        <f>IF(AND(H105&gt;0,H107=0),$D$113,G113)</f>
        <v>0</v>
      </c>
      <c r="I111" s="599">
        <f>IF(AND(I105&gt;0,I107=0),$D$113,H113)</f>
        <v>0</v>
      </c>
      <c r="J111" s="599">
        <f t="shared" ref="J111:BU111" si="139">IF(AND(J105&gt;0,J107=0),$D$113,I113)</f>
        <v>0</v>
      </c>
      <c r="K111" s="599">
        <f t="shared" si="139"/>
        <v>0</v>
      </c>
      <c r="L111" s="599">
        <f t="shared" si="139"/>
        <v>0</v>
      </c>
      <c r="M111" s="599">
        <f t="shared" si="139"/>
        <v>0</v>
      </c>
      <c r="N111" s="599">
        <f t="shared" si="139"/>
        <v>0</v>
      </c>
      <c r="O111" s="599">
        <f t="shared" si="139"/>
        <v>0</v>
      </c>
      <c r="P111" s="599">
        <f t="shared" si="139"/>
        <v>0</v>
      </c>
      <c r="Q111" s="599">
        <f t="shared" si="139"/>
        <v>0</v>
      </c>
      <c r="R111" s="599">
        <f t="shared" si="139"/>
        <v>0</v>
      </c>
      <c r="S111" s="599">
        <f t="shared" si="139"/>
        <v>0</v>
      </c>
      <c r="T111" s="599">
        <f t="shared" si="139"/>
        <v>0</v>
      </c>
      <c r="U111" s="599">
        <f t="shared" si="139"/>
        <v>0</v>
      </c>
      <c r="V111" s="599">
        <f t="shared" si="139"/>
        <v>0</v>
      </c>
      <c r="W111" s="599">
        <f t="shared" si="139"/>
        <v>0</v>
      </c>
      <c r="X111" s="599">
        <f t="shared" si="139"/>
        <v>0</v>
      </c>
      <c r="Y111" s="599">
        <f t="shared" si="139"/>
        <v>0</v>
      </c>
      <c r="Z111" s="599">
        <f t="shared" si="139"/>
        <v>0</v>
      </c>
      <c r="AA111" s="599">
        <f t="shared" si="139"/>
        <v>0</v>
      </c>
      <c r="AB111" s="599">
        <f t="shared" si="139"/>
        <v>0</v>
      </c>
      <c r="AC111" s="599">
        <f t="shared" si="139"/>
        <v>0</v>
      </c>
      <c r="AD111" s="599">
        <f t="shared" si="139"/>
        <v>0</v>
      </c>
      <c r="AE111" s="599">
        <f t="shared" si="139"/>
        <v>0</v>
      </c>
      <c r="AF111" s="599">
        <f t="shared" si="139"/>
        <v>0</v>
      </c>
      <c r="AG111" s="599">
        <f t="shared" si="139"/>
        <v>0</v>
      </c>
      <c r="AH111" s="599">
        <f t="shared" si="139"/>
        <v>0</v>
      </c>
      <c r="AI111" s="599">
        <f t="shared" si="139"/>
        <v>0</v>
      </c>
      <c r="AJ111" s="599">
        <f t="shared" si="139"/>
        <v>0</v>
      </c>
      <c r="AK111" s="599">
        <f t="shared" si="139"/>
        <v>0</v>
      </c>
      <c r="AL111" s="599">
        <f t="shared" si="139"/>
        <v>0</v>
      </c>
      <c r="AM111" s="599">
        <f t="shared" si="139"/>
        <v>0</v>
      </c>
      <c r="AN111" s="599">
        <f t="shared" si="139"/>
        <v>0</v>
      </c>
      <c r="AO111" s="599">
        <f t="shared" si="139"/>
        <v>0</v>
      </c>
      <c r="AP111" s="599">
        <f t="shared" si="139"/>
        <v>0</v>
      </c>
      <c r="AQ111" s="599">
        <f t="shared" si="139"/>
        <v>0</v>
      </c>
      <c r="AR111" s="599">
        <f t="shared" si="139"/>
        <v>0</v>
      </c>
      <c r="AS111" s="599">
        <f t="shared" si="139"/>
        <v>0</v>
      </c>
      <c r="AT111" s="599">
        <f t="shared" si="139"/>
        <v>0</v>
      </c>
      <c r="AU111" s="599">
        <f t="shared" si="139"/>
        <v>0</v>
      </c>
      <c r="AV111" s="599">
        <f t="shared" si="139"/>
        <v>0</v>
      </c>
      <c r="AW111" s="599">
        <f t="shared" si="139"/>
        <v>0</v>
      </c>
      <c r="AX111" s="599">
        <f t="shared" si="139"/>
        <v>0</v>
      </c>
      <c r="AY111" s="599">
        <f t="shared" si="139"/>
        <v>0</v>
      </c>
      <c r="AZ111" s="599">
        <f t="shared" si="139"/>
        <v>0</v>
      </c>
      <c r="BA111" s="599">
        <f t="shared" si="139"/>
        <v>0</v>
      </c>
      <c r="BB111" s="599">
        <f t="shared" si="139"/>
        <v>0</v>
      </c>
      <c r="BC111" s="599">
        <f t="shared" si="139"/>
        <v>0</v>
      </c>
      <c r="BD111" s="599">
        <f t="shared" si="139"/>
        <v>0</v>
      </c>
      <c r="BE111" s="599">
        <f t="shared" si="139"/>
        <v>0</v>
      </c>
      <c r="BF111" s="599">
        <f t="shared" si="139"/>
        <v>0</v>
      </c>
      <c r="BG111" s="599">
        <f t="shared" si="139"/>
        <v>0</v>
      </c>
      <c r="BH111" s="599">
        <f t="shared" si="139"/>
        <v>0</v>
      </c>
      <c r="BI111" s="599">
        <f t="shared" si="139"/>
        <v>0</v>
      </c>
      <c r="BJ111" s="599">
        <f t="shared" si="139"/>
        <v>0</v>
      </c>
      <c r="BK111" s="599">
        <f t="shared" si="139"/>
        <v>0</v>
      </c>
      <c r="BL111" s="599">
        <f t="shared" si="139"/>
        <v>0</v>
      </c>
      <c r="BM111" s="599">
        <f t="shared" si="139"/>
        <v>0</v>
      </c>
      <c r="BN111" s="599">
        <f t="shared" si="139"/>
        <v>0</v>
      </c>
      <c r="BO111" s="599">
        <f t="shared" si="139"/>
        <v>0</v>
      </c>
      <c r="BP111" s="599">
        <f t="shared" si="139"/>
        <v>0</v>
      </c>
      <c r="BQ111" s="599">
        <f t="shared" si="139"/>
        <v>0</v>
      </c>
      <c r="BR111" s="599">
        <f t="shared" si="139"/>
        <v>0</v>
      </c>
      <c r="BS111" s="599">
        <f t="shared" si="139"/>
        <v>0</v>
      </c>
      <c r="BT111" s="599">
        <f t="shared" si="139"/>
        <v>0</v>
      </c>
      <c r="BU111" s="599">
        <f t="shared" si="139"/>
        <v>0</v>
      </c>
      <c r="BV111" s="599">
        <f t="shared" ref="BV111:EG111" si="140">IF(AND(BV105&gt;0,BV107=0),$D$113,BU113)</f>
        <v>0</v>
      </c>
      <c r="BW111" s="599">
        <f t="shared" si="140"/>
        <v>0</v>
      </c>
      <c r="BX111" s="599">
        <f t="shared" si="140"/>
        <v>0</v>
      </c>
      <c r="BY111" s="599">
        <f t="shared" si="140"/>
        <v>0</v>
      </c>
      <c r="BZ111" s="599">
        <f t="shared" si="140"/>
        <v>0</v>
      </c>
      <c r="CA111" s="599">
        <f t="shared" si="140"/>
        <v>0</v>
      </c>
      <c r="CB111" s="599">
        <f t="shared" si="140"/>
        <v>0</v>
      </c>
      <c r="CC111" s="599">
        <f t="shared" si="140"/>
        <v>0</v>
      </c>
      <c r="CD111" s="599">
        <f t="shared" si="140"/>
        <v>0</v>
      </c>
      <c r="CE111" s="599">
        <f t="shared" si="140"/>
        <v>0</v>
      </c>
      <c r="CF111" s="599">
        <f t="shared" si="140"/>
        <v>0</v>
      </c>
      <c r="CG111" s="599">
        <f t="shared" si="140"/>
        <v>0</v>
      </c>
      <c r="CH111" s="599">
        <f t="shared" si="140"/>
        <v>0</v>
      </c>
      <c r="CI111" s="599">
        <f t="shared" si="140"/>
        <v>0</v>
      </c>
      <c r="CJ111" s="599">
        <f t="shared" si="140"/>
        <v>0</v>
      </c>
      <c r="CK111" s="599">
        <f t="shared" si="140"/>
        <v>0</v>
      </c>
      <c r="CL111" s="599">
        <f t="shared" si="140"/>
        <v>0</v>
      </c>
      <c r="CM111" s="599">
        <f t="shared" si="140"/>
        <v>0</v>
      </c>
      <c r="CN111" s="599">
        <f t="shared" si="140"/>
        <v>0</v>
      </c>
      <c r="CO111" s="599">
        <f t="shared" si="140"/>
        <v>0</v>
      </c>
      <c r="CP111" s="599">
        <f t="shared" si="140"/>
        <v>0</v>
      </c>
      <c r="CQ111" s="599">
        <f t="shared" si="140"/>
        <v>0</v>
      </c>
      <c r="CR111" s="599">
        <f t="shared" si="140"/>
        <v>0</v>
      </c>
      <c r="CS111" s="599">
        <f t="shared" si="140"/>
        <v>0</v>
      </c>
      <c r="CT111" s="599">
        <f t="shared" si="140"/>
        <v>0</v>
      </c>
      <c r="CU111" s="599">
        <f t="shared" si="140"/>
        <v>0</v>
      </c>
      <c r="CV111" s="599">
        <f t="shared" si="140"/>
        <v>0</v>
      </c>
      <c r="CW111" s="599">
        <f t="shared" si="140"/>
        <v>0</v>
      </c>
      <c r="CX111" s="599">
        <f t="shared" si="140"/>
        <v>0</v>
      </c>
      <c r="CY111" s="599">
        <f t="shared" si="140"/>
        <v>0</v>
      </c>
      <c r="CZ111" s="599">
        <f t="shared" si="140"/>
        <v>0</v>
      </c>
      <c r="DA111" s="599">
        <f t="shared" si="140"/>
        <v>0</v>
      </c>
      <c r="DB111" s="599">
        <f t="shared" si="140"/>
        <v>0</v>
      </c>
      <c r="DC111" s="599">
        <f t="shared" si="140"/>
        <v>0</v>
      </c>
      <c r="DD111" s="599">
        <f t="shared" si="140"/>
        <v>0</v>
      </c>
      <c r="DE111" s="599">
        <f t="shared" si="140"/>
        <v>0</v>
      </c>
      <c r="DF111" s="599">
        <f t="shared" si="140"/>
        <v>0</v>
      </c>
      <c r="DG111" s="599">
        <f t="shared" si="140"/>
        <v>0</v>
      </c>
      <c r="DH111" s="599">
        <f t="shared" si="140"/>
        <v>0</v>
      </c>
      <c r="DI111" s="599">
        <f t="shared" si="140"/>
        <v>0</v>
      </c>
      <c r="DJ111" s="599">
        <f t="shared" si="140"/>
        <v>0</v>
      </c>
      <c r="DK111" s="599">
        <f t="shared" si="140"/>
        <v>0</v>
      </c>
      <c r="DL111" s="599">
        <f t="shared" si="140"/>
        <v>0</v>
      </c>
      <c r="DM111" s="599">
        <f t="shared" si="140"/>
        <v>0</v>
      </c>
      <c r="DN111" s="599">
        <f t="shared" si="140"/>
        <v>0</v>
      </c>
      <c r="DO111" s="599">
        <f t="shared" si="140"/>
        <v>0</v>
      </c>
      <c r="DP111" s="599">
        <f t="shared" si="140"/>
        <v>0</v>
      </c>
      <c r="DQ111" s="599">
        <f t="shared" si="140"/>
        <v>0</v>
      </c>
      <c r="DR111" s="599">
        <f t="shared" si="140"/>
        <v>0</v>
      </c>
      <c r="DS111" s="599">
        <f t="shared" si="140"/>
        <v>0</v>
      </c>
      <c r="DT111" s="599">
        <f t="shared" si="140"/>
        <v>0</v>
      </c>
      <c r="DU111" s="599">
        <f t="shared" si="140"/>
        <v>0</v>
      </c>
      <c r="DV111" s="599">
        <f t="shared" si="140"/>
        <v>0</v>
      </c>
      <c r="DW111" s="599">
        <f t="shared" si="140"/>
        <v>0</v>
      </c>
      <c r="DX111" s="599">
        <f t="shared" si="140"/>
        <v>0</v>
      </c>
      <c r="DY111" s="599">
        <f t="shared" si="140"/>
        <v>0</v>
      </c>
      <c r="DZ111" s="599">
        <f t="shared" si="140"/>
        <v>0</v>
      </c>
      <c r="EA111" s="599">
        <f t="shared" si="140"/>
        <v>0</v>
      </c>
      <c r="EB111" s="599">
        <f t="shared" si="140"/>
        <v>0</v>
      </c>
      <c r="EC111" s="599">
        <f t="shared" si="140"/>
        <v>0</v>
      </c>
      <c r="ED111" s="599">
        <f t="shared" si="140"/>
        <v>0</v>
      </c>
      <c r="EE111" s="599">
        <f t="shared" si="140"/>
        <v>0</v>
      </c>
      <c r="EF111" s="599">
        <f t="shared" si="140"/>
        <v>0</v>
      </c>
      <c r="EG111" s="599">
        <f t="shared" si="140"/>
        <v>0</v>
      </c>
      <c r="EH111" s="599">
        <f t="shared" ref="EH111:EJ111" si="141">IF(AND(EH105&gt;0,EH107=0),$D$113,EG113)</f>
        <v>0</v>
      </c>
      <c r="EI111" s="599">
        <f t="shared" si="141"/>
        <v>0</v>
      </c>
      <c r="EJ111" s="1117">
        <f t="shared" si="141"/>
        <v>0</v>
      </c>
    </row>
    <row r="112" spans="1:140" ht="15.75" customHeight="1" x14ac:dyDescent="0.25">
      <c r="A112" s="6"/>
      <c r="B112" s="364" t="s">
        <v>316</v>
      </c>
      <c r="C112" s="358"/>
      <c r="D112" s="424" t="s">
        <v>319</v>
      </c>
      <c r="E112" s="211" t="s">
        <v>505</v>
      </c>
      <c r="F112" s="211" t="s">
        <v>2</v>
      </c>
      <c r="G112" s="1082"/>
      <c r="H112" s="1115">
        <f>IF(H107=0,IF(H99+H106&gt;H111,-H111,-(H99+H106)),0)</f>
        <v>0</v>
      </c>
      <c r="I112" s="599">
        <f t="shared" ref="I112:AM112" si="142">IF(I107=0,IF(I99+I106&gt;I111,-I111,-(I99+I106)),0)</f>
        <v>0</v>
      </c>
      <c r="J112" s="599">
        <f t="shared" si="142"/>
        <v>0</v>
      </c>
      <c r="K112" s="599">
        <f t="shared" si="142"/>
        <v>0</v>
      </c>
      <c r="L112" s="599">
        <f t="shared" si="142"/>
        <v>0</v>
      </c>
      <c r="M112" s="599">
        <f t="shared" si="142"/>
        <v>0</v>
      </c>
      <c r="N112" s="599">
        <f t="shared" si="142"/>
        <v>0</v>
      </c>
      <c r="O112" s="599">
        <f t="shared" si="142"/>
        <v>0</v>
      </c>
      <c r="P112" s="599">
        <f t="shared" si="142"/>
        <v>0</v>
      </c>
      <c r="Q112" s="599">
        <f t="shared" si="142"/>
        <v>0</v>
      </c>
      <c r="R112" s="599">
        <f t="shared" si="142"/>
        <v>0</v>
      </c>
      <c r="S112" s="599">
        <f t="shared" si="142"/>
        <v>0</v>
      </c>
      <c r="T112" s="599">
        <f t="shared" si="142"/>
        <v>0</v>
      </c>
      <c r="U112" s="599">
        <f t="shared" si="142"/>
        <v>0</v>
      </c>
      <c r="V112" s="599">
        <f t="shared" si="142"/>
        <v>0</v>
      </c>
      <c r="W112" s="599">
        <f t="shared" si="142"/>
        <v>0</v>
      </c>
      <c r="X112" s="599">
        <f t="shared" si="142"/>
        <v>0</v>
      </c>
      <c r="Y112" s="599">
        <f t="shared" si="142"/>
        <v>0</v>
      </c>
      <c r="Z112" s="599">
        <f t="shared" si="142"/>
        <v>0</v>
      </c>
      <c r="AA112" s="599">
        <f t="shared" si="142"/>
        <v>0</v>
      </c>
      <c r="AB112" s="599">
        <f t="shared" si="142"/>
        <v>0</v>
      </c>
      <c r="AC112" s="599">
        <f t="shared" si="142"/>
        <v>0</v>
      </c>
      <c r="AD112" s="599">
        <f t="shared" si="142"/>
        <v>0</v>
      </c>
      <c r="AE112" s="599">
        <f t="shared" si="142"/>
        <v>0</v>
      </c>
      <c r="AF112" s="599">
        <f t="shared" si="142"/>
        <v>0</v>
      </c>
      <c r="AG112" s="599">
        <f t="shared" si="142"/>
        <v>0</v>
      </c>
      <c r="AH112" s="599">
        <f t="shared" si="142"/>
        <v>0</v>
      </c>
      <c r="AI112" s="599">
        <f t="shared" si="142"/>
        <v>0</v>
      </c>
      <c r="AJ112" s="599">
        <f t="shared" si="142"/>
        <v>0</v>
      </c>
      <c r="AK112" s="599">
        <f t="shared" si="142"/>
        <v>0</v>
      </c>
      <c r="AL112" s="599">
        <f t="shared" si="142"/>
        <v>0</v>
      </c>
      <c r="AM112" s="599">
        <f t="shared" si="142"/>
        <v>0</v>
      </c>
      <c r="AN112" s="599">
        <f t="shared" ref="AN112:BS112" si="143">IF(AN107=0,IF(AN99+AN106&gt;AN111,-AN111,-(AN99+AN106)),0)</f>
        <v>0</v>
      </c>
      <c r="AO112" s="599">
        <f t="shared" si="143"/>
        <v>0</v>
      </c>
      <c r="AP112" s="599">
        <f t="shared" si="143"/>
        <v>0</v>
      </c>
      <c r="AQ112" s="599">
        <f t="shared" si="143"/>
        <v>0</v>
      </c>
      <c r="AR112" s="599">
        <f t="shared" si="143"/>
        <v>0</v>
      </c>
      <c r="AS112" s="599">
        <f t="shared" si="143"/>
        <v>0</v>
      </c>
      <c r="AT112" s="599">
        <f t="shared" si="143"/>
        <v>0</v>
      </c>
      <c r="AU112" s="599">
        <f t="shared" si="143"/>
        <v>0</v>
      </c>
      <c r="AV112" s="599">
        <f t="shared" si="143"/>
        <v>0</v>
      </c>
      <c r="AW112" s="599">
        <f t="shared" si="143"/>
        <v>0</v>
      </c>
      <c r="AX112" s="599">
        <f t="shared" si="143"/>
        <v>0</v>
      </c>
      <c r="AY112" s="599">
        <f t="shared" si="143"/>
        <v>0</v>
      </c>
      <c r="AZ112" s="599">
        <f t="shared" si="143"/>
        <v>0</v>
      </c>
      <c r="BA112" s="599">
        <f t="shared" si="143"/>
        <v>0</v>
      </c>
      <c r="BB112" s="599">
        <f t="shared" si="143"/>
        <v>0</v>
      </c>
      <c r="BC112" s="599">
        <f t="shared" si="143"/>
        <v>0</v>
      </c>
      <c r="BD112" s="599">
        <f t="shared" si="143"/>
        <v>0</v>
      </c>
      <c r="BE112" s="599">
        <f t="shared" si="143"/>
        <v>0</v>
      </c>
      <c r="BF112" s="599">
        <f t="shared" si="143"/>
        <v>0</v>
      </c>
      <c r="BG112" s="599">
        <f t="shared" si="143"/>
        <v>0</v>
      </c>
      <c r="BH112" s="599">
        <f t="shared" si="143"/>
        <v>0</v>
      </c>
      <c r="BI112" s="599">
        <f t="shared" si="143"/>
        <v>0</v>
      </c>
      <c r="BJ112" s="599">
        <f t="shared" si="143"/>
        <v>0</v>
      </c>
      <c r="BK112" s="599">
        <f t="shared" si="143"/>
        <v>0</v>
      </c>
      <c r="BL112" s="599">
        <f t="shared" si="143"/>
        <v>0</v>
      </c>
      <c r="BM112" s="599">
        <f t="shared" si="143"/>
        <v>0</v>
      </c>
      <c r="BN112" s="599">
        <f t="shared" si="143"/>
        <v>0</v>
      </c>
      <c r="BO112" s="599">
        <f t="shared" si="143"/>
        <v>0</v>
      </c>
      <c r="BP112" s="599">
        <f t="shared" si="143"/>
        <v>0</v>
      </c>
      <c r="BQ112" s="599">
        <f t="shared" si="143"/>
        <v>0</v>
      </c>
      <c r="BR112" s="599">
        <f t="shared" si="143"/>
        <v>0</v>
      </c>
      <c r="BS112" s="599">
        <f t="shared" si="143"/>
        <v>0</v>
      </c>
      <c r="BT112" s="599">
        <f t="shared" ref="BT112:CY112" si="144">IF(BT107=0,IF(BT99+BT106&gt;BT111,-BT111,-(BT99+BT106)),0)</f>
        <v>0</v>
      </c>
      <c r="BU112" s="599">
        <f t="shared" si="144"/>
        <v>0</v>
      </c>
      <c r="BV112" s="599">
        <f t="shared" si="144"/>
        <v>0</v>
      </c>
      <c r="BW112" s="599">
        <f t="shared" si="144"/>
        <v>0</v>
      </c>
      <c r="BX112" s="599">
        <f t="shared" si="144"/>
        <v>0</v>
      </c>
      <c r="BY112" s="599">
        <f t="shared" si="144"/>
        <v>0</v>
      </c>
      <c r="BZ112" s="599">
        <f t="shared" si="144"/>
        <v>0</v>
      </c>
      <c r="CA112" s="599">
        <f t="shared" si="144"/>
        <v>0</v>
      </c>
      <c r="CB112" s="599">
        <f t="shared" si="144"/>
        <v>0</v>
      </c>
      <c r="CC112" s="599">
        <f t="shared" si="144"/>
        <v>0</v>
      </c>
      <c r="CD112" s="599">
        <f t="shared" si="144"/>
        <v>0</v>
      </c>
      <c r="CE112" s="599">
        <f t="shared" si="144"/>
        <v>0</v>
      </c>
      <c r="CF112" s="599">
        <f t="shared" si="144"/>
        <v>0</v>
      </c>
      <c r="CG112" s="599">
        <f t="shared" si="144"/>
        <v>0</v>
      </c>
      <c r="CH112" s="599">
        <f t="shared" si="144"/>
        <v>0</v>
      </c>
      <c r="CI112" s="599">
        <f t="shared" si="144"/>
        <v>0</v>
      </c>
      <c r="CJ112" s="599">
        <f t="shared" si="144"/>
        <v>0</v>
      </c>
      <c r="CK112" s="599">
        <f t="shared" si="144"/>
        <v>0</v>
      </c>
      <c r="CL112" s="599">
        <f t="shared" si="144"/>
        <v>0</v>
      </c>
      <c r="CM112" s="599">
        <f t="shared" si="144"/>
        <v>0</v>
      </c>
      <c r="CN112" s="599">
        <f t="shared" si="144"/>
        <v>0</v>
      </c>
      <c r="CO112" s="599">
        <f t="shared" si="144"/>
        <v>0</v>
      </c>
      <c r="CP112" s="599">
        <f t="shared" si="144"/>
        <v>0</v>
      </c>
      <c r="CQ112" s="599">
        <f t="shared" si="144"/>
        <v>0</v>
      </c>
      <c r="CR112" s="599">
        <f t="shared" si="144"/>
        <v>0</v>
      </c>
      <c r="CS112" s="599">
        <f t="shared" si="144"/>
        <v>0</v>
      </c>
      <c r="CT112" s="599">
        <f t="shared" si="144"/>
        <v>0</v>
      </c>
      <c r="CU112" s="599">
        <f t="shared" si="144"/>
        <v>0</v>
      </c>
      <c r="CV112" s="599">
        <f t="shared" si="144"/>
        <v>0</v>
      </c>
      <c r="CW112" s="599">
        <f t="shared" si="144"/>
        <v>0</v>
      </c>
      <c r="CX112" s="599">
        <f t="shared" si="144"/>
        <v>0</v>
      </c>
      <c r="CY112" s="599">
        <f t="shared" si="144"/>
        <v>0</v>
      </c>
      <c r="CZ112" s="599">
        <f t="shared" ref="CZ112:EE112" si="145">IF(CZ107=0,IF(CZ99+CZ106&gt;CZ111,-CZ111,-(CZ99+CZ106)),0)</f>
        <v>0</v>
      </c>
      <c r="DA112" s="599">
        <f t="shared" si="145"/>
        <v>0</v>
      </c>
      <c r="DB112" s="599">
        <f t="shared" si="145"/>
        <v>0</v>
      </c>
      <c r="DC112" s="599">
        <f t="shared" si="145"/>
        <v>0</v>
      </c>
      <c r="DD112" s="599">
        <f t="shared" si="145"/>
        <v>0</v>
      </c>
      <c r="DE112" s="599">
        <f t="shared" si="145"/>
        <v>0</v>
      </c>
      <c r="DF112" s="599">
        <f t="shared" si="145"/>
        <v>0</v>
      </c>
      <c r="DG112" s="599">
        <f t="shared" si="145"/>
        <v>0</v>
      </c>
      <c r="DH112" s="599">
        <f t="shared" si="145"/>
        <v>0</v>
      </c>
      <c r="DI112" s="599">
        <f t="shared" si="145"/>
        <v>0</v>
      </c>
      <c r="DJ112" s="599">
        <f t="shared" si="145"/>
        <v>0</v>
      </c>
      <c r="DK112" s="599">
        <f t="shared" si="145"/>
        <v>0</v>
      </c>
      <c r="DL112" s="599">
        <f t="shared" si="145"/>
        <v>0</v>
      </c>
      <c r="DM112" s="599">
        <f t="shared" si="145"/>
        <v>0</v>
      </c>
      <c r="DN112" s="599">
        <f t="shared" si="145"/>
        <v>0</v>
      </c>
      <c r="DO112" s="599">
        <f t="shared" si="145"/>
        <v>0</v>
      </c>
      <c r="DP112" s="599">
        <f t="shared" si="145"/>
        <v>0</v>
      </c>
      <c r="DQ112" s="599">
        <f t="shared" si="145"/>
        <v>0</v>
      </c>
      <c r="DR112" s="599">
        <f t="shared" si="145"/>
        <v>0</v>
      </c>
      <c r="DS112" s="599">
        <f t="shared" si="145"/>
        <v>0</v>
      </c>
      <c r="DT112" s="599">
        <f t="shared" si="145"/>
        <v>0</v>
      </c>
      <c r="DU112" s="599">
        <f t="shared" si="145"/>
        <v>0</v>
      </c>
      <c r="DV112" s="599">
        <f t="shared" si="145"/>
        <v>0</v>
      </c>
      <c r="DW112" s="599">
        <f t="shared" si="145"/>
        <v>0</v>
      </c>
      <c r="DX112" s="599">
        <f t="shared" si="145"/>
        <v>0</v>
      </c>
      <c r="DY112" s="599">
        <f t="shared" si="145"/>
        <v>0</v>
      </c>
      <c r="DZ112" s="599">
        <f t="shared" si="145"/>
        <v>0</v>
      </c>
      <c r="EA112" s="599">
        <f t="shared" si="145"/>
        <v>0</v>
      </c>
      <c r="EB112" s="599">
        <f t="shared" si="145"/>
        <v>0</v>
      </c>
      <c r="EC112" s="599">
        <f t="shared" si="145"/>
        <v>0</v>
      </c>
      <c r="ED112" s="599">
        <f t="shared" si="145"/>
        <v>0</v>
      </c>
      <c r="EE112" s="599">
        <f t="shared" si="145"/>
        <v>0</v>
      </c>
      <c r="EF112" s="599">
        <f t="shared" ref="EF112:EJ112" si="146">IF(EF107=0,IF(EF99+EF106&gt;EF111,-EF111,-(EF99+EF106)),0)</f>
        <v>0</v>
      </c>
      <c r="EG112" s="599">
        <f t="shared" si="146"/>
        <v>0</v>
      </c>
      <c r="EH112" s="599">
        <f t="shared" si="146"/>
        <v>0</v>
      </c>
      <c r="EI112" s="599">
        <f t="shared" si="146"/>
        <v>0</v>
      </c>
      <c r="EJ112" s="1117">
        <f t="shared" si="146"/>
        <v>0</v>
      </c>
    </row>
    <row r="113" spans="1:140" ht="15.75" customHeight="1" x14ac:dyDescent="0.25">
      <c r="A113" s="6"/>
      <c r="B113" s="364" t="s">
        <v>317</v>
      </c>
      <c r="C113" s="358"/>
      <c r="D113" s="432">
        <f>E111</f>
        <v>0</v>
      </c>
      <c r="E113" s="433">
        <f>SUM(H115:DX115)</f>
        <v>0</v>
      </c>
      <c r="F113" s="434">
        <v>0</v>
      </c>
      <c r="G113" s="1082"/>
      <c r="H113" s="1115">
        <f>IFERROR(H111+H112,"")</f>
        <v>0</v>
      </c>
      <c r="I113" s="599">
        <f>IFERROR(I111+I112,"")</f>
        <v>0</v>
      </c>
      <c r="J113" s="599">
        <f t="shared" ref="J113:BU113" si="147">IFERROR(J111+J112,"")</f>
        <v>0</v>
      </c>
      <c r="K113" s="599">
        <f t="shared" si="147"/>
        <v>0</v>
      </c>
      <c r="L113" s="599">
        <f t="shared" si="147"/>
        <v>0</v>
      </c>
      <c r="M113" s="599">
        <f t="shared" si="147"/>
        <v>0</v>
      </c>
      <c r="N113" s="599">
        <f t="shared" si="147"/>
        <v>0</v>
      </c>
      <c r="O113" s="599">
        <f t="shared" si="147"/>
        <v>0</v>
      </c>
      <c r="P113" s="599">
        <f t="shared" si="147"/>
        <v>0</v>
      </c>
      <c r="Q113" s="599">
        <f t="shared" si="147"/>
        <v>0</v>
      </c>
      <c r="R113" s="599">
        <f t="shared" si="147"/>
        <v>0</v>
      </c>
      <c r="S113" s="599">
        <f t="shared" si="147"/>
        <v>0</v>
      </c>
      <c r="T113" s="599">
        <f t="shared" si="147"/>
        <v>0</v>
      </c>
      <c r="U113" s="599">
        <f t="shared" si="147"/>
        <v>0</v>
      </c>
      <c r="V113" s="599">
        <f t="shared" si="147"/>
        <v>0</v>
      </c>
      <c r="W113" s="599">
        <f t="shared" si="147"/>
        <v>0</v>
      </c>
      <c r="X113" s="599">
        <f t="shared" si="147"/>
        <v>0</v>
      </c>
      <c r="Y113" s="599">
        <f t="shared" si="147"/>
        <v>0</v>
      </c>
      <c r="Z113" s="599">
        <f t="shared" si="147"/>
        <v>0</v>
      </c>
      <c r="AA113" s="599">
        <f t="shared" si="147"/>
        <v>0</v>
      </c>
      <c r="AB113" s="599">
        <f t="shared" si="147"/>
        <v>0</v>
      </c>
      <c r="AC113" s="599">
        <f t="shared" si="147"/>
        <v>0</v>
      </c>
      <c r="AD113" s="599">
        <f t="shared" si="147"/>
        <v>0</v>
      </c>
      <c r="AE113" s="599">
        <f t="shared" si="147"/>
        <v>0</v>
      </c>
      <c r="AF113" s="599">
        <f t="shared" si="147"/>
        <v>0</v>
      </c>
      <c r="AG113" s="599">
        <f t="shared" si="147"/>
        <v>0</v>
      </c>
      <c r="AH113" s="599">
        <f t="shared" si="147"/>
        <v>0</v>
      </c>
      <c r="AI113" s="599">
        <f t="shared" si="147"/>
        <v>0</v>
      </c>
      <c r="AJ113" s="599">
        <f t="shared" si="147"/>
        <v>0</v>
      </c>
      <c r="AK113" s="599">
        <f t="shared" si="147"/>
        <v>0</v>
      </c>
      <c r="AL113" s="599">
        <f t="shared" si="147"/>
        <v>0</v>
      </c>
      <c r="AM113" s="599">
        <f t="shared" si="147"/>
        <v>0</v>
      </c>
      <c r="AN113" s="599">
        <f t="shared" si="147"/>
        <v>0</v>
      </c>
      <c r="AO113" s="599">
        <f t="shared" si="147"/>
        <v>0</v>
      </c>
      <c r="AP113" s="599">
        <f t="shared" si="147"/>
        <v>0</v>
      </c>
      <c r="AQ113" s="599">
        <f t="shared" si="147"/>
        <v>0</v>
      </c>
      <c r="AR113" s="599">
        <f t="shared" si="147"/>
        <v>0</v>
      </c>
      <c r="AS113" s="599">
        <f t="shared" si="147"/>
        <v>0</v>
      </c>
      <c r="AT113" s="599">
        <f t="shared" si="147"/>
        <v>0</v>
      </c>
      <c r="AU113" s="599">
        <f t="shared" si="147"/>
        <v>0</v>
      </c>
      <c r="AV113" s="599">
        <f t="shared" si="147"/>
        <v>0</v>
      </c>
      <c r="AW113" s="599">
        <f t="shared" si="147"/>
        <v>0</v>
      </c>
      <c r="AX113" s="599">
        <f t="shared" si="147"/>
        <v>0</v>
      </c>
      <c r="AY113" s="599">
        <f t="shared" si="147"/>
        <v>0</v>
      </c>
      <c r="AZ113" s="599">
        <f t="shared" si="147"/>
        <v>0</v>
      </c>
      <c r="BA113" s="599">
        <f t="shared" si="147"/>
        <v>0</v>
      </c>
      <c r="BB113" s="599">
        <f t="shared" si="147"/>
        <v>0</v>
      </c>
      <c r="BC113" s="599">
        <f t="shared" si="147"/>
        <v>0</v>
      </c>
      <c r="BD113" s="599">
        <f t="shared" si="147"/>
        <v>0</v>
      </c>
      <c r="BE113" s="599">
        <f t="shared" si="147"/>
        <v>0</v>
      </c>
      <c r="BF113" s="599">
        <f t="shared" si="147"/>
        <v>0</v>
      </c>
      <c r="BG113" s="599">
        <f t="shared" si="147"/>
        <v>0</v>
      </c>
      <c r="BH113" s="599">
        <f t="shared" si="147"/>
        <v>0</v>
      </c>
      <c r="BI113" s="599">
        <f t="shared" si="147"/>
        <v>0</v>
      </c>
      <c r="BJ113" s="599">
        <f t="shared" si="147"/>
        <v>0</v>
      </c>
      <c r="BK113" s="599">
        <f t="shared" si="147"/>
        <v>0</v>
      </c>
      <c r="BL113" s="599">
        <f t="shared" si="147"/>
        <v>0</v>
      </c>
      <c r="BM113" s="599">
        <f t="shared" si="147"/>
        <v>0</v>
      </c>
      <c r="BN113" s="599">
        <f t="shared" si="147"/>
        <v>0</v>
      </c>
      <c r="BO113" s="599">
        <f t="shared" si="147"/>
        <v>0</v>
      </c>
      <c r="BP113" s="599">
        <f t="shared" si="147"/>
        <v>0</v>
      </c>
      <c r="BQ113" s="599">
        <f t="shared" si="147"/>
        <v>0</v>
      </c>
      <c r="BR113" s="599">
        <f t="shared" si="147"/>
        <v>0</v>
      </c>
      <c r="BS113" s="599">
        <f t="shared" si="147"/>
        <v>0</v>
      </c>
      <c r="BT113" s="599">
        <f t="shared" si="147"/>
        <v>0</v>
      </c>
      <c r="BU113" s="599">
        <f t="shared" si="147"/>
        <v>0</v>
      </c>
      <c r="BV113" s="599">
        <f t="shared" ref="BV113:EG113" si="148">IFERROR(BV111+BV112,"")</f>
        <v>0</v>
      </c>
      <c r="BW113" s="599">
        <f t="shared" si="148"/>
        <v>0</v>
      </c>
      <c r="BX113" s="599">
        <f t="shared" si="148"/>
        <v>0</v>
      </c>
      <c r="BY113" s="599">
        <f t="shared" si="148"/>
        <v>0</v>
      </c>
      <c r="BZ113" s="599">
        <f t="shared" si="148"/>
        <v>0</v>
      </c>
      <c r="CA113" s="599">
        <f t="shared" si="148"/>
        <v>0</v>
      </c>
      <c r="CB113" s="599">
        <f t="shared" si="148"/>
        <v>0</v>
      </c>
      <c r="CC113" s="599">
        <f t="shared" si="148"/>
        <v>0</v>
      </c>
      <c r="CD113" s="599">
        <f t="shared" si="148"/>
        <v>0</v>
      </c>
      <c r="CE113" s="599">
        <f t="shared" si="148"/>
        <v>0</v>
      </c>
      <c r="CF113" s="599">
        <f t="shared" si="148"/>
        <v>0</v>
      </c>
      <c r="CG113" s="599">
        <f t="shared" si="148"/>
        <v>0</v>
      </c>
      <c r="CH113" s="599">
        <f t="shared" si="148"/>
        <v>0</v>
      </c>
      <c r="CI113" s="599">
        <f t="shared" si="148"/>
        <v>0</v>
      </c>
      <c r="CJ113" s="599">
        <f t="shared" si="148"/>
        <v>0</v>
      </c>
      <c r="CK113" s="599">
        <f t="shared" si="148"/>
        <v>0</v>
      </c>
      <c r="CL113" s="599">
        <f t="shared" si="148"/>
        <v>0</v>
      </c>
      <c r="CM113" s="599">
        <f t="shared" si="148"/>
        <v>0</v>
      </c>
      <c r="CN113" s="599">
        <f t="shared" si="148"/>
        <v>0</v>
      </c>
      <c r="CO113" s="599">
        <f t="shared" si="148"/>
        <v>0</v>
      </c>
      <c r="CP113" s="599">
        <f t="shared" si="148"/>
        <v>0</v>
      </c>
      <c r="CQ113" s="599">
        <f t="shared" si="148"/>
        <v>0</v>
      </c>
      <c r="CR113" s="599">
        <f t="shared" si="148"/>
        <v>0</v>
      </c>
      <c r="CS113" s="599">
        <f t="shared" si="148"/>
        <v>0</v>
      </c>
      <c r="CT113" s="599">
        <f t="shared" si="148"/>
        <v>0</v>
      </c>
      <c r="CU113" s="599">
        <f t="shared" si="148"/>
        <v>0</v>
      </c>
      <c r="CV113" s="599">
        <f t="shared" si="148"/>
        <v>0</v>
      </c>
      <c r="CW113" s="599">
        <f t="shared" si="148"/>
        <v>0</v>
      </c>
      <c r="CX113" s="599">
        <f t="shared" si="148"/>
        <v>0</v>
      </c>
      <c r="CY113" s="599">
        <f t="shared" si="148"/>
        <v>0</v>
      </c>
      <c r="CZ113" s="599">
        <f t="shared" si="148"/>
        <v>0</v>
      </c>
      <c r="DA113" s="599">
        <f t="shared" si="148"/>
        <v>0</v>
      </c>
      <c r="DB113" s="599">
        <f t="shared" si="148"/>
        <v>0</v>
      </c>
      <c r="DC113" s="599">
        <f t="shared" si="148"/>
        <v>0</v>
      </c>
      <c r="DD113" s="599">
        <f t="shared" si="148"/>
        <v>0</v>
      </c>
      <c r="DE113" s="599">
        <f t="shared" si="148"/>
        <v>0</v>
      </c>
      <c r="DF113" s="599">
        <f t="shared" si="148"/>
        <v>0</v>
      </c>
      <c r="DG113" s="599">
        <f t="shared" si="148"/>
        <v>0</v>
      </c>
      <c r="DH113" s="599">
        <f t="shared" si="148"/>
        <v>0</v>
      </c>
      <c r="DI113" s="599">
        <f t="shared" si="148"/>
        <v>0</v>
      </c>
      <c r="DJ113" s="599">
        <f t="shared" si="148"/>
        <v>0</v>
      </c>
      <c r="DK113" s="599">
        <f t="shared" si="148"/>
        <v>0</v>
      </c>
      <c r="DL113" s="599">
        <f t="shared" si="148"/>
        <v>0</v>
      </c>
      <c r="DM113" s="599">
        <f t="shared" si="148"/>
        <v>0</v>
      </c>
      <c r="DN113" s="599">
        <f t="shared" si="148"/>
        <v>0</v>
      </c>
      <c r="DO113" s="599">
        <f t="shared" si="148"/>
        <v>0</v>
      </c>
      <c r="DP113" s="599">
        <f t="shared" si="148"/>
        <v>0</v>
      </c>
      <c r="DQ113" s="599">
        <f t="shared" si="148"/>
        <v>0</v>
      </c>
      <c r="DR113" s="599">
        <f t="shared" si="148"/>
        <v>0</v>
      </c>
      <c r="DS113" s="599">
        <f t="shared" si="148"/>
        <v>0</v>
      </c>
      <c r="DT113" s="599">
        <f t="shared" si="148"/>
        <v>0</v>
      </c>
      <c r="DU113" s="599">
        <f t="shared" si="148"/>
        <v>0</v>
      </c>
      <c r="DV113" s="599">
        <f t="shared" si="148"/>
        <v>0</v>
      </c>
      <c r="DW113" s="599">
        <f t="shared" si="148"/>
        <v>0</v>
      </c>
      <c r="DX113" s="599">
        <f t="shared" si="148"/>
        <v>0</v>
      </c>
      <c r="DY113" s="599">
        <f t="shared" si="148"/>
        <v>0</v>
      </c>
      <c r="DZ113" s="599">
        <f t="shared" si="148"/>
        <v>0</v>
      </c>
      <c r="EA113" s="599">
        <f t="shared" si="148"/>
        <v>0</v>
      </c>
      <c r="EB113" s="599">
        <f t="shared" si="148"/>
        <v>0</v>
      </c>
      <c r="EC113" s="599">
        <f t="shared" si="148"/>
        <v>0</v>
      </c>
      <c r="ED113" s="599">
        <f t="shared" si="148"/>
        <v>0</v>
      </c>
      <c r="EE113" s="599">
        <f t="shared" si="148"/>
        <v>0</v>
      </c>
      <c r="EF113" s="599">
        <f t="shared" si="148"/>
        <v>0</v>
      </c>
      <c r="EG113" s="599">
        <f t="shared" si="148"/>
        <v>0</v>
      </c>
      <c r="EH113" s="599">
        <f t="shared" ref="EH113:EJ113" si="149">IFERROR(EH111+EH112,"")</f>
        <v>0</v>
      </c>
      <c r="EI113" s="599">
        <f t="shared" si="149"/>
        <v>0</v>
      </c>
      <c r="EJ113" s="1117">
        <f t="shared" si="149"/>
        <v>0</v>
      </c>
    </row>
    <row r="114" spans="1:140" ht="15.75" customHeight="1" x14ac:dyDescent="0.25">
      <c r="A114" s="6"/>
      <c r="B114" s="364" t="s">
        <v>252</v>
      </c>
      <c r="C114" s="435"/>
      <c r="D114" s="358"/>
      <c r="E114" s="358"/>
      <c r="F114" s="436"/>
      <c r="G114" s="1082"/>
      <c r="H114" s="1115">
        <f>-$F$113/12*G116</f>
        <v>0</v>
      </c>
      <c r="I114" s="599">
        <f t="shared" ref="I114:AN114" si="150">IF(I5&gt;$E$4,0,-$F$113/12*H116)</f>
        <v>0</v>
      </c>
      <c r="J114" s="599">
        <f t="shared" si="150"/>
        <v>0</v>
      </c>
      <c r="K114" s="599">
        <f t="shared" si="150"/>
        <v>0</v>
      </c>
      <c r="L114" s="599">
        <f t="shared" si="150"/>
        <v>0</v>
      </c>
      <c r="M114" s="599">
        <f t="shared" si="150"/>
        <v>0</v>
      </c>
      <c r="N114" s="599">
        <f t="shared" si="150"/>
        <v>0</v>
      </c>
      <c r="O114" s="599">
        <f t="shared" si="150"/>
        <v>0</v>
      </c>
      <c r="P114" s="599">
        <f t="shared" si="150"/>
        <v>0</v>
      </c>
      <c r="Q114" s="599">
        <f t="shared" si="150"/>
        <v>0</v>
      </c>
      <c r="R114" s="599">
        <f t="shared" si="150"/>
        <v>0</v>
      </c>
      <c r="S114" s="599">
        <f t="shared" si="150"/>
        <v>0</v>
      </c>
      <c r="T114" s="599">
        <f t="shared" si="150"/>
        <v>0</v>
      </c>
      <c r="U114" s="599">
        <f t="shared" si="150"/>
        <v>0</v>
      </c>
      <c r="V114" s="599">
        <f t="shared" si="150"/>
        <v>0</v>
      </c>
      <c r="W114" s="599">
        <f t="shared" si="150"/>
        <v>0</v>
      </c>
      <c r="X114" s="599">
        <f t="shared" si="150"/>
        <v>0</v>
      </c>
      <c r="Y114" s="599">
        <f t="shared" si="150"/>
        <v>0</v>
      </c>
      <c r="Z114" s="599">
        <f t="shared" si="150"/>
        <v>0</v>
      </c>
      <c r="AA114" s="599">
        <f t="shared" si="150"/>
        <v>0</v>
      </c>
      <c r="AB114" s="599">
        <f t="shared" si="150"/>
        <v>0</v>
      </c>
      <c r="AC114" s="599">
        <f t="shared" si="150"/>
        <v>0</v>
      </c>
      <c r="AD114" s="599">
        <f t="shared" si="150"/>
        <v>0</v>
      </c>
      <c r="AE114" s="599">
        <f t="shared" si="150"/>
        <v>0</v>
      </c>
      <c r="AF114" s="599">
        <f t="shared" si="150"/>
        <v>0</v>
      </c>
      <c r="AG114" s="599">
        <f t="shared" si="150"/>
        <v>0</v>
      </c>
      <c r="AH114" s="599">
        <f t="shared" si="150"/>
        <v>0</v>
      </c>
      <c r="AI114" s="599">
        <f t="shared" si="150"/>
        <v>0</v>
      </c>
      <c r="AJ114" s="599">
        <f t="shared" si="150"/>
        <v>0</v>
      </c>
      <c r="AK114" s="599">
        <f t="shared" si="150"/>
        <v>0</v>
      </c>
      <c r="AL114" s="599">
        <f t="shared" si="150"/>
        <v>0</v>
      </c>
      <c r="AM114" s="599">
        <f t="shared" si="150"/>
        <v>0</v>
      </c>
      <c r="AN114" s="599">
        <f t="shared" si="150"/>
        <v>0</v>
      </c>
      <c r="AO114" s="599">
        <f t="shared" ref="AO114:BT114" si="151">IF(AO5&gt;$E$4,0,-$F$113/12*AN116)</f>
        <v>0</v>
      </c>
      <c r="AP114" s="599">
        <f t="shared" si="151"/>
        <v>0</v>
      </c>
      <c r="AQ114" s="599">
        <f t="shared" si="151"/>
        <v>0</v>
      </c>
      <c r="AR114" s="599">
        <f t="shared" si="151"/>
        <v>0</v>
      </c>
      <c r="AS114" s="599">
        <f t="shared" si="151"/>
        <v>0</v>
      </c>
      <c r="AT114" s="599">
        <f t="shared" si="151"/>
        <v>0</v>
      </c>
      <c r="AU114" s="599">
        <f t="shared" si="151"/>
        <v>0</v>
      </c>
      <c r="AV114" s="599">
        <f t="shared" si="151"/>
        <v>0</v>
      </c>
      <c r="AW114" s="599">
        <f t="shared" si="151"/>
        <v>0</v>
      </c>
      <c r="AX114" s="599">
        <f t="shared" si="151"/>
        <v>0</v>
      </c>
      <c r="AY114" s="599">
        <f t="shared" si="151"/>
        <v>0</v>
      </c>
      <c r="AZ114" s="599">
        <f t="shared" si="151"/>
        <v>0</v>
      </c>
      <c r="BA114" s="599">
        <f t="shared" si="151"/>
        <v>0</v>
      </c>
      <c r="BB114" s="599">
        <f t="shared" si="151"/>
        <v>0</v>
      </c>
      <c r="BC114" s="599">
        <f t="shared" si="151"/>
        <v>0</v>
      </c>
      <c r="BD114" s="599">
        <f t="shared" si="151"/>
        <v>0</v>
      </c>
      <c r="BE114" s="599">
        <f t="shared" si="151"/>
        <v>0</v>
      </c>
      <c r="BF114" s="599">
        <f t="shared" si="151"/>
        <v>0</v>
      </c>
      <c r="BG114" s="599">
        <f t="shared" si="151"/>
        <v>0</v>
      </c>
      <c r="BH114" s="599">
        <f t="shared" si="151"/>
        <v>0</v>
      </c>
      <c r="BI114" s="599">
        <f t="shared" si="151"/>
        <v>0</v>
      </c>
      <c r="BJ114" s="599">
        <f t="shared" si="151"/>
        <v>0</v>
      </c>
      <c r="BK114" s="599">
        <f t="shared" si="151"/>
        <v>0</v>
      </c>
      <c r="BL114" s="599">
        <f t="shared" si="151"/>
        <v>0</v>
      </c>
      <c r="BM114" s="599">
        <f t="shared" si="151"/>
        <v>0</v>
      </c>
      <c r="BN114" s="599">
        <f t="shared" si="151"/>
        <v>0</v>
      </c>
      <c r="BO114" s="599">
        <f t="shared" si="151"/>
        <v>0</v>
      </c>
      <c r="BP114" s="599">
        <f t="shared" si="151"/>
        <v>0</v>
      </c>
      <c r="BQ114" s="599">
        <f t="shared" si="151"/>
        <v>0</v>
      </c>
      <c r="BR114" s="599">
        <f t="shared" si="151"/>
        <v>0</v>
      </c>
      <c r="BS114" s="599">
        <f t="shared" si="151"/>
        <v>0</v>
      </c>
      <c r="BT114" s="599">
        <f t="shared" si="151"/>
        <v>0</v>
      </c>
      <c r="BU114" s="599">
        <f t="shared" ref="BU114:CZ114" si="152">IF(BU5&gt;$E$4,0,-$F$113/12*BT116)</f>
        <v>0</v>
      </c>
      <c r="BV114" s="599">
        <f t="shared" si="152"/>
        <v>0</v>
      </c>
      <c r="BW114" s="599">
        <f t="shared" si="152"/>
        <v>0</v>
      </c>
      <c r="BX114" s="599">
        <f t="shared" si="152"/>
        <v>0</v>
      </c>
      <c r="BY114" s="599">
        <f t="shared" si="152"/>
        <v>0</v>
      </c>
      <c r="BZ114" s="599">
        <f t="shared" si="152"/>
        <v>0</v>
      </c>
      <c r="CA114" s="599">
        <f t="shared" si="152"/>
        <v>0</v>
      </c>
      <c r="CB114" s="599">
        <f t="shared" si="152"/>
        <v>0</v>
      </c>
      <c r="CC114" s="599">
        <f t="shared" si="152"/>
        <v>0</v>
      </c>
      <c r="CD114" s="599">
        <f t="shared" si="152"/>
        <v>0</v>
      </c>
      <c r="CE114" s="599">
        <f t="shared" si="152"/>
        <v>0</v>
      </c>
      <c r="CF114" s="599">
        <f t="shared" si="152"/>
        <v>0</v>
      </c>
      <c r="CG114" s="599">
        <f t="shared" si="152"/>
        <v>0</v>
      </c>
      <c r="CH114" s="599">
        <f t="shared" si="152"/>
        <v>0</v>
      </c>
      <c r="CI114" s="599">
        <f t="shared" si="152"/>
        <v>0</v>
      </c>
      <c r="CJ114" s="599">
        <f t="shared" si="152"/>
        <v>0</v>
      </c>
      <c r="CK114" s="599">
        <f t="shared" si="152"/>
        <v>0</v>
      </c>
      <c r="CL114" s="599">
        <f t="shared" si="152"/>
        <v>0</v>
      </c>
      <c r="CM114" s="599">
        <f t="shared" si="152"/>
        <v>0</v>
      </c>
      <c r="CN114" s="599">
        <f t="shared" si="152"/>
        <v>0</v>
      </c>
      <c r="CO114" s="599">
        <f t="shared" si="152"/>
        <v>0</v>
      </c>
      <c r="CP114" s="599">
        <f t="shared" si="152"/>
        <v>0</v>
      </c>
      <c r="CQ114" s="599">
        <f t="shared" si="152"/>
        <v>0</v>
      </c>
      <c r="CR114" s="599">
        <f t="shared" si="152"/>
        <v>0</v>
      </c>
      <c r="CS114" s="599">
        <f t="shared" si="152"/>
        <v>0</v>
      </c>
      <c r="CT114" s="599">
        <f t="shared" si="152"/>
        <v>0</v>
      </c>
      <c r="CU114" s="599">
        <f t="shared" si="152"/>
        <v>0</v>
      </c>
      <c r="CV114" s="599">
        <f t="shared" si="152"/>
        <v>0</v>
      </c>
      <c r="CW114" s="599">
        <f t="shared" si="152"/>
        <v>0</v>
      </c>
      <c r="CX114" s="599">
        <f t="shared" si="152"/>
        <v>0</v>
      </c>
      <c r="CY114" s="599">
        <f t="shared" si="152"/>
        <v>0</v>
      </c>
      <c r="CZ114" s="599">
        <f t="shared" si="152"/>
        <v>0</v>
      </c>
      <c r="DA114" s="599">
        <f t="shared" ref="DA114:EJ114" si="153">IF(DA5&gt;$E$4,0,-$F$113/12*CZ116)</f>
        <v>0</v>
      </c>
      <c r="DB114" s="599">
        <f t="shared" si="153"/>
        <v>0</v>
      </c>
      <c r="DC114" s="599">
        <f t="shared" si="153"/>
        <v>0</v>
      </c>
      <c r="DD114" s="599">
        <f t="shared" si="153"/>
        <v>0</v>
      </c>
      <c r="DE114" s="599">
        <f t="shared" si="153"/>
        <v>0</v>
      </c>
      <c r="DF114" s="599">
        <f t="shared" si="153"/>
        <v>0</v>
      </c>
      <c r="DG114" s="599">
        <f t="shared" si="153"/>
        <v>0</v>
      </c>
      <c r="DH114" s="599">
        <f t="shared" si="153"/>
        <v>0</v>
      </c>
      <c r="DI114" s="599">
        <f t="shared" si="153"/>
        <v>0</v>
      </c>
      <c r="DJ114" s="599">
        <f t="shared" si="153"/>
        <v>0</v>
      </c>
      <c r="DK114" s="599">
        <f t="shared" si="153"/>
        <v>0</v>
      </c>
      <c r="DL114" s="599">
        <f t="shared" si="153"/>
        <v>0</v>
      </c>
      <c r="DM114" s="599">
        <f t="shared" si="153"/>
        <v>0</v>
      </c>
      <c r="DN114" s="599">
        <f t="shared" si="153"/>
        <v>0</v>
      </c>
      <c r="DO114" s="599">
        <f t="shared" si="153"/>
        <v>0</v>
      </c>
      <c r="DP114" s="599">
        <f t="shared" si="153"/>
        <v>0</v>
      </c>
      <c r="DQ114" s="599">
        <f t="shared" si="153"/>
        <v>0</v>
      </c>
      <c r="DR114" s="599">
        <f t="shared" si="153"/>
        <v>0</v>
      </c>
      <c r="DS114" s="599">
        <f t="shared" si="153"/>
        <v>0</v>
      </c>
      <c r="DT114" s="599">
        <f t="shared" si="153"/>
        <v>0</v>
      </c>
      <c r="DU114" s="599">
        <f t="shared" si="153"/>
        <v>0</v>
      </c>
      <c r="DV114" s="599">
        <f t="shared" si="153"/>
        <v>0</v>
      </c>
      <c r="DW114" s="599">
        <f t="shared" si="153"/>
        <v>0</v>
      </c>
      <c r="DX114" s="599">
        <f t="shared" si="153"/>
        <v>0</v>
      </c>
      <c r="DY114" s="599">
        <f t="shared" si="153"/>
        <v>0</v>
      </c>
      <c r="DZ114" s="599">
        <f t="shared" si="153"/>
        <v>0</v>
      </c>
      <c r="EA114" s="599">
        <f t="shared" si="153"/>
        <v>0</v>
      </c>
      <c r="EB114" s="599">
        <f t="shared" si="153"/>
        <v>0</v>
      </c>
      <c r="EC114" s="599">
        <f t="shared" si="153"/>
        <v>0</v>
      </c>
      <c r="ED114" s="599">
        <f t="shared" si="153"/>
        <v>0</v>
      </c>
      <c r="EE114" s="599">
        <f t="shared" si="153"/>
        <v>0</v>
      </c>
      <c r="EF114" s="599">
        <f t="shared" si="153"/>
        <v>0</v>
      </c>
      <c r="EG114" s="599">
        <f t="shared" si="153"/>
        <v>0</v>
      </c>
      <c r="EH114" s="599">
        <f t="shared" si="153"/>
        <v>0</v>
      </c>
      <c r="EI114" s="599">
        <f t="shared" si="153"/>
        <v>0</v>
      </c>
      <c r="EJ114" s="1117">
        <f t="shared" si="153"/>
        <v>0</v>
      </c>
    </row>
    <row r="115" spans="1:140" ht="15.75" customHeight="1" x14ac:dyDescent="0.25">
      <c r="A115" s="6"/>
      <c r="B115" s="364" t="s">
        <v>505</v>
      </c>
      <c r="C115" s="358"/>
      <c r="D115" s="358"/>
      <c r="E115" s="358"/>
      <c r="F115" s="437"/>
      <c r="G115" s="1082"/>
      <c r="H115" s="1118">
        <f>-H114</f>
        <v>0</v>
      </c>
      <c r="I115" s="1119">
        <f>-I114</f>
        <v>0</v>
      </c>
      <c r="J115" s="1119">
        <f t="shared" ref="J115:BU115" si="154">-J114</f>
        <v>0</v>
      </c>
      <c r="K115" s="1119">
        <f t="shared" si="154"/>
        <v>0</v>
      </c>
      <c r="L115" s="1119">
        <f t="shared" si="154"/>
        <v>0</v>
      </c>
      <c r="M115" s="1119">
        <f t="shared" si="154"/>
        <v>0</v>
      </c>
      <c r="N115" s="1119">
        <f t="shared" si="154"/>
        <v>0</v>
      </c>
      <c r="O115" s="1119">
        <f t="shared" si="154"/>
        <v>0</v>
      </c>
      <c r="P115" s="1119">
        <f t="shared" si="154"/>
        <v>0</v>
      </c>
      <c r="Q115" s="1119">
        <f t="shared" si="154"/>
        <v>0</v>
      </c>
      <c r="R115" s="1119">
        <f t="shared" si="154"/>
        <v>0</v>
      </c>
      <c r="S115" s="1119">
        <f t="shared" si="154"/>
        <v>0</v>
      </c>
      <c r="T115" s="1119">
        <f t="shared" si="154"/>
        <v>0</v>
      </c>
      <c r="U115" s="1119">
        <f t="shared" si="154"/>
        <v>0</v>
      </c>
      <c r="V115" s="1119">
        <f t="shared" si="154"/>
        <v>0</v>
      </c>
      <c r="W115" s="1119">
        <f t="shared" si="154"/>
        <v>0</v>
      </c>
      <c r="X115" s="1119">
        <f t="shared" si="154"/>
        <v>0</v>
      </c>
      <c r="Y115" s="1119">
        <f t="shared" si="154"/>
        <v>0</v>
      </c>
      <c r="Z115" s="1119">
        <f t="shared" si="154"/>
        <v>0</v>
      </c>
      <c r="AA115" s="1119">
        <f t="shared" si="154"/>
        <v>0</v>
      </c>
      <c r="AB115" s="1119">
        <f t="shared" si="154"/>
        <v>0</v>
      </c>
      <c r="AC115" s="1119">
        <f t="shared" si="154"/>
        <v>0</v>
      </c>
      <c r="AD115" s="1119">
        <f t="shared" si="154"/>
        <v>0</v>
      </c>
      <c r="AE115" s="1119">
        <f t="shared" si="154"/>
        <v>0</v>
      </c>
      <c r="AF115" s="1119">
        <f t="shared" si="154"/>
        <v>0</v>
      </c>
      <c r="AG115" s="1119">
        <f t="shared" si="154"/>
        <v>0</v>
      </c>
      <c r="AH115" s="1119">
        <f t="shared" si="154"/>
        <v>0</v>
      </c>
      <c r="AI115" s="1119">
        <f t="shared" si="154"/>
        <v>0</v>
      </c>
      <c r="AJ115" s="1119">
        <f t="shared" si="154"/>
        <v>0</v>
      </c>
      <c r="AK115" s="1119">
        <f t="shared" si="154"/>
        <v>0</v>
      </c>
      <c r="AL115" s="1119">
        <f t="shared" si="154"/>
        <v>0</v>
      </c>
      <c r="AM115" s="1119">
        <f t="shared" si="154"/>
        <v>0</v>
      </c>
      <c r="AN115" s="1119">
        <f t="shared" si="154"/>
        <v>0</v>
      </c>
      <c r="AO115" s="1119">
        <f t="shared" si="154"/>
        <v>0</v>
      </c>
      <c r="AP115" s="1119">
        <f t="shared" si="154"/>
        <v>0</v>
      </c>
      <c r="AQ115" s="1119">
        <f t="shared" si="154"/>
        <v>0</v>
      </c>
      <c r="AR115" s="1119">
        <f t="shared" si="154"/>
        <v>0</v>
      </c>
      <c r="AS115" s="1119">
        <f t="shared" si="154"/>
        <v>0</v>
      </c>
      <c r="AT115" s="1119">
        <f t="shared" si="154"/>
        <v>0</v>
      </c>
      <c r="AU115" s="1119">
        <f t="shared" si="154"/>
        <v>0</v>
      </c>
      <c r="AV115" s="1119">
        <f t="shared" si="154"/>
        <v>0</v>
      </c>
      <c r="AW115" s="1119">
        <f t="shared" si="154"/>
        <v>0</v>
      </c>
      <c r="AX115" s="1119">
        <f t="shared" si="154"/>
        <v>0</v>
      </c>
      <c r="AY115" s="1119">
        <f t="shared" si="154"/>
        <v>0</v>
      </c>
      <c r="AZ115" s="1119">
        <f t="shared" si="154"/>
        <v>0</v>
      </c>
      <c r="BA115" s="1119">
        <f t="shared" si="154"/>
        <v>0</v>
      </c>
      <c r="BB115" s="1119">
        <f t="shared" si="154"/>
        <v>0</v>
      </c>
      <c r="BC115" s="1119">
        <f t="shared" si="154"/>
        <v>0</v>
      </c>
      <c r="BD115" s="1119">
        <f t="shared" si="154"/>
        <v>0</v>
      </c>
      <c r="BE115" s="1119">
        <f t="shared" si="154"/>
        <v>0</v>
      </c>
      <c r="BF115" s="1119">
        <f t="shared" si="154"/>
        <v>0</v>
      </c>
      <c r="BG115" s="1119">
        <f t="shared" si="154"/>
        <v>0</v>
      </c>
      <c r="BH115" s="1119">
        <f t="shared" si="154"/>
        <v>0</v>
      </c>
      <c r="BI115" s="1119">
        <f t="shared" si="154"/>
        <v>0</v>
      </c>
      <c r="BJ115" s="1119">
        <f t="shared" si="154"/>
        <v>0</v>
      </c>
      <c r="BK115" s="1119">
        <f t="shared" si="154"/>
        <v>0</v>
      </c>
      <c r="BL115" s="1119">
        <f t="shared" si="154"/>
        <v>0</v>
      </c>
      <c r="BM115" s="1119">
        <f t="shared" si="154"/>
        <v>0</v>
      </c>
      <c r="BN115" s="1119">
        <f t="shared" si="154"/>
        <v>0</v>
      </c>
      <c r="BO115" s="1119">
        <f t="shared" si="154"/>
        <v>0</v>
      </c>
      <c r="BP115" s="1119">
        <f t="shared" si="154"/>
        <v>0</v>
      </c>
      <c r="BQ115" s="1119">
        <f t="shared" si="154"/>
        <v>0</v>
      </c>
      <c r="BR115" s="1119">
        <f t="shared" si="154"/>
        <v>0</v>
      </c>
      <c r="BS115" s="1119">
        <f t="shared" si="154"/>
        <v>0</v>
      </c>
      <c r="BT115" s="1119">
        <f t="shared" si="154"/>
        <v>0</v>
      </c>
      <c r="BU115" s="1119">
        <f t="shared" si="154"/>
        <v>0</v>
      </c>
      <c r="BV115" s="1119">
        <f t="shared" ref="BV115:EG115" si="155">-BV114</f>
        <v>0</v>
      </c>
      <c r="BW115" s="1119">
        <f t="shared" si="155"/>
        <v>0</v>
      </c>
      <c r="BX115" s="1119">
        <f t="shared" si="155"/>
        <v>0</v>
      </c>
      <c r="BY115" s="1119">
        <f t="shared" si="155"/>
        <v>0</v>
      </c>
      <c r="BZ115" s="1119">
        <f t="shared" si="155"/>
        <v>0</v>
      </c>
      <c r="CA115" s="1119">
        <f t="shared" si="155"/>
        <v>0</v>
      </c>
      <c r="CB115" s="1119">
        <f t="shared" si="155"/>
        <v>0</v>
      </c>
      <c r="CC115" s="1119">
        <f t="shared" si="155"/>
        <v>0</v>
      </c>
      <c r="CD115" s="1119">
        <f t="shared" si="155"/>
        <v>0</v>
      </c>
      <c r="CE115" s="1119">
        <f t="shared" si="155"/>
        <v>0</v>
      </c>
      <c r="CF115" s="1119">
        <f t="shared" si="155"/>
        <v>0</v>
      </c>
      <c r="CG115" s="1119">
        <f t="shared" si="155"/>
        <v>0</v>
      </c>
      <c r="CH115" s="1119">
        <f t="shared" si="155"/>
        <v>0</v>
      </c>
      <c r="CI115" s="1119">
        <f t="shared" si="155"/>
        <v>0</v>
      </c>
      <c r="CJ115" s="1119">
        <f t="shared" si="155"/>
        <v>0</v>
      </c>
      <c r="CK115" s="1119">
        <f t="shared" si="155"/>
        <v>0</v>
      </c>
      <c r="CL115" s="1119">
        <f t="shared" si="155"/>
        <v>0</v>
      </c>
      <c r="CM115" s="1119">
        <f t="shared" si="155"/>
        <v>0</v>
      </c>
      <c r="CN115" s="1119">
        <f t="shared" si="155"/>
        <v>0</v>
      </c>
      <c r="CO115" s="1119">
        <f t="shared" si="155"/>
        <v>0</v>
      </c>
      <c r="CP115" s="1119">
        <f t="shared" si="155"/>
        <v>0</v>
      </c>
      <c r="CQ115" s="1119">
        <f t="shared" si="155"/>
        <v>0</v>
      </c>
      <c r="CR115" s="1119">
        <f t="shared" si="155"/>
        <v>0</v>
      </c>
      <c r="CS115" s="1119">
        <f t="shared" si="155"/>
        <v>0</v>
      </c>
      <c r="CT115" s="1119">
        <f t="shared" si="155"/>
        <v>0</v>
      </c>
      <c r="CU115" s="1119">
        <f t="shared" si="155"/>
        <v>0</v>
      </c>
      <c r="CV115" s="1119">
        <f t="shared" si="155"/>
        <v>0</v>
      </c>
      <c r="CW115" s="1119">
        <f t="shared" si="155"/>
        <v>0</v>
      </c>
      <c r="CX115" s="1119">
        <f t="shared" si="155"/>
        <v>0</v>
      </c>
      <c r="CY115" s="1119">
        <f t="shared" si="155"/>
        <v>0</v>
      </c>
      <c r="CZ115" s="1119">
        <f t="shared" si="155"/>
        <v>0</v>
      </c>
      <c r="DA115" s="1119">
        <f t="shared" si="155"/>
        <v>0</v>
      </c>
      <c r="DB115" s="1119">
        <f t="shared" si="155"/>
        <v>0</v>
      </c>
      <c r="DC115" s="1119">
        <f t="shared" si="155"/>
        <v>0</v>
      </c>
      <c r="DD115" s="1119">
        <f t="shared" si="155"/>
        <v>0</v>
      </c>
      <c r="DE115" s="1119">
        <f t="shared" si="155"/>
        <v>0</v>
      </c>
      <c r="DF115" s="1119">
        <f t="shared" si="155"/>
        <v>0</v>
      </c>
      <c r="DG115" s="1119">
        <f t="shared" si="155"/>
        <v>0</v>
      </c>
      <c r="DH115" s="1119">
        <f t="shared" si="155"/>
        <v>0</v>
      </c>
      <c r="DI115" s="1119">
        <f t="shared" si="155"/>
        <v>0</v>
      </c>
      <c r="DJ115" s="1119">
        <f t="shared" si="155"/>
        <v>0</v>
      </c>
      <c r="DK115" s="1119">
        <f t="shared" si="155"/>
        <v>0</v>
      </c>
      <c r="DL115" s="1119">
        <f t="shared" si="155"/>
        <v>0</v>
      </c>
      <c r="DM115" s="1119">
        <f t="shared" si="155"/>
        <v>0</v>
      </c>
      <c r="DN115" s="1119">
        <f t="shared" si="155"/>
        <v>0</v>
      </c>
      <c r="DO115" s="1119">
        <f t="shared" si="155"/>
        <v>0</v>
      </c>
      <c r="DP115" s="1119">
        <f t="shared" si="155"/>
        <v>0</v>
      </c>
      <c r="DQ115" s="1119">
        <f t="shared" si="155"/>
        <v>0</v>
      </c>
      <c r="DR115" s="1119">
        <f t="shared" si="155"/>
        <v>0</v>
      </c>
      <c r="DS115" s="1119">
        <f t="shared" si="155"/>
        <v>0</v>
      </c>
      <c r="DT115" s="1119">
        <f t="shared" si="155"/>
        <v>0</v>
      </c>
      <c r="DU115" s="1119">
        <f t="shared" si="155"/>
        <v>0</v>
      </c>
      <c r="DV115" s="1119">
        <f t="shared" si="155"/>
        <v>0</v>
      </c>
      <c r="DW115" s="1119">
        <f t="shared" si="155"/>
        <v>0</v>
      </c>
      <c r="DX115" s="1119">
        <f t="shared" si="155"/>
        <v>0</v>
      </c>
      <c r="DY115" s="1119">
        <f t="shared" si="155"/>
        <v>0</v>
      </c>
      <c r="DZ115" s="1119">
        <f t="shared" si="155"/>
        <v>0</v>
      </c>
      <c r="EA115" s="1119">
        <f t="shared" si="155"/>
        <v>0</v>
      </c>
      <c r="EB115" s="1119">
        <f t="shared" si="155"/>
        <v>0</v>
      </c>
      <c r="EC115" s="1119">
        <f t="shared" si="155"/>
        <v>0</v>
      </c>
      <c r="ED115" s="1119">
        <f t="shared" si="155"/>
        <v>0</v>
      </c>
      <c r="EE115" s="1119">
        <f t="shared" si="155"/>
        <v>0</v>
      </c>
      <c r="EF115" s="1119">
        <f t="shared" si="155"/>
        <v>0</v>
      </c>
      <c r="EG115" s="1119">
        <f t="shared" si="155"/>
        <v>0</v>
      </c>
      <c r="EH115" s="1119">
        <f t="shared" ref="EH115:EJ115" si="156">-EH114</f>
        <v>0</v>
      </c>
      <c r="EI115" s="1119">
        <f t="shared" si="156"/>
        <v>0</v>
      </c>
      <c r="EJ115" s="1120">
        <f t="shared" si="156"/>
        <v>0</v>
      </c>
    </row>
    <row r="116" spans="1:140" ht="15.75" customHeight="1" x14ac:dyDescent="0.25">
      <c r="A116" s="6"/>
      <c r="B116" s="650" t="s">
        <v>516</v>
      </c>
      <c r="C116" s="358"/>
      <c r="D116" s="358"/>
      <c r="E116" s="358"/>
      <c r="F116" s="358"/>
      <c r="G116" s="1082"/>
      <c r="H116" s="1115">
        <f>IF(H5&gt;$E$4,0,SUM($H$115:H115)+$E$111)</f>
        <v>0</v>
      </c>
      <c r="I116" s="599">
        <f>IF(I5&gt;$E$4,0,SUM($H$115:I115)+$E$111)</f>
        <v>0</v>
      </c>
      <c r="J116" s="599">
        <f>IF(J5&gt;$E$4,0,SUM($H$115:J115)+$E$111)</f>
        <v>0</v>
      </c>
      <c r="K116" s="599">
        <f>IF(K5&gt;$E$4,0,SUM($H$115:K115)+$E$111)</f>
        <v>0</v>
      </c>
      <c r="L116" s="599">
        <f>IF(L5&gt;$E$4,0,SUM($H$115:L115)+$E$111)</f>
        <v>0</v>
      </c>
      <c r="M116" s="599">
        <f>IF(M5&gt;$E$4,0,SUM($H$115:M115)+$E$111)</f>
        <v>0</v>
      </c>
      <c r="N116" s="599">
        <f>IF(N5&gt;$E$4,0,SUM($H$115:N115)+$E$111)</f>
        <v>0</v>
      </c>
      <c r="O116" s="599">
        <f>IF(O5&gt;$E$4,0,SUM($H$115:O115)+$E$111)</f>
        <v>0</v>
      </c>
      <c r="P116" s="599">
        <f>IF(P5&gt;$E$4,0,SUM($H$115:P115)+$E$111)</f>
        <v>0</v>
      </c>
      <c r="Q116" s="599">
        <f>IF(Q5&gt;$E$4,0,SUM($H$115:Q115)+$E$111)</f>
        <v>0</v>
      </c>
      <c r="R116" s="599">
        <f>IF(R5&gt;$E$4,0,SUM($H$115:R115)+$E$111)</f>
        <v>0</v>
      </c>
      <c r="S116" s="599">
        <f>IF(S5&gt;$E$4,0,SUM($H$115:S115)+$E$111)</f>
        <v>0</v>
      </c>
      <c r="T116" s="599">
        <f>IF(T5&gt;$E$4,0,SUM($H$115:T115)+$E$111)</f>
        <v>0</v>
      </c>
      <c r="U116" s="599">
        <f>IF(U5&gt;$E$4,0,SUM($H$115:U115)+$E$111)</f>
        <v>0</v>
      </c>
      <c r="V116" s="599">
        <f>IF(V5&gt;$E$4,0,SUM($H$115:V115)+$E$111)</f>
        <v>0</v>
      </c>
      <c r="W116" s="599">
        <f>IF(W5&gt;$E$4,0,SUM($H$115:W115)+$E$111)</f>
        <v>0</v>
      </c>
      <c r="X116" s="599">
        <f>IF(X5&gt;$E$4,0,SUM($H$115:X115)+$E$111)</f>
        <v>0</v>
      </c>
      <c r="Y116" s="599">
        <f>IF(Y5&gt;$E$4,0,SUM($H$115:Y115)+$E$111)</f>
        <v>0</v>
      </c>
      <c r="Z116" s="599">
        <f>IF(Z5&gt;$E$4,0,SUM($H$115:Z115)+$E$111)</f>
        <v>0</v>
      </c>
      <c r="AA116" s="599">
        <f>IF(AA5&gt;$E$4,0,SUM($H$115:AA115)+$E$111)</f>
        <v>0</v>
      </c>
      <c r="AB116" s="599">
        <f>IF(AB5&gt;$E$4,0,SUM($H$115:AB115)+$E$111)</f>
        <v>0</v>
      </c>
      <c r="AC116" s="599">
        <f>IF(AC5&gt;$E$4,0,SUM($H$115:AC115)+$E$111)</f>
        <v>0</v>
      </c>
      <c r="AD116" s="599">
        <f>IF(AD5&gt;$E$4,0,SUM($H$115:AD115)+$E$111)</f>
        <v>0</v>
      </c>
      <c r="AE116" s="599">
        <f>IF(AE5&gt;$E$4,0,SUM($H$115:AE115)+$E$111)</f>
        <v>0</v>
      </c>
      <c r="AF116" s="599">
        <f>IF(AF5&gt;$E$4,0,SUM($H$115:AF115)+$E$111)</f>
        <v>0</v>
      </c>
      <c r="AG116" s="599">
        <f>IF(AG5&gt;$E$4,0,SUM($H$115:AG115)+$E$111)</f>
        <v>0</v>
      </c>
      <c r="AH116" s="599">
        <f>IF(AH5&gt;$E$4,0,SUM($H$115:AH115)+$E$111)</f>
        <v>0</v>
      </c>
      <c r="AI116" s="599">
        <f>IF(AI5&gt;$E$4,0,SUM($H$115:AI115)+$E$111)</f>
        <v>0</v>
      </c>
      <c r="AJ116" s="599">
        <f>IF(AJ5&gt;$E$4,0,SUM($H$115:AJ115)+$E$111)</f>
        <v>0</v>
      </c>
      <c r="AK116" s="599">
        <f>IF(AK5&gt;$E$4,0,SUM($H$115:AK115)+$E$111)</f>
        <v>0</v>
      </c>
      <c r="AL116" s="599">
        <f>IF(AL5&gt;$E$4,0,SUM($H$115:AL115)+$E$111)</f>
        <v>0</v>
      </c>
      <c r="AM116" s="599">
        <f>IF(AM5&gt;$E$4,0,SUM($H$115:AM115)+$E$111)</f>
        <v>0</v>
      </c>
      <c r="AN116" s="599">
        <f>IF(AN5&gt;$E$4,0,SUM($H$115:AN115)+$E$111)</f>
        <v>0</v>
      </c>
      <c r="AO116" s="599">
        <f>IF(AO5&gt;$E$4,0,SUM($H$115:AO115)+$E$111)</f>
        <v>0</v>
      </c>
      <c r="AP116" s="599">
        <f>IF(AP5&gt;$E$4,0,SUM($H$115:AP115)+$E$111)</f>
        <v>0</v>
      </c>
      <c r="AQ116" s="599">
        <f>IF(AQ5&gt;$E$4,0,SUM($H$115:AQ115)+$E$111)</f>
        <v>0</v>
      </c>
      <c r="AR116" s="599">
        <f>IF(AR5&gt;$E$4,0,SUM($H$115:AR115)+$E$111)</f>
        <v>0</v>
      </c>
      <c r="AS116" s="599">
        <f>IF(AS5&gt;$E$4,0,SUM($H$115:AS115)+$E$111)</f>
        <v>0</v>
      </c>
      <c r="AT116" s="599">
        <f>IF(AT5&gt;$E$4,0,SUM($H$115:AT115)+$E$111)</f>
        <v>0</v>
      </c>
      <c r="AU116" s="599">
        <f>IF(AU5&gt;$E$4,0,SUM($H$115:AU115)+$E$111)</f>
        <v>0</v>
      </c>
      <c r="AV116" s="599">
        <f>IF(AV5&gt;$E$4,0,SUM($H$115:AV115)+$E$111)</f>
        <v>0</v>
      </c>
      <c r="AW116" s="599">
        <f>IF(AW5&gt;$E$4,0,SUM($H$115:AW115)+$E$111)</f>
        <v>0</v>
      </c>
      <c r="AX116" s="599">
        <f>IF(AX5&gt;$E$4,0,SUM($H$115:AX115)+$E$111)</f>
        <v>0</v>
      </c>
      <c r="AY116" s="599">
        <f>IF(AY5&gt;$E$4,0,SUM($H$115:AY115)+$E$111)</f>
        <v>0</v>
      </c>
      <c r="AZ116" s="599">
        <f>IF(AZ5&gt;$E$4,0,SUM($H$115:AZ115)+$E$111)</f>
        <v>0</v>
      </c>
      <c r="BA116" s="599">
        <f>IF(BA5&gt;$E$4,0,SUM($H$115:BA115)+$E$111)</f>
        <v>0</v>
      </c>
      <c r="BB116" s="599">
        <f>IF(BB5&gt;$E$4,0,SUM($H$115:BB115)+$E$111)</f>
        <v>0</v>
      </c>
      <c r="BC116" s="599">
        <f>IF(BC5&gt;$E$4,0,SUM($H$115:BC115)+$E$111)</f>
        <v>0</v>
      </c>
      <c r="BD116" s="599">
        <f>IF(BD5&gt;$E$4,0,SUM($H$115:BD115)+$E$111)</f>
        <v>0</v>
      </c>
      <c r="BE116" s="599">
        <f>IF(BE5&gt;$E$4,0,SUM($H$115:BE115)+$E$111)</f>
        <v>0</v>
      </c>
      <c r="BF116" s="599">
        <f>IF(BF5&gt;$E$4,0,SUM($H$115:BF115)+$E$111)</f>
        <v>0</v>
      </c>
      <c r="BG116" s="599">
        <f>IF(BG5&gt;$E$4,0,SUM($H$115:BG115)+$E$111)</f>
        <v>0</v>
      </c>
      <c r="BH116" s="599">
        <f>IF(BH5&gt;$E$4,0,SUM($H$115:BH115)+$E$111)</f>
        <v>0</v>
      </c>
      <c r="BI116" s="599">
        <f>IF(BI5&gt;$E$4,0,SUM($H$115:BI115)+$E$111)</f>
        <v>0</v>
      </c>
      <c r="BJ116" s="599">
        <f>IF(BJ5&gt;$E$4,0,SUM($H$115:BJ115)+$E$111)</f>
        <v>0</v>
      </c>
      <c r="BK116" s="599">
        <f>IF(BK5&gt;$E$4,0,SUM($H$115:BK115)+$E$111)</f>
        <v>0</v>
      </c>
      <c r="BL116" s="599">
        <f>IF(BL5&gt;$E$4,0,SUM($H$115:BL115)+$E$111)</f>
        <v>0</v>
      </c>
      <c r="BM116" s="599">
        <f>IF(BM5&gt;$E$4,0,SUM($H$115:BM115)+$E$111)</f>
        <v>0</v>
      </c>
      <c r="BN116" s="599">
        <f>IF(BN5&gt;$E$4,0,SUM($H$115:BN115)+$E$111)</f>
        <v>0</v>
      </c>
      <c r="BO116" s="599">
        <f>IF(BO5&gt;$E$4,0,SUM($H$115:BO115)+$E$111)</f>
        <v>0</v>
      </c>
      <c r="BP116" s="599">
        <f>IF(BP5&gt;$E$4,0,SUM($H$115:BP115)+$E$111)</f>
        <v>0</v>
      </c>
      <c r="BQ116" s="599">
        <f>IF(BQ5&gt;$E$4,0,SUM($H$115:BQ115)+$E$111)</f>
        <v>0</v>
      </c>
      <c r="BR116" s="599">
        <f>IF(BR5&gt;$E$4,0,SUM($H$115:BR115)+$E$111)</f>
        <v>0</v>
      </c>
      <c r="BS116" s="599">
        <f>IF(BS5&gt;$E$4,0,SUM($H$115:BS115)+$E$111)</f>
        <v>0</v>
      </c>
      <c r="BT116" s="599">
        <f>IF(BT5&gt;$E$4,0,SUM($H$115:BT115)+$E$111)</f>
        <v>0</v>
      </c>
      <c r="BU116" s="599">
        <f>IF(BU5&gt;$E$4,0,SUM($H$115:BU115)+$E$111)</f>
        <v>0</v>
      </c>
      <c r="BV116" s="599">
        <f>IF(BV5&gt;$E$4,0,SUM($H$115:BV115)+$E$111)</f>
        <v>0</v>
      </c>
      <c r="BW116" s="599">
        <f>IF(BW5&gt;$E$4,0,SUM($H$115:BW115)+$E$111)</f>
        <v>0</v>
      </c>
      <c r="BX116" s="599">
        <f>IF(BX5&gt;$E$4,0,SUM($H$115:BX115)+$E$111)</f>
        <v>0</v>
      </c>
      <c r="BY116" s="599">
        <f>IF(BY5&gt;$E$4,0,SUM($H$115:BY115)+$E$111)</f>
        <v>0</v>
      </c>
      <c r="BZ116" s="599">
        <f>IF(BZ5&gt;$E$4,0,SUM($H$115:BZ115)+$E$111)</f>
        <v>0</v>
      </c>
      <c r="CA116" s="599">
        <f>IF(CA5&gt;$E$4,0,SUM($H$115:CA115)+$E$111)</f>
        <v>0</v>
      </c>
      <c r="CB116" s="599">
        <f>IF(CB5&gt;$E$4,0,SUM($H$115:CB115)+$E$111)</f>
        <v>0</v>
      </c>
      <c r="CC116" s="599">
        <f>IF(CC5&gt;$E$4,0,SUM($H$115:CC115)+$E$111)</f>
        <v>0</v>
      </c>
      <c r="CD116" s="599">
        <f>IF(CD5&gt;$E$4,0,SUM($H$115:CD115)+$E$111)</f>
        <v>0</v>
      </c>
      <c r="CE116" s="599">
        <f>IF(CE5&gt;$E$4,0,SUM($H$115:CE115)+$E$111)</f>
        <v>0</v>
      </c>
      <c r="CF116" s="599">
        <f>IF(CF5&gt;$E$4,0,SUM($H$115:CF115)+$E$111)</f>
        <v>0</v>
      </c>
      <c r="CG116" s="599">
        <f>IF(CG5&gt;$E$4,0,SUM($H$115:CG115)+$E$111)</f>
        <v>0</v>
      </c>
      <c r="CH116" s="599">
        <f>IF(CH5&gt;$E$4,0,SUM($H$115:CH115)+$E$111)</f>
        <v>0</v>
      </c>
      <c r="CI116" s="599">
        <f>IF(CI5&gt;$E$4,0,SUM($H$115:CI115)+$E$111)</f>
        <v>0</v>
      </c>
      <c r="CJ116" s="599">
        <f>IF(CJ5&gt;$E$4,0,SUM($H$115:CJ115)+$E$111)</f>
        <v>0</v>
      </c>
      <c r="CK116" s="599">
        <f>IF(CK5&gt;$E$4,0,SUM($H$115:CK115)+$E$111)</f>
        <v>0</v>
      </c>
      <c r="CL116" s="599">
        <f>IF(CL5&gt;$E$4,0,SUM($H$115:CL115)+$E$111)</f>
        <v>0</v>
      </c>
      <c r="CM116" s="599">
        <f>IF(CM5&gt;$E$4,0,SUM($H$115:CM115)+$E$111)</f>
        <v>0</v>
      </c>
      <c r="CN116" s="599">
        <f>IF(CN5&gt;$E$4,0,SUM($H$115:CN115)+$E$111)</f>
        <v>0</v>
      </c>
      <c r="CO116" s="599">
        <f>IF(CO5&gt;$E$4,0,SUM($H$115:CO115)+$E$111)</f>
        <v>0</v>
      </c>
      <c r="CP116" s="599">
        <f>IF(CP5&gt;$E$4,0,SUM($H$115:CP115)+$E$111)</f>
        <v>0</v>
      </c>
      <c r="CQ116" s="599">
        <f>IF(CQ5&gt;$E$4,0,SUM($H$115:CQ115)+$E$111)</f>
        <v>0</v>
      </c>
      <c r="CR116" s="599">
        <f>IF(CR5&gt;$E$4,0,SUM($H$115:CR115)+$E$111)</f>
        <v>0</v>
      </c>
      <c r="CS116" s="599">
        <f>IF(CS5&gt;$E$4,0,SUM($H$115:CS115)+$E$111)</f>
        <v>0</v>
      </c>
      <c r="CT116" s="599">
        <f>IF(CT5&gt;$E$4,0,SUM($H$115:CT115)+$E$111)</f>
        <v>0</v>
      </c>
      <c r="CU116" s="599">
        <f>IF(CU5&gt;$E$4,0,SUM($H$115:CU115)+$E$111)</f>
        <v>0</v>
      </c>
      <c r="CV116" s="599">
        <f>IF(CV5&gt;$E$4,0,SUM($H$115:CV115)+$E$111)</f>
        <v>0</v>
      </c>
      <c r="CW116" s="599">
        <f>IF(CW5&gt;$E$4,0,SUM($H$115:CW115)+$E$111)</f>
        <v>0</v>
      </c>
      <c r="CX116" s="599">
        <f>IF(CX5&gt;$E$4,0,SUM($H$115:CX115)+$E$111)</f>
        <v>0</v>
      </c>
      <c r="CY116" s="599">
        <f>IF(CY5&gt;$E$4,0,SUM($H$115:CY115)+$E$111)</f>
        <v>0</v>
      </c>
      <c r="CZ116" s="599">
        <f>IF(CZ5&gt;$E$4,0,SUM($H$115:CZ115)+$E$111)</f>
        <v>0</v>
      </c>
      <c r="DA116" s="599">
        <f>IF(DA5&gt;$E$4,0,SUM($H$115:DA115)+$E$111)</f>
        <v>0</v>
      </c>
      <c r="DB116" s="599">
        <f>IF(DB5&gt;$E$4,0,SUM($H$115:DB115)+$E$111)</f>
        <v>0</v>
      </c>
      <c r="DC116" s="599">
        <f>IF(DC5&gt;$E$4,0,SUM($H$115:DC115)+$E$111)</f>
        <v>0</v>
      </c>
      <c r="DD116" s="599">
        <f>IF(DD5&gt;$E$4,0,SUM($H$115:DD115)+$E$111)</f>
        <v>0</v>
      </c>
      <c r="DE116" s="599">
        <f>IF(DE5&gt;$E$4,0,SUM($H$115:DE115)+$E$111)</f>
        <v>0</v>
      </c>
      <c r="DF116" s="599">
        <f>IF(DF5&gt;$E$4,0,SUM($H$115:DF115)+$E$111)</f>
        <v>0</v>
      </c>
      <c r="DG116" s="599">
        <f>IF(DG5&gt;$E$4,0,SUM($H$115:DG115)+$E$111)</f>
        <v>0</v>
      </c>
      <c r="DH116" s="599">
        <f>IF(DH5&gt;$E$4,0,SUM($H$115:DH115)+$E$111)</f>
        <v>0</v>
      </c>
      <c r="DI116" s="599">
        <f>IF(DI5&gt;$E$4,0,SUM($H$115:DI115)+$E$111)</f>
        <v>0</v>
      </c>
      <c r="DJ116" s="599">
        <f>IF(DJ5&gt;$E$4,0,SUM($H$115:DJ115)+$E$111)</f>
        <v>0</v>
      </c>
      <c r="DK116" s="599">
        <f>IF(DK5&gt;$E$4,0,SUM($H$115:DK115)+$E$111)</f>
        <v>0</v>
      </c>
      <c r="DL116" s="599">
        <f>IF(DL5&gt;$E$4,0,SUM($H$115:DL115)+$E$111)</f>
        <v>0</v>
      </c>
      <c r="DM116" s="599">
        <f>IF(DM5&gt;$E$4,0,SUM($H$115:DM115)+$E$111)</f>
        <v>0</v>
      </c>
      <c r="DN116" s="599">
        <f>IF(DN5&gt;$E$4,0,SUM($H$115:DN115)+$E$111)</f>
        <v>0</v>
      </c>
      <c r="DO116" s="599">
        <f>IF(DO5&gt;$E$4,0,SUM($H$115:DO115)+$E$111)</f>
        <v>0</v>
      </c>
      <c r="DP116" s="599">
        <f>IF(DP5&gt;$E$4,0,SUM($H$115:DP115)+$E$111)</f>
        <v>0</v>
      </c>
      <c r="DQ116" s="599">
        <f>IF(DQ5&gt;$E$4,0,SUM($H$115:DQ115)+$E$111)</f>
        <v>0</v>
      </c>
      <c r="DR116" s="599">
        <f>IF(DR5&gt;$E$4,0,SUM($H$115:DR115)+$E$111)</f>
        <v>0</v>
      </c>
      <c r="DS116" s="599">
        <f>IF(DS5&gt;$E$4,0,SUM($H$115:DS115)+$E$111)</f>
        <v>0</v>
      </c>
      <c r="DT116" s="599">
        <f>IF(DT5&gt;$E$4,0,SUM($H$115:DT115)+$E$111)</f>
        <v>0</v>
      </c>
      <c r="DU116" s="599">
        <f>IF(DU5&gt;$E$4,0,SUM($H$115:DU115)+$E$111)</f>
        <v>0</v>
      </c>
      <c r="DV116" s="599">
        <f>IF(DV5&gt;$E$4,0,SUM($H$115:DV115)+$E$111)</f>
        <v>0</v>
      </c>
      <c r="DW116" s="599">
        <f>IF(DW5&gt;$E$4,0,SUM($H$115:DW115)+$E$111)</f>
        <v>0</v>
      </c>
      <c r="DX116" s="599">
        <f>IF(DX5&gt;$E$4,0,SUM($H$115:DX115)+$E$111)</f>
        <v>0</v>
      </c>
      <c r="DY116" s="599">
        <f>IF(DY5&gt;$E$4,0,SUM($H$115:DY115)+$E$111)</f>
        <v>0</v>
      </c>
      <c r="DZ116" s="599">
        <f>IF(DZ5&gt;$E$4,0,SUM($H$115:DZ115)+$E$111)</f>
        <v>0</v>
      </c>
      <c r="EA116" s="599">
        <f>IF(EA5&gt;$E$4,0,SUM($H$115:EA115)+$E$111)</f>
        <v>0</v>
      </c>
      <c r="EB116" s="599">
        <f>IF(EB5&gt;$E$4,0,SUM($H$115:EB115)+$E$111)</f>
        <v>0</v>
      </c>
      <c r="EC116" s="599">
        <f>IF(EC5&gt;$E$4,0,SUM($H$115:EC115)+$E$111)</f>
        <v>0</v>
      </c>
      <c r="ED116" s="599">
        <f>IF(ED5&gt;$E$4,0,SUM($H$115:ED115)+$E$111)</f>
        <v>0</v>
      </c>
      <c r="EE116" s="599">
        <f>IF(EE5&gt;$E$4,0,SUM($H$115:EE115)+$E$111)</f>
        <v>0</v>
      </c>
      <c r="EF116" s="599">
        <f>IF(EF5&gt;$E$4,0,SUM($H$115:EF115)+$E$111)</f>
        <v>0</v>
      </c>
      <c r="EG116" s="599">
        <f>IF(EG5&gt;$E$4,0,SUM($H$115:EG115)+$E$111)</f>
        <v>0</v>
      </c>
      <c r="EH116" s="599">
        <f>IF(EH5&gt;$E$4,0,SUM($H$115:EH115)+$E$111)</f>
        <v>0</v>
      </c>
      <c r="EI116" s="599">
        <f>IF(EI5&gt;$E$4,0,SUM($H$115:EI115)+$E$111)</f>
        <v>0</v>
      </c>
      <c r="EJ116" s="1117">
        <f>IF(EJ5&gt;$E$4,0,SUM($H$115:EJ115)+$E$111)</f>
        <v>0</v>
      </c>
    </row>
    <row r="117" spans="1:140" ht="15.75" customHeight="1" x14ac:dyDescent="0.25">
      <c r="A117" s="6"/>
      <c r="B117" s="364"/>
      <c r="C117" s="358"/>
      <c r="D117" s="358"/>
      <c r="E117" s="358"/>
      <c r="F117" s="358"/>
      <c r="G117" s="1082"/>
      <c r="H117" s="1115"/>
      <c r="I117" s="599"/>
      <c r="J117" s="599"/>
      <c r="K117" s="599"/>
      <c r="L117" s="599"/>
      <c r="M117" s="599"/>
      <c r="N117" s="599"/>
      <c r="O117" s="599"/>
      <c r="P117" s="599"/>
      <c r="Q117" s="599"/>
      <c r="R117" s="599"/>
      <c r="S117" s="599"/>
      <c r="T117" s="599"/>
      <c r="U117" s="599"/>
      <c r="V117" s="599"/>
      <c r="W117" s="599"/>
      <c r="X117" s="599"/>
      <c r="Y117" s="599"/>
      <c r="Z117" s="599"/>
      <c r="AA117" s="599"/>
      <c r="AB117" s="599"/>
      <c r="AC117" s="599"/>
      <c r="AD117" s="599"/>
      <c r="AE117" s="599"/>
      <c r="AF117" s="599"/>
      <c r="AG117" s="599"/>
      <c r="AH117" s="599"/>
      <c r="AI117" s="599"/>
      <c r="AJ117" s="599"/>
      <c r="AK117" s="599"/>
      <c r="AL117" s="599"/>
      <c r="AM117" s="599"/>
      <c r="AN117" s="599"/>
      <c r="AO117" s="599"/>
      <c r="AP117" s="599"/>
      <c r="AQ117" s="599"/>
      <c r="AR117" s="599"/>
      <c r="AS117" s="599"/>
      <c r="AT117" s="599"/>
      <c r="AU117" s="599"/>
      <c r="AV117" s="599"/>
      <c r="AW117" s="599"/>
      <c r="AX117" s="599"/>
      <c r="AY117" s="599"/>
      <c r="AZ117" s="599"/>
      <c r="BA117" s="599"/>
      <c r="BB117" s="599"/>
      <c r="BC117" s="599"/>
      <c r="BD117" s="599"/>
      <c r="BE117" s="599"/>
      <c r="BF117" s="599"/>
      <c r="BG117" s="599"/>
      <c r="BH117" s="599"/>
      <c r="BI117" s="599"/>
      <c r="BJ117" s="599"/>
      <c r="BK117" s="599"/>
      <c r="BL117" s="599"/>
      <c r="BM117" s="599"/>
      <c r="BN117" s="599"/>
      <c r="BO117" s="599"/>
      <c r="BP117" s="599"/>
      <c r="BQ117" s="599"/>
      <c r="BR117" s="599"/>
      <c r="BS117" s="599"/>
      <c r="BT117" s="599"/>
      <c r="BU117" s="599"/>
      <c r="BV117" s="599"/>
      <c r="BW117" s="599"/>
      <c r="BX117" s="599"/>
      <c r="BY117" s="599"/>
      <c r="BZ117" s="599"/>
      <c r="CA117" s="599"/>
      <c r="CB117" s="599"/>
      <c r="CC117" s="599"/>
      <c r="CD117" s="599"/>
      <c r="CE117" s="599"/>
      <c r="CF117" s="599"/>
      <c r="CG117" s="599"/>
      <c r="CH117" s="599"/>
      <c r="CI117" s="599"/>
      <c r="CJ117" s="599"/>
      <c r="CK117" s="599"/>
      <c r="CL117" s="599"/>
      <c r="CM117" s="599"/>
      <c r="CN117" s="599"/>
      <c r="CO117" s="599"/>
      <c r="CP117" s="599"/>
      <c r="CQ117" s="599"/>
      <c r="CR117" s="599"/>
      <c r="CS117" s="599"/>
      <c r="CT117" s="599"/>
      <c r="CU117" s="599"/>
      <c r="CV117" s="599"/>
      <c r="CW117" s="599"/>
      <c r="CX117" s="599"/>
      <c r="CY117" s="599"/>
      <c r="CZ117" s="599"/>
      <c r="DA117" s="599"/>
      <c r="DB117" s="599"/>
      <c r="DC117" s="599"/>
      <c r="DD117" s="599"/>
      <c r="DE117" s="599"/>
      <c r="DF117" s="599"/>
      <c r="DG117" s="599"/>
      <c r="DH117" s="599"/>
      <c r="DI117" s="599"/>
      <c r="DJ117" s="599"/>
      <c r="DK117" s="599"/>
      <c r="DL117" s="599"/>
      <c r="DM117" s="599"/>
      <c r="DN117" s="599"/>
      <c r="DO117" s="599"/>
      <c r="DP117" s="599"/>
      <c r="DQ117" s="599"/>
      <c r="DR117" s="599"/>
      <c r="DS117" s="599"/>
      <c r="DT117" s="599"/>
      <c r="DU117" s="599"/>
      <c r="DV117" s="599"/>
      <c r="DW117" s="599"/>
      <c r="DX117" s="599"/>
      <c r="DY117" s="599"/>
      <c r="DZ117" s="599"/>
      <c r="EA117" s="599"/>
      <c r="EB117" s="599"/>
      <c r="EC117" s="599"/>
      <c r="ED117" s="599"/>
      <c r="EE117" s="599"/>
      <c r="EF117" s="599"/>
      <c r="EG117" s="599"/>
      <c r="EH117" s="599"/>
      <c r="EI117" s="599"/>
      <c r="EJ117" s="1117"/>
    </row>
    <row r="118" spans="1:140" ht="15.75" customHeight="1" x14ac:dyDescent="0.25">
      <c r="A118" s="6"/>
      <c r="B118" s="355" t="s">
        <v>320</v>
      </c>
      <c r="C118" s="211"/>
      <c r="D118" s="358"/>
      <c r="E118" s="211" t="s">
        <v>321</v>
      </c>
      <c r="F118" s="211" t="s">
        <v>28</v>
      </c>
      <c r="G118" s="1082"/>
      <c r="H118" s="1110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  <c r="AA118" s="579"/>
      <c r="AB118" s="579"/>
      <c r="AC118" s="579"/>
      <c r="AD118" s="579"/>
      <c r="AE118" s="579"/>
      <c r="AF118" s="579"/>
      <c r="AG118" s="579"/>
      <c r="AH118" s="579"/>
      <c r="AI118" s="579"/>
      <c r="AJ118" s="579"/>
      <c r="AK118" s="579"/>
      <c r="AL118" s="579"/>
      <c r="AM118" s="579"/>
      <c r="AN118" s="579"/>
      <c r="AO118" s="579"/>
      <c r="AP118" s="579"/>
      <c r="AQ118" s="579"/>
      <c r="AR118" s="579"/>
      <c r="AS118" s="579"/>
      <c r="AT118" s="579"/>
      <c r="AU118" s="579"/>
      <c r="AV118" s="579"/>
      <c r="AW118" s="579"/>
      <c r="AX118" s="579"/>
      <c r="AY118" s="579"/>
      <c r="AZ118" s="579"/>
      <c r="BA118" s="579"/>
      <c r="BB118" s="579"/>
      <c r="BC118" s="579"/>
      <c r="BD118" s="579"/>
      <c r="BE118" s="579"/>
      <c r="BF118" s="579"/>
      <c r="BG118" s="579"/>
      <c r="BH118" s="579"/>
      <c r="BI118" s="579"/>
      <c r="BJ118" s="579"/>
      <c r="BK118" s="579"/>
      <c r="BL118" s="579"/>
      <c r="BM118" s="579"/>
      <c r="BN118" s="579"/>
      <c r="BO118" s="579"/>
      <c r="BP118" s="579"/>
      <c r="BQ118" s="579"/>
      <c r="BR118" s="579"/>
      <c r="BS118" s="579"/>
      <c r="BT118" s="579"/>
      <c r="BU118" s="579"/>
      <c r="BV118" s="579"/>
      <c r="BW118" s="579"/>
      <c r="BX118" s="579"/>
      <c r="BY118" s="579"/>
      <c r="BZ118" s="579"/>
      <c r="CA118" s="579"/>
      <c r="CB118" s="579"/>
      <c r="CC118" s="579"/>
      <c r="CD118" s="579"/>
      <c r="CE118" s="579"/>
      <c r="CF118" s="579"/>
      <c r="CG118" s="579"/>
      <c r="CH118" s="579"/>
      <c r="CI118" s="579"/>
      <c r="CJ118" s="579"/>
      <c r="CK118" s="579"/>
      <c r="CL118" s="579"/>
      <c r="CM118" s="579"/>
      <c r="CN118" s="579"/>
      <c r="CO118" s="579"/>
      <c r="CP118" s="579"/>
      <c r="CQ118" s="579"/>
      <c r="CR118" s="579"/>
      <c r="CS118" s="579"/>
      <c r="CT118" s="579"/>
      <c r="CU118" s="579"/>
      <c r="CV118" s="579"/>
      <c r="CW118" s="579"/>
      <c r="CX118" s="579"/>
      <c r="CY118" s="579"/>
      <c r="CZ118" s="579"/>
      <c r="DA118" s="579"/>
      <c r="DB118" s="579"/>
      <c r="DC118" s="579"/>
      <c r="DD118" s="579"/>
      <c r="DE118" s="579"/>
      <c r="DF118" s="579"/>
      <c r="DG118" s="579"/>
      <c r="DH118" s="579"/>
      <c r="DI118" s="579"/>
      <c r="DJ118" s="579"/>
      <c r="DK118" s="579"/>
      <c r="DL118" s="579"/>
      <c r="DM118" s="579"/>
      <c r="DN118" s="579"/>
      <c r="DO118" s="579"/>
      <c r="DP118" s="579"/>
      <c r="DQ118" s="579"/>
      <c r="DR118" s="579"/>
      <c r="DS118" s="579"/>
      <c r="DT118" s="579"/>
      <c r="DU118" s="579"/>
      <c r="DV118" s="579"/>
      <c r="DW118" s="579"/>
      <c r="DX118" s="579"/>
      <c r="DY118" s="579"/>
      <c r="DZ118" s="579"/>
      <c r="EA118" s="579"/>
      <c r="EB118" s="579"/>
      <c r="EC118" s="579"/>
      <c r="ED118" s="579"/>
      <c r="EE118" s="579"/>
      <c r="EF118" s="579"/>
      <c r="EG118" s="579"/>
      <c r="EH118" s="579"/>
      <c r="EI118" s="579"/>
      <c r="EJ118" s="1114"/>
    </row>
    <row r="119" spans="1:140" ht="15.75" customHeight="1" x14ac:dyDescent="0.25">
      <c r="A119" s="6"/>
      <c r="B119" s="364" t="s">
        <v>315</v>
      </c>
      <c r="C119" s="427"/>
      <c r="D119" s="358"/>
      <c r="E119" s="438">
        <f>LOAN</f>
        <v>15552810.511988698</v>
      </c>
      <c r="F119" s="430">
        <f>E119/COST</f>
        <v>0.65</v>
      </c>
      <c r="G119" s="1082"/>
      <c r="H119" s="1115">
        <f>IF(AND(H107=0,H113=0),IF(SUM($G$120:G120)=0,$D$121,G121),0)</f>
        <v>0</v>
      </c>
      <c r="I119" s="599">
        <f>IF(AND(I107=0,I113=0),IF(SUM($G$120:H120)=0,$D$121,H121),0)</f>
        <v>0</v>
      </c>
      <c r="J119" s="599">
        <f>IF(AND(J107=0,J113=0),IF(SUM($G$120:I120)=0,$D$121,I121),0)</f>
        <v>0</v>
      </c>
      <c r="K119" s="599">
        <f>IF(AND(K107=0,K113=0),IF(SUM($G$120:J120)=0,$D$121,J121),0)</f>
        <v>0</v>
      </c>
      <c r="L119" s="599">
        <f>IF(AND(L107=0,L113=0),IF(SUM($G$120:K120)=0,$D$121,K121),0)</f>
        <v>0</v>
      </c>
      <c r="M119" s="599">
        <f>IF(AND(M107=0,M113=0),IF(SUM($G$120:L120)=0,$D$121,L121),0)</f>
        <v>0</v>
      </c>
      <c r="N119" s="599">
        <f>IF(AND(N107=0,N113=0),IF(SUM($G$120:M120)=0,$D$121,M121),0)</f>
        <v>0</v>
      </c>
      <c r="O119" s="599">
        <f>IF(AND(O107=0,O113=0),IF(SUM($G$120:N120)=0,$D$121,N121),0)</f>
        <v>14308585.671029601</v>
      </c>
      <c r="P119" s="599">
        <f>IF(AND(P107=0,P113=0),IF(SUM($G$120:O120)=0,$D$121,O121),0)</f>
        <v>13585485.93511939</v>
      </c>
      <c r="Q119" s="599">
        <f>IF(AND(Q107=0,Q113=0),IF(SUM($G$120:P120)=0,$D$121,P121),0)</f>
        <v>12543407.471836949</v>
      </c>
      <c r="R119" s="599">
        <f>IF(AND(R107=0,R113=0),IF(SUM($G$120:Q120)=0,$D$121,Q121),0)</f>
        <v>11496404.74064414</v>
      </c>
      <c r="S119" s="599">
        <f>IF(AND(S107=0,S113=0),IF(SUM($G$120:R120)=0,$D$121,R121),0)</f>
        <v>10710442.834869966</v>
      </c>
      <c r="T119" s="599">
        <f>IF(AND(T107=0,T113=0),IF(SUM($G$120:S120)=0,$D$121,S121),0)</f>
        <v>9921993.0213652477</v>
      </c>
      <c r="U119" s="599">
        <f>IF(AND(U107=0,U113=0),IF(SUM($G$120:T120)=0,$D$121,T121),0)</f>
        <v>9132296.0112500023</v>
      </c>
      <c r="V119" s="599">
        <f>IF(AND(V107=0,V113=0),IF(SUM($G$120:U120)=0,$D$121,U121),0)</f>
        <v>8342599.001134756</v>
      </c>
      <c r="W119" s="599">
        <f>IF(AND(W107=0,W113=0),IF(SUM($G$120:V120)=0,$D$121,V121),0)</f>
        <v>7554149.1876300396</v>
      </c>
      <c r="X119" s="599">
        <f>IF(AND(X107=0,X113=0),IF(SUM($G$120:W120)=0,$D$121,W121),0)</f>
        <v>6768187.2818558626</v>
      </c>
      <c r="Y119" s="599">
        <f>IF(AND(Y107=0,Y113=0),IF(SUM($G$120:X120)=0,$D$121,X121),0)</f>
        <v>5985941.0801269338</v>
      </c>
      <c r="Z119" s="599">
        <f>IF(AND(Z107=0,Z113=0),IF(SUM($G$120:Y120)=0,$D$121,Y121),0)</f>
        <v>5208619.1463083709</v>
      </c>
      <c r="AA119" s="599">
        <f>IF(AND(AA107=0,AA113=0),IF(SUM($G$120:Z120)=0,$D$121,Z121),0)</f>
        <v>4437404.6599858701</v>
      </c>
      <c r="AB119" s="599">
        <f>IF(AND(AB107=0,AB113=0),IF(SUM($G$120:AA120)=0,$D$121,AA121),0)</f>
        <v>3673449.4825938479</v>
      </c>
      <c r="AC119" s="599">
        <f>IF(AND(AC107=0,AC113=0),IF(SUM($G$120:AB120)=0,$D$121,AB121),0)</f>
        <v>2917868.4910267186</v>
      </c>
      <c r="AD119" s="599">
        <f>IF(AND(AD107=0,AD113=0),IF(SUM($G$120:AC120)=0,$D$121,AC121),0)</f>
        <v>2171734.2250622236</v>
      </c>
      <c r="AE119" s="599">
        <f>IF(AND(AE107=0,AE113=0),IF(SUM($G$120:AD120)=0,$D$121,AD121),0)</f>
        <v>1436071.891200705</v>
      </c>
      <c r="AF119" s="599">
        <f>IF(AND(AF107=0,AF113=0),IF(SUM($G$120:AE120)=0,$D$121,AE121),0)</f>
        <v>711854.76132746134</v>
      </c>
      <c r="AG119" s="599">
        <f>IF(AND(AG107=0,AG113=0),IF(SUM($G$120:AF120)=0,$D$121,AF121),0)</f>
        <v>4.6566128730773926E-10</v>
      </c>
      <c r="AH119" s="599">
        <f>IF(AND(AH107=0,AH113=0),IF(SUM($G$120:AG120)=0,$D$121,AG121),0)</f>
        <v>4.6566128730773926E-10</v>
      </c>
      <c r="AI119" s="599">
        <f>IF(AND(AI107=0,AI113=0),IF(SUM($G$120:AH120)=0,$D$121,AH121),0)</f>
        <v>4.6566128730773926E-10</v>
      </c>
      <c r="AJ119" s="599">
        <f>IF(AND(AJ107=0,AJ113=0),IF(SUM($G$120:AI120)=0,$D$121,AI121),0)</f>
        <v>4.6566128730773926E-10</v>
      </c>
      <c r="AK119" s="599">
        <f>IF(AND(AK107=0,AK113=0),IF(SUM($G$120:AJ120)=0,$D$121,AJ121),0)</f>
        <v>4.6566128730773926E-10</v>
      </c>
      <c r="AL119" s="599">
        <f>IF(AND(AL107=0,AL113=0),IF(SUM($G$120:AK120)=0,$D$121,AK121),0)</f>
        <v>4.6566128730773926E-10</v>
      </c>
      <c r="AM119" s="599">
        <f>IF(AND(AM107=0,AM113=0),IF(SUM($G$120:AL120)=0,$D$121,AL121),0)</f>
        <v>4.6566128730773926E-10</v>
      </c>
      <c r="AN119" s="599">
        <f>IF(AND(AN107=0,AN113=0),IF(SUM($G$120:AM120)=0,$D$121,AM121),0)</f>
        <v>4.6566128730773926E-10</v>
      </c>
      <c r="AO119" s="599">
        <f>IF(AND(AO107=0,AO113=0),IF(SUM($G$120:AN120)=0,$D$121,AN121),0)</f>
        <v>4.6566128730773926E-10</v>
      </c>
      <c r="AP119" s="599">
        <f>IF(AND(AP107=0,AP113=0),IF(SUM($G$120:AO120)=0,$D$121,AO121),0)</f>
        <v>4.6566128730773926E-10</v>
      </c>
      <c r="AQ119" s="599">
        <f>IF(AND(AQ107=0,AQ113=0),IF(SUM($G$120:AP120)=0,$D$121,AP121),0)</f>
        <v>4.6566128730773926E-10</v>
      </c>
      <c r="AR119" s="599">
        <f>IF(AND(AR107=0,AR113=0),IF(SUM($G$120:AQ120)=0,$D$121,AQ121),0)</f>
        <v>4.6566128730773926E-10</v>
      </c>
      <c r="AS119" s="599">
        <f>IF(AND(AS107=0,AS113=0),IF(SUM($G$120:AR120)=0,$D$121,AR121),0)</f>
        <v>4.6566128730773926E-10</v>
      </c>
      <c r="AT119" s="599">
        <f>IF(AND(AT107=0,AT113=0),IF(SUM($G$120:AS120)=0,$D$121,AS121),0)</f>
        <v>4.6566128730773926E-10</v>
      </c>
      <c r="AU119" s="599">
        <f>IF(AND(AU107=0,AU113=0),IF(SUM($G$120:AT120)=0,$D$121,AT121),0)</f>
        <v>4.6566128730773926E-10</v>
      </c>
      <c r="AV119" s="599">
        <f>IF(AND(AV107=0,AV113=0),IF(SUM($G$120:AU120)=0,$D$121,AU121),0)</f>
        <v>4.6566128730773926E-10</v>
      </c>
      <c r="AW119" s="599">
        <f>IF(AND(AW107=0,AW113=0),IF(SUM($G$120:AV120)=0,$D$121,AV121),0)</f>
        <v>4.6566128730773926E-10</v>
      </c>
      <c r="AX119" s="599">
        <f>IF(AND(AX107=0,AX113=0),IF(SUM($G$120:AW120)=0,$D$121,AW121),0)</f>
        <v>4.6566128730773926E-10</v>
      </c>
      <c r="AY119" s="599">
        <f>IF(AND(AY107=0,AY113=0),IF(SUM($G$120:AX120)=0,$D$121,AX121),0)</f>
        <v>4.6566128730773926E-10</v>
      </c>
      <c r="AZ119" s="599">
        <f>IF(AND(AZ107=0,AZ113=0),IF(SUM($G$120:AY120)=0,$D$121,AY121),0)</f>
        <v>4.6566128730773926E-10</v>
      </c>
      <c r="BA119" s="599">
        <f>IF(AND(BA107=0,BA113=0),IF(SUM($G$120:AZ120)=0,$D$121,AZ121),0)</f>
        <v>4.6566128730773926E-10</v>
      </c>
      <c r="BB119" s="599">
        <f>IF(AND(BB107=0,BB113=0),IF(SUM($G$120:BA120)=0,$D$121,BA121),0)</f>
        <v>4.6566128730773926E-10</v>
      </c>
      <c r="BC119" s="599">
        <f>IF(AND(BC107=0,BC113=0),IF(SUM($G$120:BB120)=0,$D$121,BB121),0)</f>
        <v>4.6566128730773926E-10</v>
      </c>
      <c r="BD119" s="599">
        <f>IF(AND(BD107=0,BD113=0),IF(SUM($G$120:BC120)=0,$D$121,BC121),0)</f>
        <v>4.6566128730773926E-10</v>
      </c>
      <c r="BE119" s="599">
        <f>IF(AND(BE107=0,BE113=0),IF(SUM($G$120:BD120)=0,$D$121,BD121),0)</f>
        <v>4.6566128730773926E-10</v>
      </c>
      <c r="BF119" s="599">
        <f>IF(AND(BF107=0,BF113=0),IF(SUM($G$120:BE120)=0,$D$121,BE121),0)</f>
        <v>4.6566128730773926E-10</v>
      </c>
      <c r="BG119" s="599">
        <f>IF(AND(BG107=0,BG113=0),IF(SUM($G$120:BF120)=0,$D$121,BF121),0)</f>
        <v>4.6566128730773926E-10</v>
      </c>
      <c r="BH119" s="599">
        <f>IF(AND(BH107=0,BH113=0),IF(SUM($G$120:BG120)=0,$D$121,BG121),0)</f>
        <v>4.6566128730773926E-10</v>
      </c>
      <c r="BI119" s="599">
        <f>IF(AND(BI107=0,BI113=0),IF(SUM($G$120:BH120)=0,$D$121,BH121),0)</f>
        <v>4.6566128730773926E-10</v>
      </c>
      <c r="BJ119" s="599">
        <f>IF(AND(BJ107=0,BJ113=0),IF(SUM($G$120:BI120)=0,$D$121,BI121),0)</f>
        <v>4.6566128730773926E-10</v>
      </c>
      <c r="BK119" s="599">
        <f>IF(AND(BK107=0,BK113=0),IF(SUM($G$120:BJ120)=0,$D$121,BJ121),0)</f>
        <v>4.6566128730773926E-10</v>
      </c>
      <c r="BL119" s="599">
        <f>IF(AND(BL107=0,BL113=0),IF(SUM($G$120:BK120)=0,$D$121,BK121),0)</f>
        <v>4.6566128730773926E-10</v>
      </c>
      <c r="BM119" s="599">
        <f>IF(AND(BM107=0,BM113=0),IF(SUM($G$120:BL120)=0,$D$121,BL121),0)</f>
        <v>4.6566128730773926E-10</v>
      </c>
      <c r="BN119" s="599">
        <f>IF(AND(BN107=0,BN113=0),IF(SUM($G$120:BM120)=0,$D$121,BM121),0)</f>
        <v>4.6566128730773926E-10</v>
      </c>
      <c r="BO119" s="599">
        <f>IF(AND(BO107=0,BO113=0),IF(SUM($G$120:BN120)=0,$D$121,BN121),0)</f>
        <v>4.6566128730773926E-10</v>
      </c>
      <c r="BP119" s="599">
        <f>IF(AND(BP107=0,BP113=0),IF(SUM($G$120:BO120)=0,$D$121,BO121),0)</f>
        <v>4.6566128730773926E-10</v>
      </c>
      <c r="BQ119" s="599">
        <f>IF(AND(BQ107=0,BQ113=0),IF(SUM($G$120:BP120)=0,$D$121,BP121),0)</f>
        <v>4.6566128730773926E-10</v>
      </c>
      <c r="BR119" s="599">
        <f>IF(AND(BR107=0,BR113=0),IF(SUM($G$120:BQ120)=0,$D$121,BQ121),0)</f>
        <v>4.6566128730773926E-10</v>
      </c>
      <c r="BS119" s="599">
        <f>IF(AND(BS107=0,BS113=0),IF(SUM($G$120:BR120)=0,$D$121,BR121),0)</f>
        <v>4.6566128730773926E-10</v>
      </c>
      <c r="BT119" s="599">
        <f>IF(AND(BT107=0,BT113=0),IF(SUM($G$120:BS120)=0,$D$121,BS121),0)</f>
        <v>4.6566128730773926E-10</v>
      </c>
      <c r="BU119" s="599">
        <f>IF(AND(BU107=0,BU113=0),IF(SUM($G$120:BT120)=0,$D$121,BT121),0)</f>
        <v>4.6566128730773926E-10</v>
      </c>
      <c r="BV119" s="599">
        <f>IF(AND(BV107=0,BV113=0),IF(SUM($G$120:BU120)=0,$D$121,BU121),0)</f>
        <v>4.6566128730773926E-10</v>
      </c>
      <c r="BW119" s="599">
        <f>IF(AND(BW107=0,BW113=0),IF(SUM($G$120:BV120)=0,$D$121,BV121),0)</f>
        <v>4.6566128730773926E-10</v>
      </c>
      <c r="BX119" s="599">
        <f>IF(AND(BX107=0,BX113=0),IF(SUM($G$120:BW120)=0,$D$121,BW121),0)</f>
        <v>4.6566128730773926E-10</v>
      </c>
      <c r="BY119" s="599">
        <f>IF(AND(BY107=0,BY113=0),IF(SUM($G$120:BX120)=0,$D$121,BX121),0)</f>
        <v>4.6566128730773926E-10</v>
      </c>
      <c r="BZ119" s="599">
        <f>IF(AND(BZ107=0,BZ113=0),IF(SUM($G$120:BY120)=0,$D$121,BY121),0)</f>
        <v>4.6566128730773926E-10</v>
      </c>
      <c r="CA119" s="599">
        <f>IF(AND(CA107=0,CA113=0),IF(SUM($G$120:BZ120)=0,$D$121,BZ121),0)</f>
        <v>4.6566128730773926E-10</v>
      </c>
      <c r="CB119" s="599">
        <f>IF(AND(CB107=0,CB113=0),IF(SUM($G$120:CA120)=0,$D$121,CA121),0)</f>
        <v>4.6566128730773926E-10</v>
      </c>
      <c r="CC119" s="599">
        <f>IF(AND(CC107=0,CC113=0),IF(SUM($G$120:CB120)=0,$D$121,CB121),0)</f>
        <v>4.6566128730773926E-10</v>
      </c>
      <c r="CD119" s="599">
        <f>IF(AND(CD107=0,CD113=0),IF(SUM($G$120:CC120)=0,$D$121,CC121),0)</f>
        <v>4.6566128730773926E-10</v>
      </c>
      <c r="CE119" s="599">
        <f>IF(AND(CE107=0,CE113=0),IF(SUM($G$120:CD120)=0,$D$121,CD121),0)</f>
        <v>4.6566128730773926E-10</v>
      </c>
      <c r="CF119" s="599">
        <f>IF(AND(CF107=0,CF113=0),IF(SUM($G$120:CE120)=0,$D$121,CE121),0)</f>
        <v>4.6566128730773926E-10</v>
      </c>
      <c r="CG119" s="599">
        <f>IF(AND(CG107=0,CG113=0),IF(SUM($G$120:CF120)=0,$D$121,CF121),0)</f>
        <v>4.6566128730773926E-10</v>
      </c>
      <c r="CH119" s="599">
        <f>IF(AND(CH107=0,CH113=0),IF(SUM($G$120:CG120)=0,$D$121,CG121),0)</f>
        <v>4.6566128730773926E-10</v>
      </c>
      <c r="CI119" s="599">
        <f>IF(AND(CI107=0,CI113=0),IF(SUM($G$120:CH120)=0,$D$121,CH121),0)</f>
        <v>4.6566128730773926E-10</v>
      </c>
      <c r="CJ119" s="599">
        <f>IF(AND(CJ107=0,CJ113=0),IF(SUM($G$120:CI120)=0,$D$121,CI121),0)</f>
        <v>4.6566128730773926E-10</v>
      </c>
      <c r="CK119" s="599">
        <f>IF(AND(CK107=0,CK113=0),IF(SUM($G$120:CJ120)=0,$D$121,CJ121),0)</f>
        <v>4.6566128730773926E-10</v>
      </c>
      <c r="CL119" s="599">
        <f>IF(AND(CL107=0,CL113=0),IF(SUM($G$120:CK120)=0,$D$121,CK121),0)</f>
        <v>4.6566128730773926E-10</v>
      </c>
      <c r="CM119" s="599">
        <f>IF(AND(CM107=0,CM113=0),IF(SUM($G$120:CL120)=0,$D$121,CL121),0)</f>
        <v>4.6566128730773926E-10</v>
      </c>
      <c r="CN119" s="599">
        <f>IF(AND(CN107=0,CN113=0),IF(SUM($G$120:CM120)=0,$D$121,CM121),0)</f>
        <v>4.6566128730773926E-10</v>
      </c>
      <c r="CO119" s="599">
        <f>IF(AND(CO107=0,CO113=0),IF(SUM($G$120:CN120)=0,$D$121,CN121),0)</f>
        <v>4.6566128730773926E-10</v>
      </c>
      <c r="CP119" s="599">
        <f>IF(AND(CP107=0,CP113=0),IF(SUM($G$120:CO120)=0,$D$121,CO121),0)</f>
        <v>4.6566128730773926E-10</v>
      </c>
      <c r="CQ119" s="599">
        <f>IF(AND(CQ107=0,CQ113=0),IF(SUM($G$120:CP120)=0,$D$121,CP121),0)</f>
        <v>4.6566128730773926E-10</v>
      </c>
      <c r="CR119" s="599">
        <f>IF(AND(CR107=0,CR113=0),IF(SUM($G$120:CQ120)=0,$D$121,CQ121),0)</f>
        <v>4.6566128730773926E-10</v>
      </c>
      <c r="CS119" s="599">
        <f>IF(AND(CS107=0,CS113=0),IF(SUM($G$120:CR120)=0,$D$121,CR121),0)</f>
        <v>4.6566128730773926E-10</v>
      </c>
      <c r="CT119" s="599">
        <f>IF(AND(CT107=0,CT113=0),IF(SUM($G$120:CS120)=0,$D$121,CS121),0)</f>
        <v>4.6566128730773926E-10</v>
      </c>
      <c r="CU119" s="599">
        <f>IF(AND(CU107=0,CU113=0),IF(SUM($G$120:CT120)=0,$D$121,CT121),0)</f>
        <v>4.6566128730773926E-10</v>
      </c>
      <c r="CV119" s="599">
        <f>IF(AND(CV107=0,CV113=0),IF(SUM($G$120:CU120)=0,$D$121,CU121),0)</f>
        <v>4.6566128730773926E-10</v>
      </c>
      <c r="CW119" s="599">
        <f>IF(AND(CW107=0,CW113=0),IF(SUM($G$120:CV120)=0,$D$121,CV121),0)</f>
        <v>4.6566128730773926E-10</v>
      </c>
      <c r="CX119" s="599">
        <f>IF(AND(CX107=0,CX113=0),IF(SUM($G$120:CW120)=0,$D$121,CW121),0)</f>
        <v>4.6566128730773926E-10</v>
      </c>
      <c r="CY119" s="599">
        <f>IF(AND(CY107=0,CY113=0),IF(SUM($G$120:CX120)=0,$D$121,CX121),0)</f>
        <v>4.6566128730773926E-10</v>
      </c>
      <c r="CZ119" s="599">
        <f>IF(AND(CZ107=0,CZ113=0),IF(SUM($G$120:CY120)=0,$D$121,CY121),0)</f>
        <v>4.6566128730773926E-10</v>
      </c>
      <c r="DA119" s="599">
        <f>IF(AND(DA107=0,DA113=0),IF(SUM($G$120:CZ120)=0,$D$121,CZ121),0)</f>
        <v>4.6566128730773926E-10</v>
      </c>
      <c r="DB119" s="599">
        <f>IF(AND(DB107=0,DB113=0),IF(SUM($G$120:DA120)=0,$D$121,DA121),0)</f>
        <v>4.6566128730773926E-10</v>
      </c>
      <c r="DC119" s="599">
        <f>IF(AND(DC107=0,DC113=0),IF(SUM($G$120:DB120)=0,$D$121,DB121),0)</f>
        <v>4.6566128730773926E-10</v>
      </c>
      <c r="DD119" s="599">
        <f>IF(AND(DD107=0,DD113=0),IF(SUM($G$120:DC120)=0,$D$121,DC121),0)</f>
        <v>4.6566128730773926E-10</v>
      </c>
      <c r="DE119" s="599">
        <f>IF(AND(DE107=0,DE113=0),IF(SUM($G$120:DD120)=0,$D$121,DD121),0)</f>
        <v>4.6566128730773926E-10</v>
      </c>
      <c r="DF119" s="599">
        <f>IF(AND(DF107=0,DF113=0),IF(SUM($G$120:DE120)=0,$D$121,DE121),0)</f>
        <v>4.6566128730773926E-10</v>
      </c>
      <c r="DG119" s="599">
        <f>IF(AND(DG107=0,DG113=0),IF(SUM($G$120:DF120)=0,$D$121,DF121),0)</f>
        <v>4.6566128730773926E-10</v>
      </c>
      <c r="DH119" s="599">
        <f>IF(AND(DH107=0,DH113=0),IF(SUM($G$120:DG120)=0,$D$121,DG121),0)</f>
        <v>4.6566128730773926E-10</v>
      </c>
      <c r="DI119" s="599">
        <f>IF(AND(DI107=0,DI113=0),IF(SUM($G$120:DH120)=0,$D$121,DH121),0)</f>
        <v>4.6566128730773926E-10</v>
      </c>
      <c r="DJ119" s="599">
        <f>IF(AND(DJ107=0,DJ113=0),IF(SUM($G$120:DI120)=0,$D$121,DI121),0)</f>
        <v>4.6566128730773926E-10</v>
      </c>
      <c r="DK119" s="599">
        <f>IF(AND(DK107=0,DK113=0),IF(SUM($G$120:DJ120)=0,$D$121,DJ121),0)</f>
        <v>4.6566128730773926E-10</v>
      </c>
      <c r="DL119" s="599">
        <f>IF(AND(DL107=0,DL113=0),IF(SUM($G$120:DK120)=0,$D$121,DK121),0)</f>
        <v>4.6566128730773926E-10</v>
      </c>
      <c r="DM119" s="599">
        <f>IF(AND(DM107=0,DM113=0),IF(SUM($G$120:DL120)=0,$D$121,DL121),0)</f>
        <v>4.6566128730773926E-10</v>
      </c>
      <c r="DN119" s="599">
        <f>IF(AND(DN107=0,DN113=0),IF(SUM($G$120:DM120)=0,$D$121,DM121),0)</f>
        <v>4.6566128730773926E-10</v>
      </c>
      <c r="DO119" s="599">
        <f>IF(AND(DO107=0,DO113=0),IF(SUM($G$120:DN120)=0,$D$121,DN121),0)</f>
        <v>4.6566128730773926E-10</v>
      </c>
      <c r="DP119" s="599">
        <f>IF(AND(DP107=0,DP113=0),IF(SUM($G$120:DO120)=0,$D$121,DO121),0)</f>
        <v>4.6566128730773926E-10</v>
      </c>
      <c r="DQ119" s="599">
        <f>IF(AND(DQ107=0,DQ113=0),IF(SUM($G$120:DP120)=0,$D$121,DP121),0)</f>
        <v>4.6566128730773926E-10</v>
      </c>
      <c r="DR119" s="599">
        <f>IF(AND(DR107=0,DR113=0),IF(SUM($G$120:DQ120)=0,$D$121,DQ121),0)</f>
        <v>4.6566128730773926E-10</v>
      </c>
      <c r="DS119" s="599">
        <f>IF(AND(DS107=0,DS113=0),IF(SUM($G$120:DR120)=0,$D$121,DR121),0)</f>
        <v>4.6566128730773926E-10</v>
      </c>
      <c r="DT119" s="599">
        <f>IF(AND(DT107=0,DT113=0),IF(SUM($G$120:DS120)=0,$D$121,DS121),0)</f>
        <v>4.6566128730773926E-10</v>
      </c>
      <c r="DU119" s="599">
        <f>IF(AND(DU107=0,DU113=0),IF(SUM($G$120:DT120)=0,$D$121,DT121),0)</f>
        <v>4.6566128730773926E-10</v>
      </c>
      <c r="DV119" s="599">
        <f>IF(AND(DV107=0,DV113=0),IF(SUM($G$120:DU120)=0,$D$121,DU121),0)</f>
        <v>4.6566128730773926E-10</v>
      </c>
      <c r="DW119" s="599">
        <f>IF(AND(DW107=0,DW113=0),IF(SUM($G$120:DV120)=0,$D$121,DV121),0)</f>
        <v>4.6566128730773926E-10</v>
      </c>
      <c r="DX119" s="599">
        <f>IF(AND(DX107=0,DX113=0),IF(SUM($G$120:DW120)=0,$D$121,DW121),0)</f>
        <v>4.6566128730773926E-10</v>
      </c>
      <c r="DY119" s="599">
        <f>IF(AND(DY107=0,DY113=0),IF(SUM($G$120:DX120)=0,$D$121,DX121),0)</f>
        <v>4.6566128730773926E-10</v>
      </c>
      <c r="DZ119" s="599">
        <f>IF(AND(DZ107=0,DZ113=0),IF(SUM($G$120:DY120)=0,$D$121,DY121),0)</f>
        <v>4.6566128730773926E-10</v>
      </c>
      <c r="EA119" s="599">
        <f>IF(AND(EA107=0,EA113=0),IF(SUM($G$120:DZ120)=0,$D$121,DZ121),0)</f>
        <v>4.6566128730773926E-10</v>
      </c>
      <c r="EB119" s="599">
        <f>IF(AND(EB107=0,EB113=0),IF(SUM($G$120:EA120)=0,$D$121,EA121),0)</f>
        <v>4.6566128730773926E-10</v>
      </c>
      <c r="EC119" s="599">
        <f>IF(AND(EC107=0,EC113=0),IF(SUM($G$120:EB120)=0,$D$121,EB121),0)</f>
        <v>4.6566128730773926E-10</v>
      </c>
      <c r="ED119" s="599">
        <f>IF(AND(ED107=0,ED113=0),IF(SUM($G$120:EC120)=0,$D$121,EC121),0)</f>
        <v>4.6566128730773926E-10</v>
      </c>
      <c r="EE119" s="599">
        <f>IF(AND(EE107=0,EE113=0),IF(SUM($G$120:ED120)=0,$D$121,ED121),0)</f>
        <v>4.6566128730773926E-10</v>
      </c>
      <c r="EF119" s="599">
        <f>IF(AND(EF107=0,EF113=0),IF(SUM($G$120:EE120)=0,$D$121,EE121),0)</f>
        <v>4.6566128730773926E-10</v>
      </c>
      <c r="EG119" s="599">
        <f>IF(AND(EG107=0,EG113=0),IF(SUM($G$120:EF120)=0,$D$121,EF121),0)</f>
        <v>4.6566128730773926E-10</v>
      </c>
      <c r="EH119" s="599">
        <f>IF(AND(EH107=0,EH113=0),IF(SUM($G$120:EG120)=0,$D$121,EG121),0)</f>
        <v>4.6566128730773926E-10</v>
      </c>
      <c r="EI119" s="599">
        <f>IF(AND(EI107=0,EI113=0),IF(SUM($G$120:EH120)=0,$D$121,EH121),0)</f>
        <v>4.6566128730773926E-10</v>
      </c>
      <c r="EJ119" s="1117">
        <f>IF(AND(EJ107=0,EJ113=0),IF(SUM($G$120:EI120)=0,$D$121,EI121),0)</f>
        <v>4.6566128730773926E-10</v>
      </c>
    </row>
    <row r="120" spans="1:140" ht="15.75" customHeight="1" x14ac:dyDescent="0.25">
      <c r="A120" s="6"/>
      <c r="B120" s="364" t="s">
        <v>316</v>
      </c>
      <c r="C120" s="211"/>
      <c r="D120" s="424" t="s">
        <v>319</v>
      </c>
      <c r="E120" s="211" t="s">
        <v>220</v>
      </c>
      <c r="F120" s="211" t="s">
        <v>2</v>
      </c>
      <c r="G120" s="1082"/>
      <c r="H120" s="1115">
        <f>-IF((H99+E126)-MIN(0,H74)+H106+H112&gt;H119,H119,((H99+E126)-MIN(0,H74)+H106+H112))</f>
        <v>0</v>
      </c>
      <c r="I120" s="599">
        <f t="shared" ref="I120:AN120" si="157">-IF(I99-MIN(0,I74)+I106+I112&gt;I119,I119,(I99-MIN(0,I74)+I106+I112))</f>
        <v>0</v>
      </c>
      <c r="J120" s="599">
        <f t="shared" si="157"/>
        <v>0</v>
      </c>
      <c r="K120" s="599">
        <f t="shared" si="157"/>
        <v>0</v>
      </c>
      <c r="L120" s="599">
        <f t="shared" si="157"/>
        <v>0</v>
      </c>
      <c r="M120" s="599">
        <f t="shared" si="157"/>
        <v>0</v>
      </c>
      <c r="N120" s="599">
        <f t="shared" si="157"/>
        <v>0</v>
      </c>
      <c r="O120" s="599">
        <f t="shared" si="157"/>
        <v>-723099.73591021122</v>
      </c>
      <c r="P120" s="599">
        <f t="shared" si="157"/>
        <v>-1042078.4632824425</v>
      </c>
      <c r="Q120" s="599">
        <f t="shared" si="157"/>
        <v>-1047002.731192808</v>
      </c>
      <c r="R120" s="599">
        <f t="shared" si="157"/>
        <v>-785961.90577417496</v>
      </c>
      <c r="S120" s="599">
        <f t="shared" si="157"/>
        <v>-788449.81350471848</v>
      </c>
      <c r="T120" s="599">
        <f t="shared" si="157"/>
        <v>-789697.01011524606</v>
      </c>
      <c r="U120" s="599">
        <f t="shared" si="157"/>
        <v>-789697.01011524606</v>
      </c>
      <c r="V120" s="599">
        <f t="shared" si="157"/>
        <v>-788449.81350471615</v>
      </c>
      <c r="W120" s="599">
        <f t="shared" si="157"/>
        <v>-785961.9057741774</v>
      </c>
      <c r="X120" s="599">
        <f t="shared" si="157"/>
        <v>-782246.20172892872</v>
      </c>
      <c r="Y120" s="599">
        <f t="shared" si="157"/>
        <v>-777321.93381856324</v>
      </c>
      <c r="Z120" s="599">
        <f t="shared" si="157"/>
        <v>-771214.48632250074</v>
      </c>
      <c r="AA120" s="599">
        <f t="shared" si="157"/>
        <v>-763955.17739202222</v>
      </c>
      <c r="AB120" s="599">
        <f t="shared" si="157"/>
        <v>-755580.99156712927</v>
      </c>
      <c r="AC120" s="599">
        <f t="shared" si="157"/>
        <v>-746134.26596449502</v>
      </c>
      <c r="AD120" s="599">
        <f t="shared" si="157"/>
        <v>-735662.33386151853</v>
      </c>
      <c r="AE120" s="599">
        <f t="shared" si="157"/>
        <v>-724217.12987324363</v>
      </c>
      <c r="AF120" s="599">
        <f t="shared" si="157"/>
        <v>-711854.76132746087</v>
      </c>
      <c r="AG120" s="599">
        <f t="shared" si="157"/>
        <v>0</v>
      </c>
      <c r="AH120" s="599">
        <f t="shared" si="157"/>
        <v>0</v>
      </c>
      <c r="AI120" s="599">
        <f t="shared" si="157"/>
        <v>0</v>
      </c>
      <c r="AJ120" s="599">
        <f t="shared" si="157"/>
        <v>0</v>
      </c>
      <c r="AK120" s="599">
        <f t="shared" si="157"/>
        <v>0</v>
      </c>
      <c r="AL120" s="599">
        <f t="shared" si="157"/>
        <v>0</v>
      </c>
      <c r="AM120" s="599">
        <f t="shared" si="157"/>
        <v>0</v>
      </c>
      <c r="AN120" s="599">
        <f t="shared" si="157"/>
        <v>0</v>
      </c>
      <c r="AO120" s="599">
        <f t="shared" ref="AO120:BT120" si="158">-IF(AO99-MIN(0,AO74)+AO106+AO112&gt;AO119,AO119,(AO99-MIN(0,AO74)+AO106+AO112))</f>
        <v>0</v>
      </c>
      <c r="AP120" s="599">
        <f t="shared" si="158"/>
        <v>0</v>
      </c>
      <c r="AQ120" s="599">
        <f t="shared" si="158"/>
        <v>0</v>
      </c>
      <c r="AR120" s="599">
        <f t="shared" si="158"/>
        <v>0</v>
      </c>
      <c r="AS120" s="599">
        <f t="shared" si="158"/>
        <v>0</v>
      </c>
      <c r="AT120" s="599">
        <f t="shared" si="158"/>
        <v>0</v>
      </c>
      <c r="AU120" s="599">
        <f t="shared" si="158"/>
        <v>0</v>
      </c>
      <c r="AV120" s="599">
        <f t="shared" si="158"/>
        <v>0</v>
      </c>
      <c r="AW120" s="599">
        <f t="shared" si="158"/>
        <v>0</v>
      </c>
      <c r="AX120" s="599">
        <f t="shared" si="158"/>
        <v>0</v>
      </c>
      <c r="AY120" s="599">
        <f t="shared" si="158"/>
        <v>0</v>
      </c>
      <c r="AZ120" s="599">
        <f t="shared" si="158"/>
        <v>0</v>
      </c>
      <c r="BA120" s="599">
        <f t="shared" si="158"/>
        <v>0</v>
      </c>
      <c r="BB120" s="599">
        <f t="shared" si="158"/>
        <v>0</v>
      </c>
      <c r="BC120" s="599">
        <f t="shared" si="158"/>
        <v>0</v>
      </c>
      <c r="BD120" s="599">
        <f t="shared" si="158"/>
        <v>0</v>
      </c>
      <c r="BE120" s="599">
        <f t="shared" si="158"/>
        <v>0</v>
      </c>
      <c r="BF120" s="599">
        <f t="shared" si="158"/>
        <v>0</v>
      </c>
      <c r="BG120" s="599">
        <f t="shared" si="158"/>
        <v>0</v>
      </c>
      <c r="BH120" s="599">
        <f t="shared" si="158"/>
        <v>0</v>
      </c>
      <c r="BI120" s="599">
        <f t="shared" si="158"/>
        <v>0</v>
      </c>
      <c r="BJ120" s="599">
        <f t="shared" si="158"/>
        <v>0</v>
      </c>
      <c r="BK120" s="599">
        <f t="shared" si="158"/>
        <v>0</v>
      </c>
      <c r="BL120" s="599">
        <f t="shared" si="158"/>
        <v>0</v>
      </c>
      <c r="BM120" s="599">
        <f t="shared" si="158"/>
        <v>0</v>
      </c>
      <c r="BN120" s="599">
        <f t="shared" si="158"/>
        <v>0</v>
      </c>
      <c r="BO120" s="599">
        <f t="shared" si="158"/>
        <v>0</v>
      </c>
      <c r="BP120" s="599">
        <f t="shared" si="158"/>
        <v>0</v>
      </c>
      <c r="BQ120" s="599">
        <f t="shared" si="158"/>
        <v>0</v>
      </c>
      <c r="BR120" s="599">
        <f t="shared" si="158"/>
        <v>0</v>
      </c>
      <c r="BS120" s="599">
        <f t="shared" si="158"/>
        <v>0</v>
      </c>
      <c r="BT120" s="599">
        <f t="shared" si="158"/>
        <v>0</v>
      </c>
      <c r="BU120" s="599">
        <f t="shared" ref="BU120:CZ120" si="159">-IF(BU99-MIN(0,BU74)+BU106+BU112&gt;BU119,BU119,(BU99-MIN(0,BU74)+BU106+BU112))</f>
        <v>0</v>
      </c>
      <c r="BV120" s="599">
        <f t="shared" si="159"/>
        <v>0</v>
      </c>
      <c r="BW120" s="599">
        <f t="shared" si="159"/>
        <v>0</v>
      </c>
      <c r="BX120" s="599">
        <f t="shared" si="159"/>
        <v>0</v>
      </c>
      <c r="BY120" s="599">
        <f t="shared" si="159"/>
        <v>0</v>
      </c>
      <c r="BZ120" s="599">
        <f t="shared" si="159"/>
        <v>0</v>
      </c>
      <c r="CA120" s="599">
        <f t="shared" si="159"/>
        <v>0</v>
      </c>
      <c r="CB120" s="599">
        <f t="shared" si="159"/>
        <v>0</v>
      </c>
      <c r="CC120" s="599">
        <f t="shared" si="159"/>
        <v>0</v>
      </c>
      <c r="CD120" s="599">
        <f t="shared" si="159"/>
        <v>0</v>
      </c>
      <c r="CE120" s="599">
        <f t="shared" si="159"/>
        <v>0</v>
      </c>
      <c r="CF120" s="599">
        <f t="shared" si="159"/>
        <v>0</v>
      </c>
      <c r="CG120" s="599">
        <f t="shared" si="159"/>
        <v>0</v>
      </c>
      <c r="CH120" s="599">
        <f t="shared" si="159"/>
        <v>0</v>
      </c>
      <c r="CI120" s="599">
        <f t="shared" si="159"/>
        <v>0</v>
      </c>
      <c r="CJ120" s="599">
        <f t="shared" si="159"/>
        <v>0</v>
      </c>
      <c r="CK120" s="599">
        <f t="shared" si="159"/>
        <v>0</v>
      </c>
      <c r="CL120" s="599">
        <f t="shared" si="159"/>
        <v>0</v>
      </c>
      <c r="CM120" s="599">
        <f t="shared" si="159"/>
        <v>0</v>
      </c>
      <c r="CN120" s="599">
        <f t="shared" si="159"/>
        <v>0</v>
      </c>
      <c r="CO120" s="599">
        <f t="shared" si="159"/>
        <v>0</v>
      </c>
      <c r="CP120" s="599">
        <f t="shared" si="159"/>
        <v>0</v>
      </c>
      <c r="CQ120" s="599">
        <f t="shared" si="159"/>
        <v>0</v>
      </c>
      <c r="CR120" s="599">
        <f t="shared" si="159"/>
        <v>0</v>
      </c>
      <c r="CS120" s="599">
        <f t="shared" si="159"/>
        <v>0</v>
      </c>
      <c r="CT120" s="599">
        <f t="shared" si="159"/>
        <v>0</v>
      </c>
      <c r="CU120" s="599">
        <f t="shared" si="159"/>
        <v>0</v>
      </c>
      <c r="CV120" s="599">
        <f t="shared" si="159"/>
        <v>0</v>
      </c>
      <c r="CW120" s="599">
        <f t="shared" si="159"/>
        <v>0</v>
      </c>
      <c r="CX120" s="599">
        <f t="shared" si="159"/>
        <v>0</v>
      </c>
      <c r="CY120" s="599">
        <f t="shared" si="159"/>
        <v>0</v>
      </c>
      <c r="CZ120" s="599">
        <f t="shared" si="159"/>
        <v>0</v>
      </c>
      <c r="DA120" s="599">
        <f t="shared" ref="DA120:EF120" si="160">-IF(DA99-MIN(0,DA74)+DA106+DA112&gt;DA119,DA119,(DA99-MIN(0,DA74)+DA106+DA112))</f>
        <v>0</v>
      </c>
      <c r="DB120" s="599">
        <f t="shared" si="160"/>
        <v>0</v>
      </c>
      <c r="DC120" s="599">
        <f t="shared" si="160"/>
        <v>0</v>
      </c>
      <c r="DD120" s="599">
        <f t="shared" si="160"/>
        <v>0</v>
      </c>
      <c r="DE120" s="599">
        <f t="shared" si="160"/>
        <v>0</v>
      </c>
      <c r="DF120" s="599">
        <f t="shared" si="160"/>
        <v>0</v>
      </c>
      <c r="DG120" s="599">
        <f t="shared" si="160"/>
        <v>0</v>
      </c>
      <c r="DH120" s="599">
        <f t="shared" si="160"/>
        <v>0</v>
      </c>
      <c r="DI120" s="599">
        <f t="shared" si="160"/>
        <v>0</v>
      </c>
      <c r="DJ120" s="599">
        <f t="shared" si="160"/>
        <v>0</v>
      </c>
      <c r="DK120" s="599">
        <f t="shared" si="160"/>
        <v>0</v>
      </c>
      <c r="DL120" s="599">
        <f t="shared" si="160"/>
        <v>0</v>
      </c>
      <c r="DM120" s="599">
        <f t="shared" si="160"/>
        <v>0</v>
      </c>
      <c r="DN120" s="599">
        <f t="shared" si="160"/>
        <v>0</v>
      </c>
      <c r="DO120" s="599">
        <f t="shared" si="160"/>
        <v>0</v>
      </c>
      <c r="DP120" s="599">
        <f t="shared" si="160"/>
        <v>0</v>
      </c>
      <c r="DQ120" s="599">
        <f t="shared" si="160"/>
        <v>0</v>
      </c>
      <c r="DR120" s="599">
        <f t="shared" si="160"/>
        <v>0</v>
      </c>
      <c r="DS120" s="599">
        <f t="shared" si="160"/>
        <v>0</v>
      </c>
      <c r="DT120" s="599">
        <f t="shared" si="160"/>
        <v>0</v>
      </c>
      <c r="DU120" s="599">
        <f t="shared" si="160"/>
        <v>0</v>
      </c>
      <c r="DV120" s="599">
        <f t="shared" si="160"/>
        <v>0</v>
      </c>
      <c r="DW120" s="599">
        <f t="shared" si="160"/>
        <v>0</v>
      </c>
      <c r="DX120" s="599">
        <f t="shared" si="160"/>
        <v>0</v>
      </c>
      <c r="DY120" s="599">
        <f t="shared" si="160"/>
        <v>0</v>
      </c>
      <c r="DZ120" s="599">
        <f t="shared" si="160"/>
        <v>0</v>
      </c>
      <c r="EA120" s="599">
        <f t="shared" si="160"/>
        <v>0</v>
      </c>
      <c r="EB120" s="599">
        <f t="shared" si="160"/>
        <v>0</v>
      </c>
      <c r="EC120" s="599">
        <f t="shared" si="160"/>
        <v>0</v>
      </c>
      <c r="ED120" s="599">
        <f t="shared" si="160"/>
        <v>0</v>
      </c>
      <c r="EE120" s="599">
        <f t="shared" si="160"/>
        <v>0</v>
      </c>
      <c r="EF120" s="599">
        <f t="shared" si="160"/>
        <v>0</v>
      </c>
      <c r="EG120" s="599">
        <f t="shared" ref="EG120:EJ120" si="161">-IF(EG99-MIN(0,EG74)+EG106+EG112&gt;EG119,EG119,(EG99-MIN(0,EG74)+EG106+EG112))</f>
        <v>0</v>
      </c>
      <c r="EH120" s="599">
        <f t="shared" si="161"/>
        <v>0</v>
      </c>
      <c r="EI120" s="599">
        <f t="shared" si="161"/>
        <v>0</v>
      </c>
      <c r="EJ120" s="1117">
        <f t="shared" si="161"/>
        <v>0</v>
      </c>
    </row>
    <row r="121" spans="1:140" ht="15.75" customHeight="1" x14ac:dyDescent="0.25">
      <c r="A121" s="6"/>
      <c r="B121" s="364" t="s">
        <v>317</v>
      </c>
      <c r="C121" s="358"/>
      <c r="D121" s="432">
        <f>E119-'Dev Costs'!C118</f>
        <v>14308585.671029601</v>
      </c>
      <c r="E121" s="433">
        <f>SUM(H123:DX123)</f>
        <v>1121825.710036993</v>
      </c>
      <c r="F121" s="434">
        <f>K</f>
        <v>0.08</v>
      </c>
      <c r="G121" s="1082"/>
      <c r="H121" s="1115">
        <f t="shared" ref="H121:I121" si="162">IFERROR(H119+H120,0)</f>
        <v>0</v>
      </c>
      <c r="I121" s="599">
        <f t="shared" si="162"/>
        <v>0</v>
      </c>
      <c r="J121" s="599">
        <f t="shared" ref="J121:BU121" si="163">IFERROR(J119+J120,0)</f>
        <v>0</v>
      </c>
      <c r="K121" s="599">
        <f t="shared" si="163"/>
        <v>0</v>
      </c>
      <c r="L121" s="599">
        <f t="shared" si="163"/>
        <v>0</v>
      </c>
      <c r="M121" s="599">
        <f t="shared" si="163"/>
        <v>0</v>
      </c>
      <c r="N121" s="599">
        <f t="shared" si="163"/>
        <v>0</v>
      </c>
      <c r="O121" s="599">
        <f t="shared" si="163"/>
        <v>13585485.93511939</v>
      </c>
      <c r="P121" s="599">
        <f t="shared" si="163"/>
        <v>12543407.471836949</v>
      </c>
      <c r="Q121" s="599">
        <f t="shared" si="163"/>
        <v>11496404.74064414</v>
      </c>
      <c r="R121" s="599">
        <f t="shared" si="163"/>
        <v>10710442.834869966</v>
      </c>
      <c r="S121" s="599">
        <f t="shared" si="163"/>
        <v>9921993.0213652477</v>
      </c>
      <c r="T121" s="599">
        <f t="shared" si="163"/>
        <v>9132296.0112500023</v>
      </c>
      <c r="U121" s="599">
        <f t="shared" si="163"/>
        <v>8342599.001134756</v>
      </c>
      <c r="V121" s="599">
        <f t="shared" si="163"/>
        <v>7554149.1876300396</v>
      </c>
      <c r="W121" s="599">
        <f t="shared" si="163"/>
        <v>6768187.2818558626</v>
      </c>
      <c r="X121" s="599">
        <f t="shared" si="163"/>
        <v>5985941.0801269338</v>
      </c>
      <c r="Y121" s="599">
        <f t="shared" si="163"/>
        <v>5208619.1463083709</v>
      </c>
      <c r="Z121" s="599">
        <f t="shared" si="163"/>
        <v>4437404.6599858701</v>
      </c>
      <c r="AA121" s="599">
        <f t="shared" si="163"/>
        <v>3673449.4825938479</v>
      </c>
      <c r="AB121" s="599">
        <f t="shared" si="163"/>
        <v>2917868.4910267186</v>
      </c>
      <c r="AC121" s="599">
        <f t="shared" si="163"/>
        <v>2171734.2250622236</v>
      </c>
      <c r="AD121" s="599">
        <f t="shared" si="163"/>
        <v>1436071.891200705</v>
      </c>
      <c r="AE121" s="599">
        <f t="shared" si="163"/>
        <v>711854.76132746134</v>
      </c>
      <c r="AF121" s="599">
        <f t="shared" si="163"/>
        <v>4.6566128730773926E-10</v>
      </c>
      <c r="AG121" s="599">
        <f t="shared" si="163"/>
        <v>4.6566128730773926E-10</v>
      </c>
      <c r="AH121" s="599">
        <f t="shared" si="163"/>
        <v>4.6566128730773926E-10</v>
      </c>
      <c r="AI121" s="599">
        <f t="shared" si="163"/>
        <v>4.6566128730773926E-10</v>
      </c>
      <c r="AJ121" s="599">
        <f t="shared" si="163"/>
        <v>4.6566128730773926E-10</v>
      </c>
      <c r="AK121" s="599">
        <f t="shared" si="163"/>
        <v>4.6566128730773926E-10</v>
      </c>
      <c r="AL121" s="599">
        <f t="shared" si="163"/>
        <v>4.6566128730773926E-10</v>
      </c>
      <c r="AM121" s="599">
        <f t="shared" si="163"/>
        <v>4.6566128730773926E-10</v>
      </c>
      <c r="AN121" s="599">
        <f t="shared" si="163"/>
        <v>4.6566128730773926E-10</v>
      </c>
      <c r="AO121" s="599">
        <f t="shared" si="163"/>
        <v>4.6566128730773926E-10</v>
      </c>
      <c r="AP121" s="599">
        <f t="shared" si="163"/>
        <v>4.6566128730773926E-10</v>
      </c>
      <c r="AQ121" s="599">
        <f t="shared" si="163"/>
        <v>4.6566128730773926E-10</v>
      </c>
      <c r="AR121" s="599">
        <f t="shared" si="163"/>
        <v>4.6566128730773926E-10</v>
      </c>
      <c r="AS121" s="599">
        <f t="shared" si="163"/>
        <v>4.6566128730773926E-10</v>
      </c>
      <c r="AT121" s="599">
        <f t="shared" si="163"/>
        <v>4.6566128730773926E-10</v>
      </c>
      <c r="AU121" s="599">
        <f t="shared" si="163"/>
        <v>4.6566128730773926E-10</v>
      </c>
      <c r="AV121" s="599">
        <f t="shared" si="163"/>
        <v>4.6566128730773926E-10</v>
      </c>
      <c r="AW121" s="599">
        <f t="shared" si="163"/>
        <v>4.6566128730773926E-10</v>
      </c>
      <c r="AX121" s="599">
        <f t="shared" si="163"/>
        <v>4.6566128730773926E-10</v>
      </c>
      <c r="AY121" s="599">
        <f t="shared" si="163"/>
        <v>4.6566128730773926E-10</v>
      </c>
      <c r="AZ121" s="599">
        <f t="shared" si="163"/>
        <v>4.6566128730773926E-10</v>
      </c>
      <c r="BA121" s="599">
        <f t="shared" si="163"/>
        <v>4.6566128730773926E-10</v>
      </c>
      <c r="BB121" s="599">
        <f t="shared" si="163"/>
        <v>4.6566128730773926E-10</v>
      </c>
      <c r="BC121" s="599">
        <f t="shared" si="163"/>
        <v>4.6566128730773926E-10</v>
      </c>
      <c r="BD121" s="599">
        <f t="shared" si="163"/>
        <v>4.6566128730773926E-10</v>
      </c>
      <c r="BE121" s="599">
        <f t="shared" si="163"/>
        <v>4.6566128730773926E-10</v>
      </c>
      <c r="BF121" s="599">
        <f t="shared" si="163"/>
        <v>4.6566128730773926E-10</v>
      </c>
      <c r="BG121" s="599">
        <f t="shared" si="163"/>
        <v>4.6566128730773926E-10</v>
      </c>
      <c r="BH121" s="599">
        <f t="shared" si="163"/>
        <v>4.6566128730773926E-10</v>
      </c>
      <c r="BI121" s="599">
        <f t="shared" si="163"/>
        <v>4.6566128730773926E-10</v>
      </c>
      <c r="BJ121" s="599">
        <f t="shared" si="163"/>
        <v>4.6566128730773926E-10</v>
      </c>
      <c r="BK121" s="599">
        <f t="shared" si="163"/>
        <v>4.6566128730773926E-10</v>
      </c>
      <c r="BL121" s="599">
        <f t="shared" si="163"/>
        <v>4.6566128730773926E-10</v>
      </c>
      <c r="BM121" s="599">
        <f t="shared" si="163"/>
        <v>4.6566128730773926E-10</v>
      </c>
      <c r="BN121" s="599">
        <f t="shared" si="163"/>
        <v>4.6566128730773926E-10</v>
      </c>
      <c r="BO121" s="599">
        <f t="shared" si="163"/>
        <v>4.6566128730773926E-10</v>
      </c>
      <c r="BP121" s="599">
        <f t="shared" si="163"/>
        <v>4.6566128730773926E-10</v>
      </c>
      <c r="BQ121" s="599">
        <f t="shared" si="163"/>
        <v>4.6566128730773926E-10</v>
      </c>
      <c r="BR121" s="599">
        <f t="shared" si="163"/>
        <v>4.6566128730773926E-10</v>
      </c>
      <c r="BS121" s="599">
        <f t="shared" si="163"/>
        <v>4.6566128730773926E-10</v>
      </c>
      <c r="BT121" s="599">
        <f t="shared" si="163"/>
        <v>4.6566128730773926E-10</v>
      </c>
      <c r="BU121" s="599">
        <f t="shared" si="163"/>
        <v>4.6566128730773926E-10</v>
      </c>
      <c r="BV121" s="599">
        <f t="shared" ref="BV121:EG121" si="164">IFERROR(BV119+BV120,0)</f>
        <v>4.6566128730773926E-10</v>
      </c>
      <c r="BW121" s="599">
        <f t="shared" si="164"/>
        <v>4.6566128730773926E-10</v>
      </c>
      <c r="BX121" s="599">
        <f t="shared" si="164"/>
        <v>4.6566128730773926E-10</v>
      </c>
      <c r="BY121" s="599">
        <f t="shared" si="164"/>
        <v>4.6566128730773926E-10</v>
      </c>
      <c r="BZ121" s="599">
        <f t="shared" si="164"/>
        <v>4.6566128730773926E-10</v>
      </c>
      <c r="CA121" s="599">
        <f t="shared" si="164"/>
        <v>4.6566128730773926E-10</v>
      </c>
      <c r="CB121" s="599">
        <f t="shared" si="164"/>
        <v>4.6566128730773926E-10</v>
      </c>
      <c r="CC121" s="599">
        <f t="shared" si="164"/>
        <v>4.6566128730773926E-10</v>
      </c>
      <c r="CD121" s="599">
        <f t="shared" si="164"/>
        <v>4.6566128730773926E-10</v>
      </c>
      <c r="CE121" s="599">
        <f t="shared" si="164"/>
        <v>4.6566128730773926E-10</v>
      </c>
      <c r="CF121" s="599">
        <f t="shared" si="164"/>
        <v>4.6566128730773926E-10</v>
      </c>
      <c r="CG121" s="599">
        <f t="shared" si="164"/>
        <v>4.6566128730773926E-10</v>
      </c>
      <c r="CH121" s="599">
        <f t="shared" si="164"/>
        <v>4.6566128730773926E-10</v>
      </c>
      <c r="CI121" s="599">
        <f t="shared" si="164"/>
        <v>4.6566128730773926E-10</v>
      </c>
      <c r="CJ121" s="599">
        <f t="shared" si="164"/>
        <v>4.6566128730773926E-10</v>
      </c>
      <c r="CK121" s="599">
        <f t="shared" si="164"/>
        <v>4.6566128730773926E-10</v>
      </c>
      <c r="CL121" s="599">
        <f t="shared" si="164"/>
        <v>4.6566128730773926E-10</v>
      </c>
      <c r="CM121" s="599">
        <f t="shared" si="164"/>
        <v>4.6566128730773926E-10</v>
      </c>
      <c r="CN121" s="599">
        <f t="shared" si="164"/>
        <v>4.6566128730773926E-10</v>
      </c>
      <c r="CO121" s="599">
        <f t="shared" si="164"/>
        <v>4.6566128730773926E-10</v>
      </c>
      <c r="CP121" s="599">
        <f t="shared" si="164"/>
        <v>4.6566128730773926E-10</v>
      </c>
      <c r="CQ121" s="599">
        <f t="shared" si="164"/>
        <v>4.6566128730773926E-10</v>
      </c>
      <c r="CR121" s="599">
        <f t="shared" si="164"/>
        <v>4.6566128730773926E-10</v>
      </c>
      <c r="CS121" s="599">
        <f t="shared" si="164"/>
        <v>4.6566128730773926E-10</v>
      </c>
      <c r="CT121" s="599">
        <f t="shared" si="164"/>
        <v>4.6566128730773926E-10</v>
      </c>
      <c r="CU121" s="599">
        <f t="shared" si="164"/>
        <v>4.6566128730773926E-10</v>
      </c>
      <c r="CV121" s="599">
        <f t="shared" si="164"/>
        <v>4.6566128730773926E-10</v>
      </c>
      <c r="CW121" s="599">
        <f t="shared" si="164"/>
        <v>4.6566128730773926E-10</v>
      </c>
      <c r="CX121" s="599">
        <f t="shared" si="164"/>
        <v>4.6566128730773926E-10</v>
      </c>
      <c r="CY121" s="599">
        <f t="shared" si="164"/>
        <v>4.6566128730773926E-10</v>
      </c>
      <c r="CZ121" s="599">
        <f t="shared" si="164"/>
        <v>4.6566128730773926E-10</v>
      </c>
      <c r="DA121" s="599">
        <f t="shared" si="164"/>
        <v>4.6566128730773926E-10</v>
      </c>
      <c r="DB121" s="599">
        <f t="shared" si="164"/>
        <v>4.6566128730773926E-10</v>
      </c>
      <c r="DC121" s="599">
        <f t="shared" si="164"/>
        <v>4.6566128730773926E-10</v>
      </c>
      <c r="DD121" s="599">
        <f t="shared" si="164"/>
        <v>4.6566128730773926E-10</v>
      </c>
      <c r="DE121" s="599">
        <f t="shared" si="164"/>
        <v>4.6566128730773926E-10</v>
      </c>
      <c r="DF121" s="599">
        <f t="shared" si="164"/>
        <v>4.6566128730773926E-10</v>
      </c>
      <c r="DG121" s="599">
        <f t="shared" si="164"/>
        <v>4.6566128730773926E-10</v>
      </c>
      <c r="DH121" s="599">
        <f t="shared" si="164"/>
        <v>4.6566128730773926E-10</v>
      </c>
      <c r="DI121" s="599">
        <f t="shared" si="164"/>
        <v>4.6566128730773926E-10</v>
      </c>
      <c r="DJ121" s="599">
        <f t="shared" si="164"/>
        <v>4.6566128730773926E-10</v>
      </c>
      <c r="DK121" s="599">
        <f t="shared" si="164"/>
        <v>4.6566128730773926E-10</v>
      </c>
      <c r="DL121" s="599">
        <f t="shared" si="164"/>
        <v>4.6566128730773926E-10</v>
      </c>
      <c r="DM121" s="599">
        <f t="shared" si="164"/>
        <v>4.6566128730773926E-10</v>
      </c>
      <c r="DN121" s="599">
        <f t="shared" si="164"/>
        <v>4.6566128730773926E-10</v>
      </c>
      <c r="DO121" s="599">
        <f t="shared" si="164"/>
        <v>4.6566128730773926E-10</v>
      </c>
      <c r="DP121" s="599">
        <f t="shared" si="164"/>
        <v>4.6566128730773926E-10</v>
      </c>
      <c r="DQ121" s="599">
        <f t="shared" si="164"/>
        <v>4.6566128730773926E-10</v>
      </c>
      <c r="DR121" s="599">
        <f t="shared" si="164"/>
        <v>4.6566128730773926E-10</v>
      </c>
      <c r="DS121" s="599">
        <f t="shared" si="164"/>
        <v>4.6566128730773926E-10</v>
      </c>
      <c r="DT121" s="599">
        <f t="shared" si="164"/>
        <v>4.6566128730773926E-10</v>
      </c>
      <c r="DU121" s="599">
        <f t="shared" si="164"/>
        <v>4.6566128730773926E-10</v>
      </c>
      <c r="DV121" s="599">
        <f t="shared" si="164"/>
        <v>4.6566128730773926E-10</v>
      </c>
      <c r="DW121" s="599">
        <f t="shared" si="164"/>
        <v>4.6566128730773926E-10</v>
      </c>
      <c r="DX121" s="599">
        <f t="shared" si="164"/>
        <v>4.6566128730773926E-10</v>
      </c>
      <c r="DY121" s="599">
        <f t="shared" si="164"/>
        <v>4.6566128730773926E-10</v>
      </c>
      <c r="DZ121" s="599">
        <f t="shared" si="164"/>
        <v>4.6566128730773926E-10</v>
      </c>
      <c r="EA121" s="599">
        <f t="shared" si="164"/>
        <v>4.6566128730773926E-10</v>
      </c>
      <c r="EB121" s="599">
        <f t="shared" si="164"/>
        <v>4.6566128730773926E-10</v>
      </c>
      <c r="EC121" s="599">
        <f t="shared" si="164"/>
        <v>4.6566128730773926E-10</v>
      </c>
      <c r="ED121" s="599">
        <f t="shared" si="164"/>
        <v>4.6566128730773926E-10</v>
      </c>
      <c r="EE121" s="599">
        <f t="shared" si="164"/>
        <v>4.6566128730773926E-10</v>
      </c>
      <c r="EF121" s="599">
        <f t="shared" si="164"/>
        <v>4.6566128730773926E-10</v>
      </c>
      <c r="EG121" s="599">
        <f t="shared" si="164"/>
        <v>4.6566128730773926E-10</v>
      </c>
      <c r="EH121" s="599">
        <f t="shared" ref="EH121:EJ121" si="165">IFERROR(EH119+EH120,0)</f>
        <v>4.6566128730773926E-10</v>
      </c>
      <c r="EI121" s="599">
        <f t="shared" si="165"/>
        <v>4.6566128730773926E-10</v>
      </c>
      <c r="EJ121" s="1117">
        <f t="shared" si="165"/>
        <v>4.6566128730773926E-10</v>
      </c>
    </row>
    <row r="122" spans="1:140" ht="15.75" customHeight="1" x14ac:dyDescent="0.25">
      <c r="A122" s="6"/>
      <c r="B122" s="364" t="s">
        <v>252</v>
      </c>
      <c r="C122" s="435"/>
      <c r="D122" s="356"/>
      <c r="E122" s="356"/>
      <c r="F122" s="356"/>
      <c r="G122" s="1082"/>
      <c r="H122" s="1115">
        <f t="shared" ref="H122:AM122" si="166">IF(H5&gt;$E$4,0,-$F$121/12*G124)</f>
        <v>0</v>
      </c>
      <c r="I122" s="599">
        <f t="shared" si="166"/>
        <v>0</v>
      </c>
      <c r="J122" s="599">
        <f t="shared" si="166"/>
        <v>0</v>
      </c>
      <c r="K122" s="599">
        <f t="shared" si="166"/>
        <v>0</v>
      </c>
      <c r="L122" s="599">
        <f t="shared" si="166"/>
        <v>0</v>
      </c>
      <c r="M122" s="599">
        <f t="shared" si="166"/>
        <v>0</v>
      </c>
      <c r="N122" s="599">
        <f t="shared" si="166"/>
        <v>0</v>
      </c>
      <c r="O122" s="599">
        <f t="shared" si="166"/>
        <v>0</v>
      </c>
      <c r="P122" s="599">
        <f t="shared" si="166"/>
        <v>-4820.6649060680747</v>
      </c>
      <c r="Q122" s="599">
        <f t="shared" si="166"/>
        <v>-11799.992427324813</v>
      </c>
      <c r="R122" s="599">
        <f t="shared" si="166"/>
        <v>-18858.677251459034</v>
      </c>
      <c r="S122" s="599">
        <f t="shared" si="166"/>
        <v>-24224.147804963261</v>
      </c>
      <c r="T122" s="599">
        <f t="shared" si="166"/>
        <v>-29641.974213694473</v>
      </c>
      <c r="U122" s="599">
        <f t="shared" si="166"/>
        <v>-35104.234109220743</v>
      </c>
      <c r="V122" s="599">
        <f t="shared" si="166"/>
        <v>-40602.909070717193</v>
      </c>
      <c r="W122" s="599">
        <f t="shared" si="166"/>
        <v>-46129.927221220081</v>
      </c>
      <c r="X122" s="599">
        <f t="shared" si="166"/>
        <v>-51677.206107856066</v>
      </c>
      <c r="Y122" s="599">
        <f t="shared" si="166"/>
        <v>-57236.695493434636</v>
      </c>
      <c r="Z122" s="599">
        <f t="shared" si="166"/>
        <v>-62800.419688847949</v>
      </c>
      <c r="AA122" s="599">
        <f t="shared" si="166"/>
        <v>-68360.519062256935</v>
      </c>
      <c r="AB122" s="599">
        <f t="shared" si="166"/>
        <v>-73909.290371952142</v>
      </c>
      <c r="AC122" s="599">
        <f t="shared" si="166"/>
        <v>-79439.225584879343</v>
      </c>
      <c r="AD122" s="599">
        <f t="shared" si="166"/>
        <v>-84943.048861875184</v>
      </c>
      <c r="AE122" s="599">
        <f t="shared" si="166"/>
        <v>-90413.751413364473</v>
      </c>
      <c r="AF122" s="599">
        <f t="shared" si="166"/>
        <v>-95844.623955275194</v>
      </c>
      <c r="AG122" s="599">
        <f t="shared" si="166"/>
        <v>-101229.28652382677</v>
      </c>
      <c r="AH122" s="599">
        <f t="shared" si="166"/>
        <v>-101737.93568862982</v>
      </c>
      <c r="AI122" s="599">
        <f t="shared" si="166"/>
        <v>-102153.59637114042</v>
      </c>
      <c r="AJ122" s="599">
        <f t="shared" si="166"/>
        <v>-102473.83107889994</v>
      </c>
      <c r="AK122" s="599">
        <f t="shared" si="166"/>
        <v>-102699.82120798672</v>
      </c>
      <c r="AL122" s="599">
        <f t="shared" si="166"/>
        <v>-102833.2689048763</v>
      </c>
      <c r="AM122" s="599">
        <f t="shared" si="166"/>
        <v>-102869.40920711066</v>
      </c>
      <c r="AN122" s="599">
        <f t="shared" ref="AN122:BS122" si="167">IF(AN5&gt;$E$4,0,-$F$121/12*AM124)</f>
        <v>-102869.40920711066</v>
      </c>
      <c r="AO122" s="599">
        <f t="shared" si="167"/>
        <v>-102869.40920711066</v>
      </c>
      <c r="AP122" s="599">
        <f t="shared" si="167"/>
        <v>-102869.40920711066</v>
      </c>
      <c r="AQ122" s="599">
        <f t="shared" si="167"/>
        <v>-102869.40920711066</v>
      </c>
      <c r="AR122" s="599">
        <f t="shared" si="167"/>
        <v>-102869.40920711066</v>
      </c>
      <c r="AS122" s="599">
        <f t="shared" si="167"/>
        <v>-102869.40920711066</v>
      </c>
      <c r="AT122" s="599">
        <f t="shared" si="167"/>
        <v>-102869.40920711066</v>
      </c>
      <c r="AU122" s="599">
        <f t="shared" si="167"/>
        <v>-102869.40920711066</v>
      </c>
      <c r="AV122" s="599">
        <f t="shared" si="167"/>
        <v>-102869.40920711066</v>
      </c>
      <c r="AW122" s="599">
        <f t="shared" si="167"/>
        <v>-102869.40920711066</v>
      </c>
      <c r="AX122" s="599">
        <f t="shared" si="167"/>
        <v>-102869.40920711066</v>
      </c>
      <c r="AY122" s="599">
        <f t="shared" si="167"/>
        <v>-102869.40920711066</v>
      </c>
      <c r="AZ122" s="599">
        <f t="shared" si="167"/>
        <v>-102869.40920711066</v>
      </c>
      <c r="BA122" s="599">
        <f t="shared" si="167"/>
        <v>-102869.40920711066</v>
      </c>
      <c r="BB122" s="599">
        <f t="shared" si="167"/>
        <v>-102869.40920711066</v>
      </c>
      <c r="BC122" s="599">
        <f t="shared" si="167"/>
        <v>-102869.40920711066</v>
      </c>
      <c r="BD122" s="599">
        <f t="shared" si="167"/>
        <v>-102869.40920711066</v>
      </c>
      <c r="BE122" s="599">
        <f t="shared" si="167"/>
        <v>-102869.40920711066</v>
      </c>
      <c r="BF122" s="599">
        <f t="shared" si="167"/>
        <v>-102869.40920711066</v>
      </c>
      <c r="BG122" s="599">
        <f t="shared" si="167"/>
        <v>-102869.40920711066</v>
      </c>
      <c r="BH122" s="599">
        <f t="shared" si="167"/>
        <v>-102869.40920711066</v>
      </c>
      <c r="BI122" s="599">
        <f t="shared" si="167"/>
        <v>-102869.40920711066</v>
      </c>
      <c r="BJ122" s="599">
        <f t="shared" si="167"/>
        <v>-102869.40920711066</v>
      </c>
      <c r="BK122" s="599">
        <f t="shared" si="167"/>
        <v>-102869.40920711066</v>
      </c>
      <c r="BL122" s="599">
        <f t="shared" si="167"/>
        <v>-102869.40920711066</v>
      </c>
      <c r="BM122" s="599">
        <f t="shared" si="167"/>
        <v>-102869.40920711066</v>
      </c>
      <c r="BN122" s="599">
        <f t="shared" si="167"/>
        <v>-102869.40920711066</v>
      </c>
      <c r="BO122" s="599">
        <f t="shared" si="167"/>
        <v>-102869.40920711066</v>
      </c>
      <c r="BP122" s="599">
        <f t="shared" si="167"/>
        <v>-102869.40920711066</v>
      </c>
      <c r="BQ122" s="599">
        <f t="shared" si="167"/>
        <v>0</v>
      </c>
      <c r="BR122" s="599">
        <f t="shared" si="167"/>
        <v>0</v>
      </c>
      <c r="BS122" s="599">
        <f t="shared" si="167"/>
        <v>0</v>
      </c>
      <c r="BT122" s="599">
        <f t="shared" ref="BT122:CY122" si="168">IF(BT5&gt;$E$4,0,-$F$121/12*BS124)</f>
        <v>0</v>
      </c>
      <c r="BU122" s="599">
        <f t="shared" si="168"/>
        <v>0</v>
      </c>
      <c r="BV122" s="599">
        <f t="shared" si="168"/>
        <v>0</v>
      </c>
      <c r="BW122" s="599">
        <f t="shared" si="168"/>
        <v>0</v>
      </c>
      <c r="BX122" s="599">
        <f t="shared" si="168"/>
        <v>0</v>
      </c>
      <c r="BY122" s="599">
        <f t="shared" si="168"/>
        <v>0</v>
      </c>
      <c r="BZ122" s="599">
        <f t="shared" si="168"/>
        <v>0</v>
      </c>
      <c r="CA122" s="599">
        <f t="shared" si="168"/>
        <v>0</v>
      </c>
      <c r="CB122" s="599">
        <f t="shared" si="168"/>
        <v>0</v>
      </c>
      <c r="CC122" s="599">
        <f t="shared" si="168"/>
        <v>0</v>
      </c>
      <c r="CD122" s="599">
        <f t="shared" si="168"/>
        <v>0</v>
      </c>
      <c r="CE122" s="599">
        <f t="shared" si="168"/>
        <v>0</v>
      </c>
      <c r="CF122" s="599">
        <f t="shared" si="168"/>
        <v>0</v>
      </c>
      <c r="CG122" s="599">
        <f t="shared" si="168"/>
        <v>0</v>
      </c>
      <c r="CH122" s="599">
        <f t="shared" si="168"/>
        <v>0</v>
      </c>
      <c r="CI122" s="599">
        <f t="shared" si="168"/>
        <v>0</v>
      </c>
      <c r="CJ122" s="599">
        <f t="shared" si="168"/>
        <v>0</v>
      </c>
      <c r="CK122" s="599">
        <f t="shared" si="168"/>
        <v>0</v>
      </c>
      <c r="CL122" s="599">
        <f t="shared" si="168"/>
        <v>0</v>
      </c>
      <c r="CM122" s="599">
        <f t="shared" si="168"/>
        <v>0</v>
      </c>
      <c r="CN122" s="599">
        <f t="shared" si="168"/>
        <v>0</v>
      </c>
      <c r="CO122" s="599">
        <f t="shared" si="168"/>
        <v>0</v>
      </c>
      <c r="CP122" s="599">
        <f t="shared" si="168"/>
        <v>0</v>
      </c>
      <c r="CQ122" s="599">
        <f t="shared" si="168"/>
        <v>0</v>
      </c>
      <c r="CR122" s="599">
        <f t="shared" si="168"/>
        <v>0</v>
      </c>
      <c r="CS122" s="599">
        <f t="shared" si="168"/>
        <v>0</v>
      </c>
      <c r="CT122" s="599">
        <f t="shared" si="168"/>
        <v>0</v>
      </c>
      <c r="CU122" s="599">
        <f t="shared" si="168"/>
        <v>0</v>
      </c>
      <c r="CV122" s="599">
        <f t="shared" si="168"/>
        <v>0</v>
      </c>
      <c r="CW122" s="599">
        <f t="shared" si="168"/>
        <v>0</v>
      </c>
      <c r="CX122" s="599">
        <f t="shared" si="168"/>
        <v>0</v>
      </c>
      <c r="CY122" s="599">
        <f t="shared" si="168"/>
        <v>0</v>
      </c>
      <c r="CZ122" s="599">
        <f t="shared" ref="CZ122:EJ122" si="169">IF(CZ5&gt;$E$4,0,-$F$121/12*CY124)</f>
        <v>0</v>
      </c>
      <c r="DA122" s="599">
        <f t="shared" si="169"/>
        <v>0</v>
      </c>
      <c r="DB122" s="599">
        <f t="shared" si="169"/>
        <v>0</v>
      </c>
      <c r="DC122" s="599">
        <f t="shared" si="169"/>
        <v>0</v>
      </c>
      <c r="DD122" s="599">
        <f t="shared" si="169"/>
        <v>0</v>
      </c>
      <c r="DE122" s="599">
        <f t="shared" si="169"/>
        <v>0</v>
      </c>
      <c r="DF122" s="599">
        <f t="shared" si="169"/>
        <v>0</v>
      </c>
      <c r="DG122" s="599">
        <f t="shared" si="169"/>
        <v>0</v>
      </c>
      <c r="DH122" s="599">
        <f t="shared" si="169"/>
        <v>0</v>
      </c>
      <c r="DI122" s="599">
        <f t="shared" si="169"/>
        <v>0</v>
      </c>
      <c r="DJ122" s="599">
        <f t="shared" si="169"/>
        <v>0</v>
      </c>
      <c r="DK122" s="599">
        <f t="shared" si="169"/>
        <v>0</v>
      </c>
      <c r="DL122" s="599">
        <f t="shared" si="169"/>
        <v>0</v>
      </c>
      <c r="DM122" s="599">
        <f t="shared" si="169"/>
        <v>0</v>
      </c>
      <c r="DN122" s="599">
        <f t="shared" si="169"/>
        <v>0</v>
      </c>
      <c r="DO122" s="599">
        <f t="shared" si="169"/>
        <v>0</v>
      </c>
      <c r="DP122" s="599">
        <f t="shared" si="169"/>
        <v>0</v>
      </c>
      <c r="DQ122" s="599">
        <f t="shared" si="169"/>
        <v>0</v>
      </c>
      <c r="DR122" s="599">
        <f t="shared" si="169"/>
        <v>0</v>
      </c>
      <c r="DS122" s="599">
        <f t="shared" si="169"/>
        <v>0</v>
      </c>
      <c r="DT122" s="599">
        <f t="shared" si="169"/>
        <v>0</v>
      </c>
      <c r="DU122" s="599">
        <f t="shared" si="169"/>
        <v>0</v>
      </c>
      <c r="DV122" s="599">
        <f t="shared" si="169"/>
        <v>0</v>
      </c>
      <c r="DW122" s="599">
        <f t="shared" si="169"/>
        <v>0</v>
      </c>
      <c r="DX122" s="599">
        <f t="shared" si="169"/>
        <v>0</v>
      </c>
      <c r="DY122" s="599">
        <f t="shared" si="169"/>
        <v>0</v>
      </c>
      <c r="DZ122" s="599">
        <f t="shared" si="169"/>
        <v>0</v>
      </c>
      <c r="EA122" s="599">
        <f t="shared" si="169"/>
        <v>0</v>
      </c>
      <c r="EB122" s="599">
        <f t="shared" si="169"/>
        <v>0</v>
      </c>
      <c r="EC122" s="599">
        <f t="shared" si="169"/>
        <v>0</v>
      </c>
      <c r="ED122" s="599">
        <f t="shared" si="169"/>
        <v>0</v>
      </c>
      <c r="EE122" s="599">
        <f t="shared" si="169"/>
        <v>0</v>
      </c>
      <c r="EF122" s="599">
        <f t="shared" si="169"/>
        <v>0</v>
      </c>
      <c r="EG122" s="599">
        <f t="shared" si="169"/>
        <v>0</v>
      </c>
      <c r="EH122" s="599">
        <f t="shared" si="169"/>
        <v>0</v>
      </c>
      <c r="EI122" s="599">
        <f t="shared" si="169"/>
        <v>0</v>
      </c>
      <c r="EJ122" s="1117">
        <f t="shared" si="169"/>
        <v>0</v>
      </c>
    </row>
    <row r="123" spans="1:140" ht="15.75" customHeight="1" x14ac:dyDescent="0.25">
      <c r="A123" s="6"/>
      <c r="B123" s="364" t="s">
        <v>220</v>
      </c>
      <c r="C123" s="356"/>
      <c r="D123" s="356"/>
      <c r="E123" s="439"/>
      <c r="F123" s="356"/>
      <c r="G123" s="1082"/>
      <c r="H123" s="1118">
        <f t="shared" ref="H123:AM123" si="170">MAX(0,-H122-(MAX(0,H74)))</f>
        <v>0</v>
      </c>
      <c r="I123" s="1119">
        <f t="shared" si="170"/>
        <v>0</v>
      </c>
      <c r="J123" s="1119">
        <f t="shared" si="170"/>
        <v>0</v>
      </c>
      <c r="K123" s="1119">
        <f t="shared" si="170"/>
        <v>0</v>
      </c>
      <c r="L123" s="1119">
        <f t="shared" si="170"/>
        <v>0</v>
      </c>
      <c r="M123" s="1119">
        <f t="shared" si="170"/>
        <v>0</v>
      </c>
      <c r="N123" s="1119">
        <f t="shared" si="170"/>
        <v>0</v>
      </c>
      <c r="O123" s="1119">
        <f t="shared" si="170"/>
        <v>0</v>
      </c>
      <c r="P123" s="1119">
        <f t="shared" si="170"/>
        <v>4820.6649060680747</v>
      </c>
      <c r="Q123" s="1119">
        <f t="shared" si="170"/>
        <v>11799.992427324813</v>
      </c>
      <c r="R123" s="1119">
        <f t="shared" si="170"/>
        <v>18858.677251459034</v>
      </c>
      <c r="S123" s="1119">
        <f t="shared" si="170"/>
        <v>24224.147804963261</v>
      </c>
      <c r="T123" s="1119">
        <f t="shared" si="170"/>
        <v>29641.974213694473</v>
      </c>
      <c r="U123" s="1119">
        <f t="shared" si="170"/>
        <v>35104.234109220743</v>
      </c>
      <c r="V123" s="1119">
        <f t="shared" si="170"/>
        <v>40602.909070717193</v>
      </c>
      <c r="W123" s="1119">
        <f t="shared" si="170"/>
        <v>46129.927221220081</v>
      </c>
      <c r="X123" s="1119">
        <f t="shared" si="170"/>
        <v>51677.206107856066</v>
      </c>
      <c r="Y123" s="1119">
        <f t="shared" si="170"/>
        <v>57236.695493434636</v>
      </c>
      <c r="Z123" s="1119">
        <f t="shared" si="170"/>
        <v>62800.419688847949</v>
      </c>
      <c r="AA123" s="1119">
        <f t="shared" si="170"/>
        <v>68360.519062256935</v>
      </c>
      <c r="AB123" s="1119">
        <f t="shared" si="170"/>
        <v>73909.290371952142</v>
      </c>
      <c r="AC123" s="1119">
        <f t="shared" si="170"/>
        <v>79439.225584879343</v>
      </c>
      <c r="AD123" s="1119">
        <f t="shared" si="170"/>
        <v>84943.048861875184</v>
      </c>
      <c r="AE123" s="1119">
        <f t="shared" si="170"/>
        <v>90413.751413364473</v>
      </c>
      <c r="AF123" s="1119">
        <f t="shared" si="170"/>
        <v>95844.623955275194</v>
      </c>
      <c r="AG123" s="1119">
        <f t="shared" si="170"/>
        <v>76297.374720456457</v>
      </c>
      <c r="AH123" s="1119">
        <f t="shared" si="170"/>
        <v>62349.10237658921</v>
      </c>
      <c r="AI123" s="1119">
        <f t="shared" si="170"/>
        <v>48035.206163929492</v>
      </c>
      <c r="AJ123" s="1119">
        <f t="shared" si="170"/>
        <v>33898.519363018699</v>
      </c>
      <c r="AK123" s="1119">
        <f t="shared" si="170"/>
        <v>20017.154533435169</v>
      </c>
      <c r="AL123" s="1119">
        <f t="shared" si="170"/>
        <v>5421.0453351544274</v>
      </c>
      <c r="AM123" s="1119">
        <f t="shared" si="170"/>
        <v>0</v>
      </c>
      <c r="AN123" s="1119">
        <f t="shared" ref="AN123:BS123" si="171">MAX(0,-AN122-(MAX(0,AN74)))</f>
        <v>0</v>
      </c>
      <c r="AO123" s="1119">
        <f t="shared" si="171"/>
        <v>0</v>
      </c>
      <c r="AP123" s="1119">
        <f t="shared" si="171"/>
        <v>0</v>
      </c>
      <c r="AQ123" s="1119">
        <f t="shared" si="171"/>
        <v>0</v>
      </c>
      <c r="AR123" s="1119">
        <f t="shared" si="171"/>
        <v>0</v>
      </c>
      <c r="AS123" s="1119">
        <f t="shared" si="171"/>
        <v>0</v>
      </c>
      <c r="AT123" s="1119">
        <f t="shared" si="171"/>
        <v>0</v>
      </c>
      <c r="AU123" s="1119">
        <f t="shared" si="171"/>
        <v>0</v>
      </c>
      <c r="AV123" s="1119">
        <f t="shared" si="171"/>
        <v>0</v>
      </c>
      <c r="AW123" s="1119">
        <f t="shared" si="171"/>
        <v>0</v>
      </c>
      <c r="AX123" s="1119">
        <f t="shared" si="171"/>
        <v>0</v>
      </c>
      <c r="AY123" s="1119">
        <f t="shared" si="171"/>
        <v>0</v>
      </c>
      <c r="AZ123" s="1119">
        <f t="shared" si="171"/>
        <v>0</v>
      </c>
      <c r="BA123" s="1119">
        <f t="shared" si="171"/>
        <v>0</v>
      </c>
      <c r="BB123" s="1119">
        <f t="shared" si="171"/>
        <v>0</v>
      </c>
      <c r="BC123" s="1119">
        <f t="shared" si="171"/>
        <v>0</v>
      </c>
      <c r="BD123" s="1119">
        <f t="shared" si="171"/>
        <v>0</v>
      </c>
      <c r="BE123" s="1119">
        <f t="shared" si="171"/>
        <v>0</v>
      </c>
      <c r="BF123" s="1119">
        <f t="shared" si="171"/>
        <v>0</v>
      </c>
      <c r="BG123" s="1119">
        <f t="shared" si="171"/>
        <v>0</v>
      </c>
      <c r="BH123" s="1119">
        <f t="shared" si="171"/>
        <v>0</v>
      </c>
      <c r="BI123" s="1119">
        <f t="shared" si="171"/>
        <v>0</v>
      </c>
      <c r="BJ123" s="1119">
        <f t="shared" si="171"/>
        <v>0</v>
      </c>
      <c r="BK123" s="1119">
        <f t="shared" si="171"/>
        <v>0</v>
      </c>
      <c r="BL123" s="1119">
        <f t="shared" si="171"/>
        <v>0</v>
      </c>
      <c r="BM123" s="1119">
        <f t="shared" si="171"/>
        <v>0</v>
      </c>
      <c r="BN123" s="1119">
        <f t="shared" si="171"/>
        <v>0</v>
      </c>
      <c r="BO123" s="1119">
        <f t="shared" si="171"/>
        <v>0</v>
      </c>
      <c r="BP123" s="1119">
        <f t="shared" si="171"/>
        <v>0</v>
      </c>
      <c r="BQ123" s="1119">
        <f t="shared" si="171"/>
        <v>0</v>
      </c>
      <c r="BR123" s="1119">
        <f t="shared" si="171"/>
        <v>0</v>
      </c>
      <c r="BS123" s="1119">
        <f t="shared" si="171"/>
        <v>0</v>
      </c>
      <c r="BT123" s="1119">
        <f t="shared" ref="BT123:CY123" si="172">MAX(0,-BT122-(MAX(0,BT74)))</f>
        <v>0</v>
      </c>
      <c r="BU123" s="1119">
        <f t="shared" si="172"/>
        <v>0</v>
      </c>
      <c r="BV123" s="1119">
        <f t="shared" si="172"/>
        <v>0</v>
      </c>
      <c r="BW123" s="1119">
        <f t="shared" si="172"/>
        <v>0</v>
      </c>
      <c r="BX123" s="1119">
        <f t="shared" si="172"/>
        <v>0</v>
      </c>
      <c r="BY123" s="1119">
        <f t="shared" si="172"/>
        <v>0</v>
      </c>
      <c r="BZ123" s="1119">
        <f t="shared" si="172"/>
        <v>0</v>
      </c>
      <c r="CA123" s="1119">
        <f t="shared" si="172"/>
        <v>0</v>
      </c>
      <c r="CB123" s="1119">
        <f t="shared" si="172"/>
        <v>0</v>
      </c>
      <c r="CC123" s="1119">
        <f t="shared" si="172"/>
        <v>0</v>
      </c>
      <c r="CD123" s="1119">
        <f t="shared" si="172"/>
        <v>0</v>
      </c>
      <c r="CE123" s="1119">
        <f t="shared" si="172"/>
        <v>0</v>
      </c>
      <c r="CF123" s="1119">
        <f t="shared" si="172"/>
        <v>0</v>
      </c>
      <c r="CG123" s="1119">
        <f t="shared" si="172"/>
        <v>0</v>
      </c>
      <c r="CH123" s="1119">
        <f t="shared" si="172"/>
        <v>0</v>
      </c>
      <c r="CI123" s="1119">
        <f t="shared" si="172"/>
        <v>0</v>
      </c>
      <c r="CJ123" s="1119">
        <f t="shared" si="172"/>
        <v>0</v>
      </c>
      <c r="CK123" s="1119">
        <f t="shared" si="172"/>
        <v>0</v>
      </c>
      <c r="CL123" s="1119">
        <f t="shared" si="172"/>
        <v>0</v>
      </c>
      <c r="CM123" s="1119">
        <f t="shared" si="172"/>
        <v>0</v>
      </c>
      <c r="CN123" s="1119">
        <f t="shared" si="172"/>
        <v>0</v>
      </c>
      <c r="CO123" s="1119">
        <f t="shared" si="172"/>
        <v>0</v>
      </c>
      <c r="CP123" s="1119">
        <f t="shared" si="172"/>
        <v>0</v>
      </c>
      <c r="CQ123" s="1119">
        <f t="shared" si="172"/>
        <v>0</v>
      </c>
      <c r="CR123" s="1119">
        <f t="shared" si="172"/>
        <v>0</v>
      </c>
      <c r="CS123" s="1119">
        <f t="shared" si="172"/>
        <v>0</v>
      </c>
      <c r="CT123" s="1119">
        <f t="shared" si="172"/>
        <v>0</v>
      </c>
      <c r="CU123" s="1119">
        <f t="shared" si="172"/>
        <v>0</v>
      </c>
      <c r="CV123" s="1119">
        <f t="shared" si="172"/>
        <v>0</v>
      </c>
      <c r="CW123" s="1119">
        <f t="shared" si="172"/>
        <v>0</v>
      </c>
      <c r="CX123" s="1119">
        <f t="shared" si="172"/>
        <v>0</v>
      </c>
      <c r="CY123" s="1119">
        <f t="shared" si="172"/>
        <v>0</v>
      </c>
      <c r="CZ123" s="1119">
        <f t="shared" ref="CZ123:EE123" si="173">MAX(0,-CZ122-(MAX(0,CZ74)))</f>
        <v>0</v>
      </c>
      <c r="DA123" s="1119">
        <f t="shared" si="173"/>
        <v>0</v>
      </c>
      <c r="DB123" s="1119">
        <f t="shared" si="173"/>
        <v>0</v>
      </c>
      <c r="DC123" s="1119">
        <f t="shared" si="173"/>
        <v>0</v>
      </c>
      <c r="DD123" s="1119">
        <f t="shared" si="173"/>
        <v>0</v>
      </c>
      <c r="DE123" s="1119">
        <f t="shared" si="173"/>
        <v>0</v>
      </c>
      <c r="DF123" s="1119">
        <f t="shared" si="173"/>
        <v>0</v>
      </c>
      <c r="DG123" s="1119">
        <f t="shared" si="173"/>
        <v>0</v>
      </c>
      <c r="DH123" s="1119">
        <f t="shared" si="173"/>
        <v>0</v>
      </c>
      <c r="DI123" s="1119">
        <f t="shared" si="173"/>
        <v>0</v>
      </c>
      <c r="DJ123" s="1119">
        <f t="shared" si="173"/>
        <v>0</v>
      </c>
      <c r="DK123" s="1119">
        <f t="shared" si="173"/>
        <v>0</v>
      </c>
      <c r="DL123" s="1119">
        <f t="shared" si="173"/>
        <v>0</v>
      </c>
      <c r="DM123" s="1119">
        <f t="shared" si="173"/>
        <v>0</v>
      </c>
      <c r="DN123" s="1119">
        <f t="shared" si="173"/>
        <v>0</v>
      </c>
      <c r="DO123" s="1119">
        <f t="shared" si="173"/>
        <v>0</v>
      </c>
      <c r="DP123" s="1119">
        <f t="shared" si="173"/>
        <v>0</v>
      </c>
      <c r="DQ123" s="1119">
        <f t="shared" si="173"/>
        <v>0</v>
      </c>
      <c r="DR123" s="1119">
        <f t="shared" si="173"/>
        <v>0</v>
      </c>
      <c r="DS123" s="1119">
        <f t="shared" si="173"/>
        <v>0</v>
      </c>
      <c r="DT123" s="1119">
        <f t="shared" si="173"/>
        <v>0</v>
      </c>
      <c r="DU123" s="1119">
        <f t="shared" si="173"/>
        <v>0</v>
      </c>
      <c r="DV123" s="1119">
        <f t="shared" si="173"/>
        <v>0</v>
      </c>
      <c r="DW123" s="1119">
        <f t="shared" si="173"/>
        <v>0</v>
      </c>
      <c r="DX123" s="1119">
        <f t="shared" si="173"/>
        <v>0</v>
      </c>
      <c r="DY123" s="1119">
        <f t="shared" si="173"/>
        <v>0</v>
      </c>
      <c r="DZ123" s="1119">
        <f t="shared" si="173"/>
        <v>0</v>
      </c>
      <c r="EA123" s="1119">
        <f t="shared" si="173"/>
        <v>0</v>
      </c>
      <c r="EB123" s="1119">
        <f t="shared" si="173"/>
        <v>0</v>
      </c>
      <c r="EC123" s="1119">
        <f t="shared" si="173"/>
        <v>0</v>
      </c>
      <c r="ED123" s="1119">
        <f t="shared" si="173"/>
        <v>0</v>
      </c>
      <c r="EE123" s="1119">
        <f t="shared" si="173"/>
        <v>0</v>
      </c>
      <c r="EF123" s="1119">
        <f t="shared" ref="EF123:EJ123" si="174">MAX(0,-EF122-(MAX(0,EF74)))</f>
        <v>0</v>
      </c>
      <c r="EG123" s="1119">
        <f t="shared" si="174"/>
        <v>0</v>
      </c>
      <c r="EH123" s="1119">
        <f t="shared" si="174"/>
        <v>0</v>
      </c>
      <c r="EI123" s="1119">
        <f t="shared" si="174"/>
        <v>0</v>
      </c>
      <c r="EJ123" s="1120">
        <f t="shared" si="174"/>
        <v>0</v>
      </c>
    </row>
    <row r="124" spans="1:140" ht="15.75" customHeight="1" x14ac:dyDescent="0.25">
      <c r="A124" s="6"/>
      <c r="B124" s="364" t="s">
        <v>318</v>
      </c>
      <c r="C124" s="356"/>
      <c r="D124" s="356"/>
      <c r="E124" s="356"/>
      <c r="F124" s="356"/>
      <c r="G124" s="999"/>
      <c r="H124" s="1115">
        <f>IF(H5&gt;$E$4,0,SUM($H$123:H123)+-SUM($H$120:H120))</f>
        <v>0</v>
      </c>
      <c r="I124" s="599">
        <f>IF(I5&gt;$E$4,0,SUM($H$123:I123)+-SUM($H$120:I120))</f>
        <v>0</v>
      </c>
      <c r="J124" s="599">
        <f>IF(J5&gt;$E$4,0,SUM($H$123:J123)+-SUM($H$120:J120))</f>
        <v>0</v>
      </c>
      <c r="K124" s="599">
        <f>IF(K5&gt;$E$4,0,SUM($H$123:K123)+-SUM($H$120:K120))</f>
        <v>0</v>
      </c>
      <c r="L124" s="599">
        <f>IF(L5&gt;$E$4,0,SUM($H$123:L123)+-SUM($H$120:L120))</f>
        <v>0</v>
      </c>
      <c r="M124" s="599">
        <f>IF(M5&gt;$E$4,0,SUM($H$123:M123)+-SUM($H$120:M120))</f>
        <v>0</v>
      </c>
      <c r="N124" s="599">
        <f>IF(N5&gt;$E$4,0,SUM($H$123:N123)+-SUM($H$120:N120))</f>
        <v>0</v>
      </c>
      <c r="O124" s="599">
        <f>IF(O5&gt;$E$4,0,SUM($H$123:O123)+-SUM($H$120:O120))</f>
        <v>723099.73591021122</v>
      </c>
      <c r="P124" s="599">
        <f>IF(P5&gt;$E$4,0,SUM($H$123:P123)+-SUM($H$120:P120))</f>
        <v>1769998.8640987219</v>
      </c>
      <c r="Q124" s="599">
        <f>IF(Q5&gt;$E$4,0,SUM($H$123:Q123)+-SUM($H$120:Q120))</f>
        <v>2828801.5877188551</v>
      </c>
      <c r="R124" s="599">
        <f>IF(R5&gt;$E$4,0,SUM($H$123:R123)+-SUM($H$120:R120))</f>
        <v>3633622.1707444889</v>
      </c>
      <c r="S124" s="599">
        <f>IF(S5&gt;$E$4,0,SUM($H$123:S123)+-SUM($H$120:S120))</f>
        <v>4446296.1320541706</v>
      </c>
      <c r="T124" s="599">
        <f>IF(T5&gt;$E$4,0,SUM($H$123:T123)+-SUM($H$120:T120))</f>
        <v>5265635.1163831111</v>
      </c>
      <c r="U124" s="599">
        <f>IF(U5&gt;$E$4,0,SUM($H$123:U123)+-SUM($H$120:U120))</f>
        <v>6090436.3606075784</v>
      </c>
      <c r="V124" s="599">
        <f>IF(V5&gt;$E$4,0,SUM($H$123:V123)+-SUM($H$120:V120))</f>
        <v>6919489.083183012</v>
      </c>
      <c r="W124" s="599">
        <f>IF(W5&gt;$E$4,0,SUM($H$123:W123)+-SUM($H$120:W120))</f>
        <v>7751580.916178409</v>
      </c>
      <c r="X124" s="599">
        <f>IF(X5&gt;$E$4,0,SUM($H$123:X123)+-SUM($H$120:X120))</f>
        <v>8585504.3240151946</v>
      </c>
      <c r="Y124" s="599">
        <f>IF(Y5&gt;$E$4,0,SUM($H$123:Y123)+-SUM($H$120:Y120))</f>
        <v>9420062.953327192</v>
      </c>
      <c r="Z124" s="599">
        <f>IF(Z5&gt;$E$4,0,SUM($H$123:Z123)+-SUM($H$120:Z120))</f>
        <v>10254077.859338541</v>
      </c>
      <c r="AA124" s="599">
        <f>IF(AA5&gt;$E$4,0,SUM($H$123:AA123)+-SUM($H$120:AA120))</f>
        <v>11086393.555792822</v>
      </c>
      <c r="AB124" s="599">
        <f>IF(AB5&gt;$E$4,0,SUM($H$123:AB123)+-SUM($H$120:AB120))</f>
        <v>11915883.837731902</v>
      </c>
      <c r="AC124" s="599">
        <f>IF(AC5&gt;$E$4,0,SUM($H$123:AC123)+-SUM($H$120:AC120))</f>
        <v>12741457.329281276</v>
      </c>
      <c r="AD124" s="599">
        <f>IF(AD5&gt;$E$4,0,SUM($H$123:AD123)+-SUM($H$120:AD120))</f>
        <v>13562062.712004671</v>
      </c>
      <c r="AE124" s="599">
        <f>IF(AE5&gt;$E$4,0,SUM($H$123:AE123)+-SUM($H$120:AE120))</f>
        <v>14376693.593291279</v>
      </c>
      <c r="AF124" s="599">
        <f>IF(AF5&gt;$E$4,0,SUM($H$123:AF123)+-SUM($H$120:AF120))</f>
        <v>15184392.978574015</v>
      </c>
      <c r="AG124" s="599">
        <f>IF(AG5&gt;$E$4,0,SUM($H$123:AG123)+-SUM($H$120:AG120))</f>
        <v>15260690.353294471</v>
      </c>
      <c r="AH124" s="599">
        <f>IF(AH5&gt;$E$4,0,SUM($H$123:AH123)+-SUM($H$120:AH120))</f>
        <v>15323039.455671061</v>
      </c>
      <c r="AI124" s="599">
        <f>IF(AI5&gt;$E$4,0,SUM($H$123:AI123)+-SUM($H$120:AI120))</f>
        <v>15371074.661834989</v>
      </c>
      <c r="AJ124" s="599">
        <f>IF(AJ5&gt;$E$4,0,SUM($H$123:AJ123)+-SUM($H$120:AJ120))</f>
        <v>15404973.181198008</v>
      </c>
      <c r="AK124" s="599">
        <f>IF(AK5&gt;$E$4,0,SUM($H$123:AK123)+-SUM($H$120:AK120))</f>
        <v>15424990.335731443</v>
      </c>
      <c r="AL124" s="599">
        <f>IF(AL5&gt;$E$4,0,SUM($H$123:AL123)+-SUM($H$120:AL120))</f>
        <v>15430411.381066598</v>
      </c>
      <c r="AM124" s="599">
        <f>IF(AM5&gt;$E$4,0,SUM($H$123:AM123)+-SUM($H$120:AM120))</f>
        <v>15430411.381066598</v>
      </c>
      <c r="AN124" s="599">
        <f>IF(AN5&gt;$E$4,0,SUM($H$123:AN123)+-SUM($H$120:AN120))</f>
        <v>15430411.381066598</v>
      </c>
      <c r="AO124" s="599">
        <f>IF(AO5&gt;$E$4,0,SUM($H$123:AO123)+-SUM($H$120:AO120))</f>
        <v>15430411.381066598</v>
      </c>
      <c r="AP124" s="599">
        <f>IF(AP5&gt;$E$4,0,SUM($H$123:AP123)+-SUM($H$120:AP120))</f>
        <v>15430411.381066598</v>
      </c>
      <c r="AQ124" s="599">
        <f>IF(AQ5&gt;$E$4,0,SUM($H$123:AQ123)+-SUM($H$120:AQ120))</f>
        <v>15430411.381066598</v>
      </c>
      <c r="AR124" s="599">
        <f>IF(AR5&gt;$E$4,0,SUM($H$123:AR123)+-SUM($H$120:AR120))</f>
        <v>15430411.381066598</v>
      </c>
      <c r="AS124" s="599">
        <f>IF(AS5&gt;$E$4,0,SUM($H$123:AS123)+-SUM($H$120:AS120))</f>
        <v>15430411.381066598</v>
      </c>
      <c r="AT124" s="599">
        <f>IF(AT5&gt;$E$4,0,SUM($H$123:AT123)+-SUM($H$120:AT120))</f>
        <v>15430411.381066598</v>
      </c>
      <c r="AU124" s="599">
        <f>IF(AU5&gt;$E$4,0,SUM($H$123:AU123)+-SUM($H$120:AU120))</f>
        <v>15430411.381066598</v>
      </c>
      <c r="AV124" s="599">
        <f>IF(AV5&gt;$E$4,0,SUM($H$123:AV123)+-SUM($H$120:AV120))</f>
        <v>15430411.381066598</v>
      </c>
      <c r="AW124" s="599">
        <f>IF(AW5&gt;$E$4,0,SUM($H$123:AW123)+-SUM($H$120:AW120))</f>
        <v>15430411.381066598</v>
      </c>
      <c r="AX124" s="599">
        <f>IF(AX5&gt;$E$4,0,SUM($H$123:AX123)+-SUM($H$120:AX120))</f>
        <v>15430411.381066598</v>
      </c>
      <c r="AY124" s="599">
        <f>IF(AY5&gt;$E$4,0,SUM($H$123:AY123)+-SUM($H$120:AY120))</f>
        <v>15430411.381066598</v>
      </c>
      <c r="AZ124" s="599">
        <f>IF(AZ5&gt;$E$4,0,SUM($H$123:AZ123)+-SUM($H$120:AZ120))</f>
        <v>15430411.381066598</v>
      </c>
      <c r="BA124" s="599">
        <f>IF(BA5&gt;$E$4,0,SUM($H$123:BA123)+-SUM($H$120:BA120))</f>
        <v>15430411.381066598</v>
      </c>
      <c r="BB124" s="599">
        <f>IF(BB5&gt;$E$4,0,SUM($H$123:BB123)+-SUM($H$120:BB120))</f>
        <v>15430411.381066598</v>
      </c>
      <c r="BC124" s="599">
        <f>IF(BC5&gt;$E$4,0,SUM($H$123:BC123)+-SUM($H$120:BC120))</f>
        <v>15430411.381066598</v>
      </c>
      <c r="BD124" s="599">
        <f>IF(BD5&gt;$E$4,0,SUM($H$123:BD123)+-SUM($H$120:BD120))</f>
        <v>15430411.381066598</v>
      </c>
      <c r="BE124" s="599">
        <f>IF(BE5&gt;$E$4,0,SUM($H$123:BE123)+-SUM($H$120:BE120))</f>
        <v>15430411.381066598</v>
      </c>
      <c r="BF124" s="599">
        <f>IF(BF5&gt;$E$4,0,SUM($H$123:BF123)+-SUM($H$120:BF120))</f>
        <v>15430411.381066598</v>
      </c>
      <c r="BG124" s="599">
        <f>IF(BG5&gt;$E$4,0,SUM($H$123:BG123)+-SUM($H$120:BG120))</f>
        <v>15430411.381066598</v>
      </c>
      <c r="BH124" s="599">
        <f>IF(BH5&gt;$E$4,0,SUM($H$123:BH123)+-SUM($H$120:BH120))</f>
        <v>15430411.381066598</v>
      </c>
      <c r="BI124" s="599">
        <f>IF(BI5&gt;$E$4,0,SUM($H$123:BI123)+-SUM($H$120:BI120))</f>
        <v>15430411.381066598</v>
      </c>
      <c r="BJ124" s="599">
        <f>IF(BJ5&gt;$E$4,0,SUM($H$123:BJ123)+-SUM($H$120:BJ120))</f>
        <v>15430411.381066598</v>
      </c>
      <c r="BK124" s="599">
        <f>IF(BK5&gt;$E$4,0,SUM($H$123:BK123)+-SUM($H$120:BK120))</f>
        <v>15430411.381066598</v>
      </c>
      <c r="BL124" s="599">
        <f>IF(BL5&gt;$E$4,0,SUM($H$123:BL123)+-SUM($H$120:BL120))</f>
        <v>15430411.381066598</v>
      </c>
      <c r="BM124" s="599">
        <f>IF(BM5&gt;$E$4,0,SUM($H$123:BM123)+-SUM($H$120:BM120))</f>
        <v>15430411.381066598</v>
      </c>
      <c r="BN124" s="599">
        <f>IF(BN5&gt;$E$4,0,SUM($H$123:BN123)+-SUM($H$120:BN120))</f>
        <v>15430411.381066598</v>
      </c>
      <c r="BO124" s="599">
        <f>IF(BO5&gt;$E$4,0,SUM($H$123:BO123)+-SUM($H$120:BO120))</f>
        <v>15430411.381066598</v>
      </c>
      <c r="BP124" s="599">
        <f>IF(BP5&gt;$E$4,0,SUM($H$123:BP123)+-SUM($H$120:BP120))</f>
        <v>15430411.381066598</v>
      </c>
      <c r="BQ124" s="599">
        <f>IF(BQ5&gt;$E$4,0,SUM($H$123:BQ123)+-SUM($H$120:BQ120))</f>
        <v>0</v>
      </c>
      <c r="BR124" s="599">
        <f>IF(BR5&gt;$E$4,0,SUM($H$123:BR123)+-SUM($H$120:BR120))</f>
        <v>0</v>
      </c>
      <c r="BS124" s="599">
        <f>IF(BS5&gt;$E$4,0,SUM($H$123:BS123)+-SUM($H$120:BS120))</f>
        <v>0</v>
      </c>
      <c r="BT124" s="599">
        <f>IF(BT5&gt;$E$4,0,SUM($H$123:BT123)+-SUM($H$120:BT120))</f>
        <v>0</v>
      </c>
      <c r="BU124" s="599">
        <f>IF(BU5&gt;$E$4,0,SUM($H$123:BU123)+-SUM($H$120:BU120))</f>
        <v>0</v>
      </c>
      <c r="BV124" s="599">
        <f>IF(BV5&gt;$E$4,0,SUM($H$123:BV123)+-SUM($H$120:BV120))</f>
        <v>0</v>
      </c>
      <c r="BW124" s="599">
        <f>IF(BW5&gt;$E$4,0,SUM($H$123:BW123)+-SUM($H$120:BW120))</f>
        <v>0</v>
      </c>
      <c r="BX124" s="599">
        <f>IF(BX5&gt;$E$4,0,SUM($H$123:BX123)+-SUM($H$120:BX120))</f>
        <v>0</v>
      </c>
      <c r="BY124" s="599">
        <f>IF(BY5&gt;$E$4,0,SUM($H$123:BY123)+-SUM($H$120:BY120))</f>
        <v>0</v>
      </c>
      <c r="BZ124" s="599">
        <f>IF(BZ5&gt;$E$4,0,SUM($H$123:BZ123)+-SUM($H$120:BZ120))</f>
        <v>0</v>
      </c>
      <c r="CA124" s="599">
        <f>IF(CA5&gt;$E$4,0,SUM($H$123:CA123)+-SUM($H$120:CA120))</f>
        <v>0</v>
      </c>
      <c r="CB124" s="599">
        <f>IF(CB5&gt;$E$4,0,SUM($H$123:CB123)+-SUM($H$120:CB120))</f>
        <v>0</v>
      </c>
      <c r="CC124" s="599">
        <f>IF(CC5&gt;$E$4,0,SUM($H$123:CC123)+-SUM($H$120:CC120))</f>
        <v>0</v>
      </c>
      <c r="CD124" s="599">
        <f>IF(CD5&gt;$E$4,0,SUM($H$123:CD123)+-SUM($H$120:CD120))</f>
        <v>0</v>
      </c>
      <c r="CE124" s="599">
        <f>IF(CE5&gt;$E$4,0,SUM($H$123:CE123)+-SUM($H$120:CE120))</f>
        <v>0</v>
      </c>
      <c r="CF124" s="599">
        <f>IF(CF5&gt;$E$4,0,SUM($H$123:CF123)+-SUM($H$120:CF120))</f>
        <v>0</v>
      </c>
      <c r="CG124" s="599">
        <f>IF(CG5&gt;$E$4,0,SUM($H$123:CG123)+-SUM($H$120:CG120))</f>
        <v>0</v>
      </c>
      <c r="CH124" s="599">
        <f>IF(CH5&gt;$E$4,0,SUM($H$123:CH123)+-SUM($H$120:CH120))</f>
        <v>0</v>
      </c>
      <c r="CI124" s="599">
        <f>IF(CI5&gt;$E$4,0,SUM($H$123:CI123)+-SUM($H$120:CI120))</f>
        <v>0</v>
      </c>
      <c r="CJ124" s="599">
        <f>IF(CJ5&gt;$E$4,0,SUM($H$123:CJ123)+-SUM($H$120:CJ120))</f>
        <v>0</v>
      </c>
      <c r="CK124" s="599">
        <f>IF(CK5&gt;$E$4,0,SUM($H$123:CK123)+-SUM($H$120:CK120))</f>
        <v>0</v>
      </c>
      <c r="CL124" s="599">
        <f>IF(CL5&gt;$E$4,0,SUM($H$123:CL123)+-SUM($H$120:CL120))</f>
        <v>0</v>
      </c>
      <c r="CM124" s="599">
        <f>IF(CM5&gt;$E$4,0,SUM($H$123:CM123)+-SUM($H$120:CM120))</f>
        <v>0</v>
      </c>
      <c r="CN124" s="599">
        <f>IF(CN5&gt;$E$4,0,SUM($H$123:CN123)+-SUM($H$120:CN120))</f>
        <v>0</v>
      </c>
      <c r="CO124" s="599">
        <f>IF(CO5&gt;$E$4,0,SUM($H$123:CO123)+-SUM($H$120:CO120))</f>
        <v>0</v>
      </c>
      <c r="CP124" s="599">
        <f>IF(CP5&gt;$E$4,0,SUM($H$123:CP123)+-SUM($H$120:CP120))</f>
        <v>0</v>
      </c>
      <c r="CQ124" s="599">
        <f>IF(CQ5&gt;$E$4,0,SUM($H$123:CQ123)+-SUM($H$120:CQ120))</f>
        <v>0</v>
      </c>
      <c r="CR124" s="599">
        <f>IF(CR5&gt;$E$4,0,SUM($H$123:CR123)+-SUM($H$120:CR120))</f>
        <v>0</v>
      </c>
      <c r="CS124" s="599">
        <f>IF(CS5&gt;$E$4,0,SUM($H$123:CS123)+-SUM($H$120:CS120))</f>
        <v>0</v>
      </c>
      <c r="CT124" s="599">
        <f>IF(CT5&gt;$E$4,0,SUM($H$123:CT123)+-SUM($H$120:CT120))</f>
        <v>0</v>
      </c>
      <c r="CU124" s="599">
        <f>IF(CU5&gt;$E$4,0,SUM($H$123:CU123)+-SUM($H$120:CU120))</f>
        <v>0</v>
      </c>
      <c r="CV124" s="599">
        <f>IF(CV5&gt;$E$4,0,SUM($H$123:CV123)+-SUM($H$120:CV120))</f>
        <v>0</v>
      </c>
      <c r="CW124" s="599">
        <f>IF(CW5&gt;$E$4,0,SUM($H$123:CW123)+-SUM($H$120:CW120))</f>
        <v>0</v>
      </c>
      <c r="CX124" s="599">
        <f>IF(CX5&gt;$E$4,0,SUM($H$123:CX123)+-SUM($H$120:CX120))</f>
        <v>0</v>
      </c>
      <c r="CY124" s="599">
        <f>IF(CY5&gt;$E$4,0,SUM($H$123:CY123)+-SUM($H$120:CY120))</f>
        <v>0</v>
      </c>
      <c r="CZ124" s="599">
        <f>IF(CZ5&gt;$E$4,0,SUM($H$123:CZ123)+-SUM($H$120:CZ120))</f>
        <v>0</v>
      </c>
      <c r="DA124" s="599">
        <f>IF(DA5&gt;$E$4,0,SUM($H$123:DA123)+-SUM($H$120:DA120))</f>
        <v>0</v>
      </c>
      <c r="DB124" s="599">
        <f>IF(DB5&gt;$E$4,0,SUM($H$123:DB123)+-SUM($H$120:DB120))</f>
        <v>0</v>
      </c>
      <c r="DC124" s="599">
        <f>IF(DC5&gt;$E$4,0,SUM($H$123:DC123)+-SUM($H$120:DC120))</f>
        <v>0</v>
      </c>
      <c r="DD124" s="599">
        <f>IF(DD5&gt;$E$4,0,SUM($H$123:DD123)+-SUM($H$120:DD120))</f>
        <v>0</v>
      </c>
      <c r="DE124" s="599">
        <f>IF(DE5&gt;$E$4,0,SUM($H$123:DE123)+-SUM($H$120:DE120))</f>
        <v>0</v>
      </c>
      <c r="DF124" s="599">
        <f>IF(DF5&gt;$E$4,0,SUM($H$123:DF123)+-SUM($H$120:DF120))</f>
        <v>0</v>
      </c>
      <c r="DG124" s="599">
        <f>IF(DG5&gt;$E$4,0,SUM($H$123:DG123)+-SUM($H$120:DG120))</f>
        <v>0</v>
      </c>
      <c r="DH124" s="599">
        <f>IF(DH5&gt;$E$4,0,SUM($H$123:DH123)+-SUM($H$120:DH120))</f>
        <v>0</v>
      </c>
      <c r="DI124" s="599">
        <f>IF(DI5&gt;$E$4,0,SUM($H$123:DI123)+-SUM($H$120:DI120))</f>
        <v>0</v>
      </c>
      <c r="DJ124" s="599">
        <f>IF(DJ5&gt;$E$4,0,SUM($H$123:DJ123)+-SUM($H$120:DJ120))</f>
        <v>0</v>
      </c>
      <c r="DK124" s="599">
        <f>IF(DK5&gt;$E$4,0,SUM($H$123:DK123)+-SUM($H$120:DK120))</f>
        <v>0</v>
      </c>
      <c r="DL124" s="599">
        <f>IF(DL5&gt;$E$4,0,SUM($H$123:DL123)+-SUM($H$120:DL120))</f>
        <v>0</v>
      </c>
      <c r="DM124" s="599">
        <f>IF(DM5&gt;$E$4,0,SUM($H$123:DM123)+-SUM($H$120:DM120))</f>
        <v>0</v>
      </c>
      <c r="DN124" s="599">
        <f>IF(DN5&gt;$E$4,0,SUM($H$123:DN123)+-SUM($H$120:DN120))</f>
        <v>0</v>
      </c>
      <c r="DO124" s="599">
        <f>IF(DO5&gt;$E$4,0,SUM($H$123:DO123)+-SUM($H$120:DO120))</f>
        <v>0</v>
      </c>
      <c r="DP124" s="599">
        <f>IF(DP5&gt;$E$4,0,SUM($H$123:DP123)+-SUM($H$120:DP120))</f>
        <v>0</v>
      </c>
      <c r="DQ124" s="599">
        <f>IF(DQ5&gt;$E$4,0,SUM($H$123:DQ123)+-SUM($H$120:DQ120))</f>
        <v>0</v>
      </c>
      <c r="DR124" s="599">
        <f>IF(DR5&gt;$E$4,0,SUM($H$123:DR123)+-SUM($H$120:DR120))</f>
        <v>0</v>
      </c>
      <c r="DS124" s="599">
        <f>IF(DS5&gt;$E$4,0,SUM($H$123:DS123)+-SUM($H$120:DS120))</f>
        <v>0</v>
      </c>
      <c r="DT124" s="599">
        <f>IF(DT5&gt;$E$4,0,SUM($H$123:DT123)+-SUM($H$120:DT120))</f>
        <v>0</v>
      </c>
      <c r="DU124" s="599">
        <f>IF(DU5&gt;$E$4,0,SUM($H$123:DU123)+-SUM($H$120:DU120))</f>
        <v>0</v>
      </c>
      <c r="DV124" s="599">
        <f>IF(DV5&gt;$E$4,0,SUM($H$123:DV123)+-SUM($H$120:DV120))</f>
        <v>0</v>
      </c>
      <c r="DW124" s="599">
        <f>IF(DW5&gt;$E$4,0,SUM($H$123:DW123)+-SUM($H$120:DW120))</f>
        <v>0</v>
      </c>
      <c r="DX124" s="599">
        <f>IF(DX5&gt;$E$4,0,SUM($H$123:DX123)+-SUM($H$120:DX120))</f>
        <v>0</v>
      </c>
      <c r="DY124" s="599">
        <f>IF(DY5&gt;$E$4,0,SUM($H$123:DY123)+-SUM($H$120:DY120))</f>
        <v>0</v>
      </c>
      <c r="DZ124" s="599">
        <f>IF(DZ5&gt;$E$4,0,SUM($H$123:DZ123)+-SUM($H$120:DZ120))</f>
        <v>0</v>
      </c>
      <c r="EA124" s="599">
        <f>IF(EA5&gt;$E$4,0,SUM($H$123:EA123)+-SUM($H$120:EA120))</f>
        <v>0</v>
      </c>
      <c r="EB124" s="599">
        <f>IF(EB5&gt;$E$4,0,SUM($H$123:EB123)+-SUM($H$120:EB120))</f>
        <v>0</v>
      </c>
      <c r="EC124" s="599">
        <f>IF(EC5&gt;$E$4,0,SUM($H$123:EC123)+-SUM($H$120:EC120))</f>
        <v>0</v>
      </c>
      <c r="ED124" s="599">
        <f>IF(ED5&gt;$E$4,0,SUM($H$123:ED123)+-SUM($H$120:ED120))</f>
        <v>0</v>
      </c>
      <c r="EE124" s="599">
        <f>IF(EE5&gt;$E$4,0,SUM($H$123:EE123)+-SUM($H$120:EE120))</f>
        <v>0</v>
      </c>
      <c r="EF124" s="599">
        <f>IF(EF5&gt;$E$4,0,SUM($H$123:EF123)+-SUM($H$120:EF120))</f>
        <v>0</v>
      </c>
      <c r="EG124" s="599">
        <f>IF(EG5&gt;$E$4,0,SUM($H$123:EG123)+-SUM($H$120:EG120))</f>
        <v>0</v>
      </c>
      <c r="EH124" s="599">
        <f>IF(EH5&gt;$E$4,0,SUM($H$123:EH123)+-SUM($H$120:EH120))</f>
        <v>0</v>
      </c>
      <c r="EI124" s="599">
        <f>IF(EI5&gt;$E$4,0,SUM($H$123:EI123)+-SUM($H$120:EI120))</f>
        <v>0</v>
      </c>
      <c r="EJ124" s="1117">
        <f>IF(EJ5&gt;$E$4,0,SUM($H$123:EJ123)+-SUM($H$120:EJ120))</f>
        <v>0</v>
      </c>
    </row>
    <row r="125" spans="1:140" ht="15.75" customHeight="1" x14ac:dyDescent="0.25">
      <c r="A125" s="6"/>
      <c r="B125" s="653"/>
      <c r="C125" s="1011"/>
      <c r="D125" s="1011"/>
      <c r="E125" s="1067" t="s">
        <v>622</v>
      </c>
      <c r="F125" s="1067" t="s">
        <v>623</v>
      </c>
      <c r="G125" s="999"/>
      <c r="H125" s="1115"/>
      <c r="I125" s="599"/>
      <c r="J125" s="599"/>
      <c r="K125" s="599"/>
      <c r="L125" s="599"/>
      <c r="M125" s="599"/>
      <c r="N125" s="599"/>
      <c r="O125" s="599"/>
      <c r="P125" s="599"/>
      <c r="Q125" s="599"/>
      <c r="R125" s="599"/>
      <c r="S125" s="599"/>
      <c r="T125" s="599"/>
      <c r="U125" s="599"/>
      <c r="V125" s="599"/>
      <c r="W125" s="599"/>
      <c r="X125" s="599"/>
      <c r="Y125" s="599"/>
      <c r="Z125" s="599"/>
      <c r="AA125" s="599"/>
      <c r="AB125" s="599"/>
      <c r="AC125" s="599"/>
      <c r="AD125" s="599"/>
      <c r="AE125" s="599"/>
      <c r="AF125" s="599"/>
      <c r="AG125" s="599"/>
      <c r="AH125" s="599"/>
      <c r="AI125" s="599"/>
      <c r="AJ125" s="599"/>
      <c r="AK125" s="599"/>
      <c r="AL125" s="599"/>
      <c r="AM125" s="599"/>
      <c r="AN125" s="599"/>
      <c r="AO125" s="599"/>
      <c r="AP125" s="599"/>
      <c r="AQ125" s="599"/>
      <c r="AR125" s="599"/>
      <c r="AS125" s="599"/>
      <c r="AT125" s="599"/>
      <c r="AU125" s="599"/>
      <c r="AV125" s="599"/>
      <c r="AW125" s="599"/>
      <c r="AX125" s="599"/>
      <c r="AY125" s="599"/>
      <c r="AZ125" s="599"/>
      <c r="BA125" s="599"/>
      <c r="BB125" s="599"/>
      <c r="BC125" s="599"/>
      <c r="BD125" s="599"/>
      <c r="BE125" s="599"/>
      <c r="BF125" s="599"/>
      <c r="BG125" s="599"/>
      <c r="BH125" s="599"/>
      <c r="BI125" s="599"/>
      <c r="BJ125" s="599"/>
      <c r="BK125" s="599"/>
      <c r="BL125" s="599"/>
      <c r="BM125" s="599"/>
      <c r="BN125" s="599"/>
      <c r="BO125" s="599"/>
      <c r="BP125" s="599"/>
      <c r="BQ125" s="599"/>
      <c r="BR125" s="599"/>
      <c r="BS125" s="599"/>
      <c r="BT125" s="599"/>
      <c r="BU125" s="599"/>
      <c r="BV125" s="599"/>
      <c r="BW125" s="599"/>
      <c r="BX125" s="599"/>
      <c r="BY125" s="599"/>
      <c r="BZ125" s="599"/>
      <c r="CA125" s="599"/>
      <c r="CB125" s="599"/>
      <c r="CC125" s="599"/>
      <c r="CD125" s="599"/>
      <c r="CE125" s="599"/>
      <c r="CF125" s="599"/>
      <c r="CG125" s="599"/>
      <c r="CH125" s="599"/>
      <c r="CI125" s="599"/>
      <c r="CJ125" s="599"/>
      <c r="CK125" s="599"/>
      <c r="CL125" s="599"/>
      <c r="CM125" s="599"/>
      <c r="CN125" s="599"/>
      <c r="CO125" s="599"/>
      <c r="CP125" s="599"/>
      <c r="CQ125" s="599"/>
      <c r="CR125" s="599"/>
      <c r="CS125" s="599"/>
      <c r="CT125" s="599"/>
      <c r="CU125" s="599"/>
      <c r="CV125" s="599"/>
      <c r="CW125" s="599"/>
      <c r="CX125" s="599"/>
      <c r="CY125" s="599"/>
      <c r="CZ125" s="599"/>
      <c r="DA125" s="599"/>
      <c r="DB125" s="599"/>
      <c r="DC125" s="599"/>
      <c r="DD125" s="599"/>
      <c r="DE125" s="599"/>
      <c r="DF125" s="599"/>
      <c r="DG125" s="599"/>
      <c r="DH125" s="599"/>
      <c r="DI125" s="599"/>
      <c r="DJ125" s="599"/>
      <c r="DK125" s="599"/>
      <c r="DL125" s="599"/>
      <c r="DM125" s="599"/>
      <c r="DN125" s="599"/>
      <c r="DO125" s="599"/>
      <c r="DP125" s="599"/>
      <c r="DQ125" s="599"/>
      <c r="DR125" s="599"/>
      <c r="DS125" s="599"/>
      <c r="DT125" s="599"/>
      <c r="DU125" s="599"/>
      <c r="DV125" s="599"/>
      <c r="DW125" s="599"/>
      <c r="DX125" s="599"/>
      <c r="DY125" s="599"/>
      <c r="DZ125" s="599"/>
      <c r="EA125" s="599"/>
      <c r="EB125" s="599"/>
      <c r="EC125" s="599"/>
      <c r="ED125" s="599"/>
      <c r="EE125" s="599"/>
      <c r="EF125" s="599"/>
      <c r="EG125" s="599"/>
      <c r="EH125" s="599"/>
      <c r="EI125" s="599"/>
      <c r="EJ125" s="1117"/>
    </row>
    <row r="126" spans="1:140" ht="15.75" customHeight="1" x14ac:dyDescent="0.25">
      <c r="A126" s="6"/>
      <c r="B126" s="653" t="s">
        <v>204</v>
      </c>
      <c r="C126" s="1011"/>
      <c r="D126" s="1011"/>
      <c r="E126" s="433">
        <f>'Source &amp; Use'!C38</f>
        <v>473556.21023977397</v>
      </c>
      <c r="F126" s="1066">
        <v>0</v>
      </c>
      <c r="G126" s="999"/>
      <c r="H126" s="1115"/>
      <c r="I126" s="599"/>
      <c r="J126" s="599"/>
      <c r="K126" s="599"/>
      <c r="L126" s="599"/>
      <c r="M126" s="599"/>
      <c r="N126" s="599"/>
      <c r="O126" s="599"/>
      <c r="P126" s="599"/>
      <c r="Q126" s="599"/>
      <c r="R126" s="599"/>
      <c r="S126" s="599"/>
      <c r="T126" s="599"/>
      <c r="U126" s="599"/>
      <c r="V126" s="599"/>
      <c r="W126" s="599"/>
      <c r="X126" s="599"/>
      <c r="Y126" s="599"/>
      <c r="Z126" s="599"/>
      <c r="AA126" s="599"/>
      <c r="AB126" s="599"/>
      <c r="AC126" s="599"/>
      <c r="AD126" s="599"/>
      <c r="AE126" s="599"/>
      <c r="AF126" s="599"/>
      <c r="AG126" s="599"/>
      <c r="AH126" s="599"/>
      <c r="AI126" s="599"/>
      <c r="AJ126" s="599"/>
      <c r="AK126" s="599"/>
      <c r="AL126" s="599"/>
      <c r="AM126" s="599"/>
      <c r="AN126" s="599"/>
      <c r="AO126" s="599"/>
      <c r="AP126" s="599"/>
      <c r="AQ126" s="599"/>
      <c r="AR126" s="599"/>
      <c r="AS126" s="599"/>
      <c r="AT126" s="599"/>
      <c r="AU126" s="599"/>
      <c r="AV126" s="599"/>
      <c r="AW126" s="599"/>
      <c r="AX126" s="599"/>
      <c r="AY126" s="599"/>
      <c r="AZ126" s="599"/>
      <c r="BA126" s="599"/>
      <c r="BB126" s="599"/>
      <c r="BC126" s="599"/>
      <c r="BD126" s="599"/>
      <c r="BE126" s="599"/>
      <c r="BF126" s="599"/>
      <c r="BG126" s="599"/>
      <c r="BH126" s="599"/>
      <c r="BI126" s="599"/>
      <c r="BJ126" s="599"/>
      <c r="BK126" s="599"/>
      <c r="BL126" s="599"/>
      <c r="BM126" s="599"/>
      <c r="BN126" s="599"/>
      <c r="BO126" s="599"/>
      <c r="BP126" s="599"/>
      <c r="BQ126" s="599"/>
      <c r="BR126" s="599"/>
      <c r="BS126" s="599"/>
      <c r="BT126" s="599"/>
      <c r="BU126" s="599"/>
      <c r="BV126" s="599"/>
      <c r="BW126" s="599"/>
      <c r="BX126" s="599"/>
      <c r="BY126" s="599"/>
      <c r="BZ126" s="599"/>
      <c r="CA126" s="599"/>
      <c r="CB126" s="599"/>
      <c r="CC126" s="599"/>
      <c r="CD126" s="599"/>
      <c r="CE126" s="599"/>
      <c r="CF126" s="599"/>
      <c r="CG126" s="599"/>
      <c r="CH126" s="599"/>
      <c r="CI126" s="599"/>
      <c r="CJ126" s="599"/>
      <c r="CK126" s="599"/>
      <c r="CL126" s="599"/>
      <c r="CM126" s="599"/>
      <c r="CN126" s="599"/>
      <c r="CO126" s="599"/>
      <c r="CP126" s="599"/>
      <c r="CQ126" s="599"/>
      <c r="CR126" s="599"/>
      <c r="CS126" s="599"/>
      <c r="CT126" s="599"/>
      <c r="CU126" s="599"/>
      <c r="CV126" s="599"/>
      <c r="CW126" s="599"/>
      <c r="CX126" s="599"/>
      <c r="CY126" s="599"/>
      <c r="CZ126" s="599"/>
      <c r="DA126" s="599"/>
      <c r="DB126" s="599"/>
      <c r="DC126" s="599"/>
      <c r="DD126" s="599"/>
      <c r="DE126" s="599"/>
      <c r="DF126" s="599"/>
      <c r="DG126" s="599"/>
      <c r="DH126" s="599"/>
      <c r="DI126" s="599"/>
      <c r="DJ126" s="599"/>
      <c r="DK126" s="599"/>
      <c r="DL126" s="599"/>
      <c r="DM126" s="599"/>
      <c r="DN126" s="599"/>
      <c r="DO126" s="599"/>
      <c r="DP126" s="599"/>
      <c r="DQ126" s="599"/>
      <c r="DR126" s="599"/>
      <c r="DS126" s="599"/>
      <c r="DT126" s="599"/>
      <c r="DU126" s="599"/>
      <c r="DV126" s="599"/>
      <c r="DW126" s="599"/>
      <c r="DX126" s="599"/>
      <c r="DY126" s="599"/>
      <c r="DZ126" s="599"/>
      <c r="EA126" s="599"/>
      <c r="EB126" s="599"/>
      <c r="EC126" s="599"/>
      <c r="ED126" s="599"/>
      <c r="EE126" s="599"/>
      <c r="EF126" s="599"/>
      <c r="EG126" s="599"/>
      <c r="EH126" s="599"/>
      <c r="EI126" s="599"/>
      <c r="EJ126" s="1117"/>
    </row>
    <row r="127" spans="1:140" ht="15.75" customHeight="1" x14ac:dyDescent="0.25">
      <c r="A127" s="6"/>
      <c r="B127" s="364"/>
      <c r="C127" s="356"/>
      <c r="D127" s="356"/>
      <c r="E127" s="356"/>
      <c r="F127" s="356"/>
      <c r="G127" s="999"/>
      <c r="H127" s="1115"/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  <c r="X127" s="599"/>
      <c r="Y127" s="599"/>
      <c r="Z127" s="599"/>
      <c r="AA127" s="599"/>
      <c r="AB127" s="599"/>
      <c r="AC127" s="599"/>
      <c r="AD127" s="599"/>
      <c r="AE127" s="599"/>
      <c r="AF127" s="599"/>
      <c r="AG127" s="599"/>
      <c r="AH127" s="599"/>
      <c r="AI127" s="599"/>
      <c r="AJ127" s="599"/>
      <c r="AK127" s="599"/>
      <c r="AL127" s="599"/>
      <c r="AM127" s="599"/>
      <c r="AN127" s="599"/>
      <c r="AO127" s="599"/>
      <c r="AP127" s="599"/>
      <c r="AQ127" s="599"/>
      <c r="AR127" s="599"/>
      <c r="AS127" s="599"/>
      <c r="AT127" s="599"/>
      <c r="AU127" s="599"/>
      <c r="AV127" s="599"/>
      <c r="AW127" s="599"/>
      <c r="AX127" s="599"/>
      <c r="AY127" s="599"/>
      <c r="AZ127" s="599"/>
      <c r="BA127" s="599"/>
      <c r="BB127" s="599"/>
      <c r="BC127" s="599"/>
      <c r="BD127" s="599"/>
      <c r="BE127" s="599"/>
      <c r="BF127" s="599"/>
      <c r="BG127" s="599"/>
      <c r="BH127" s="599"/>
      <c r="BI127" s="599"/>
      <c r="BJ127" s="599"/>
      <c r="BK127" s="599"/>
      <c r="BL127" s="599"/>
      <c r="BM127" s="599"/>
      <c r="BN127" s="599"/>
      <c r="BO127" s="599"/>
      <c r="BP127" s="599"/>
      <c r="BQ127" s="599"/>
      <c r="BR127" s="599"/>
      <c r="BS127" s="599"/>
      <c r="BT127" s="599"/>
      <c r="BU127" s="599"/>
      <c r="BV127" s="599"/>
      <c r="BW127" s="599"/>
      <c r="BX127" s="599"/>
      <c r="BY127" s="599"/>
      <c r="BZ127" s="599"/>
      <c r="CA127" s="599"/>
      <c r="CB127" s="599"/>
      <c r="CC127" s="599"/>
      <c r="CD127" s="599"/>
      <c r="CE127" s="599"/>
      <c r="CF127" s="599"/>
      <c r="CG127" s="599"/>
      <c r="CH127" s="599"/>
      <c r="CI127" s="599"/>
      <c r="CJ127" s="599"/>
      <c r="CK127" s="599"/>
      <c r="CL127" s="599"/>
      <c r="CM127" s="599"/>
      <c r="CN127" s="599"/>
      <c r="CO127" s="599"/>
      <c r="CP127" s="599"/>
      <c r="CQ127" s="599"/>
      <c r="CR127" s="599"/>
      <c r="CS127" s="599"/>
      <c r="CT127" s="599"/>
      <c r="CU127" s="599"/>
      <c r="CV127" s="599"/>
      <c r="CW127" s="599"/>
      <c r="CX127" s="599"/>
      <c r="CY127" s="599"/>
      <c r="CZ127" s="599"/>
      <c r="DA127" s="599"/>
      <c r="DB127" s="599"/>
      <c r="DC127" s="599"/>
      <c r="DD127" s="599"/>
      <c r="DE127" s="599"/>
      <c r="DF127" s="599"/>
      <c r="DG127" s="599"/>
      <c r="DH127" s="599"/>
      <c r="DI127" s="599"/>
      <c r="DJ127" s="599"/>
      <c r="DK127" s="599"/>
      <c r="DL127" s="599"/>
      <c r="DM127" s="599"/>
      <c r="DN127" s="599"/>
      <c r="DO127" s="599"/>
      <c r="DP127" s="599"/>
      <c r="DQ127" s="599"/>
      <c r="DR127" s="599"/>
      <c r="DS127" s="599"/>
      <c r="DT127" s="599"/>
      <c r="DU127" s="599"/>
      <c r="DV127" s="599"/>
      <c r="DW127" s="599"/>
      <c r="DX127" s="599"/>
      <c r="DY127" s="599"/>
      <c r="DZ127" s="599"/>
      <c r="EA127" s="599"/>
      <c r="EB127" s="599"/>
      <c r="EC127" s="599"/>
      <c r="ED127" s="599"/>
      <c r="EE127" s="599"/>
      <c r="EF127" s="599"/>
      <c r="EG127" s="599"/>
      <c r="EH127" s="599"/>
      <c r="EI127" s="599"/>
      <c r="EJ127" s="1117"/>
    </row>
    <row r="128" spans="1:140" ht="18.75" customHeight="1" x14ac:dyDescent="0.25">
      <c r="A128" s="6"/>
      <c r="B128" s="440" t="s">
        <v>322</v>
      </c>
      <c r="C128" s="427"/>
      <c r="D128" s="427"/>
      <c r="E128" s="427"/>
      <c r="F128" s="356"/>
      <c r="G128" s="1069"/>
      <c r="H128" s="1129">
        <f t="shared" ref="H128:AM128" si="175">IF(H5=$E$4,H124+H116,0)</f>
        <v>0</v>
      </c>
      <c r="I128" s="1130">
        <f t="shared" si="175"/>
        <v>0</v>
      </c>
      <c r="J128" s="1130">
        <f t="shared" si="175"/>
        <v>0</v>
      </c>
      <c r="K128" s="1130">
        <f t="shared" si="175"/>
        <v>0</v>
      </c>
      <c r="L128" s="1130">
        <f t="shared" si="175"/>
        <v>0</v>
      </c>
      <c r="M128" s="1130">
        <f t="shared" si="175"/>
        <v>0</v>
      </c>
      <c r="N128" s="1130">
        <f t="shared" si="175"/>
        <v>0</v>
      </c>
      <c r="O128" s="1130">
        <f t="shared" si="175"/>
        <v>0</v>
      </c>
      <c r="P128" s="1130">
        <f t="shared" si="175"/>
        <v>0</v>
      </c>
      <c r="Q128" s="1130">
        <f t="shared" si="175"/>
        <v>0</v>
      </c>
      <c r="R128" s="1130">
        <f t="shared" si="175"/>
        <v>0</v>
      </c>
      <c r="S128" s="1130">
        <f t="shared" si="175"/>
        <v>0</v>
      </c>
      <c r="T128" s="1130">
        <f t="shared" si="175"/>
        <v>0</v>
      </c>
      <c r="U128" s="1130">
        <f t="shared" si="175"/>
        <v>0</v>
      </c>
      <c r="V128" s="1130">
        <f t="shared" si="175"/>
        <v>0</v>
      </c>
      <c r="W128" s="1130">
        <f t="shared" si="175"/>
        <v>0</v>
      </c>
      <c r="X128" s="1130">
        <f t="shared" si="175"/>
        <v>0</v>
      </c>
      <c r="Y128" s="1130">
        <f t="shared" si="175"/>
        <v>0</v>
      </c>
      <c r="Z128" s="1130">
        <f t="shared" si="175"/>
        <v>0</v>
      </c>
      <c r="AA128" s="1130">
        <f t="shared" si="175"/>
        <v>0</v>
      </c>
      <c r="AB128" s="1130">
        <f t="shared" si="175"/>
        <v>0</v>
      </c>
      <c r="AC128" s="1130">
        <f t="shared" si="175"/>
        <v>0</v>
      </c>
      <c r="AD128" s="1130">
        <f t="shared" si="175"/>
        <v>0</v>
      </c>
      <c r="AE128" s="1130">
        <f t="shared" si="175"/>
        <v>0</v>
      </c>
      <c r="AF128" s="1130">
        <f t="shared" si="175"/>
        <v>0</v>
      </c>
      <c r="AG128" s="1130">
        <f t="shared" si="175"/>
        <v>0</v>
      </c>
      <c r="AH128" s="1130">
        <f t="shared" si="175"/>
        <v>0</v>
      </c>
      <c r="AI128" s="1130">
        <f t="shared" si="175"/>
        <v>0</v>
      </c>
      <c r="AJ128" s="1130">
        <f t="shared" si="175"/>
        <v>0</v>
      </c>
      <c r="AK128" s="1130">
        <f t="shared" si="175"/>
        <v>0</v>
      </c>
      <c r="AL128" s="1130">
        <f t="shared" si="175"/>
        <v>0</v>
      </c>
      <c r="AM128" s="1130">
        <f t="shared" si="175"/>
        <v>0</v>
      </c>
      <c r="AN128" s="1130">
        <f t="shared" ref="AN128:BS128" si="176">IF(AN5=$E$4,AN124+AN116,0)</f>
        <v>0</v>
      </c>
      <c r="AO128" s="1130">
        <f t="shared" si="176"/>
        <v>0</v>
      </c>
      <c r="AP128" s="1130">
        <f t="shared" si="176"/>
        <v>0</v>
      </c>
      <c r="AQ128" s="1130">
        <f t="shared" si="176"/>
        <v>0</v>
      </c>
      <c r="AR128" s="1130">
        <f t="shared" si="176"/>
        <v>0</v>
      </c>
      <c r="AS128" s="1130">
        <f t="shared" si="176"/>
        <v>0</v>
      </c>
      <c r="AT128" s="1130">
        <f t="shared" si="176"/>
        <v>0</v>
      </c>
      <c r="AU128" s="1130">
        <f t="shared" si="176"/>
        <v>0</v>
      </c>
      <c r="AV128" s="1130">
        <f t="shared" si="176"/>
        <v>0</v>
      </c>
      <c r="AW128" s="1130">
        <f t="shared" si="176"/>
        <v>0</v>
      </c>
      <c r="AX128" s="1130">
        <f t="shared" si="176"/>
        <v>0</v>
      </c>
      <c r="AY128" s="1130">
        <f t="shared" si="176"/>
        <v>0</v>
      </c>
      <c r="AZ128" s="1130">
        <f t="shared" si="176"/>
        <v>0</v>
      </c>
      <c r="BA128" s="1130">
        <f t="shared" si="176"/>
        <v>0</v>
      </c>
      <c r="BB128" s="1130">
        <f t="shared" si="176"/>
        <v>0</v>
      </c>
      <c r="BC128" s="1130">
        <f t="shared" si="176"/>
        <v>0</v>
      </c>
      <c r="BD128" s="1130">
        <f t="shared" si="176"/>
        <v>0</v>
      </c>
      <c r="BE128" s="1130">
        <f t="shared" si="176"/>
        <v>0</v>
      </c>
      <c r="BF128" s="1130">
        <f t="shared" si="176"/>
        <v>0</v>
      </c>
      <c r="BG128" s="1130">
        <f t="shared" si="176"/>
        <v>0</v>
      </c>
      <c r="BH128" s="1130">
        <f t="shared" si="176"/>
        <v>0</v>
      </c>
      <c r="BI128" s="1130">
        <f t="shared" si="176"/>
        <v>0</v>
      </c>
      <c r="BJ128" s="1130">
        <f t="shared" si="176"/>
        <v>0</v>
      </c>
      <c r="BK128" s="1130">
        <f t="shared" si="176"/>
        <v>0</v>
      </c>
      <c r="BL128" s="1130">
        <f t="shared" si="176"/>
        <v>0</v>
      </c>
      <c r="BM128" s="1130">
        <f t="shared" si="176"/>
        <v>0</v>
      </c>
      <c r="BN128" s="1130">
        <f t="shared" si="176"/>
        <v>0</v>
      </c>
      <c r="BO128" s="1130">
        <f t="shared" si="176"/>
        <v>0</v>
      </c>
      <c r="BP128" s="1130">
        <f t="shared" si="176"/>
        <v>15430411.381066598</v>
      </c>
      <c r="BQ128" s="1130">
        <f t="shared" si="176"/>
        <v>0</v>
      </c>
      <c r="BR128" s="1130">
        <f t="shared" si="176"/>
        <v>0</v>
      </c>
      <c r="BS128" s="1130">
        <f t="shared" si="176"/>
        <v>0</v>
      </c>
      <c r="BT128" s="1130">
        <f t="shared" ref="BT128:CY128" si="177">IF(BT5=$E$4,BT124+BT116,0)</f>
        <v>0</v>
      </c>
      <c r="BU128" s="1130">
        <f t="shared" si="177"/>
        <v>0</v>
      </c>
      <c r="BV128" s="1130">
        <f t="shared" si="177"/>
        <v>0</v>
      </c>
      <c r="BW128" s="1130">
        <f t="shared" si="177"/>
        <v>0</v>
      </c>
      <c r="BX128" s="1130">
        <f t="shared" si="177"/>
        <v>0</v>
      </c>
      <c r="BY128" s="1130">
        <f t="shared" si="177"/>
        <v>0</v>
      </c>
      <c r="BZ128" s="1130">
        <f t="shared" si="177"/>
        <v>0</v>
      </c>
      <c r="CA128" s="1130">
        <f t="shared" si="177"/>
        <v>0</v>
      </c>
      <c r="CB128" s="1130">
        <f t="shared" si="177"/>
        <v>0</v>
      </c>
      <c r="CC128" s="1130">
        <f t="shared" si="177"/>
        <v>0</v>
      </c>
      <c r="CD128" s="1130">
        <f t="shared" si="177"/>
        <v>0</v>
      </c>
      <c r="CE128" s="1130">
        <f t="shared" si="177"/>
        <v>0</v>
      </c>
      <c r="CF128" s="1130">
        <f t="shared" si="177"/>
        <v>0</v>
      </c>
      <c r="CG128" s="1130">
        <f t="shared" si="177"/>
        <v>0</v>
      </c>
      <c r="CH128" s="1130">
        <f t="shared" si="177"/>
        <v>0</v>
      </c>
      <c r="CI128" s="1130">
        <f t="shared" si="177"/>
        <v>0</v>
      </c>
      <c r="CJ128" s="1130">
        <f t="shared" si="177"/>
        <v>0</v>
      </c>
      <c r="CK128" s="1130">
        <f t="shared" si="177"/>
        <v>0</v>
      </c>
      <c r="CL128" s="1130">
        <f t="shared" si="177"/>
        <v>0</v>
      </c>
      <c r="CM128" s="1130">
        <f t="shared" si="177"/>
        <v>0</v>
      </c>
      <c r="CN128" s="1130">
        <f t="shared" si="177"/>
        <v>0</v>
      </c>
      <c r="CO128" s="1130">
        <f t="shared" si="177"/>
        <v>0</v>
      </c>
      <c r="CP128" s="1130">
        <f t="shared" si="177"/>
        <v>0</v>
      </c>
      <c r="CQ128" s="1130">
        <f t="shared" si="177"/>
        <v>0</v>
      </c>
      <c r="CR128" s="1130">
        <f t="shared" si="177"/>
        <v>0</v>
      </c>
      <c r="CS128" s="1130">
        <f t="shared" si="177"/>
        <v>0</v>
      </c>
      <c r="CT128" s="1130">
        <f t="shared" si="177"/>
        <v>0</v>
      </c>
      <c r="CU128" s="1130">
        <f t="shared" si="177"/>
        <v>0</v>
      </c>
      <c r="CV128" s="1130">
        <f t="shared" si="177"/>
        <v>0</v>
      </c>
      <c r="CW128" s="1130">
        <f t="shared" si="177"/>
        <v>0</v>
      </c>
      <c r="CX128" s="1130">
        <f t="shared" si="177"/>
        <v>0</v>
      </c>
      <c r="CY128" s="1130">
        <f t="shared" si="177"/>
        <v>0</v>
      </c>
      <c r="CZ128" s="1130">
        <f t="shared" ref="CZ128:EJ128" si="178">IF(CZ5=$E$4,CZ124+CZ116,0)</f>
        <v>0</v>
      </c>
      <c r="DA128" s="1130">
        <f t="shared" si="178"/>
        <v>0</v>
      </c>
      <c r="DB128" s="1130">
        <f t="shared" si="178"/>
        <v>0</v>
      </c>
      <c r="DC128" s="1130">
        <f t="shared" si="178"/>
        <v>0</v>
      </c>
      <c r="DD128" s="1130">
        <f t="shared" si="178"/>
        <v>0</v>
      </c>
      <c r="DE128" s="1130">
        <f t="shared" si="178"/>
        <v>0</v>
      </c>
      <c r="DF128" s="1130">
        <f t="shared" si="178"/>
        <v>0</v>
      </c>
      <c r="DG128" s="1130">
        <f t="shared" si="178"/>
        <v>0</v>
      </c>
      <c r="DH128" s="1130">
        <f t="shared" si="178"/>
        <v>0</v>
      </c>
      <c r="DI128" s="1130">
        <f t="shared" si="178"/>
        <v>0</v>
      </c>
      <c r="DJ128" s="1130">
        <f t="shared" si="178"/>
        <v>0</v>
      </c>
      <c r="DK128" s="1130">
        <f t="shared" si="178"/>
        <v>0</v>
      </c>
      <c r="DL128" s="1130">
        <f t="shared" si="178"/>
        <v>0</v>
      </c>
      <c r="DM128" s="1130">
        <f t="shared" si="178"/>
        <v>0</v>
      </c>
      <c r="DN128" s="1130">
        <f t="shared" si="178"/>
        <v>0</v>
      </c>
      <c r="DO128" s="1130">
        <f t="shared" si="178"/>
        <v>0</v>
      </c>
      <c r="DP128" s="1130">
        <f t="shared" si="178"/>
        <v>0</v>
      </c>
      <c r="DQ128" s="1130">
        <f t="shared" si="178"/>
        <v>0</v>
      </c>
      <c r="DR128" s="1130">
        <f t="shared" si="178"/>
        <v>0</v>
      </c>
      <c r="DS128" s="1130">
        <f t="shared" si="178"/>
        <v>0</v>
      </c>
      <c r="DT128" s="1130">
        <f t="shared" si="178"/>
        <v>0</v>
      </c>
      <c r="DU128" s="1130">
        <f t="shared" si="178"/>
        <v>0</v>
      </c>
      <c r="DV128" s="1130">
        <f t="shared" si="178"/>
        <v>0</v>
      </c>
      <c r="DW128" s="1130">
        <f t="shared" si="178"/>
        <v>0</v>
      </c>
      <c r="DX128" s="1130">
        <f t="shared" si="178"/>
        <v>0</v>
      </c>
      <c r="DY128" s="1130">
        <f t="shared" si="178"/>
        <v>0</v>
      </c>
      <c r="DZ128" s="1130">
        <f t="shared" si="178"/>
        <v>0</v>
      </c>
      <c r="EA128" s="1130">
        <f t="shared" si="178"/>
        <v>0</v>
      </c>
      <c r="EB128" s="1130">
        <f t="shared" si="178"/>
        <v>0</v>
      </c>
      <c r="EC128" s="1130">
        <f t="shared" si="178"/>
        <v>0</v>
      </c>
      <c r="ED128" s="1130">
        <f t="shared" si="178"/>
        <v>0</v>
      </c>
      <c r="EE128" s="1130">
        <f t="shared" si="178"/>
        <v>0</v>
      </c>
      <c r="EF128" s="1130">
        <f t="shared" si="178"/>
        <v>0</v>
      </c>
      <c r="EG128" s="1130">
        <f t="shared" si="178"/>
        <v>0</v>
      </c>
      <c r="EH128" s="1130">
        <f t="shared" si="178"/>
        <v>0</v>
      </c>
      <c r="EI128" s="1130">
        <f t="shared" si="178"/>
        <v>0</v>
      </c>
      <c r="EJ128" s="1131">
        <f t="shared" si="178"/>
        <v>0</v>
      </c>
    </row>
    <row r="129" spans="1:140" ht="15.75" customHeight="1" thickBot="1" x14ac:dyDescent="0.3">
      <c r="A129" s="6"/>
      <c r="B129" s="1260"/>
      <c r="C129" s="1011"/>
      <c r="D129" s="1011"/>
      <c r="E129" s="1011"/>
      <c r="F129" s="1011"/>
      <c r="G129" s="1011"/>
      <c r="H129" s="1261"/>
      <c r="I129" s="1262"/>
      <c r="J129" s="1262"/>
      <c r="K129" s="1262"/>
      <c r="L129" s="1262"/>
      <c r="M129" s="1262"/>
      <c r="N129" s="1262"/>
      <c r="O129" s="1262"/>
      <c r="P129" s="1262"/>
      <c r="Q129" s="1262"/>
      <c r="R129" s="1262"/>
      <c r="S129" s="1262"/>
      <c r="T129" s="1262"/>
      <c r="U129" s="1262"/>
      <c r="V129" s="1262"/>
      <c r="W129" s="1262"/>
      <c r="X129" s="1262"/>
      <c r="Y129" s="1262"/>
      <c r="Z129" s="1262"/>
      <c r="AA129" s="1262"/>
      <c r="AB129" s="1262"/>
      <c r="AC129" s="1262"/>
      <c r="AD129" s="1262"/>
      <c r="AE129" s="1262"/>
      <c r="AF129" s="1262"/>
      <c r="AG129" s="1262"/>
      <c r="AH129" s="1130"/>
      <c r="AI129" s="1262"/>
      <c r="AJ129" s="1262"/>
      <c r="AK129" s="1262"/>
      <c r="AL129" s="1262"/>
      <c r="AM129" s="1262"/>
      <c r="AN129" s="1262"/>
      <c r="AO129" s="1262"/>
      <c r="AP129" s="1262"/>
      <c r="AQ129" s="1262"/>
      <c r="AR129" s="1262"/>
      <c r="AS129" s="1262"/>
      <c r="AT129" s="1167"/>
      <c r="AU129" s="579"/>
      <c r="AV129" s="579"/>
      <c r="AW129" s="579"/>
      <c r="AX129" s="579"/>
      <c r="AY129" s="579"/>
      <c r="AZ129" s="579"/>
      <c r="BA129" s="579"/>
      <c r="BB129" s="579"/>
      <c r="BC129" s="579"/>
      <c r="BD129" s="579"/>
      <c r="BE129" s="579"/>
      <c r="BF129" s="579"/>
      <c r="BG129" s="579"/>
      <c r="BH129" s="579"/>
      <c r="BI129" s="579"/>
      <c r="BJ129" s="579"/>
      <c r="BK129" s="579"/>
      <c r="BL129" s="579"/>
      <c r="BM129" s="579"/>
      <c r="BN129" s="579"/>
      <c r="BO129" s="579"/>
      <c r="BP129" s="579"/>
      <c r="BQ129" s="579"/>
      <c r="BR129" s="579"/>
      <c r="BS129" s="579"/>
      <c r="BT129" s="579"/>
      <c r="BU129" s="579"/>
      <c r="BV129" s="579"/>
      <c r="BW129" s="579"/>
      <c r="BX129" s="579"/>
      <c r="BY129" s="579"/>
      <c r="BZ129" s="579"/>
      <c r="CA129" s="579"/>
      <c r="CB129" s="579"/>
      <c r="CC129" s="579"/>
      <c r="CD129" s="579"/>
      <c r="CE129" s="579"/>
      <c r="CF129" s="579"/>
      <c r="CG129" s="579"/>
      <c r="CH129" s="579"/>
      <c r="CI129" s="579"/>
      <c r="CJ129" s="579"/>
      <c r="CK129" s="579"/>
      <c r="CL129" s="579"/>
      <c r="CM129" s="579"/>
      <c r="CN129" s="579"/>
      <c r="CO129" s="579"/>
      <c r="CP129" s="579"/>
      <c r="CQ129" s="579"/>
      <c r="CR129" s="579"/>
      <c r="CS129" s="579"/>
      <c r="CT129" s="579"/>
      <c r="CU129" s="579"/>
      <c r="CV129" s="579"/>
      <c r="CW129" s="579"/>
      <c r="CX129" s="579"/>
      <c r="CY129" s="579"/>
      <c r="CZ129" s="579"/>
      <c r="DA129" s="579"/>
      <c r="DB129" s="579"/>
      <c r="DC129" s="579"/>
      <c r="DD129" s="579"/>
      <c r="DE129" s="579"/>
      <c r="DF129" s="579"/>
      <c r="DG129" s="579"/>
      <c r="DH129" s="579"/>
      <c r="DI129" s="579"/>
      <c r="DJ129" s="579"/>
      <c r="DK129" s="579"/>
      <c r="DL129" s="579"/>
      <c r="DM129" s="579"/>
      <c r="DN129" s="579"/>
      <c r="DO129" s="579"/>
      <c r="DP129" s="579"/>
      <c r="DQ129" s="579"/>
      <c r="DR129" s="579"/>
      <c r="DS129" s="579"/>
      <c r="DT129" s="579"/>
      <c r="DU129" s="579"/>
      <c r="DV129" s="579"/>
      <c r="DW129" s="579"/>
      <c r="DX129" s="579"/>
      <c r="DY129" s="579"/>
      <c r="DZ129" s="579"/>
      <c r="EA129" s="579"/>
      <c r="EB129" s="579"/>
      <c r="EC129" s="579"/>
      <c r="ED129" s="579"/>
      <c r="EE129" s="579"/>
      <c r="EF129" s="579"/>
      <c r="EG129" s="579"/>
      <c r="EH129" s="579"/>
      <c r="EI129" s="579"/>
      <c r="EJ129" s="1114"/>
    </row>
    <row r="130" spans="1:140" ht="23.25" customHeight="1" thickBot="1" x14ac:dyDescent="0.3">
      <c r="A130" s="358"/>
      <c r="B130" s="1266" t="s">
        <v>456</v>
      </c>
      <c r="C130" s="1267"/>
      <c r="D130" s="1268"/>
      <c r="E130" s="1269"/>
      <c r="F130" s="1270" t="s">
        <v>313</v>
      </c>
      <c r="G130" s="1271">
        <f>XIRR(H130:DX130,H3:DX3)</f>
        <v>0.15519891381263737</v>
      </c>
      <c r="H130" s="1272">
        <f>IF(H5&gt;$E$4,0,ROUND(IF(H5&lt;&gt;$E$4,H100-H112+H114+H115-H120+H122+H123-E126,H100-H112+H114+H115-H120+H122+H123-H128),0))</f>
        <v>-3753556</v>
      </c>
      <c r="I130" s="1272">
        <f t="shared" ref="I130:AN130" si="179">IF(I5&gt;$E$4,0,ROUND(IF(I5&lt;&gt;$E$4,I100-I112+I114+I115-I120+I122+I123,I100-I112+I114+I115-I120+I122+I123-I128),0))</f>
        <v>-976611</v>
      </c>
      <c r="J130" s="1272">
        <f t="shared" si="179"/>
        <v>-988974</v>
      </c>
      <c r="K130" s="1272">
        <f t="shared" si="179"/>
        <v>-1000419</v>
      </c>
      <c r="L130" s="1272">
        <f t="shared" si="179"/>
        <v>-1010891</v>
      </c>
      <c r="M130" s="1272">
        <f t="shared" si="179"/>
        <v>-1020338</v>
      </c>
      <c r="N130" s="1272">
        <f t="shared" si="179"/>
        <v>-1028712</v>
      </c>
      <c r="O130" s="1272">
        <f t="shared" si="179"/>
        <v>-312871</v>
      </c>
      <c r="P130" s="1272">
        <f t="shared" si="179"/>
        <v>0</v>
      </c>
      <c r="Q130" s="1272">
        <f t="shared" si="179"/>
        <v>0</v>
      </c>
      <c r="R130" s="1272">
        <f t="shared" si="179"/>
        <v>0</v>
      </c>
      <c r="S130" s="1272">
        <f t="shared" si="179"/>
        <v>0</v>
      </c>
      <c r="T130" s="1272">
        <f t="shared" si="179"/>
        <v>0</v>
      </c>
      <c r="U130" s="1272">
        <f t="shared" si="179"/>
        <v>0</v>
      </c>
      <c r="V130" s="1272">
        <f t="shared" si="179"/>
        <v>0</v>
      </c>
      <c r="W130" s="1272">
        <f t="shared" si="179"/>
        <v>0</v>
      </c>
      <c r="X130" s="1272">
        <f t="shared" si="179"/>
        <v>0</v>
      </c>
      <c r="Y130" s="1272">
        <f t="shared" si="179"/>
        <v>0</v>
      </c>
      <c r="Z130" s="1272">
        <f t="shared" si="179"/>
        <v>0</v>
      </c>
      <c r="AA130" s="1272">
        <f t="shared" si="179"/>
        <v>0</v>
      </c>
      <c r="AB130" s="1272">
        <f t="shared" si="179"/>
        <v>0</v>
      </c>
      <c r="AC130" s="1272">
        <f t="shared" si="179"/>
        <v>0</v>
      </c>
      <c r="AD130" s="1272">
        <f t="shared" si="179"/>
        <v>0</v>
      </c>
      <c r="AE130" s="1272">
        <f t="shared" si="179"/>
        <v>0</v>
      </c>
      <c r="AF130" s="1272">
        <f t="shared" si="179"/>
        <v>0</v>
      </c>
      <c r="AG130" s="1272">
        <f t="shared" si="179"/>
        <v>0</v>
      </c>
      <c r="AH130" s="1272">
        <f t="shared" si="179"/>
        <v>0</v>
      </c>
      <c r="AI130" s="1272">
        <f t="shared" si="179"/>
        <v>0</v>
      </c>
      <c r="AJ130" s="1272">
        <f t="shared" si="179"/>
        <v>0</v>
      </c>
      <c r="AK130" s="1272">
        <f t="shared" si="179"/>
        <v>0</v>
      </c>
      <c r="AL130" s="1272">
        <f t="shared" si="179"/>
        <v>0</v>
      </c>
      <c r="AM130" s="1272">
        <f t="shared" si="179"/>
        <v>9000</v>
      </c>
      <c r="AN130" s="1272">
        <f t="shared" si="179"/>
        <v>23457</v>
      </c>
      <c r="AO130" s="1272">
        <f t="shared" ref="AO130:BT130" si="180">IF(AO5&gt;$E$4,0,ROUND(IF(AO5&lt;&gt;$E$4,AO100-AO112+AO114+AO115-AO120+AO122+AO123,AO100-AO112+AO114+AO115-AO120+AO122+AO123-AO128),0))</f>
        <v>37620</v>
      </c>
      <c r="AP130" s="1272">
        <f t="shared" si="180"/>
        <v>52077</v>
      </c>
      <c r="AQ130" s="1272">
        <f t="shared" si="180"/>
        <v>43970</v>
      </c>
      <c r="AR130" s="1272">
        <f t="shared" si="180"/>
        <v>43970</v>
      </c>
      <c r="AS130" s="1272">
        <f t="shared" si="180"/>
        <v>48376</v>
      </c>
      <c r="AT130" s="1288">
        <f t="shared" si="180"/>
        <v>48376</v>
      </c>
      <c r="AU130" s="1272">
        <f t="shared" si="180"/>
        <v>48376</v>
      </c>
      <c r="AV130" s="1272">
        <f t="shared" si="180"/>
        <v>48376</v>
      </c>
      <c r="AW130" s="1272">
        <f t="shared" si="180"/>
        <v>48376</v>
      </c>
      <c r="AX130" s="1272">
        <f t="shared" si="180"/>
        <v>48376</v>
      </c>
      <c r="AY130" s="1272">
        <f t="shared" si="180"/>
        <v>48376</v>
      </c>
      <c r="AZ130" s="1272">
        <f t="shared" si="180"/>
        <v>48376</v>
      </c>
      <c r="BA130" s="1272">
        <f t="shared" si="180"/>
        <v>48376</v>
      </c>
      <c r="BB130" s="1272">
        <f t="shared" si="180"/>
        <v>48376</v>
      </c>
      <c r="BC130" s="1272">
        <f t="shared" si="180"/>
        <v>48376</v>
      </c>
      <c r="BD130" s="1272">
        <f t="shared" si="180"/>
        <v>48376</v>
      </c>
      <c r="BE130" s="1272">
        <f t="shared" si="180"/>
        <v>52913</v>
      </c>
      <c r="BF130" s="1272">
        <f t="shared" si="180"/>
        <v>52913</v>
      </c>
      <c r="BG130" s="1272">
        <f t="shared" si="180"/>
        <v>52913</v>
      </c>
      <c r="BH130" s="1272">
        <f t="shared" si="180"/>
        <v>52913</v>
      </c>
      <c r="BI130" s="1272">
        <f t="shared" si="180"/>
        <v>52913</v>
      </c>
      <c r="BJ130" s="1272">
        <f t="shared" si="180"/>
        <v>52913</v>
      </c>
      <c r="BK130" s="1272">
        <f t="shared" si="180"/>
        <v>52913</v>
      </c>
      <c r="BL130" s="1272">
        <f t="shared" si="180"/>
        <v>52913</v>
      </c>
      <c r="BM130" s="1272">
        <f t="shared" si="180"/>
        <v>52913</v>
      </c>
      <c r="BN130" s="1272">
        <f t="shared" si="180"/>
        <v>52913</v>
      </c>
      <c r="BO130" s="1272">
        <f t="shared" si="180"/>
        <v>52913</v>
      </c>
      <c r="BP130" s="1272">
        <f t="shared" si="180"/>
        <v>18580775</v>
      </c>
      <c r="BQ130" s="1272">
        <f t="shared" si="180"/>
        <v>0</v>
      </c>
      <c r="BR130" s="1272">
        <f t="shared" si="180"/>
        <v>0</v>
      </c>
      <c r="BS130" s="1272">
        <f t="shared" si="180"/>
        <v>0</v>
      </c>
      <c r="BT130" s="1272">
        <f t="shared" si="180"/>
        <v>0</v>
      </c>
      <c r="BU130" s="1272">
        <f t="shared" ref="BU130:CZ130" si="181">IF(BU5&gt;$E$4,0,ROUND(IF(BU5&lt;&gt;$E$4,BU100-BU112+BU114+BU115-BU120+BU122+BU123,BU100-BU112+BU114+BU115-BU120+BU122+BU123-BU128),0))</f>
        <v>0</v>
      </c>
      <c r="BV130" s="1272">
        <f t="shared" si="181"/>
        <v>0</v>
      </c>
      <c r="BW130" s="1272">
        <f t="shared" si="181"/>
        <v>0</v>
      </c>
      <c r="BX130" s="1272">
        <f t="shared" si="181"/>
        <v>0</v>
      </c>
      <c r="BY130" s="1272">
        <f t="shared" si="181"/>
        <v>0</v>
      </c>
      <c r="BZ130" s="1272">
        <f t="shared" si="181"/>
        <v>0</v>
      </c>
      <c r="CA130" s="1272">
        <f t="shared" si="181"/>
        <v>0</v>
      </c>
      <c r="CB130" s="1272">
        <f t="shared" si="181"/>
        <v>0</v>
      </c>
      <c r="CC130" s="1272">
        <f t="shared" si="181"/>
        <v>0</v>
      </c>
      <c r="CD130" s="1272">
        <f t="shared" si="181"/>
        <v>0</v>
      </c>
      <c r="CE130" s="1272">
        <f t="shared" si="181"/>
        <v>0</v>
      </c>
      <c r="CF130" s="1272">
        <f t="shared" si="181"/>
        <v>0</v>
      </c>
      <c r="CG130" s="1272">
        <f t="shared" si="181"/>
        <v>0</v>
      </c>
      <c r="CH130" s="1272">
        <f t="shared" si="181"/>
        <v>0</v>
      </c>
      <c r="CI130" s="1272">
        <f t="shared" si="181"/>
        <v>0</v>
      </c>
      <c r="CJ130" s="1272">
        <f t="shared" si="181"/>
        <v>0</v>
      </c>
      <c r="CK130" s="1272">
        <f t="shared" si="181"/>
        <v>0</v>
      </c>
      <c r="CL130" s="1272">
        <f t="shared" si="181"/>
        <v>0</v>
      </c>
      <c r="CM130" s="1272">
        <f t="shared" si="181"/>
        <v>0</v>
      </c>
      <c r="CN130" s="1272">
        <f t="shared" si="181"/>
        <v>0</v>
      </c>
      <c r="CO130" s="1272">
        <f t="shared" si="181"/>
        <v>0</v>
      </c>
      <c r="CP130" s="1272">
        <f t="shared" si="181"/>
        <v>0</v>
      </c>
      <c r="CQ130" s="1272">
        <f t="shared" si="181"/>
        <v>0</v>
      </c>
      <c r="CR130" s="1272">
        <f t="shared" si="181"/>
        <v>0</v>
      </c>
      <c r="CS130" s="1272">
        <f t="shared" si="181"/>
        <v>0</v>
      </c>
      <c r="CT130" s="1272">
        <f t="shared" si="181"/>
        <v>0</v>
      </c>
      <c r="CU130" s="1272">
        <f t="shared" si="181"/>
        <v>0</v>
      </c>
      <c r="CV130" s="1272">
        <f t="shared" si="181"/>
        <v>0</v>
      </c>
      <c r="CW130" s="1272">
        <f t="shared" si="181"/>
        <v>0</v>
      </c>
      <c r="CX130" s="1272">
        <f t="shared" si="181"/>
        <v>0</v>
      </c>
      <c r="CY130" s="1272">
        <f t="shared" si="181"/>
        <v>0</v>
      </c>
      <c r="CZ130" s="1272">
        <f t="shared" si="181"/>
        <v>0</v>
      </c>
      <c r="DA130" s="1272">
        <f t="shared" ref="DA130:EJ130" si="182">IF(DA5&gt;$E$4,0,ROUND(IF(DA5&lt;&gt;$E$4,DA100-DA112+DA114+DA115-DA120+DA122+DA123,DA100-DA112+DA114+DA115-DA120+DA122+DA123-DA128),0))</f>
        <v>0</v>
      </c>
      <c r="DB130" s="1272">
        <f t="shared" si="182"/>
        <v>0</v>
      </c>
      <c r="DC130" s="1272">
        <f t="shared" si="182"/>
        <v>0</v>
      </c>
      <c r="DD130" s="1272">
        <f t="shared" si="182"/>
        <v>0</v>
      </c>
      <c r="DE130" s="1272">
        <f t="shared" si="182"/>
        <v>0</v>
      </c>
      <c r="DF130" s="1272">
        <f t="shared" si="182"/>
        <v>0</v>
      </c>
      <c r="DG130" s="1272">
        <f t="shared" si="182"/>
        <v>0</v>
      </c>
      <c r="DH130" s="1272">
        <f t="shared" si="182"/>
        <v>0</v>
      </c>
      <c r="DI130" s="1272">
        <f t="shared" si="182"/>
        <v>0</v>
      </c>
      <c r="DJ130" s="1272">
        <f t="shared" si="182"/>
        <v>0</v>
      </c>
      <c r="DK130" s="1272">
        <f t="shared" si="182"/>
        <v>0</v>
      </c>
      <c r="DL130" s="1272">
        <f t="shared" si="182"/>
        <v>0</v>
      </c>
      <c r="DM130" s="1272">
        <f t="shared" si="182"/>
        <v>0</v>
      </c>
      <c r="DN130" s="1272">
        <f t="shared" si="182"/>
        <v>0</v>
      </c>
      <c r="DO130" s="1272">
        <f t="shared" si="182"/>
        <v>0</v>
      </c>
      <c r="DP130" s="1272">
        <f t="shared" si="182"/>
        <v>0</v>
      </c>
      <c r="DQ130" s="1272">
        <f t="shared" si="182"/>
        <v>0</v>
      </c>
      <c r="DR130" s="1272">
        <f t="shared" si="182"/>
        <v>0</v>
      </c>
      <c r="DS130" s="1272">
        <f t="shared" si="182"/>
        <v>0</v>
      </c>
      <c r="DT130" s="1272">
        <f t="shared" si="182"/>
        <v>0</v>
      </c>
      <c r="DU130" s="1272">
        <f t="shared" si="182"/>
        <v>0</v>
      </c>
      <c r="DV130" s="1272">
        <f t="shared" si="182"/>
        <v>0</v>
      </c>
      <c r="DW130" s="1272">
        <f t="shared" si="182"/>
        <v>0</v>
      </c>
      <c r="DX130" s="1272">
        <f t="shared" si="182"/>
        <v>0</v>
      </c>
      <c r="DY130" s="1272">
        <f t="shared" si="182"/>
        <v>0</v>
      </c>
      <c r="DZ130" s="1272">
        <f t="shared" si="182"/>
        <v>0</v>
      </c>
      <c r="EA130" s="1272">
        <f t="shared" si="182"/>
        <v>0</v>
      </c>
      <c r="EB130" s="1272">
        <f t="shared" si="182"/>
        <v>0</v>
      </c>
      <c r="EC130" s="1272">
        <f t="shared" si="182"/>
        <v>0</v>
      </c>
      <c r="ED130" s="1272">
        <f t="shared" si="182"/>
        <v>0</v>
      </c>
      <c r="EE130" s="1272">
        <f t="shared" si="182"/>
        <v>0</v>
      </c>
      <c r="EF130" s="1272">
        <f t="shared" si="182"/>
        <v>0</v>
      </c>
      <c r="EG130" s="1272">
        <f t="shared" si="182"/>
        <v>0</v>
      </c>
      <c r="EH130" s="1272">
        <f t="shared" si="182"/>
        <v>0</v>
      </c>
      <c r="EI130" s="1272">
        <f t="shared" si="182"/>
        <v>0</v>
      </c>
      <c r="EJ130" s="1273">
        <f t="shared" si="182"/>
        <v>0</v>
      </c>
    </row>
    <row r="131" spans="1:140" ht="23.25" customHeight="1" x14ac:dyDescent="0.25">
      <c r="A131" s="6"/>
      <c r="B131" s="1263"/>
      <c r="C131" s="993"/>
      <c r="D131" s="993"/>
      <c r="E131" s="993"/>
      <c r="F131" s="1975" t="s">
        <v>621</v>
      </c>
      <c r="G131" s="1976"/>
      <c r="H131" s="1264">
        <f t="shared" ref="H131:AM131" si="183">IFERROR(-H74/H122,0)</f>
        <v>0</v>
      </c>
      <c r="I131" s="1264">
        <f t="shared" si="183"/>
        <v>0</v>
      </c>
      <c r="J131" s="1264">
        <f t="shared" si="183"/>
        <v>0</v>
      </c>
      <c r="K131" s="1264">
        <f t="shared" si="183"/>
        <v>0</v>
      </c>
      <c r="L131" s="1264">
        <f t="shared" si="183"/>
        <v>0</v>
      </c>
      <c r="M131" s="1264">
        <f t="shared" si="183"/>
        <v>0</v>
      </c>
      <c r="N131" s="1264">
        <f t="shared" si="183"/>
        <v>0</v>
      </c>
      <c r="O131" s="1264">
        <f t="shared" si="183"/>
        <v>0</v>
      </c>
      <c r="P131" s="1264">
        <f t="shared" si="183"/>
        <v>0</v>
      </c>
      <c r="Q131" s="1264">
        <f t="shared" si="183"/>
        <v>0</v>
      </c>
      <c r="R131" s="1264">
        <f t="shared" si="183"/>
        <v>0</v>
      </c>
      <c r="S131" s="1264">
        <f t="shared" si="183"/>
        <v>0</v>
      </c>
      <c r="T131" s="1264">
        <f t="shared" si="183"/>
        <v>0</v>
      </c>
      <c r="U131" s="1264">
        <f t="shared" si="183"/>
        <v>0</v>
      </c>
      <c r="V131" s="1264">
        <f t="shared" si="183"/>
        <v>0</v>
      </c>
      <c r="W131" s="1264">
        <f t="shared" si="183"/>
        <v>0</v>
      </c>
      <c r="X131" s="1264">
        <f t="shared" si="183"/>
        <v>0</v>
      </c>
      <c r="Y131" s="1264">
        <f t="shared" si="183"/>
        <v>0</v>
      </c>
      <c r="Z131" s="1264">
        <f t="shared" si="183"/>
        <v>0</v>
      </c>
      <c r="AA131" s="1264">
        <f t="shared" si="183"/>
        <v>0</v>
      </c>
      <c r="AB131" s="1264">
        <f t="shared" si="183"/>
        <v>0</v>
      </c>
      <c r="AC131" s="1264">
        <f t="shared" si="183"/>
        <v>0</v>
      </c>
      <c r="AD131" s="1264">
        <f t="shared" si="183"/>
        <v>0</v>
      </c>
      <c r="AE131" s="1264">
        <f t="shared" si="183"/>
        <v>0</v>
      </c>
      <c r="AF131" s="1264">
        <f t="shared" si="183"/>
        <v>0</v>
      </c>
      <c r="AG131" s="1264">
        <f t="shared" si="183"/>
        <v>0.24629148993855626</v>
      </c>
      <c r="AH131" s="1264">
        <f t="shared" si="183"/>
        <v>0.38715974572740114</v>
      </c>
      <c r="AI131" s="1264">
        <f t="shared" si="183"/>
        <v>0.5297746934977221</v>
      </c>
      <c r="AJ131" s="1264">
        <f t="shared" si="183"/>
        <v>0.66919828207731924</v>
      </c>
      <c r="AK131" s="1264">
        <f t="shared" si="183"/>
        <v>0.8050906584063412</v>
      </c>
      <c r="AL131" s="1264">
        <f t="shared" si="183"/>
        <v>0.9472831565806874</v>
      </c>
      <c r="AM131" s="1264">
        <f t="shared" si="183"/>
        <v>1.087486998716616</v>
      </c>
      <c r="AN131" s="1264">
        <f t="shared" ref="AN131:BS131" si="184">IFERROR(-AN74/AN122,0)</f>
        <v>1.2280236424098219</v>
      </c>
      <c r="AO131" s="1264">
        <f t="shared" si="184"/>
        <v>1.3657038735381573</v>
      </c>
      <c r="AP131" s="1264">
        <f t="shared" si="184"/>
        <v>1.5062405172313629</v>
      </c>
      <c r="AQ131" s="1264">
        <f t="shared" si="184"/>
        <v>1.4274384481243885</v>
      </c>
      <c r="AR131" s="1264">
        <f t="shared" si="184"/>
        <v>1.4274384481243885</v>
      </c>
      <c r="AS131" s="1264">
        <f t="shared" si="184"/>
        <v>1.4702616015681196</v>
      </c>
      <c r="AT131" s="1264">
        <f t="shared" si="184"/>
        <v>1.4702616015681196</v>
      </c>
      <c r="AU131" s="1264">
        <f t="shared" si="184"/>
        <v>1.4702616015681196</v>
      </c>
      <c r="AV131" s="1264">
        <f t="shared" si="184"/>
        <v>1.4702616015681196</v>
      </c>
      <c r="AW131" s="1264">
        <f t="shared" si="184"/>
        <v>1.4702616015681196</v>
      </c>
      <c r="AX131" s="1264">
        <f t="shared" si="184"/>
        <v>1.4702616015681196</v>
      </c>
      <c r="AY131" s="1264">
        <f t="shared" si="184"/>
        <v>1.4702616015681196</v>
      </c>
      <c r="AZ131" s="1264">
        <f t="shared" si="184"/>
        <v>1.4702616015681196</v>
      </c>
      <c r="BA131" s="1264">
        <f t="shared" si="184"/>
        <v>1.4702616015681196</v>
      </c>
      <c r="BB131" s="1264">
        <f t="shared" si="184"/>
        <v>1.4702616015681196</v>
      </c>
      <c r="BC131" s="1264">
        <f t="shared" si="184"/>
        <v>1.4702616015681196</v>
      </c>
      <c r="BD131" s="1264">
        <f t="shared" si="184"/>
        <v>1.4702616015681196</v>
      </c>
      <c r="BE131" s="1264">
        <f t="shared" si="184"/>
        <v>1.5143694496151627</v>
      </c>
      <c r="BF131" s="1264">
        <f t="shared" si="184"/>
        <v>1.5143694496151627</v>
      </c>
      <c r="BG131" s="1264">
        <f t="shared" si="184"/>
        <v>1.5143694496151627</v>
      </c>
      <c r="BH131" s="1264">
        <f t="shared" si="184"/>
        <v>1.5143694496151627</v>
      </c>
      <c r="BI131" s="1264">
        <f t="shared" si="184"/>
        <v>1.5143694496151627</v>
      </c>
      <c r="BJ131" s="1264">
        <f t="shared" si="184"/>
        <v>1.5143694496151627</v>
      </c>
      <c r="BK131" s="1264">
        <f t="shared" si="184"/>
        <v>1.5143694496151627</v>
      </c>
      <c r="BL131" s="1264">
        <f t="shared" si="184"/>
        <v>1.5143694496151627</v>
      </c>
      <c r="BM131" s="1264">
        <f t="shared" si="184"/>
        <v>1.5143694496151627</v>
      </c>
      <c r="BN131" s="1264">
        <f t="shared" si="184"/>
        <v>1.5143694496151627</v>
      </c>
      <c r="BO131" s="1264">
        <f t="shared" si="184"/>
        <v>1.5143694496151627</v>
      </c>
      <c r="BP131" s="1264">
        <f t="shared" si="184"/>
        <v>1.5143694496151627</v>
      </c>
      <c r="BQ131" s="1264">
        <f t="shared" si="184"/>
        <v>0</v>
      </c>
      <c r="BR131" s="1264">
        <f t="shared" si="184"/>
        <v>0</v>
      </c>
      <c r="BS131" s="1264">
        <f t="shared" si="184"/>
        <v>0</v>
      </c>
      <c r="BT131" s="1264">
        <f t="shared" ref="BT131:CY131" si="185">IFERROR(-BT74/BT122,0)</f>
        <v>0</v>
      </c>
      <c r="BU131" s="1264">
        <f t="shared" si="185"/>
        <v>0</v>
      </c>
      <c r="BV131" s="1264">
        <f t="shared" si="185"/>
        <v>0</v>
      </c>
      <c r="BW131" s="1264">
        <f t="shared" si="185"/>
        <v>0</v>
      </c>
      <c r="BX131" s="1264">
        <f t="shared" si="185"/>
        <v>0</v>
      </c>
      <c r="BY131" s="1264">
        <f t="shared" si="185"/>
        <v>0</v>
      </c>
      <c r="BZ131" s="1264">
        <f t="shared" si="185"/>
        <v>0</v>
      </c>
      <c r="CA131" s="1264">
        <f t="shared" si="185"/>
        <v>0</v>
      </c>
      <c r="CB131" s="1264">
        <f t="shared" si="185"/>
        <v>0</v>
      </c>
      <c r="CC131" s="1264">
        <f t="shared" si="185"/>
        <v>0</v>
      </c>
      <c r="CD131" s="1264">
        <f t="shared" si="185"/>
        <v>0</v>
      </c>
      <c r="CE131" s="1264">
        <f t="shared" si="185"/>
        <v>0</v>
      </c>
      <c r="CF131" s="1264">
        <f t="shared" si="185"/>
        <v>0</v>
      </c>
      <c r="CG131" s="1264">
        <f t="shared" si="185"/>
        <v>0</v>
      </c>
      <c r="CH131" s="1264">
        <f t="shared" si="185"/>
        <v>0</v>
      </c>
      <c r="CI131" s="1264">
        <f t="shared" si="185"/>
        <v>0</v>
      </c>
      <c r="CJ131" s="1264">
        <f t="shared" si="185"/>
        <v>0</v>
      </c>
      <c r="CK131" s="1264">
        <f t="shared" si="185"/>
        <v>0</v>
      </c>
      <c r="CL131" s="1264">
        <f t="shared" si="185"/>
        <v>0</v>
      </c>
      <c r="CM131" s="1264">
        <f t="shared" si="185"/>
        <v>0</v>
      </c>
      <c r="CN131" s="1264">
        <f t="shared" si="185"/>
        <v>0</v>
      </c>
      <c r="CO131" s="1264">
        <f t="shared" si="185"/>
        <v>0</v>
      </c>
      <c r="CP131" s="1264">
        <f t="shared" si="185"/>
        <v>0</v>
      </c>
      <c r="CQ131" s="1264">
        <f t="shared" si="185"/>
        <v>0</v>
      </c>
      <c r="CR131" s="1264">
        <f t="shared" si="185"/>
        <v>0</v>
      </c>
      <c r="CS131" s="1264">
        <f t="shared" si="185"/>
        <v>0</v>
      </c>
      <c r="CT131" s="1264">
        <f t="shared" si="185"/>
        <v>0</v>
      </c>
      <c r="CU131" s="1264">
        <f t="shared" si="185"/>
        <v>0</v>
      </c>
      <c r="CV131" s="1264">
        <f t="shared" si="185"/>
        <v>0</v>
      </c>
      <c r="CW131" s="1264">
        <f t="shared" si="185"/>
        <v>0</v>
      </c>
      <c r="CX131" s="1264">
        <f t="shared" si="185"/>
        <v>0</v>
      </c>
      <c r="CY131" s="1264">
        <f t="shared" si="185"/>
        <v>0</v>
      </c>
      <c r="CZ131" s="1264">
        <f t="shared" ref="CZ131:EJ131" si="186">IFERROR(-CZ74/CZ122,0)</f>
        <v>0</v>
      </c>
      <c r="DA131" s="1264">
        <f t="shared" si="186"/>
        <v>0</v>
      </c>
      <c r="DB131" s="1264">
        <f t="shared" si="186"/>
        <v>0</v>
      </c>
      <c r="DC131" s="1264">
        <f t="shared" si="186"/>
        <v>0</v>
      </c>
      <c r="DD131" s="1264">
        <f t="shared" si="186"/>
        <v>0</v>
      </c>
      <c r="DE131" s="1264">
        <f t="shared" si="186"/>
        <v>0</v>
      </c>
      <c r="DF131" s="1264">
        <f t="shared" si="186"/>
        <v>0</v>
      </c>
      <c r="DG131" s="1264">
        <f t="shared" si="186"/>
        <v>0</v>
      </c>
      <c r="DH131" s="1264">
        <f t="shared" si="186"/>
        <v>0</v>
      </c>
      <c r="DI131" s="1264">
        <f t="shared" si="186"/>
        <v>0</v>
      </c>
      <c r="DJ131" s="1264">
        <f t="shared" si="186"/>
        <v>0</v>
      </c>
      <c r="DK131" s="1264">
        <f t="shared" si="186"/>
        <v>0</v>
      </c>
      <c r="DL131" s="1264">
        <f t="shared" si="186"/>
        <v>0</v>
      </c>
      <c r="DM131" s="1264">
        <f t="shared" si="186"/>
        <v>0</v>
      </c>
      <c r="DN131" s="1264">
        <f t="shared" si="186"/>
        <v>0</v>
      </c>
      <c r="DO131" s="1264">
        <f t="shared" si="186"/>
        <v>0</v>
      </c>
      <c r="DP131" s="1264">
        <f t="shared" si="186"/>
        <v>0</v>
      </c>
      <c r="DQ131" s="1264">
        <f t="shared" si="186"/>
        <v>0</v>
      </c>
      <c r="DR131" s="1264">
        <f t="shared" si="186"/>
        <v>0</v>
      </c>
      <c r="DS131" s="1264">
        <f t="shared" si="186"/>
        <v>0</v>
      </c>
      <c r="DT131" s="1264">
        <f t="shared" si="186"/>
        <v>0</v>
      </c>
      <c r="DU131" s="1264">
        <f t="shared" si="186"/>
        <v>0</v>
      </c>
      <c r="DV131" s="1264">
        <f t="shared" si="186"/>
        <v>0</v>
      </c>
      <c r="DW131" s="1264">
        <f t="shared" si="186"/>
        <v>0</v>
      </c>
      <c r="DX131" s="1264">
        <f t="shared" si="186"/>
        <v>0</v>
      </c>
      <c r="DY131" s="1264">
        <f t="shared" si="186"/>
        <v>0</v>
      </c>
      <c r="DZ131" s="1264">
        <f t="shared" si="186"/>
        <v>0</v>
      </c>
      <c r="EA131" s="1264">
        <f t="shared" si="186"/>
        <v>0</v>
      </c>
      <c r="EB131" s="1264">
        <f t="shared" si="186"/>
        <v>0</v>
      </c>
      <c r="EC131" s="1264">
        <f t="shared" si="186"/>
        <v>0</v>
      </c>
      <c r="ED131" s="1264">
        <f t="shared" si="186"/>
        <v>0</v>
      </c>
      <c r="EE131" s="1264">
        <f t="shared" si="186"/>
        <v>0</v>
      </c>
      <c r="EF131" s="1264">
        <f t="shared" si="186"/>
        <v>0</v>
      </c>
      <c r="EG131" s="1264">
        <f t="shared" si="186"/>
        <v>0</v>
      </c>
      <c r="EH131" s="1264">
        <f t="shared" si="186"/>
        <v>0</v>
      </c>
      <c r="EI131" s="1264">
        <f t="shared" si="186"/>
        <v>0</v>
      </c>
      <c r="EJ131" s="1265">
        <f t="shared" si="186"/>
        <v>0</v>
      </c>
    </row>
    <row r="132" spans="1:140" ht="18" customHeight="1" x14ac:dyDescent="0.25">
      <c r="A132" s="6"/>
      <c r="B132" s="12" t="s">
        <v>323</v>
      </c>
      <c r="C132" s="441" t="s">
        <v>324</v>
      </c>
      <c r="D132" s="442" t="s">
        <v>325</v>
      </c>
      <c r="E132" s="6"/>
      <c r="F132" s="198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198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</row>
    <row r="133" spans="1:140" ht="18" customHeight="1" x14ac:dyDescent="0.25">
      <c r="A133" s="6"/>
      <c r="B133" s="6"/>
      <c r="C133" s="443">
        <f>E119+E111+E105</f>
        <v>25645181.838873789</v>
      </c>
      <c r="D133" s="444">
        <f>COST+E126+'Dev Costs'!C118</f>
        <v>25645181.838873789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198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</row>
    <row r="134" spans="1:140" ht="18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198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</row>
    <row r="135" spans="1:140" ht="15.75" customHeight="1" x14ac:dyDescent="0.25">
      <c r="A135" s="6"/>
      <c r="B135" s="31" t="s">
        <v>647</v>
      </c>
      <c r="C135" s="6"/>
      <c r="D135" s="6"/>
      <c r="E135" s="31"/>
      <c r="F135" s="6"/>
      <c r="G135" s="6"/>
      <c r="H135" s="6" t="s">
        <v>625</v>
      </c>
      <c r="I135" s="6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3"/>
      <c r="AI135" s="283"/>
      <c r="AJ135" s="283"/>
      <c r="AK135" s="283"/>
      <c r="AL135" s="283"/>
      <c r="AM135" s="283"/>
      <c r="AN135" s="283"/>
      <c r="AO135" s="283"/>
      <c r="AP135" s="283"/>
      <c r="AQ135" s="283"/>
      <c r="AR135" s="283"/>
      <c r="AS135" s="283"/>
      <c r="AT135" s="283"/>
      <c r="AU135" s="283"/>
      <c r="AV135" s="283"/>
      <c r="AW135" s="283"/>
      <c r="AX135" s="283"/>
      <c r="AY135" s="283"/>
      <c r="AZ135" s="283"/>
      <c r="BA135" s="283"/>
      <c r="BB135" s="283"/>
      <c r="BC135" s="283"/>
      <c r="BD135" s="283"/>
      <c r="BE135" s="283"/>
      <c r="BF135" s="283"/>
      <c r="BG135" s="283"/>
      <c r="BH135" s="283"/>
      <c r="BI135" s="283"/>
      <c r="BJ135" s="283"/>
      <c r="BK135" s="283"/>
      <c r="BL135" s="283"/>
      <c r="BM135" s="283"/>
      <c r="BN135" s="283"/>
      <c r="BO135" s="283"/>
      <c r="BP135" s="283"/>
      <c r="BQ135" s="283"/>
      <c r="BR135" s="283"/>
      <c r="BS135" s="283"/>
      <c r="BT135" s="283"/>
      <c r="BU135" s="283"/>
      <c r="BV135" s="283"/>
      <c r="BW135" s="283"/>
      <c r="BX135" s="283"/>
      <c r="BY135" s="283"/>
      <c r="BZ135" s="283"/>
      <c r="CA135" s="283"/>
      <c r="CB135" s="283"/>
      <c r="CC135" s="283"/>
      <c r="CD135" s="283"/>
      <c r="CE135" s="283"/>
      <c r="CF135" s="283"/>
      <c r="CG135" s="283"/>
      <c r="CH135" s="283"/>
      <c r="CI135" s="283"/>
      <c r="CJ135" s="283"/>
      <c r="CK135" s="283"/>
      <c r="CL135" s="283"/>
      <c r="CM135" s="283"/>
      <c r="CN135" s="283"/>
      <c r="CO135" s="283"/>
      <c r="CP135" s="283"/>
      <c r="CQ135" s="283"/>
      <c r="CR135" s="283"/>
      <c r="CS135" s="283"/>
      <c r="CT135" s="283"/>
      <c r="CU135" s="283"/>
      <c r="CV135" s="283"/>
      <c r="CW135" s="283"/>
      <c r="CX135" s="283"/>
      <c r="CY135" s="283"/>
      <c r="CZ135" s="283"/>
      <c r="DA135" s="283"/>
      <c r="DB135" s="283"/>
      <c r="DC135" s="283"/>
      <c r="DD135" s="283"/>
      <c r="DE135" s="283"/>
      <c r="DF135" s="283"/>
      <c r="DG135" s="283"/>
      <c r="DH135" s="283"/>
      <c r="DI135" s="283"/>
      <c r="DJ135" s="283"/>
      <c r="DK135" s="283"/>
      <c r="DL135" s="283"/>
      <c r="DM135" s="283"/>
      <c r="DN135" s="283"/>
      <c r="DO135" s="283"/>
      <c r="DP135" s="283"/>
      <c r="DQ135" s="283"/>
      <c r="DR135" s="283"/>
      <c r="DS135" s="283"/>
      <c r="DT135" s="283"/>
      <c r="DU135" s="283"/>
      <c r="DV135" s="283"/>
      <c r="DW135" s="283"/>
      <c r="DX135" s="283"/>
      <c r="DY135" s="283"/>
      <c r="DZ135" s="283"/>
      <c r="EA135" s="283"/>
      <c r="EB135" s="283"/>
      <c r="EC135" s="283"/>
      <c r="ED135" s="283"/>
      <c r="EE135" s="283"/>
      <c r="EF135" s="283"/>
      <c r="EG135" s="283"/>
      <c r="EH135" s="283"/>
      <c r="EI135" s="283"/>
      <c r="EJ135" s="283"/>
    </row>
    <row r="136" spans="1:140" ht="15.75" customHeight="1" x14ac:dyDescent="0.25">
      <c r="A136" s="6"/>
      <c r="B136" s="32"/>
      <c r="C136" s="6"/>
      <c r="D136" s="6"/>
      <c r="E136" s="6"/>
      <c r="F136" s="6"/>
      <c r="G136" s="6"/>
      <c r="H136" s="6"/>
      <c r="I136" s="6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  <c r="AM136" s="283"/>
      <c r="AN136" s="283"/>
      <c r="AO136" s="283"/>
      <c r="AP136" s="283"/>
      <c r="AQ136" s="283"/>
      <c r="AR136" s="283"/>
      <c r="AS136" s="283"/>
      <c r="AT136" s="283"/>
      <c r="AU136" s="283"/>
      <c r="AV136" s="283"/>
      <c r="AW136" s="283"/>
      <c r="AX136" s="283"/>
      <c r="AY136" s="283"/>
      <c r="AZ136" s="283"/>
      <c r="BA136" s="283"/>
      <c r="BB136" s="283"/>
      <c r="BC136" s="283"/>
      <c r="BD136" s="283"/>
      <c r="BE136" s="283"/>
      <c r="BF136" s="283"/>
      <c r="BG136" s="283"/>
      <c r="BH136" s="283"/>
      <c r="BI136" s="283"/>
      <c r="BJ136" s="283"/>
      <c r="BK136" s="283"/>
      <c r="BL136" s="283"/>
      <c r="BM136" s="283"/>
      <c r="BN136" s="283"/>
      <c r="BO136" s="283"/>
      <c r="BP136" s="283"/>
      <c r="BQ136" s="283"/>
      <c r="BR136" s="283"/>
      <c r="BS136" s="283"/>
      <c r="BT136" s="283"/>
      <c r="BU136" s="283"/>
      <c r="BV136" s="283"/>
      <c r="BW136" s="283"/>
      <c r="BX136" s="283"/>
      <c r="BY136" s="283"/>
      <c r="BZ136" s="283"/>
      <c r="CA136" s="283"/>
      <c r="CB136" s="283"/>
      <c r="CC136" s="283"/>
      <c r="CD136" s="283"/>
      <c r="CE136" s="283"/>
      <c r="CF136" s="283"/>
      <c r="CG136" s="283"/>
      <c r="CH136" s="283"/>
      <c r="CI136" s="283"/>
      <c r="CJ136" s="283"/>
      <c r="CK136" s="283"/>
      <c r="CL136" s="283"/>
      <c r="CM136" s="283"/>
      <c r="CN136" s="283"/>
      <c r="CO136" s="283"/>
      <c r="CP136" s="283"/>
      <c r="CQ136" s="283"/>
      <c r="CR136" s="283"/>
      <c r="CS136" s="283"/>
      <c r="CT136" s="283"/>
      <c r="CU136" s="283"/>
      <c r="CV136" s="283"/>
      <c r="CW136" s="283"/>
      <c r="CX136" s="283"/>
      <c r="CY136" s="283"/>
      <c r="CZ136" s="283"/>
      <c r="DA136" s="283"/>
      <c r="DB136" s="283"/>
      <c r="DC136" s="283"/>
      <c r="DD136" s="283"/>
      <c r="DE136" s="283"/>
      <c r="DF136" s="283"/>
      <c r="DG136" s="283"/>
      <c r="DH136" s="283"/>
      <c r="DI136" s="283"/>
      <c r="DJ136" s="283"/>
      <c r="DK136" s="283"/>
      <c r="DL136" s="283"/>
      <c r="DM136" s="283"/>
      <c r="DN136" s="283"/>
      <c r="DO136" s="283"/>
      <c r="DP136" s="283"/>
      <c r="DQ136" s="283"/>
      <c r="DR136" s="283"/>
      <c r="DS136" s="283"/>
      <c r="DT136" s="283"/>
      <c r="DU136" s="283"/>
      <c r="DV136" s="283"/>
      <c r="DW136" s="283"/>
      <c r="DX136" s="283"/>
      <c r="DY136" s="283"/>
      <c r="DZ136" s="283"/>
      <c r="EA136" s="283"/>
      <c r="EB136" s="283"/>
      <c r="EC136" s="283"/>
      <c r="ED136" s="283"/>
      <c r="EE136" s="283"/>
      <c r="EF136" s="283"/>
      <c r="EG136" s="283"/>
      <c r="EH136" s="283"/>
      <c r="EI136" s="283"/>
      <c r="EJ136" s="283"/>
    </row>
    <row r="137" spans="1:140" ht="15.75" customHeight="1" x14ac:dyDescent="0.25">
      <c r="A137" s="6"/>
      <c r="B137" s="34" t="s">
        <v>326</v>
      </c>
      <c r="C137" s="35"/>
      <c r="D137" s="198"/>
      <c r="H137" s="662" t="s">
        <v>342</v>
      </c>
      <c r="I137" s="663"/>
      <c r="J137" s="664"/>
      <c r="S137" s="198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3"/>
      <c r="AG137" s="283"/>
      <c r="AH137" s="283"/>
      <c r="AI137" s="283"/>
      <c r="AJ137" s="283"/>
      <c r="AK137" s="283"/>
      <c r="AL137" s="283"/>
      <c r="AM137" s="283"/>
      <c r="AN137" s="283"/>
      <c r="AO137" s="283"/>
      <c r="AP137" s="283"/>
      <c r="AQ137" s="283"/>
      <c r="AR137" s="283"/>
      <c r="AS137" s="283"/>
      <c r="AT137" s="283"/>
      <c r="AU137" s="283"/>
      <c r="AV137" s="283"/>
      <c r="AW137" s="283"/>
      <c r="AX137" s="283"/>
      <c r="AY137" s="283"/>
      <c r="AZ137" s="283"/>
      <c r="BA137" s="283"/>
      <c r="BB137" s="283"/>
      <c r="BC137" s="283"/>
      <c r="BD137" s="283"/>
      <c r="BE137" s="283"/>
      <c r="BF137" s="283"/>
      <c r="BG137" s="283"/>
      <c r="BH137" s="283"/>
      <c r="BI137" s="283"/>
      <c r="BJ137" s="283"/>
      <c r="BK137" s="283"/>
      <c r="BL137" s="283"/>
      <c r="BM137" s="283"/>
      <c r="BN137" s="283"/>
      <c r="BO137" s="283"/>
      <c r="BP137" s="283"/>
      <c r="BQ137" s="283"/>
      <c r="BR137" s="283"/>
      <c r="BS137" s="283"/>
      <c r="BT137" s="283"/>
      <c r="BU137" s="283"/>
      <c r="BV137" s="283"/>
      <c r="BW137" s="283"/>
      <c r="BX137" s="283"/>
      <c r="BY137" s="283"/>
      <c r="BZ137" s="283"/>
      <c r="CA137" s="283"/>
      <c r="CB137" s="283"/>
      <c r="CC137" s="283"/>
      <c r="CD137" s="283"/>
      <c r="CE137" s="283"/>
      <c r="CF137" s="283"/>
      <c r="CG137" s="283"/>
      <c r="CH137" s="283"/>
      <c r="CI137" s="283"/>
      <c r="CJ137" s="283"/>
      <c r="CK137" s="283"/>
      <c r="CL137" s="283"/>
      <c r="CM137" s="283"/>
      <c r="CN137" s="283"/>
      <c r="CO137" s="283"/>
      <c r="CP137" s="283"/>
      <c r="CQ137" s="283"/>
      <c r="CR137" s="283"/>
      <c r="CS137" s="283"/>
      <c r="CT137" s="283"/>
      <c r="CU137" s="283"/>
      <c r="CV137" s="283"/>
      <c r="CW137" s="283"/>
      <c r="CX137" s="283"/>
      <c r="CY137" s="283"/>
      <c r="CZ137" s="283"/>
      <c r="DA137" s="283"/>
      <c r="DB137" s="283"/>
      <c r="DC137" s="283"/>
      <c r="DD137" s="283"/>
      <c r="DE137" s="283"/>
      <c r="DF137" s="283"/>
      <c r="DG137" s="283"/>
      <c r="DH137" s="283"/>
      <c r="DI137" s="283"/>
      <c r="DJ137" s="283"/>
      <c r="DK137" s="283"/>
      <c r="DL137" s="283"/>
      <c r="DM137" s="283"/>
      <c r="DN137" s="283"/>
      <c r="DO137" s="283"/>
      <c r="DP137" s="283"/>
      <c r="DQ137" s="283"/>
      <c r="DR137" s="283"/>
      <c r="DS137" s="283"/>
      <c r="DT137" s="283"/>
      <c r="DU137" s="283"/>
      <c r="DV137" s="283"/>
      <c r="DW137" s="283"/>
      <c r="DX137" s="283"/>
      <c r="DY137" s="283"/>
      <c r="DZ137" s="283"/>
      <c r="EA137" s="283"/>
      <c r="EB137" s="283"/>
      <c r="EC137" s="283"/>
      <c r="ED137" s="283"/>
      <c r="EE137" s="283"/>
      <c r="EF137" s="283"/>
      <c r="EG137" s="283"/>
      <c r="EH137" s="283"/>
      <c r="EI137" s="283"/>
      <c r="EJ137" s="283"/>
    </row>
    <row r="138" spans="1:140" ht="15.75" customHeight="1" x14ac:dyDescent="0.25">
      <c r="A138" s="6"/>
      <c r="B138" s="13" t="s">
        <v>329</v>
      </c>
      <c r="C138" s="37">
        <f>E4</f>
        <v>60</v>
      </c>
      <c r="D138" s="198"/>
      <c r="H138" s="665">
        <f>D4</f>
        <v>48213</v>
      </c>
      <c r="I138" s="666">
        <f>C152</f>
        <v>0.12832521796226495</v>
      </c>
      <c r="J138" s="667">
        <f>C153</f>
        <v>0.15519891381263737</v>
      </c>
      <c r="S138" s="198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3"/>
      <c r="AG138" s="283"/>
      <c r="AH138" s="283"/>
      <c r="AI138" s="283"/>
      <c r="AJ138" s="283"/>
      <c r="AK138" s="283"/>
      <c r="AL138" s="283"/>
      <c r="AM138" s="283"/>
      <c r="AN138" s="283"/>
      <c r="AO138" s="283"/>
      <c r="AP138" s="283"/>
      <c r="AQ138" s="283"/>
      <c r="AR138" s="283"/>
      <c r="AS138" s="283"/>
      <c r="AT138" s="283"/>
      <c r="AU138" s="283"/>
      <c r="AV138" s="283"/>
      <c r="AW138" s="283"/>
      <c r="AX138" s="283"/>
      <c r="AY138" s="283"/>
      <c r="AZ138" s="283"/>
      <c r="BA138" s="283"/>
      <c r="BB138" s="283"/>
      <c r="BC138" s="283"/>
      <c r="BD138" s="283"/>
      <c r="BE138" s="283"/>
      <c r="BF138" s="283"/>
      <c r="BG138" s="283"/>
      <c r="BH138" s="283"/>
      <c r="BI138" s="283"/>
      <c r="BJ138" s="283"/>
      <c r="BK138" s="283"/>
      <c r="BL138" s="283"/>
      <c r="BM138" s="283"/>
      <c r="BN138" s="283"/>
      <c r="BO138" s="283"/>
      <c r="BP138" s="283"/>
      <c r="BQ138" s="283"/>
      <c r="BR138" s="283"/>
      <c r="BS138" s="283"/>
      <c r="BT138" s="283"/>
      <c r="BU138" s="283"/>
      <c r="BV138" s="283"/>
      <c r="BW138" s="283"/>
      <c r="BX138" s="283"/>
      <c r="BY138" s="283"/>
      <c r="BZ138" s="283"/>
      <c r="CA138" s="283"/>
      <c r="CB138" s="283"/>
      <c r="CC138" s="283"/>
      <c r="CD138" s="283"/>
      <c r="CE138" s="283"/>
      <c r="CF138" s="283"/>
      <c r="CG138" s="283"/>
      <c r="CH138" s="283"/>
      <c r="CI138" s="283"/>
      <c r="CJ138" s="283"/>
      <c r="CK138" s="283"/>
      <c r="CL138" s="283"/>
      <c r="CM138" s="283"/>
      <c r="CN138" s="283"/>
      <c r="CO138" s="283"/>
      <c r="CP138" s="283"/>
      <c r="CQ138" s="283"/>
      <c r="CR138" s="283"/>
      <c r="CS138" s="283"/>
      <c r="CT138" s="283"/>
      <c r="CU138" s="283"/>
      <c r="CV138" s="283"/>
      <c r="CW138" s="283"/>
      <c r="CX138" s="283"/>
      <c r="CY138" s="283"/>
      <c r="CZ138" s="283"/>
      <c r="DA138" s="283"/>
      <c r="DB138" s="283"/>
      <c r="DC138" s="283"/>
      <c r="DD138" s="283"/>
      <c r="DE138" s="283"/>
      <c r="DF138" s="283"/>
      <c r="DG138" s="283"/>
      <c r="DH138" s="283"/>
      <c r="DI138" s="283"/>
      <c r="DJ138" s="283"/>
      <c r="DK138" s="283"/>
      <c r="DL138" s="283"/>
      <c r="DM138" s="283"/>
      <c r="DN138" s="283"/>
      <c r="DO138" s="283"/>
      <c r="DP138" s="283"/>
      <c r="DQ138" s="283"/>
      <c r="DR138" s="283"/>
      <c r="DS138" s="283"/>
      <c r="DT138" s="283"/>
      <c r="DU138" s="283"/>
      <c r="DV138" s="283"/>
      <c r="DW138" s="283"/>
      <c r="DX138" s="283"/>
      <c r="DY138" s="283"/>
      <c r="DZ138" s="283"/>
      <c r="EA138" s="283"/>
      <c r="EB138" s="283"/>
      <c r="EC138" s="283"/>
      <c r="ED138" s="283"/>
      <c r="EE138" s="283"/>
      <c r="EF138" s="283"/>
      <c r="EG138" s="283"/>
      <c r="EH138" s="283"/>
      <c r="EI138" s="283"/>
      <c r="EJ138" s="283"/>
    </row>
    <row r="139" spans="1:140" ht="15.75" customHeight="1" x14ac:dyDescent="0.25">
      <c r="A139" s="6"/>
      <c r="B139" s="13" t="s">
        <v>330</v>
      </c>
      <c r="C139" s="40">
        <f>CAP</f>
        <v>5.5E-2</v>
      </c>
      <c r="D139" s="198"/>
      <c r="H139" s="1317">
        <v>47483</v>
      </c>
      <c r="I139" s="668">
        <f t="dataTable" ref="I139:J147" dt2D="0" dtr="0" r1="D4"/>
        <v>0.16184605956077575</v>
      </c>
      <c r="J139" s="669">
        <v>0.19838252663612368</v>
      </c>
      <c r="S139" s="198"/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3"/>
      <c r="AG139" s="283"/>
      <c r="AH139" s="283"/>
      <c r="AI139" s="283"/>
      <c r="AJ139" s="283"/>
      <c r="AK139" s="283"/>
      <c r="AL139" s="283"/>
      <c r="AM139" s="283"/>
      <c r="AN139" s="283"/>
      <c r="AO139" s="283"/>
      <c r="AP139" s="283"/>
      <c r="AQ139" s="283"/>
      <c r="AR139" s="283"/>
      <c r="AS139" s="283"/>
      <c r="AT139" s="283"/>
      <c r="AU139" s="283"/>
      <c r="AV139" s="283"/>
      <c r="AW139" s="283"/>
      <c r="AX139" s="283"/>
      <c r="AY139" s="283"/>
      <c r="AZ139" s="283"/>
      <c r="BA139" s="283"/>
      <c r="BB139" s="283"/>
      <c r="BC139" s="283"/>
      <c r="BD139" s="283"/>
      <c r="BE139" s="283"/>
      <c r="BF139" s="283"/>
      <c r="BG139" s="283"/>
      <c r="BH139" s="283"/>
      <c r="BI139" s="283"/>
      <c r="BJ139" s="283"/>
      <c r="BK139" s="283"/>
      <c r="BL139" s="283"/>
      <c r="BM139" s="283"/>
      <c r="BN139" s="283"/>
      <c r="BO139" s="283"/>
      <c r="BP139" s="283"/>
      <c r="BQ139" s="283"/>
      <c r="BR139" s="283"/>
      <c r="BS139" s="283"/>
      <c r="BT139" s="283"/>
      <c r="BU139" s="283"/>
      <c r="BV139" s="283"/>
      <c r="BW139" s="283"/>
      <c r="BX139" s="283"/>
      <c r="BY139" s="283"/>
      <c r="BZ139" s="283"/>
      <c r="CA139" s="283"/>
      <c r="CB139" s="283"/>
      <c r="CC139" s="283"/>
      <c r="CD139" s="283"/>
      <c r="CE139" s="283"/>
      <c r="CF139" s="283"/>
      <c r="CG139" s="283"/>
      <c r="CH139" s="283"/>
      <c r="CI139" s="283"/>
      <c r="CJ139" s="283"/>
      <c r="CK139" s="283"/>
      <c r="CL139" s="283"/>
      <c r="CM139" s="283"/>
      <c r="CN139" s="283"/>
      <c r="CO139" s="283"/>
      <c r="CP139" s="283"/>
      <c r="CQ139" s="283"/>
      <c r="CR139" s="283"/>
      <c r="CS139" s="283"/>
      <c r="CT139" s="283"/>
      <c r="CU139" s="283"/>
      <c r="CV139" s="283"/>
      <c r="CW139" s="283"/>
      <c r="CX139" s="283"/>
      <c r="CY139" s="283"/>
      <c r="CZ139" s="283"/>
      <c r="DA139" s="283"/>
      <c r="DB139" s="283"/>
      <c r="DC139" s="283"/>
      <c r="DD139" s="283"/>
      <c r="DE139" s="283"/>
      <c r="DF139" s="283"/>
      <c r="DG139" s="283"/>
      <c r="DH139" s="283"/>
      <c r="DI139" s="283"/>
      <c r="DJ139" s="283"/>
      <c r="DK139" s="283"/>
      <c r="DL139" s="283"/>
      <c r="DM139" s="283"/>
      <c r="DN139" s="283"/>
      <c r="DO139" s="283"/>
      <c r="DP139" s="283"/>
      <c r="DQ139" s="283"/>
      <c r="DR139" s="283"/>
      <c r="DS139" s="283"/>
      <c r="DT139" s="283"/>
      <c r="DU139" s="283"/>
      <c r="DV139" s="283"/>
      <c r="DW139" s="283"/>
      <c r="DX139" s="283"/>
      <c r="DY139" s="283"/>
      <c r="DZ139" s="283"/>
      <c r="EA139" s="283"/>
      <c r="EB139" s="283"/>
      <c r="EC139" s="283"/>
      <c r="ED139" s="283"/>
      <c r="EE139" s="283"/>
      <c r="EF139" s="283"/>
      <c r="EG139" s="283"/>
      <c r="EH139" s="283"/>
      <c r="EI139" s="283"/>
      <c r="EJ139" s="283"/>
    </row>
    <row r="140" spans="1:140" ht="15.75" customHeight="1" x14ac:dyDescent="0.25">
      <c r="A140" s="6"/>
      <c r="B140" s="461" t="s">
        <v>331</v>
      </c>
      <c r="C140" s="462">
        <v>0.03</v>
      </c>
      <c r="D140" s="198"/>
      <c r="H140" s="1317">
        <f>EOMONTH(H139,12)</f>
        <v>47848</v>
      </c>
      <c r="I140" s="668">
        <v>0.13965311646461487</v>
      </c>
      <c r="J140" s="669">
        <v>0.17081702351570133</v>
      </c>
      <c r="S140" s="198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3"/>
      <c r="AI140" s="283"/>
      <c r="AJ140" s="283"/>
      <c r="AK140" s="283"/>
      <c r="AL140" s="283"/>
      <c r="AM140" s="283"/>
      <c r="AN140" s="283"/>
      <c r="AO140" s="283"/>
      <c r="AP140" s="283"/>
      <c r="AQ140" s="283"/>
      <c r="AR140" s="283"/>
      <c r="AS140" s="283"/>
      <c r="AT140" s="283"/>
      <c r="AU140" s="283"/>
      <c r="AV140" s="283"/>
      <c r="AW140" s="283"/>
      <c r="AX140" s="283"/>
      <c r="AY140" s="283"/>
      <c r="AZ140" s="283"/>
      <c r="BA140" s="283"/>
      <c r="BB140" s="283"/>
      <c r="BC140" s="283"/>
      <c r="BD140" s="283"/>
      <c r="BE140" s="283"/>
      <c r="BF140" s="283"/>
      <c r="BG140" s="283"/>
      <c r="BH140" s="283"/>
      <c r="BI140" s="283"/>
      <c r="BJ140" s="283"/>
      <c r="BK140" s="283"/>
      <c r="BL140" s="283"/>
      <c r="BM140" s="283"/>
      <c r="BN140" s="283"/>
      <c r="BO140" s="283"/>
      <c r="BP140" s="283"/>
      <c r="BQ140" s="283"/>
      <c r="BR140" s="283"/>
      <c r="BS140" s="283"/>
      <c r="BT140" s="283"/>
      <c r="BU140" s="283"/>
      <c r="BV140" s="283"/>
      <c r="BW140" s="283"/>
      <c r="BX140" s="283"/>
      <c r="BY140" s="283"/>
      <c r="BZ140" s="283"/>
      <c r="CA140" s="283"/>
      <c r="CB140" s="283"/>
      <c r="CC140" s="283"/>
      <c r="CD140" s="283"/>
      <c r="CE140" s="283"/>
      <c r="CF140" s="283"/>
      <c r="CG140" s="283"/>
      <c r="CH140" s="283"/>
      <c r="CI140" s="283"/>
      <c r="CJ140" s="283"/>
      <c r="CK140" s="283"/>
      <c r="CL140" s="283"/>
      <c r="CM140" s="283"/>
      <c r="CN140" s="283"/>
      <c r="CO140" s="283"/>
      <c r="CP140" s="283"/>
      <c r="CQ140" s="283"/>
      <c r="CR140" s="283"/>
      <c r="CS140" s="283"/>
      <c r="CT140" s="283"/>
      <c r="CU140" s="283"/>
      <c r="CV140" s="283"/>
      <c r="CW140" s="283"/>
      <c r="CX140" s="283"/>
      <c r="CY140" s="283"/>
      <c r="CZ140" s="283"/>
      <c r="DA140" s="283"/>
      <c r="DB140" s="283"/>
      <c r="DC140" s="283"/>
      <c r="DD140" s="283"/>
      <c r="DE140" s="283"/>
      <c r="DF140" s="283"/>
      <c r="DG140" s="283"/>
      <c r="DH140" s="283"/>
      <c r="DI140" s="283"/>
      <c r="DJ140" s="283"/>
      <c r="DK140" s="283"/>
      <c r="DL140" s="283"/>
      <c r="DM140" s="283"/>
      <c r="DN140" s="283"/>
      <c r="DO140" s="283"/>
      <c r="DP140" s="283"/>
      <c r="DQ140" s="283"/>
      <c r="DR140" s="283"/>
      <c r="DS140" s="283"/>
      <c r="DT140" s="283"/>
      <c r="DU140" s="283"/>
      <c r="DV140" s="283"/>
      <c r="DW140" s="283"/>
      <c r="DX140" s="283"/>
      <c r="DY140" s="283"/>
      <c r="DZ140" s="283"/>
      <c r="EA140" s="283"/>
      <c r="EB140" s="283"/>
      <c r="EC140" s="283"/>
      <c r="ED140" s="283"/>
      <c r="EE140" s="283"/>
      <c r="EF140" s="283"/>
      <c r="EG140" s="283"/>
      <c r="EH140" s="283"/>
      <c r="EI140" s="283"/>
      <c r="EJ140" s="283"/>
    </row>
    <row r="141" spans="1:140" ht="15.75" customHeight="1" x14ac:dyDescent="0.25">
      <c r="A141" s="6"/>
      <c r="B141" s="461" t="s">
        <v>332</v>
      </c>
      <c r="C141" s="462" t="s">
        <v>333</v>
      </c>
      <c r="D141" s="198"/>
      <c r="H141" s="1317">
        <f t="shared" ref="H141:H147" si="187">EOMONTH(H140,12)</f>
        <v>48213</v>
      </c>
      <c r="I141" s="668">
        <v>0.12832521796226495</v>
      </c>
      <c r="J141" s="669">
        <v>0.15519891381263737</v>
      </c>
      <c r="S141" s="198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3"/>
      <c r="AG141" s="283"/>
      <c r="AH141" s="283"/>
      <c r="AI141" s="283"/>
      <c r="AJ141" s="283"/>
      <c r="AK141" s="283"/>
      <c r="AL141" s="283"/>
      <c r="AM141" s="283"/>
      <c r="AN141" s="283"/>
      <c r="AO141" s="283"/>
      <c r="AP141" s="283"/>
      <c r="AQ141" s="283"/>
      <c r="AR141" s="283"/>
      <c r="AS141" s="283"/>
      <c r="AT141" s="283"/>
      <c r="AU141" s="283"/>
      <c r="AV141" s="283"/>
      <c r="AW141" s="283"/>
      <c r="AX141" s="283"/>
      <c r="AY141" s="283"/>
      <c r="AZ141" s="283"/>
      <c r="BA141" s="283"/>
      <c r="BB141" s="283"/>
      <c r="BC141" s="283"/>
      <c r="BD141" s="283"/>
      <c r="BE141" s="283"/>
      <c r="BF141" s="283"/>
      <c r="BG141" s="283"/>
      <c r="BH141" s="283"/>
      <c r="BI141" s="283"/>
      <c r="BJ141" s="283"/>
      <c r="BK141" s="283"/>
      <c r="BL141" s="283"/>
      <c r="BM141" s="283"/>
      <c r="BN141" s="283"/>
      <c r="BO141" s="283"/>
      <c r="BP141" s="283"/>
      <c r="BQ141" s="283"/>
      <c r="BR141" s="283"/>
      <c r="BS141" s="283"/>
      <c r="BT141" s="283"/>
      <c r="BU141" s="283"/>
      <c r="BV141" s="283"/>
      <c r="BW141" s="283"/>
      <c r="BX141" s="283"/>
      <c r="BY141" s="283"/>
      <c r="BZ141" s="283"/>
      <c r="CA141" s="283"/>
      <c r="CB141" s="283"/>
      <c r="CC141" s="283"/>
      <c r="CD141" s="283"/>
      <c r="CE141" s="283"/>
      <c r="CF141" s="283"/>
      <c r="CG141" s="283"/>
      <c r="CH141" s="283"/>
      <c r="CI141" s="283"/>
      <c r="CJ141" s="283"/>
      <c r="CK141" s="283"/>
      <c r="CL141" s="283"/>
      <c r="CM141" s="283"/>
      <c r="CN141" s="283"/>
      <c r="CO141" s="283"/>
      <c r="CP141" s="283"/>
      <c r="CQ141" s="283"/>
      <c r="CR141" s="283"/>
      <c r="CS141" s="283"/>
      <c r="CT141" s="283"/>
      <c r="CU141" s="283"/>
      <c r="CV141" s="283"/>
      <c r="CW141" s="283"/>
      <c r="CX141" s="283"/>
      <c r="CY141" s="283"/>
      <c r="CZ141" s="283"/>
      <c r="DA141" s="283"/>
      <c r="DB141" s="283"/>
      <c r="DC141" s="283"/>
      <c r="DD141" s="283"/>
      <c r="DE141" s="283"/>
      <c r="DF141" s="283"/>
      <c r="DG141" s="283"/>
      <c r="DH141" s="283"/>
      <c r="DI141" s="283"/>
      <c r="DJ141" s="283"/>
      <c r="DK141" s="283"/>
      <c r="DL141" s="283"/>
      <c r="DM141" s="283"/>
      <c r="DN141" s="283"/>
      <c r="DO141" s="283"/>
      <c r="DP141" s="283"/>
      <c r="DQ141" s="283"/>
      <c r="DR141" s="283"/>
      <c r="DS141" s="283"/>
      <c r="DT141" s="283"/>
      <c r="DU141" s="283"/>
      <c r="DV141" s="283"/>
      <c r="DW141" s="283"/>
      <c r="DX141" s="283"/>
      <c r="DY141" s="283"/>
      <c r="DZ141" s="283"/>
      <c r="EA141" s="283"/>
      <c r="EB141" s="283"/>
      <c r="EC141" s="283"/>
      <c r="ED141" s="283"/>
      <c r="EE141" s="283"/>
      <c r="EF141" s="283"/>
      <c r="EG141" s="283"/>
      <c r="EH141" s="283"/>
      <c r="EI141" s="283"/>
      <c r="EJ141" s="283"/>
    </row>
    <row r="142" spans="1:140" ht="15.75" customHeight="1" x14ac:dyDescent="0.25">
      <c r="A142" s="6"/>
      <c r="B142" s="48" t="s">
        <v>334</v>
      </c>
      <c r="C142" s="49">
        <f>SUMIFS(H74:DX74,H3:DX3,"&gt;" &amp;D4, H3:DX3, "&lt;=" &amp;EOMONTH(D4, 12))</f>
        <v>1925469.1118556652</v>
      </c>
      <c r="D142" s="198"/>
      <c r="H142" s="1317">
        <f t="shared" si="187"/>
        <v>48579</v>
      </c>
      <c r="I142" s="668">
        <v>0.12140734791755678</v>
      </c>
      <c r="J142" s="669">
        <v>0.14507492184638979</v>
      </c>
      <c r="S142" s="198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3"/>
      <c r="AI142" s="283"/>
      <c r="AJ142" s="283"/>
      <c r="AK142" s="283"/>
      <c r="AL142" s="283"/>
      <c r="AM142" s="283"/>
      <c r="AN142" s="283"/>
      <c r="AO142" s="283"/>
      <c r="AP142" s="283"/>
      <c r="AQ142" s="283"/>
      <c r="AR142" s="283"/>
      <c r="AS142" s="283"/>
      <c r="AT142" s="283"/>
      <c r="AU142" s="283"/>
      <c r="AV142" s="283"/>
      <c r="AW142" s="283"/>
      <c r="AX142" s="283"/>
      <c r="AY142" s="283"/>
      <c r="AZ142" s="283"/>
      <c r="BA142" s="283"/>
      <c r="BB142" s="283"/>
      <c r="BC142" s="283"/>
      <c r="BD142" s="283"/>
      <c r="BE142" s="283"/>
      <c r="BF142" s="283"/>
      <c r="BG142" s="283"/>
      <c r="BH142" s="283"/>
      <c r="BI142" s="283"/>
      <c r="BJ142" s="283"/>
      <c r="BK142" s="283"/>
      <c r="BL142" s="283"/>
      <c r="BM142" s="283"/>
      <c r="BN142" s="283"/>
      <c r="BO142" s="283"/>
      <c r="BP142" s="283"/>
      <c r="BQ142" s="283"/>
      <c r="BR142" s="283"/>
      <c r="BS142" s="283"/>
      <c r="BT142" s="283"/>
      <c r="BU142" s="283"/>
      <c r="BV142" s="283"/>
      <c r="BW142" s="283"/>
      <c r="BX142" s="283"/>
      <c r="BY142" s="283"/>
      <c r="BZ142" s="283"/>
      <c r="CA142" s="283"/>
      <c r="CB142" s="283"/>
      <c r="CC142" s="283"/>
      <c r="CD142" s="283"/>
      <c r="CE142" s="283"/>
      <c r="CF142" s="283"/>
      <c r="CG142" s="283"/>
      <c r="CH142" s="283"/>
      <c r="CI142" s="283"/>
      <c r="CJ142" s="283"/>
      <c r="CK142" s="283"/>
      <c r="CL142" s="283"/>
      <c r="CM142" s="283"/>
      <c r="CN142" s="283"/>
      <c r="CO142" s="283"/>
      <c r="CP142" s="283"/>
      <c r="CQ142" s="283"/>
      <c r="CR142" s="283"/>
      <c r="CS142" s="283"/>
      <c r="CT142" s="283"/>
      <c r="CU142" s="283"/>
      <c r="CV142" s="283"/>
      <c r="CW142" s="283"/>
      <c r="CX142" s="283"/>
      <c r="CY142" s="283"/>
      <c r="CZ142" s="283"/>
      <c r="DA142" s="283"/>
      <c r="DB142" s="283"/>
      <c r="DC142" s="283"/>
      <c r="DD142" s="283"/>
      <c r="DE142" s="283"/>
      <c r="DF142" s="283"/>
      <c r="DG142" s="283"/>
      <c r="DH142" s="283"/>
      <c r="DI142" s="283"/>
      <c r="DJ142" s="283"/>
      <c r="DK142" s="283"/>
      <c r="DL142" s="283"/>
      <c r="DM142" s="283"/>
      <c r="DN142" s="283"/>
      <c r="DO142" s="283"/>
      <c r="DP142" s="283"/>
      <c r="DQ142" s="283"/>
      <c r="DR142" s="283"/>
      <c r="DS142" s="283"/>
      <c r="DT142" s="283"/>
      <c r="DU142" s="283"/>
      <c r="DV142" s="283"/>
      <c r="DW142" s="283"/>
      <c r="DX142" s="283"/>
      <c r="DY142" s="283"/>
      <c r="DZ142" s="283"/>
      <c r="EA142" s="283"/>
      <c r="EB142" s="283"/>
      <c r="EC142" s="283"/>
      <c r="ED142" s="283"/>
      <c r="EE142" s="283"/>
      <c r="EF142" s="283"/>
      <c r="EG142" s="283"/>
      <c r="EH142" s="283"/>
      <c r="EI142" s="283"/>
      <c r="EJ142" s="283"/>
    </row>
    <row r="143" spans="1:140" ht="15.75" customHeight="1" x14ac:dyDescent="0.25">
      <c r="A143" s="6"/>
      <c r="B143" s="427"/>
      <c r="C143" s="427"/>
      <c r="D143" s="198"/>
      <c r="H143" s="1317">
        <f t="shared" si="187"/>
        <v>48944</v>
      </c>
      <c r="I143" s="668">
        <v>0.11683080792427064</v>
      </c>
      <c r="J143" s="669">
        <v>0.13807188868522649</v>
      </c>
      <c r="S143" s="198"/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3"/>
      <c r="AG143" s="283"/>
      <c r="AH143" s="283"/>
      <c r="AI143" s="283"/>
      <c r="AJ143" s="283"/>
      <c r="AK143" s="283"/>
      <c r="AL143" s="283"/>
      <c r="AM143" s="283"/>
      <c r="AN143" s="283"/>
      <c r="AO143" s="283"/>
      <c r="AP143" s="283"/>
      <c r="AQ143" s="283"/>
      <c r="AR143" s="283"/>
      <c r="AS143" s="283"/>
      <c r="AT143" s="283"/>
      <c r="AU143" s="283"/>
      <c r="AV143" s="283"/>
      <c r="AW143" s="283"/>
      <c r="AX143" s="283"/>
      <c r="AY143" s="283"/>
      <c r="AZ143" s="283"/>
      <c r="BA143" s="283"/>
      <c r="BB143" s="283"/>
      <c r="BC143" s="283"/>
      <c r="BD143" s="283"/>
      <c r="BE143" s="283"/>
      <c r="BF143" s="283"/>
      <c r="BG143" s="283"/>
      <c r="BH143" s="283"/>
      <c r="BI143" s="283"/>
      <c r="BJ143" s="283"/>
      <c r="BK143" s="283"/>
      <c r="BL143" s="283"/>
      <c r="BM143" s="283"/>
      <c r="BN143" s="283"/>
      <c r="BO143" s="283"/>
      <c r="BP143" s="283"/>
      <c r="BQ143" s="283"/>
      <c r="BR143" s="283"/>
      <c r="BS143" s="283"/>
      <c r="BT143" s="283"/>
      <c r="BU143" s="283"/>
      <c r="BV143" s="283"/>
      <c r="BW143" s="283"/>
      <c r="BX143" s="283"/>
      <c r="BY143" s="283"/>
      <c r="BZ143" s="283"/>
      <c r="CA143" s="283"/>
      <c r="CB143" s="283"/>
      <c r="CC143" s="283"/>
      <c r="CD143" s="283"/>
      <c r="CE143" s="283"/>
      <c r="CF143" s="283"/>
      <c r="CG143" s="283"/>
      <c r="CH143" s="283"/>
      <c r="CI143" s="283"/>
      <c r="CJ143" s="283"/>
      <c r="CK143" s="283"/>
      <c r="CL143" s="283"/>
      <c r="CM143" s="283"/>
      <c r="CN143" s="283"/>
      <c r="CO143" s="283"/>
      <c r="CP143" s="283"/>
      <c r="CQ143" s="283"/>
      <c r="CR143" s="283"/>
      <c r="CS143" s="283"/>
      <c r="CT143" s="283"/>
      <c r="CU143" s="283"/>
      <c r="CV143" s="283"/>
      <c r="CW143" s="283"/>
      <c r="CX143" s="283"/>
      <c r="CY143" s="283"/>
      <c r="CZ143" s="283"/>
      <c r="DA143" s="283"/>
      <c r="DB143" s="283"/>
      <c r="DC143" s="283"/>
      <c r="DD143" s="283"/>
      <c r="DE143" s="283"/>
      <c r="DF143" s="283"/>
      <c r="DG143" s="283"/>
      <c r="DH143" s="283"/>
      <c r="DI143" s="283"/>
      <c r="DJ143" s="283"/>
      <c r="DK143" s="283"/>
      <c r="DL143" s="283"/>
      <c r="DM143" s="283"/>
      <c r="DN143" s="283"/>
      <c r="DO143" s="283"/>
      <c r="DP143" s="283"/>
      <c r="DQ143" s="283"/>
      <c r="DR143" s="283"/>
      <c r="DS143" s="283"/>
      <c r="DT143" s="283"/>
      <c r="DU143" s="283"/>
      <c r="DV143" s="283"/>
      <c r="DW143" s="283"/>
      <c r="DX143" s="283"/>
      <c r="DY143" s="283"/>
      <c r="DZ143" s="283"/>
      <c r="EA143" s="283"/>
      <c r="EB143" s="283"/>
      <c r="EC143" s="283"/>
      <c r="ED143" s="283"/>
      <c r="EE143" s="283"/>
      <c r="EF143" s="283"/>
      <c r="EG143" s="283"/>
      <c r="EH143" s="283"/>
      <c r="EI143" s="283"/>
      <c r="EJ143" s="283"/>
    </row>
    <row r="144" spans="1:140" ht="15.75" customHeight="1" x14ac:dyDescent="0.25">
      <c r="A144" s="6"/>
      <c r="B144" s="34" t="s">
        <v>335</v>
      </c>
      <c r="C144" s="35"/>
      <c r="D144" s="198"/>
      <c r="H144" s="1317">
        <f t="shared" si="187"/>
        <v>49309</v>
      </c>
      <c r="I144" s="668">
        <v>0.11355888247489929</v>
      </c>
      <c r="J144" s="669">
        <v>0.13290746808052065</v>
      </c>
      <c r="S144" s="198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3"/>
      <c r="AG144" s="283"/>
      <c r="AH144" s="283"/>
      <c r="AI144" s="283"/>
      <c r="AJ144" s="283"/>
      <c r="AK144" s="283"/>
      <c r="AL144" s="283"/>
      <c r="AM144" s="283"/>
      <c r="AN144" s="283"/>
      <c r="AO144" s="283"/>
      <c r="AP144" s="283"/>
      <c r="AQ144" s="283"/>
      <c r="AR144" s="283"/>
      <c r="AS144" s="283"/>
      <c r="AT144" s="283"/>
      <c r="AU144" s="283"/>
      <c r="AV144" s="283"/>
      <c r="AW144" s="283"/>
      <c r="AX144" s="283"/>
      <c r="AY144" s="283"/>
      <c r="AZ144" s="283"/>
      <c r="BA144" s="283"/>
      <c r="BB144" s="283"/>
      <c r="BC144" s="283"/>
      <c r="BD144" s="283"/>
      <c r="BE144" s="283"/>
      <c r="BF144" s="283"/>
      <c r="BG144" s="283"/>
      <c r="BH144" s="283"/>
      <c r="BI144" s="283"/>
      <c r="BJ144" s="283"/>
      <c r="BK144" s="283"/>
      <c r="BL144" s="283"/>
      <c r="BM144" s="283"/>
      <c r="BN144" s="283"/>
      <c r="BO144" s="283"/>
      <c r="BP144" s="283"/>
      <c r="BQ144" s="283"/>
      <c r="BR144" s="283"/>
      <c r="BS144" s="283"/>
      <c r="BT144" s="283"/>
      <c r="BU144" s="283"/>
      <c r="BV144" s="283"/>
      <c r="BW144" s="283"/>
      <c r="BX144" s="283"/>
      <c r="BY144" s="283"/>
      <c r="BZ144" s="283"/>
      <c r="CA144" s="283"/>
      <c r="CB144" s="283"/>
      <c r="CC144" s="283"/>
      <c r="CD144" s="283"/>
      <c r="CE144" s="283"/>
      <c r="CF144" s="283"/>
      <c r="CG144" s="283"/>
      <c r="CH144" s="283"/>
      <c r="CI144" s="283"/>
      <c r="CJ144" s="283"/>
      <c r="CK144" s="283"/>
      <c r="CL144" s="283"/>
      <c r="CM144" s="283"/>
      <c r="CN144" s="283"/>
      <c r="CO144" s="283"/>
      <c r="CP144" s="283"/>
      <c r="CQ144" s="283"/>
      <c r="CR144" s="283"/>
      <c r="CS144" s="283"/>
      <c r="CT144" s="283"/>
      <c r="CU144" s="283"/>
      <c r="CV144" s="283"/>
      <c r="CW144" s="283"/>
      <c r="CX144" s="283"/>
      <c r="CY144" s="283"/>
      <c r="CZ144" s="283"/>
      <c r="DA144" s="283"/>
      <c r="DB144" s="283"/>
      <c r="DC144" s="283"/>
      <c r="DD144" s="283"/>
      <c r="DE144" s="283"/>
      <c r="DF144" s="283"/>
      <c r="DG144" s="283"/>
      <c r="DH144" s="283"/>
      <c r="DI144" s="283"/>
      <c r="DJ144" s="283"/>
      <c r="DK144" s="283"/>
      <c r="DL144" s="283"/>
      <c r="DM144" s="283"/>
      <c r="DN144" s="283"/>
      <c r="DO144" s="283"/>
      <c r="DP144" s="283"/>
      <c r="DQ144" s="283"/>
      <c r="DR144" s="283"/>
      <c r="DS144" s="283"/>
      <c r="DT144" s="283"/>
      <c r="DU144" s="283"/>
      <c r="DV144" s="283"/>
      <c r="DW144" s="283"/>
      <c r="DX144" s="283"/>
      <c r="DY144" s="283"/>
      <c r="DZ144" s="283"/>
      <c r="EA144" s="283"/>
      <c r="EB144" s="283"/>
      <c r="EC144" s="283"/>
      <c r="ED144" s="283"/>
      <c r="EE144" s="283"/>
      <c r="EF144" s="283"/>
      <c r="EG144" s="283"/>
      <c r="EH144" s="283"/>
      <c r="EI144" s="283"/>
      <c r="EJ144" s="283"/>
    </row>
    <row r="145" spans="1:140" ht="15.75" customHeight="1" x14ac:dyDescent="0.25">
      <c r="A145" s="6"/>
      <c r="B145" s="13" t="s">
        <v>336</v>
      </c>
      <c r="C145" s="54">
        <f>C142/C139</f>
        <v>35008529.306466639</v>
      </c>
      <c r="D145" s="198"/>
      <c r="H145" s="1317">
        <f t="shared" si="187"/>
        <v>49674</v>
      </c>
      <c r="I145" s="668">
        <v>0.11110739111900331</v>
      </c>
      <c r="J145" s="669">
        <v>0.12894238829612734</v>
      </c>
      <c r="S145" s="198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3"/>
      <c r="AG145" s="283"/>
      <c r="AH145" s="283"/>
      <c r="AI145" s="283"/>
      <c r="AJ145" s="283"/>
      <c r="AK145" s="283"/>
      <c r="AL145" s="283"/>
      <c r="AM145" s="283"/>
      <c r="AN145" s="283"/>
      <c r="AO145" s="283"/>
      <c r="AP145" s="283"/>
      <c r="AQ145" s="283"/>
      <c r="AR145" s="283"/>
      <c r="AS145" s="283"/>
      <c r="AT145" s="283"/>
      <c r="AU145" s="283"/>
      <c r="AV145" s="283"/>
      <c r="AW145" s="283"/>
      <c r="AX145" s="283"/>
      <c r="AY145" s="283"/>
      <c r="AZ145" s="283"/>
      <c r="BA145" s="283"/>
      <c r="BB145" s="283"/>
      <c r="BC145" s="283"/>
      <c r="BD145" s="283"/>
      <c r="BE145" s="283"/>
      <c r="BF145" s="283"/>
      <c r="BG145" s="283"/>
      <c r="BH145" s="283"/>
      <c r="BI145" s="283"/>
      <c r="BJ145" s="283"/>
      <c r="BK145" s="283"/>
      <c r="BL145" s="283"/>
      <c r="BM145" s="283"/>
      <c r="BN145" s="283"/>
      <c r="BO145" s="283"/>
      <c r="BP145" s="283"/>
      <c r="BQ145" s="283"/>
      <c r="BR145" s="283"/>
      <c r="BS145" s="283"/>
      <c r="BT145" s="283"/>
      <c r="BU145" s="283"/>
      <c r="BV145" s="283"/>
      <c r="BW145" s="283"/>
      <c r="BX145" s="283"/>
      <c r="BY145" s="283"/>
      <c r="BZ145" s="283"/>
      <c r="CA145" s="283"/>
      <c r="CB145" s="283"/>
      <c r="CC145" s="283"/>
      <c r="CD145" s="283"/>
      <c r="CE145" s="283"/>
      <c r="CF145" s="283"/>
      <c r="CG145" s="283"/>
      <c r="CH145" s="283"/>
      <c r="CI145" s="283"/>
      <c r="CJ145" s="283"/>
      <c r="CK145" s="283"/>
      <c r="CL145" s="283"/>
      <c r="CM145" s="283"/>
      <c r="CN145" s="283"/>
      <c r="CO145" s="283"/>
      <c r="CP145" s="283"/>
      <c r="CQ145" s="283"/>
      <c r="CR145" s="283"/>
      <c r="CS145" s="283"/>
      <c r="CT145" s="283"/>
      <c r="CU145" s="283"/>
      <c r="CV145" s="283"/>
      <c r="CW145" s="283"/>
      <c r="CX145" s="283"/>
      <c r="CY145" s="283"/>
      <c r="CZ145" s="283"/>
      <c r="DA145" s="283"/>
      <c r="DB145" s="283"/>
      <c r="DC145" s="283"/>
      <c r="DD145" s="283"/>
      <c r="DE145" s="283"/>
      <c r="DF145" s="283"/>
      <c r="DG145" s="283"/>
      <c r="DH145" s="283"/>
      <c r="DI145" s="283"/>
      <c r="DJ145" s="283"/>
      <c r="DK145" s="283"/>
      <c r="DL145" s="283"/>
      <c r="DM145" s="283"/>
      <c r="DN145" s="283"/>
      <c r="DO145" s="283"/>
      <c r="DP145" s="283"/>
      <c r="DQ145" s="283"/>
      <c r="DR145" s="283"/>
      <c r="DS145" s="283"/>
      <c r="DT145" s="283"/>
      <c r="DU145" s="283"/>
      <c r="DV145" s="283"/>
      <c r="DW145" s="283"/>
      <c r="DX145" s="283"/>
      <c r="DY145" s="283"/>
      <c r="DZ145" s="283"/>
      <c r="EA145" s="283"/>
      <c r="EB145" s="283"/>
      <c r="EC145" s="283"/>
      <c r="ED145" s="283"/>
      <c r="EE145" s="283"/>
      <c r="EF145" s="283"/>
      <c r="EG145" s="283"/>
      <c r="EH145" s="283"/>
      <c r="EI145" s="283"/>
      <c r="EJ145" s="283"/>
    </row>
    <row r="146" spans="1:140" ht="15.75" customHeight="1" x14ac:dyDescent="0.25">
      <c r="A146" s="6"/>
      <c r="B146" s="13" t="s">
        <v>338</v>
      </c>
      <c r="C146" s="55">
        <f>C145*C140</f>
        <v>1050255.8791939991</v>
      </c>
      <c r="D146" s="198"/>
      <c r="H146" s="1317">
        <f t="shared" si="187"/>
        <v>50040</v>
      </c>
      <c r="I146" s="668">
        <v>2.9802322387695314E-9</v>
      </c>
      <c r="J146" s="669">
        <v>2.9802322387695314E-9</v>
      </c>
      <c r="S146" s="198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283"/>
      <c r="AK146" s="283"/>
      <c r="AL146" s="283"/>
      <c r="AM146" s="283"/>
      <c r="AN146" s="283"/>
      <c r="AO146" s="283"/>
      <c r="AP146" s="283"/>
      <c r="AQ146" s="283"/>
      <c r="AR146" s="283"/>
      <c r="AS146" s="283"/>
      <c r="AT146" s="283"/>
      <c r="AU146" s="283"/>
      <c r="AV146" s="283"/>
      <c r="AW146" s="283"/>
      <c r="AX146" s="283"/>
      <c r="AY146" s="283"/>
      <c r="AZ146" s="283"/>
      <c r="BA146" s="283"/>
      <c r="BB146" s="283"/>
      <c r="BC146" s="283"/>
      <c r="BD146" s="283"/>
      <c r="BE146" s="283"/>
      <c r="BF146" s="283"/>
      <c r="BG146" s="283"/>
      <c r="BH146" s="283"/>
      <c r="BI146" s="283"/>
      <c r="BJ146" s="283"/>
      <c r="BK146" s="283"/>
      <c r="BL146" s="283"/>
      <c r="BM146" s="283"/>
      <c r="BN146" s="283"/>
      <c r="BO146" s="283"/>
      <c r="BP146" s="283"/>
      <c r="BQ146" s="283"/>
      <c r="BR146" s="283"/>
      <c r="BS146" s="283"/>
      <c r="BT146" s="283"/>
      <c r="BU146" s="283"/>
      <c r="BV146" s="283"/>
      <c r="BW146" s="283"/>
      <c r="BX146" s="283"/>
      <c r="BY146" s="283"/>
      <c r="BZ146" s="283"/>
      <c r="CA146" s="283"/>
      <c r="CB146" s="283"/>
      <c r="CC146" s="283"/>
      <c r="CD146" s="283"/>
      <c r="CE146" s="283"/>
      <c r="CF146" s="283"/>
      <c r="CG146" s="283"/>
      <c r="CH146" s="283"/>
      <c r="CI146" s="283"/>
      <c r="CJ146" s="283"/>
      <c r="CK146" s="283"/>
      <c r="CL146" s="283"/>
      <c r="CM146" s="283"/>
      <c r="CN146" s="283"/>
      <c r="CO146" s="283"/>
      <c r="CP146" s="283"/>
      <c r="CQ146" s="283"/>
      <c r="CR146" s="283"/>
      <c r="CS146" s="283"/>
      <c r="CT146" s="283"/>
      <c r="CU146" s="283"/>
      <c r="CV146" s="283"/>
      <c r="CW146" s="283"/>
      <c r="CX146" s="283"/>
      <c r="CY146" s="283"/>
      <c r="CZ146" s="283"/>
      <c r="DA146" s="283"/>
      <c r="DB146" s="283"/>
      <c r="DC146" s="283"/>
      <c r="DD146" s="283"/>
      <c r="DE146" s="283"/>
      <c r="DF146" s="283"/>
      <c r="DG146" s="283"/>
      <c r="DH146" s="283"/>
      <c r="DI146" s="283"/>
      <c r="DJ146" s="283"/>
      <c r="DK146" s="283"/>
      <c r="DL146" s="283"/>
      <c r="DM146" s="283"/>
      <c r="DN146" s="283"/>
      <c r="DO146" s="283"/>
      <c r="DP146" s="283"/>
      <c r="DQ146" s="283"/>
      <c r="DR146" s="283"/>
      <c r="DS146" s="283"/>
      <c r="DT146" s="283"/>
      <c r="DU146" s="283"/>
      <c r="DV146" s="283"/>
      <c r="DW146" s="283"/>
      <c r="DX146" s="283"/>
      <c r="DY146" s="283"/>
      <c r="DZ146" s="283"/>
      <c r="EA146" s="283"/>
      <c r="EB146" s="283"/>
      <c r="EC146" s="283"/>
      <c r="ED146" s="283"/>
      <c r="EE146" s="283"/>
      <c r="EF146" s="283"/>
      <c r="EG146" s="283"/>
      <c r="EH146" s="283"/>
      <c r="EI146" s="283"/>
      <c r="EJ146" s="283"/>
    </row>
    <row r="147" spans="1:140" ht="15.75" customHeight="1" x14ac:dyDescent="0.25">
      <c r="A147" s="6"/>
      <c r="B147" s="461" t="s">
        <v>339</v>
      </c>
      <c r="C147" s="54">
        <f>C145-C146</f>
        <v>33958273.42727264</v>
      </c>
      <c r="D147" s="198"/>
      <c r="H147" s="1318">
        <f t="shared" si="187"/>
        <v>50405</v>
      </c>
      <c r="I147" s="670">
        <v>2.9802322387695314E-9</v>
      </c>
      <c r="J147" s="671">
        <v>-8.7107518315315269E-2</v>
      </c>
      <c r="S147" s="198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283"/>
      <c r="AK147" s="283"/>
      <c r="AL147" s="283"/>
      <c r="AM147" s="283"/>
      <c r="AN147" s="283"/>
      <c r="AO147" s="283"/>
      <c r="AP147" s="283"/>
      <c r="AQ147" s="283"/>
      <c r="AR147" s="283"/>
      <c r="AS147" s="283"/>
      <c r="AT147" s="283"/>
      <c r="AU147" s="283"/>
      <c r="AV147" s="283"/>
      <c r="AW147" s="283"/>
      <c r="AX147" s="283"/>
      <c r="AY147" s="283"/>
      <c r="AZ147" s="283"/>
      <c r="BA147" s="283"/>
      <c r="BB147" s="283"/>
      <c r="BC147" s="283"/>
      <c r="BD147" s="283"/>
      <c r="BE147" s="283"/>
      <c r="BF147" s="283"/>
      <c r="BG147" s="283"/>
      <c r="BH147" s="283"/>
      <c r="BI147" s="283"/>
      <c r="BJ147" s="283"/>
      <c r="BK147" s="283"/>
      <c r="BL147" s="283"/>
      <c r="BM147" s="283"/>
      <c r="BN147" s="283"/>
      <c r="BO147" s="283"/>
      <c r="BP147" s="283"/>
      <c r="BQ147" s="283"/>
      <c r="BR147" s="283"/>
      <c r="BS147" s="283"/>
      <c r="BT147" s="283"/>
      <c r="BU147" s="283"/>
      <c r="BV147" s="283"/>
      <c r="BW147" s="283"/>
      <c r="BX147" s="283"/>
      <c r="BY147" s="283"/>
      <c r="BZ147" s="283"/>
      <c r="CA147" s="283"/>
      <c r="CB147" s="283"/>
      <c r="CC147" s="283"/>
      <c r="CD147" s="283"/>
      <c r="CE147" s="283"/>
      <c r="CF147" s="283"/>
      <c r="CG147" s="283"/>
      <c r="CH147" s="283"/>
      <c r="CI147" s="283"/>
      <c r="CJ147" s="283"/>
      <c r="CK147" s="283"/>
      <c r="CL147" s="283"/>
      <c r="CM147" s="283"/>
      <c r="CN147" s="283"/>
      <c r="CO147" s="283"/>
      <c r="CP147" s="283"/>
      <c r="CQ147" s="283"/>
      <c r="CR147" s="283"/>
      <c r="CS147" s="283"/>
      <c r="CT147" s="283"/>
      <c r="CU147" s="283"/>
      <c r="CV147" s="283"/>
      <c r="CW147" s="283"/>
      <c r="CX147" s="283"/>
      <c r="CY147" s="283"/>
      <c r="CZ147" s="283"/>
      <c r="DA147" s="283"/>
      <c r="DB147" s="283"/>
      <c r="DC147" s="283"/>
      <c r="DD147" s="283"/>
      <c r="DE147" s="283"/>
      <c r="DF147" s="283"/>
      <c r="DG147" s="283"/>
      <c r="DH147" s="283"/>
      <c r="DI147" s="283"/>
      <c r="DJ147" s="283"/>
      <c r="DK147" s="283"/>
      <c r="DL147" s="283"/>
      <c r="DM147" s="283"/>
      <c r="DN147" s="283"/>
      <c r="DO147" s="283"/>
      <c r="DP147" s="283"/>
      <c r="DQ147" s="283"/>
      <c r="DR147" s="283"/>
      <c r="DS147" s="283"/>
      <c r="DT147" s="283"/>
      <c r="DU147" s="283"/>
      <c r="DV147" s="283"/>
      <c r="DW147" s="283"/>
      <c r="DX147" s="283"/>
      <c r="DY147" s="283"/>
      <c r="DZ147" s="283"/>
      <c r="EA147" s="283"/>
      <c r="EB147" s="283"/>
      <c r="EC147" s="283"/>
      <c r="ED147" s="283"/>
      <c r="EE147" s="283"/>
      <c r="EF147" s="283"/>
      <c r="EG147" s="283"/>
      <c r="EH147" s="283"/>
      <c r="EI147" s="283"/>
      <c r="EJ147" s="283"/>
    </row>
    <row r="148" spans="1:140" ht="15.75" customHeight="1" x14ac:dyDescent="0.25">
      <c r="A148" s="6"/>
      <c r="B148" s="461" t="s">
        <v>340</v>
      </c>
      <c r="C148" s="55">
        <f>SUM(H128:DX128)</f>
        <v>15430411.381066598</v>
      </c>
      <c r="D148" s="198"/>
      <c r="E148" s="470"/>
      <c r="F148" s="314"/>
      <c r="G148" s="314"/>
      <c r="H148" s="314"/>
      <c r="I148" s="314"/>
      <c r="J148" s="314"/>
      <c r="K148" s="283"/>
      <c r="S148" s="198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3"/>
      <c r="AT148" s="283"/>
      <c r="AU148" s="283"/>
      <c r="AV148" s="283"/>
      <c r="AW148" s="283"/>
      <c r="AX148" s="283"/>
      <c r="AY148" s="283"/>
      <c r="AZ148" s="283"/>
      <c r="BA148" s="283"/>
      <c r="BB148" s="283"/>
      <c r="BC148" s="283"/>
      <c r="BD148" s="283"/>
      <c r="BE148" s="283"/>
      <c r="BF148" s="283"/>
      <c r="BG148" s="283"/>
      <c r="BH148" s="283"/>
      <c r="BI148" s="283"/>
      <c r="BJ148" s="283"/>
      <c r="BK148" s="283"/>
      <c r="BL148" s="283"/>
      <c r="BM148" s="283"/>
      <c r="BN148" s="283"/>
      <c r="BO148" s="283"/>
      <c r="BP148" s="283"/>
      <c r="BQ148" s="283"/>
      <c r="BR148" s="283"/>
      <c r="BS148" s="283"/>
      <c r="BT148" s="283"/>
      <c r="BU148" s="283"/>
      <c r="BV148" s="283"/>
      <c r="BW148" s="283"/>
      <c r="BX148" s="283"/>
      <c r="BY148" s="283"/>
      <c r="BZ148" s="283"/>
      <c r="CA148" s="283"/>
      <c r="CB148" s="283"/>
      <c r="CC148" s="283"/>
      <c r="CD148" s="283"/>
      <c r="CE148" s="283"/>
      <c r="CF148" s="283"/>
      <c r="CG148" s="283"/>
      <c r="CH148" s="283"/>
      <c r="CI148" s="283"/>
      <c r="CJ148" s="283"/>
      <c r="CK148" s="283"/>
      <c r="CL148" s="283"/>
      <c r="CM148" s="283"/>
      <c r="CN148" s="283"/>
      <c r="CO148" s="283"/>
      <c r="CP148" s="283"/>
      <c r="CQ148" s="283"/>
      <c r="CR148" s="283"/>
      <c r="CS148" s="283"/>
      <c r="CT148" s="283"/>
      <c r="CU148" s="283"/>
      <c r="CV148" s="283"/>
      <c r="CW148" s="283"/>
      <c r="CX148" s="283"/>
      <c r="CY148" s="283"/>
      <c r="CZ148" s="283"/>
      <c r="DA148" s="283"/>
      <c r="DB148" s="283"/>
      <c r="DC148" s="283"/>
      <c r="DD148" s="283"/>
      <c r="DE148" s="283"/>
      <c r="DF148" s="283"/>
      <c r="DG148" s="283"/>
      <c r="DH148" s="283"/>
      <c r="DI148" s="283"/>
      <c r="DJ148" s="283"/>
      <c r="DK148" s="283"/>
      <c r="DL148" s="283"/>
      <c r="DM148" s="283"/>
      <c r="DN148" s="283"/>
      <c r="DO148" s="283"/>
      <c r="DP148" s="283"/>
      <c r="DQ148" s="283"/>
      <c r="DR148" s="283"/>
      <c r="DS148" s="283"/>
      <c r="DT148" s="283"/>
      <c r="DU148" s="283"/>
      <c r="DV148" s="283"/>
      <c r="DW148" s="283"/>
      <c r="DX148" s="283"/>
      <c r="DY148" s="283"/>
      <c r="DZ148" s="283"/>
      <c r="EA148" s="283"/>
      <c r="EB148" s="283"/>
      <c r="EC148" s="283"/>
      <c r="ED148" s="283"/>
      <c r="EE148" s="283"/>
      <c r="EF148" s="283"/>
      <c r="EG148" s="283"/>
      <c r="EH148" s="283"/>
      <c r="EI148" s="283"/>
      <c r="EJ148" s="283"/>
    </row>
    <row r="149" spans="1:140" ht="15.75" customHeight="1" x14ac:dyDescent="0.25">
      <c r="A149" s="6"/>
      <c r="B149" s="48" t="s">
        <v>341</v>
      </c>
      <c r="C149" s="49">
        <f>C147-C148</f>
        <v>18527862.046206042</v>
      </c>
      <c r="D149" s="198"/>
      <c r="H149" s="445" t="s">
        <v>327</v>
      </c>
      <c r="I149" s="446"/>
      <c r="J149" s="446"/>
      <c r="K149" s="446"/>
      <c r="L149" s="446"/>
      <c r="M149" s="447"/>
      <c r="S149" s="198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  <c r="AM149" s="283"/>
      <c r="AN149" s="283"/>
      <c r="AO149" s="283"/>
      <c r="AP149" s="283"/>
      <c r="AQ149" s="283"/>
      <c r="AR149" s="283"/>
      <c r="AS149" s="283"/>
      <c r="AT149" s="283"/>
      <c r="AU149" s="283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3"/>
      <c r="BF149" s="283"/>
      <c r="BG149" s="283"/>
      <c r="BH149" s="283"/>
      <c r="BI149" s="283"/>
      <c r="BJ149" s="283"/>
      <c r="BK149" s="283"/>
      <c r="BL149" s="283"/>
      <c r="BM149" s="283"/>
      <c r="BN149" s="283"/>
      <c r="BO149" s="283"/>
      <c r="BP149" s="283"/>
      <c r="BQ149" s="283"/>
      <c r="BR149" s="283"/>
      <c r="BS149" s="283"/>
      <c r="BT149" s="283"/>
      <c r="BU149" s="283"/>
      <c r="BV149" s="283"/>
      <c r="BW149" s="283"/>
      <c r="BX149" s="283"/>
      <c r="BY149" s="283"/>
      <c r="BZ149" s="283"/>
      <c r="CA149" s="283"/>
      <c r="CB149" s="283"/>
      <c r="CC149" s="283"/>
      <c r="CD149" s="283"/>
      <c r="CE149" s="283"/>
      <c r="CF149" s="283"/>
      <c r="CG149" s="283"/>
      <c r="CH149" s="283"/>
      <c r="CI149" s="283"/>
      <c r="CJ149" s="283"/>
      <c r="CK149" s="283"/>
      <c r="CL149" s="283"/>
      <c r="CM149" s="283"/>
      <c r="CN149" s="283"/>
      <c r="CO149" s="283"/>
      <c r="CP149" s="283"/>
      <c r="CQ149" s="283"/>
      <c r="CR149" s="283"/>
      <c r="CS149" s="283"/>
      <c r="CT149" s="283"/>
      <c r="CU149" s="283"/>
      <c r="CV149" s="283"/>
      <c r="CW149" s="283"/>
      <c r="CX149" s="283"/>
      <c r="CY149" s="283"/>
      <c r="CZ149" s="283"/>
      <c r="DA149" s="283"/>
      <c r="DB149" s="283"/>
      <c r="DC149" s="283"/>
      <c r="DD149" s="283"/>
      <c r="DE149" s="283"/>
      <c r="DF149" s="283"/>
      <c r="DG149" s="283"/>
      <c r="DH149" s="283"/>
      <c r="DI149" s="283"/>
      <c r="DJ149" s="283"/>
      <c r="DK149" s="283"/>
      <c r="DL149" s="283"/>
      <c r="DM149" s="283"/>
      <c r="DN149" s="283"/>
      <c r="DO149" s="283"/>
      <c r="DP149" s="283"/>
      <c r="DQ149" s="283"/>
      <c r="DR149" s="283"/>
      <c r="DS149" s="283"/>
      <c r="DT149" s="283"/>
      <c r="DU149" s="283"/>
      <c r="DV149" s="283"/>
      <c r="DW149" s="283"/>
      <c r="DX149" s="283"/>
      <c r="DY149" s="283"/>
      <c r="DZ149" s="283"/>
      <c r="EA149" s="283"/>
      <c r="EB149" s="283"/>
      <c r="EC149" s="283"/>
      <c r="ED149" s="283"/>
      <c r="EE149" s="283"/>
      <c r="EF149" s="283"/>
      <c r="EG149" s="283"/>
      <c r="EH149" s="283"/>
      <c r="EI149" s="283"/>
      <c r="EJ149" s="283"/>
    </row>
    <row r="150" spans="1:140" ht="15.75" customHeight="1" x14ac:dyDescent="0.25">
      <c r="A150" s="6"/>
      <c r="B150" s="427"/>
      <c r="C150" s="427"/>
      <c r="D150" s="198"/>
      <c r="H150" s="448">
        <f>C139</f>
        <v>5.5E-2</v>
      </c>
      <c r="I150" s="449">
        <f>C152</f>
        <v>0.12832521796226495</v>
      </c>
      <c r="J150" s="450">
        <f>C153</f>
        <v>0.15519891381263737</v>
      </c>
      <c r="K150" s="451">
        <f>C154</f>
        <v>1.6231190273660352</v>
      </c>
      <c r="L150" s="452">
        <f>C155</f>
        <v>1.9770797192176428</v>
      </c>
      <c r="M150" s="453">
        <f>C145</f>
        <v>35008529.306466639</v>
      </c>
      <c r="S150" s="198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  <c r="AM150" s="283"/>
      <c r="AN150" s="283"/>
      <c r="AO150" s="283"/>
      <c r="AP150" s="283"/>
      <c r="AQ150" s="283"/>
      <c r="AR150" s="283"/>
      <c r="AS150" s="283"/>
      <c r="AT150" s="283"/>
      <c r="AU150" s="283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3"/>
      <c r="BF150" s="283"/>
      <c r="BG150" s="283"/>
      <c r="BH150" s="283"/>
      <c r="BI150" s="283"/>
      <c r="BJ150" s="283"/>
      <c r="BK150" s="283"/>
      <c r="BL150" s="283"/>
      <c r="BM150" s="283"/>
      <c r="BN150" s="283"/>
      <c r="BO150" s="283"/>
      <c r="BP150" s="283"/>
      <c r="BQ150" s="283"/>
      <c r="BR150" s="283"/>
      <c r="BS150" s="283"/>
      <c r="BT150" s="283"/>
      <c r="BU150" s="283"/>
      <c r="BV150" s="283"/>
      <c r="BW150" s="283"/>
      <c r="BX150" s="283"/>
      <c r="BY150" s="283"/>
      <c r="BZ150" s="283"/>
      <c r="CA150" s="283"/>
      <c r="CB150" s="283"/>
      <c r="CC150" s="283"/>
      <c r="CD150" s="283"/>
      <c r="CE150" s="283"/>
      <c r="CF150" s="283"/>
      <c r="CG150" s="283"/>
      <c r="CH150" s="283"/>
      <c r="CI150" s="283"/>
      <c r="CJ150" s="283"/>
      <c r="CK150" s="283"/>
      <c r="CL150" s="283"/>
      <c r="CM150" s="283"/>
      <c r="CN150" s="283"/>
      <c r="CO150" s="283"/>
      <c r="CP150" s="283"/>
      <c r="CQ150" s="283"/>
      <c r="CR150" s="283"/>
      <c r="CS150" s="283"/>
      <c r="CT150" s="283"/>
      <c r="CU150" s="283"/>
      <c r="CV150" s="283"/>
      <c r="CW150" s="283"/>
      <c r="CX150" s="283"/>
      <c r="CY150" s="283"/>
      <c r="CZ150" s="283"/>
      <c r="DA150" s="283"/>
      <c r="DB150" s="283"/>
      <c r="DC150" s="283"/>
      <c r="DD150" s="283"/>
      <c r="DE150" s="283"/>
      <c r="DF150" s="283"/>
      <c r="DG150" s="283"/>
      <c r="DH150" s="283"/>
      <c r="DI150" s="283"/>
      <c r="DJ150" s="283"/>
      <c r="DK150" s="283"/>
      <c r="DL150" s="283"/>
      <c r="DM150" s="283"/>
      <c r="DN150" s="283"/>
      <c r="DO150" s="283"/>
      <c r="DP150" s="283"/>
      <c r="DQ150" s="283"/>
      <c r="DR150" s="283"/>
      <c r="DS150" s="283"/>
      <c r="DT150" s="283"/>
      <c r="DU150" s="283"/>
      <c r="DV150" s="283"/>
      <c r="DW150" s="283"/>
      <c r="DX150" s="283"/>
      <c r="DY150" s="283"/>
      <c r="DZ150" s="283"/>
      <c r="EA150" s="283"/>
      <c r="EB150" s="283"/>
      <c r="EC150" s="283"/>
      <c r="ED150" s="283"/>
      <c r="EE150" s="283"/>
      <c r="EF150" s="283"/>
      <c r="EG150" s="283"/>
      <c r="EH150" s="283"/>
      <c r="EI150" s="283"/>
      <c r="EJ150" s="283"/>
    </row>
    <row r="151" spans="1:140" ht="15.75" customHeight="1" x14ac:dyDescent="0.25">
      <c r="A151" s="6"/>
      <c r="B151" s="34" t="s">
        <v>343</v>
      </c>
      <c r="C151" s="35"/>
      <c r="D151" s="198"/>
      <c r="H151" s="457">
        <f t="shared" ref="H151:H154" si="188">H152-0.0025</f>
        <v>4.4999999999999991E-2</v>
      </c>
      <c r="I151" s="458">
        <f t="dataTable" ref="I151:M159" dt2D="0" dtr="0" r1="C139" ca="1"/>
        <v>0.17786728739738467</v>
      </c>
      <c r="J151" s="458">
        <v>0.23514037728309636</v>
      </c>
      <c r="K151" s="459">
        <v>1.9385015066750912</v>
      </c>
      <c r="L151" s="459">
        <v>2.7248011666632976</v>
      </c>
      <c r="M151" s="46">
        <v>42788202.485681459</v>
      </c>
      <c r="S151" s="198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3"/>
      <c r="AI151" s="283"/>
      <c r="AJ151" s="283"/>
      <c r="AK151" s="283"/>
      <c r="AL151" s="283"/>
      <c r="AM151" s="283"/>
      <c r="AN151" s="283"/>
      <c r="AO151" s="283"/>
      <c r="AP151" s="283"/>
      <c r="AQ151" s="283"/>
      <c r="AR151" s="283"/>
      <c r="AS151" s="283"/>
      <c r="AT151" s="283"/>
      <c r="AU151" s="283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3"/>
      <c r="BF151" s="283"/>
      <c r="BG151" s="283"/>
      <c r="BH151" s="283"/>
      <c r="BI151" s="283"/>
      <c r="BJ151" s="283"/>
      <c r="BK151" s="283"/>
      <c r="BL151" s="283"/>
      <c r="BM151" s="283"/>
      <c r="BN151" s="283"/>
      <c r="BO151" s="283"/>
      <c r="BP151" s="283"/>
      <c r="BQ151" s="283"/>
      <c r="BR151" s="283"/>
      <c r="BS151" s="283"/>
      <c r="BT151" s="283"/>
      <c r="BU151" s="283"/>
      <c r="BV151" s="283"/>
      <c r="BW151" s="283"/>
      <c r="BX151" s="283"/>
      <c r="BY151" s="283"/>
      <c r="BZ151" s="283"/>
      <c r="CA151" s="283"/>
      <c r="CB151" s="283"/>
      <c r="CC151" s="283"/>
      <c r="CD151" s="283"/>
      <c r="CE151" s="283"/>
      <c r="CF151" s="283"/>
      <c r="CG151" s="283"/>
      <c r="CH151" s="283"/>
      <c r="CI151" s="283"/>
      <c r="CJ151" s="283"/>
      <c r="CK151" s="283"/>
      <c r="CL151" s="283"/>
      <c r="CM151" s="283"/>
      <c r="CN151" s="283"/>
      <c r="CO151" s="283"/>
      <c r="CP151" s="283"/>
      <c r="CQ151" s="283"/>
      <c r="CR151" s="283"/>
      <c r="CS151" s="283"/>
      <c r="CT151" s="283"/>
      <c r="CU151" s="283"/>
      <c r="CV151" s="283"/>
      <c r="CW151" s="283"/>
      <c r="CX151" s="283"/>
      <c r="CY151" s="283"/>
      <c r="CZ151" s="283"/>
      <c r="DA151" s="283"/>
      <c r="DB151" s="283"/>
      <c r="DC151" s="283"/>
      <c r="DD151" s="283"/>
      <c r="DE151" s="283"/>
      <c r="DF151" s="283"/>
      <c r="DG151" s="283"/>
      <c r="DH151" s="283"/>
      <c r="DI151" s="283"/>
      <c r="DJ151" s="283"/>
      <c r="DK151" s="283"/>
      <c r="DL151" s="283"/>
      <c r="DM151" s="283"/>
      <c r="DN151" s="283"/>
      <c r="DO151" s="283"/>
      <c r="DP151" s="283"/>
      <c r="DQ151" s="283"/>
      <c r="DR151" s="283"/>
      <c r="DS151" s="283"/>
      <c r="DT151" s="283"/>
      <c r="DU151" s="283"/>
      <c r="DV151" s="283"/>
      <c r="DW151" s="283"/>
      <c r="DX151" s="283"/>
      <c r="DY151" s="283"/>
      <c r="DZ151" s="283"/>
      <c r="EA151" s="283"/>
      <c r="EB151" s="283"/>
      <c r="EC151" s="283"/>
      <c r="ED151" s="283"/>
      <c r="EE151" s="283"/>
      <c r="EF151" s="283"/>
      <c r="EG151" s="283"/>
      <c r="EH151" s="283"/>
      <c r="EI151" s="283"/>
      <c r="EJ151" s="283"/>
    </row>
    <row r="152" spans="1:140" ht="15.75" customHeight="1" x14ac:dyDescent="0.25">
      <c r="A152" s="6"/>
      <c r="B152" s="13" t="s">
        <v>44</v>
      </c>
      <c r="C152" s="38">
        <f>G100</f>
        <v>0.12832521796226495</v>
      </c>
      <c r="D152" s="198"/>
      <c r="H152" s="457">
        <f t="shared" si="188"/>
        <v>4.7499999999999994E-2</v>
      </c>
      <c r="I152" s="458">
        <v>0.16425880789756778</v>
      </c>
      <c r="J152" s="458">
        <v>0.21404433846473694</v>
      </c>
      <c r="K152" s="459">
        <v>1.8472065784540488</v>
      </c>
      <c r="L152" s="459">
        <v>2.5083555184053856</v>
      </c>
      <c r="M152" s="46">
        <v>40536191.828540325</v>
      </c>
      <c r="S152" s="198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3"/>
      <c r="AG152" s="283"/>
      <c r="AH152" s="283"/>
      <c r="AI152" s="283"/>
      <c r="AJ152" s="283"/>
      <c r="AK152" s="283"/>
      <c r="AL152" s="283"/>
      <c r="AM152" s="283"/>
      <c r="AN152" s="283"/>
      <c r="AO152" s="283"/>
      <c r="AP152" s="283"/>
      <c r="AQ152" s="283"/>
      <c r="AR152" s="283"/>
      <c r="AS152" s="283"/>
      <c r="AT152" s="283"/>
      <c r="AU152" s="283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3"/>
      <c r="BF152" s="283"/>
      <c r="BG152" s="283"/>
      <c r="BH152" s="283"/>
      <c r="BI152" s="283"/>
      <c r="BJ152" s="283"/>
      <c r="BK152" s="283"/>
      <c r="BL152" s="283"/>
      <c r="BM152" s="283"/>
      <c r="BN152" s="283"/>
      <c r="BO152" s="283"/>
      <c r="BP152" s="283"/>
      <c r="BQ152" s="283"/>
      <c r="BR152" s="283"/>
      <c r="BS152" s="283"/>
      <c r="BT152" s="283"/>
      <c r="BU152" s="283"/>
      <c r="BV152" s="283"/>
      <c r="BW152" s="283"/>
      <c r="BX152" s="283"/>
      <c r="BY152" s="283"/>
      <c r="BZ152" s="283"/>
      <c r="CA152" s="283"/>
      <c r="CB152" s="283"/>
      <c r="CC152" s="283"/>
      <c r="CD152" s="283"/>
      <c r="CE152" s="283"/>
      <c r="CF152" s="283"/>
      <c r="CG152" s="283"/>
      <c r="CH152" s="283"/>
      <c r="CI152" s="283"/>
      <c r="CJ152" s="283"/>
      <c r="CK152" s="283"/>
      <c r="CL152" s="283"/>
      <c r="CM152" s="283"/>
      <c r="CN152" s="283"/>
      <c r="CO152" s="283"/>
      <c r="CP152" s="283"/>
      <c r="CQ152" s="283"/>
      <c r="CR152" s="283"/>
      <c r="CS152" s="283"/>
      <c r="CT152" s="283"/>
      <c r="CU152" s="283"/>
      <c r="CV152" s="283"/>
      <c r="CW152" s="283"/>
      <c r="CX152" s="283"/>
      <c r="CY152" s="283"/>
      <c r="CZ152" s="283"/>
      <c r="DA152" s="283"/>
      <c r="DB152" s="283"/>
      <c r="DC152" s="283"/>
      <c r="DD152" s="283"/>
      <c r="DE152" s="283"/>
      <c r="DF152" s="283"/>
      <c r="DG152" s="283"/>
      <c r="DH152" s="283"/>
      <c r="DI152" s="283"/>
      <c r="DJ152" s="283"/>
      <c r="DK152" s="283"/>
      <c r="DL152" s="283"/>
      <c r="DM152" s="283"/>
      <c r="DN152" s="283"/>
      <c r="DO152" s="283"/>
      <c r="DP152" s="283"/>
      <c r="DQ152" s="283"/>
      <c r="DR152" s="283"/>
      <c r="DS152" s="283"/>
      <c r="DT152" s="283"/>
      <c r="DU152" s="283"/>
      <c r="DV152" s="283"/>
      <c r="DW152" s="283"/>
      <c r="DX152" s="283"/>
      <c r="DY152" s="283"/>
      <c r="DZ152" s="283"/>
      <c r="EA152" s="283"/>
      <c r="EB152" s="283"/>
      <c r="EC152" s="283"/>
      <c r="ED152" s="283"/>
      <c r="EE152" s="283"/>
      <c r="EF152" s="283"/>
      <c r="EG152" s="283"/>
      <c r="EH152" s="283"/>
      <c r="EI152" s="283"/>
      <c r="EJ152" s="283"/>
    </row>
    <row r="153" spans="1:140" ht="15.75" customHeight="1" x14ac:dyDescent="0.25">
      <c r="A153" s="6"/>
      <c r="B153" s="13" t="s">
        <v>344</v>
      </c>
      <c r="C153" s="38">
        <f>G130</f>
        <v>0.15519891381263737</v>
      </c>
      <c r="D153" s="198"/>
      <c r="H153" s="457">
        <f t="shared" si="188"/>
        <v>4.9999999999999996E-2</v>
      </c>
      <c r="I153" s="458">
        <v>0.15152657628059388</v>
      </c>
      <c r="J153" s="458">
        <v>0.19375914931297303</v>
      </c>
      <c r="K153" s="459">
        <v>1.7650411430551103</v>
      </c>
      <c r="L153" s="459">
        <v>2.3135543358885307</v>
      </c>
      <c r="M153" s="46">
        <v>38509382.237113304</v>
      </c>
      <c r="S153" s="198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3"/>
      <c r="AI153" s="283"/>
      <c r="AJ153" s="283"/>
      <c r="AK153" s="283"/>
      <c r="AL153" s="283"/>
      <c r="AM153" s="283"/>
      <c r="AN153" s="283"/>
      <c r="AO153" s="283"/>
      <c r="AP153" s="283"/>
      <c r="AQ153" s="283"/>
      <c r="AR153" s="283"/>
      <c r="AS153" s="283"/>
      <c r="AT153" s="283"/>
      <c r="AU153" s="283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3"/>
      <c r="BF153" s="283"/>
      <c r="BG153" s="283"/>
      <c r="BH153" s="283"/>
      <c r="BI153" s="283"/>
      <c r="BJ153" s="283"/>
      <c r="BK153" s="283"/>
      <c r="BL153" s="283"/>
      <c r="BM153" s="283"/>
      <c r="BN153" s="283"/>
      <c r="BO153" s="283"/>
      <c r="BP153" s="283"/>
      <c r="BQ153" s="283"/>
      <c r="BR153" s="283"/>
      <c r="BS153" s="283"/>
      <c r="BT153" s="283"/>
      <c r="BU153" s="283"/>
      <c r="BV153" s="283"/>
      <c r="BW153" s="283"/>
      <c r="BX153" s="283"/>
      <c r="BY153" s="283"/>
      <c r="BZ153" s="283"/>
      <c r="CA153" s="283"/>
      <c r="CB153" s="283"/>
      <c r="CC153" s="283"/>
      <c r="CD153" s="283"/>
      <c r="CE153" s="283"/>
      <c r="CF153" s="283"/>
      <c r="CG153" s="283"/>
      <c r="CH153" s="283"/>
      <c r="CI153" s="283"/>
      <c r="CJ153" s="283"/>
      <c r="CK153" s="283"/>
      <c r="CL153" s="283"/>
      <c r="CM153" s="283"/>
      <c r="CN153" s="283"/>
      <c r="CO153" s="283"/>
      <c r="CP153" s="283"/>
      <c r="CQ153" s="283"/>
      <c r="CR153" s="283"/>
      <c r="CS153" s="283"/>
      <c r="CT153" s="283"/>
      <c r="CU153" s="283"/>
      <c r="CV153" s="283"/>
      <c r="CW153" s="283"/>
      <c r="CX153" s="283"/>
      <c r="CY153" s="283"/>
      <c r="CZ153" s="283"/>
      <c r="DA153" s="283"/>
      <c r="DB153" s="283"/>
      <c r="DC153" s="283"/>
      <c r="DD153" s="283"/>
      <c r="DE153" s="283"/>
      <c r="DF153" s="283"/>
      <c r="DG153" s="283"/>
      <c r="DH153" s="283"/>
      <c r="DI153" s="283"/>
      <c r="DJ153" s="283"/>
      <c r="DK153" s="283"/>
      <c r="DL153" s="283"/>
      <c r="DM153" s="283"/>
      <c r="DN153" s="283"/>
      <c r="DO153" s="283"/>
      <c r="DP153" s="283"/>
      <c r="DQ153" s="283"/>
      <c r="DR153" s="283"/>
      <c r="DS153" s="283"/>
      <c r="DT153" s="283"/>
      <c r="DU153" s="283"/>
      <c r="DV153" s="283"/>
      <c r="DW153" s="283"/>
      <c r="DX153" s="283"/>
      <c r="DY153" s="283"/>
      <c r="DZ153" s="283"/>
      <c r="EA153" s="283"/>
      <c r="EB153" s="283"/>
      <c r="EC153" s="283"/>
      <c r="ED153" s="283"/>
      <c r="EE153" s="283"/>
      <c r="EF153" s="283"/>
      <c r="EG153" s="283"/>
      <c r="EH153" s="283"/>
      <c r="EI153" s="283"/>
      <c r="EJ153" s="283"/>
    </row>
    <row r="154" spans="1:140" ht="15.75" customHeight="1" x14ac:dyDescent="0.25">
      <c r="A154" s="6"/>
      <c r="B154" s="461" t="s">
        <v>346</v>
      </c>
      <c r="C154" s="42">
        <f>SUMIF(H100:EJ100, "&gt;0")/-SUMIF(H100:EJ100, "&lt;0")</f>
        <v>1.6231190273660352</v>
      </c>
      <c r="D154" s="198"/>
      <c r="H154" s="457">
        <f t="shared" si="188"/>
        <v>5.2499999999999998E-2</v>
      </c>
      <c r="I154" s="458">
        <v>0.13957564234733583</v>
      </c>
      <c r="J154" s="458">
        <v>0.17417570948600772</v>
      </c>
      <c r="K154" s="459">
        <v>1.6907009872179757</v>
      </c>
      <c r="L154" s="459">
        <v>2.1373057790576881</v>
      </c>
      <c r="M154" s="46">
        <v>36675602.130584098</v>
      </c>
      <c r="S154" s="198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3"/>
      <c r="AG154" s="283"/>
      <c r="AH154" s="283"/>
      <c r="AI154" s="283"/>
      <c r="AJ154" s="283"/>
      <c r="AK154" s="283"/>
      <c r="AL154" s="283"/>
      <c r="AM154" s="283"/>
      <c r="AN154" s="283"/>
      <c r="AO154" s="283"/>
      <c r="AP154" s="283"/>
      <c r="AQ154" s="283"/>
      <c r="AR154" s="283"/>
      <c r="AS154" s="283"/>
      <c r="AT154" s="283"/>
      <c r="AU154" s="283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3"/>
      <c r="BF154" s="283"/>
      <c r="BG154" s="283"/>
      <c r="BH154" s="283"/>
      <c r="BI154" s="283"/>
      <c r="BJ154" s="283"/>
      <c r="BK154" s="283"/>
      <c r="BL154" s="283"/>
      <c r="BM154" s="283"/>
      <c r="BN154" s="283"/>
      <c r="BO154" s="283"/>
      <c r="BP154" s="283"/>
      <c r="BQ154" s="283"/>
      <c r="BR154" s="283"/>
      <c r="BS154" s="283"/>
      <c r="BT154" s="283"/>
      <c r="BU154" s="283"/>
      <c r="BV154" s="283"/>
      <c r="BW154" s="283"/>
      <c r="BX154" s="283"/>
      <c r="BY154" s="283"/>
      <c r="BZ154" s="283"/>
      <c r="CA154" s="283"/>
      <c r="CB154" s="283"/>
      <c r="CC154" s="283"/>
      <c r="CD154" s="283"/>
      <c r="CE154" s="283"/>
      <c r="CF154" s="283"/>
      <c r="CG154" s="283"/>
      <c r="CH154" s="283"/>
      <c r="CI154" s="283"/>
      <c r="CJ154" s="283"/>
      <c r="CK154" s="283"/>
      <c r="CL154" s="283"/>
      <c r="CM154" s="283"/>
      <c r="CN154" s="283"/>
      <c r="CO154" s="283"/>
      <c r="CP154" s="283"/>
      <c r="CQ154" s="283"/>
      <c r="CR154" s="283"/>
      <c r="CS154" s="283"/>
      <c r="CT154" s="283"/>
      <c r="CU154" s="283"/>
      <c r="CV154" s="283"/>
      <c r="CW154" s="283"/>
      <c r="CX154" s="283"/>
      <c r="CY154" s="283"/>
      <c r="CZ154" s="283"/>
      <c r="DA154" s="283"/>
      <c r="DB154" s="283"/>
      <c r="DC154" s="283"/>
      <c r="DD154" s="283"/>
      <c r="DE154" s="283"/>
      <c r="DF154" s="283"/>
      <c r="DG154" s="283"/>
      <c r="DH154" s="283"/>
      <c r="DI154" s="283"/>
      <c r="DJ154" s="283"/>
      <c r="DK154" s="283"/>
      <c r="DL154" s="283"/>
      <c r="DM154" s="283"/>
      <c r="DN154" s="283"/>
      <c r="DO154" s="283"/>
      <c r="DP154" s="283"/>
      <c r="DQ154" s="283"/>
      <c r="DR154" s="283"/>
      <c r="DS154" s="283"/>
      <c r="DT154" s="283"/>
      <c r="DU154" s="283"/>
      <c r="DV154" s="283"/>
      <c r="DW154" s="283"/>
      <c r="DX154" s="283"/>
      <c r="DY154" s="283"/>
      <c r="DZ154" s="283"/>
      <c r="EA154" s="283"/>
      <c r="EB154" s="283"/>
      <c r="EC154" s="283"/>
      <c r="ED154" s="283"/>
      <c r="EE154" s="283"/>
      <c r="EF154" s="283"/>
      <c r="EG154" s="283"/>
      <c r="EH154" s="283"/>
      <c r="EI154" s="283"/>
      <c r="EJ154" s="283"/>
    </row>
    <row r="155" spans="1:140" ht="15.75" customHeight="1" x14ac:dyDescent="0.25">
      <c r="A155" s="6"/>
      <c r="B155" s="461" t="s">
        <v>347</v>
      </c>
      <c r="C155" s="42">
        <f>SUMIF(H130:EJ130, "&gt;0")/-SUMIF(H130:EJ130, "&lt;0")</f>
        <v>1.9770797192176428</v>
      </c>
      <c r="D155" s="198"/>
      <c r="H155" s="457">
        <v>5.5E-2</v>
      </c>
      <c r="I155" s="458">
        <v>0.12832521796226495</v>
      </c>
      <c r="J155" s="458">
        <v>0.15519891381263737</v>
      </c>
      <c r="K155" s="459">
        <v>1.6231190273660352</v>
      </c>
      <c r="L155" s="459">
        <v>1.9770797192176428</v>
      </c>
      <c r="M155" s="46">
        <v>35008529.306466639</v>
      </c>
      <c r="S155" s="198"/>
      <c r="T155" s="472"/>
      <c r="U155" s="472"/>
      <c r="V155" s="472"/>
      <c r="W155" s="472"/>
      <c r="X155" s="472"/>
      <c r="Y155" s="472"/>
      <c r="Z155" s="472"/>
      <c r="AA155" s="472"/>
      <c r="AB155" s="472"/>
      <c r="AC155" s="472"/>
      <c r="AD155" s="472"/>
      <c r="AE155" s="472"/>
      <c r="AF155" s="472"/>
      <c r="AG155" s="472"/>
      <c r="AH155" s="472"/>
      <c r="AI155" s="472"/>
      <c r="AJ155" s="472"/>
      <c r="AK155" s="472"/>
      <c r="AL155" s="472"/>
      <c r="AM155" s="283"/>
      <c r="AN155" s="283"/>
      <c r="AO155" s="283"/>
      <c r="AP155" s="283"/>
      <c r="AQ155" s="283"/>
      <c r="AR155" s="283"/>
      <c r="AS155" s="283"/>
      <c r="AT155" s="283"/>
      <c r="AU155" s="283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3"/>
      <c r="BF155" s="283"/>
      <c r="BG155" s="283"/>
      <c r="BH155" s="283"/>
      <c r="BI155" s="283"/>
      <c r="BJ155" s="283"/>
      <c r="BK155" s="283"/>
      <c r="BL155" s="283"/>
      <c r="BM155" s="283"/>
      <c r="BN155" s="283"/>
      <c r="BO155" s="283"/>
      <c r="BP155" s="283"/>
      <c r="BQ155" s="283"/>
      <c r="BR155" s="283"/>
      <c r="BS155" s="283"/>
      <c r="BT155" s="283"/>
      <c r="BU155" s="283"/>
      <c r="BV155" s="283"/>
      <c r="BW155" s="283"/>
      <c r="BX155" s="283"/>
      <c r="BY155" s="283"/>
      <c r="BZ155" s="283"/>
      <c r="CA155" s="283"/>
      <c r="CB155" s="283"/>
      <c r="CC155" s="283"/>
      <c r="CD155" s="283"/>
      <c r="CE155" s="283"/>
      <c r="CF155" s="283"/>
      <c r="CG155" s="283"/>
      <c r="CH155" s="283"/>
      <c r="CI155" s="283"/>
      <c r="CJ155" s="283"/>
      <c r="CK155" s="283"/>
      <c r="CL155" s="283"/>
      <c r="CM155" s="283"/>
      <c r="CN155" s="283"/>
      <c r="CO155" s="283"/>
      <c r="CP155" s="283"/>
      <c r="CQ155" s="283"/>
      <c r="CR155" s="283"/>
      <c r="CS155" s="283"/>
      <c r="CT155" s="283"/>
      <c r="CU155" s="283"/>
      <c r="CV155" s="283"/>
      <c r="CW155" s="283"/>
      <c r="CX155" s="283"/>
      <c r="CY155" s="283"/>
      <c r="CZ155" s="283"/>
      <c r="DA155" s="283"/>
      <c r="DB155" s="283"/>
      <c r="DC155" s="283"/>
      <c r="DD155" s="283"/>
      <c r="DE155" s="283"/>
      <c r="DF155" s="283"/>
      <c r="DG155" s="283"/>
      <c r="DH155" s="283"/>
      <c r="DI155" s="283"/>
      <c r="DJ155" s="283"/>
      <c r="DK155" s="283"/>
      <c r="DL155" s="283"/>
      <c r="DM155" s="283"/>
      <c r="DN155" s="283"/>
      <c r="DO155" s="283"/>
      <c r="DP155" s="283"/>
      <c r="DQ155" s="283"/>
      <c r="DR155" s="283"/>
      <c r="DS155" s="283"/>
      <c r="DT155" s="283"/>
      <c r="DU155" s="283"/>
      <c r="DV155" s="283"/>
      <c r="DW155" s="283"/>
      <c r="DX155" s="283"/>
      <c r="DY155" s="283"/>
      <c r="DZ155" s="283"/>
      <c r="EA155" s="283"/>
      <c r="EB155" s="283"/>
      <c r="EC155" s="283"/>
      <c r="ED155" s="283"/>
      <c r="EE155" s="283"/>
      <c r="EF155" s="283"/>
      <c r="EG155" s="283"/>
      <c r="EH155" s="283"/>
      <c r="EI155" s="283"/>
      <c r="EJ155" s="283"/>
    </row>
    <row r="156" spans="1:140" ht="15.75" customHeight="1" x14ac:dyDescent="0.25">
      <c r="A156" s="6"/>
      <c r="B156" s="13" t="s">
        <v>48</v>
      </c>
      <c r="C156" s="38">
        <f>C142/COST</f>
        <v>8.0471302710300258E-2</v>
      </c>
      <c r="D156" s="198"/>
      <c r="H156" s="457">
        <f t="shared" ref="H156:H159" si="189">H155+0.0025</f>
        <v>5.7500000000000002E-2</v>
      </c>
      <c r="I156" s="458">
        <v>0.11770603060722351</v>
      </c>
      <c r="J156" s="458">
        <v>0.13674481511116029</v>
      </c>
      <c r="K156" s="459">
        <v>1.5614137596751334</v>
      </c>
      <c r="L156" s="459">
        <v>1.8307863602332535</v>
      </c>
      <c r="M156" s="46">
        <v>33486419.336620264</v>
      </c>
      <c r="S156" s="198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3"/>
      <c r="AI156" s="283"/>
      <c r="AJ156" s="283"/>
      <c r="AK156" s="283"/>
      <c r="AL156" s="283"/>
      <c r="AM156" s="283"/>
      <c r="AN156" s="283"/>
      <c r="AO156" s="283"/>
      <c r="AP156" s="283"/>
      <c r="AQ156" s="283"/>
      <c r="AR156" s="283"/>
      <c r="AS156" s="283"/>
      <c r="AT156" s="283"/>
      <c r="AU156" s="283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3"/>
      <c r="BF156" s="283"/>
      <c r="BG156" s="283"/>
      <c r="BH156" s="283"/>
      <c r="BI156" s="283"/>
      <c r="BJ156" s="283"/>
      <c r="BK156" s="283"/>
      <c r="BL156" s="283"/>
      <c r="BM156" s="283"/>
      <c r="BN156" s="283"/>
      <c r="BO156" s="283"/>
      <c r="BP156" s="283"/>
      <c r="BQ156" s="283"/>
      <c r="BR156" s="283"/>
      <c r="BS156" s="283"/>
      <c r="BT156" s="283"/>
      <c r="BU156" s="283"/>
      <c r="BV156" s="283"/>
      <c r="BW156" s="283"/>
      <c r="BX156" s="283"/>
      <c r="BY156" s="283"/>
      <c r="BZ156" s="283"/>
      <c r="CA156" s="283"/>
      <c r="CB156" s="283"/>
      <c r="CC156" s="283"/>
      <c r="CD156" s="283"/>
      <c r="CE156" s="283"/>
      <c r="CF156" s="283"/>
      <c r="CG156" s="283"/>
      <c r="CH156" s="283"/>
      <c r="CI156" s="283"/>
      <c r="CJ156" s="283"/>
      <c r="CK156" s="283"/>
      <c r="CL156" s="283"/>
      <c r="CM156" s="283"/>
      <c r="CN156" s="283"/>
      <c r="CO156" s="283"/>
      <c r="CP156" s="283"/>
      <c r="CQ156" s="283"/>
      <c r="CR156" s="283"/>
      <c r="CS156" s="283"/>
      <c r="CT156" s="283"/>
      <c r="CU156" s="283"/>
      <c r="CV156" s="283"/>
      <c r="CW156" s="283"/>
      <c r="CX156" s="283"/>
      <c r="CY156" s="283"/>
      <c r="CZ156" s="283"/>
      <c r="DA156" s="283"/>
      <c r="DB156" s="283"/>
      <c r="DC156" s="283"/>
      <c r="DD156" s="283"/>
      <c r="DE156" s="283"/>
      <c r="DF156" s="283"/>
      <c r="DG156" s="283"/>
      <c r="DH156" s="283"/>
      <c r="DI156" s="283"/>
      <c r="DJ156" s="283"/>
      <c r="DK156" s="283"/>
      <c r="DL156" s="283"/>
      <c r="DM156" s="283"/>
      <c r="DN156" s="283"/>
      <c r="DO156" s="283"/>
      <c r="DP156" s="283"/>
      <c r="DQ156" s="283"/>
      <c r="DR156" s="283"/>
      <c r="DS156" s="283"/>
      <c r="DT156" s="283"/>
      <c r="DU156" s="283"/>
      <c r="DV156" s="283"/>
      <c r="DW156" s="283"/>
      <c r="DX156" s="283"/>
      <c r="DY156" s="283"/>
      <c r="DZ156" s="283"/>
      <c r="EA156" s="283"/>
      <c r="EB156" s="283"/>
      <c r="EC156" s="283"/>
      <c r="ED156" s="283"/>
      <c r="EE156" s="283"/>
      <c r="EF156" s="283"/>
      <c r="EG156" s="283"/>
      <c r="EH156" s="283"/>
      <c r="EI156" s="283"/>
      <c r="EJ156" s="283"/>
    </row>
    <row r="157" spans="1:140" ht="15.75" customHeight="1" x14ac:dyDescent="0.25">
      <c r="A157" s="6"/>
      <c r="B157" s="13" t="s">
        <v>348</v>
      </c>
      <c r="C157" s="38">
        <f>(C142-ANNPMT)/EQUITY</f>
        <v>0.14834259305391215</v>
      </c>
      <c r="D157" s="198"/>
      <c r="H157" s="457">
        <f t="shared" si="189"/>
        <v>6.0000000000000005E-2</v>
      </c>
      <c r="I157" s="458">
        <v>0.10765829682350159</v>
      </c>
      <c r="J157" s="458">
        <v>0.11873837113380431</v>
      </c>
      <c r="K157" s="459">
        <v>1.5048505976251394</v>
      </c>
      <c r="L157" s="459">
        <v>1.6966841888111139</v>
      </c>
      <c r="M157" s="46">
        <v>32091151.864261083</v>
      </c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198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23"/>
      <c r="BB157" s="198"/>
      <c r="BC157" s="198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</row>
    <row r="158" spans="1:140" ht="15.75" customHeight="1" x14ac:dyDescent="0.25">
      <c r="A158" s="6"/>
      <c r="B158" s="48" t="s">
        <v>116</v>
      </c>
      <c r="C158" s="52">
        <f>((C145/COST)^(1/(C138/12)))-1</f>
        <v>7.9085032042923054E-2</v>
      </c>
      <c r="D158" s="198"/>
      <c r="H158" s="457">
        <f t="shared" si="189"/>
        <v>6.25E-2</v>
      </c>
      <c r="I158" s="458">
        <v>9.8130065202713029E-2</v>
      </c>
      <c r="J158" s="458">
        <v>0.10111150145530701</v>
      </c>
      <c r="K158" s="459">
        <v>1.4528124885391454</v>
      </c>
      <c r="L158" s="459">
        <v>1.573310119761737</v>
      </c>
      <c r="M158" s="46">
        <v>30807505.789690644</v>
      </c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23"/>
      <c r="BB158" s="198"/>
      <c r="BC158" s="198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</row>
    <row r="159" spans="1:140" ht="15.75" customHeight="1" x14ac:dyDescent="0.25">
      <c r="A159" s="6"/>
      <c r="B159" s="6"/>
      <c r="C159" s="6"/>
      <c r="D159" s="198"/>
      <c r="H159" s="463">
        <f t="shared" si="189"/>
        <v>6.5000000000000002E-2</v>
      </c>
      <c r="I159" s="464">
        <v>8.9075955748558061E-2</v>
      </c>
      <c r="J159" s="464">
        <v>8.3801642060279874E-2</v>
      </c>
      <c r="K159" s="465">
        <v>1.4047773109213046</v>
      </c>
      <c r="L159" s="465">
        <v>1.459426386581866</v>
      </c>
      <c r="M159" s="469">
        <v>29622601.720856387</v>
      </c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365"/>
      <c r="AE159" s="365"/>
      <c r="AF159" s="365"/>
      <c r="AG159" s="365"/>
      <c r="AH159" s="365"/>
      <c r="AI159" s="365"/>
      <c r="AJ159" s="365"/>
      <c r="AK159" s="365"/>
      <c r="AL159" s="365"/>
      <c r="AM159" s="365"/>
      <c r="AN159" s="365"/>
      <c r="AO159" s="365"/>
      <c r="AP159" s="365"/>
      <c r="AQ159" s="365"/>
      <c r="AR159" s="365"/>
      <c r="AS159" s="365"/>
      <c r="AT159" s="198"/>
      <c r="AU159" s="198"/>
      <c r="AV159" s="198"/>
      <c r="AW159" s="198"/>
      <c r="AX159" s="198"/>
      <c r="AY159" s="198"/>
      <c r="AZ159" s="198"/>
      <c r="BA159" s="23"/>
      <c r="BB159" s="198"/>
      <c r="BC159" s="198"/>
      <c r="BD159" s="198"/>
      <c r="BE159" s="198"/>
      <c r="BF159" s="198"/>
      <c r="BG159" s="198"/>
      <c r="BH159" s="198"/>
      <c r="BI159" s="198"/>
      <c r="BJ159" s="198"/>
      <c r="BK159" s="198"/>
      <c r="BL159" s="198"/>
      <c r="BM159" s="198"/>
      <c r="BN159" s="198"/>
      <c r="BO159" s="198"/>
      <c r="BP159" s="198"/>
      <c r="BQ159" s="198"/>
      <c r="BR159" s="198"/>
      <c r="BS159" s="198"/>
      <c r="BT159" s="198"/>
      <c r="BU159" s="198"/>
      <c r="BV159" s="198"/>
      <c r="BW159" s="198"/>
      <c r="BX159" s="198"/>
      <c r="BY159" s="198"/>
      <c r="BZ159" s="198"/>
      <c r="CA159" s="198"/>
      <c r="CB159" s="198"/>
      <c r="CC159" s="198"/>
      <c r="CD159" s="198"/>
      <c r="CE159" s="198"/>
      <c r="CF159" s="198"/>
      <c r="CG159" s="198"/>
      <c r="CH159" s="198"/>
      <c r="CI159" s="198"/>
      <c r="CJ159" s="198"/>
      <c r="CK159" s="198"/>
      <c r="CL159" s="198"/>
      <c r="CM159" s="198"/>
      <c r="CN159" s="198"/>
      <c r="CO159" s="198"/>
      <c r="CP159" s="198"/>
      <c r="CQ159" s="198"/>
      <c r="CR159" s="198"/>
      <c r="CS159" s="198"/>
      <c r="CT159" s="198"/>
      <c r="CU159" s="198"/>
      <c r="CV159" s="198"/>
      <c r="CW159" s="198"/>
      <c r="CX159" s="198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</row>
    <row r="160" spans="1:140" ht="15.75" customHeight="1" x14ac:dyDescent="0.25">
      <c r="A160" s="6"/>
      <c r="B160" s="34" t="s">
        <v>349</v>
      </c>
      <c r="C160" s="35"/>
      <c r="D160" s="198"/>
      <c r="E160" s="6"/>
      <c r="F160" s="6"/>
      <c r="G160" s="6"/>
      <c r="H160" s="6"/>
      <c r="I160" s="6"/>
      <c r="J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39"/>
      <c r="AQ160" s="198"/>
      <c r="AR160" s="198"/>
      <c r="AS160" s="370"/>
      <c r="AT160" s="6"/>
      <c r="AU160" s="6"/>
      <c r="AV160" s="6"/>
      <c r="AW160" s="6"/>
      <c r="AX160" s="6"/>
      <c r="AY160" s="6"/>
      <c r="AZ160" s="6"/>
      <c r="BA160" s="23"/>
      <c r="BB160" s="198"/>
      <c r="BC160" s="198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</row>
    <row r="161" spans="1:140" ht="15.75" customHeight="1" x14ac:dyDescent="0.25">
      <c r="A161" s="6"/>
      <c r="B161" s="13" t="s">
        <v>350</v>
      </c>
      <c r="C161" s="57">
        <f t="array" ref="C161">INDEX(H131:DX131,MATCH(C138,H5:DX5))</f>
        <v>1.5143694496151627</v>
      </c>
      <c r="D161" s="198"/>
      <c r="E161" s="6"/>
      <c r="F161" s="6"/>
      <c r="G161" s="6"/>
      <c r="H161" s="6"/>
      <c r="I161" s="6"/>
      <c r="J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365"/>
      <c r="AE161" s="365"/>
      <c r="AF161" s="365"/>
      <c r="AG161" s="365"/>
      <c r="AH161" s="365"/>
      <c r="AI161" s="365"/>
      <c r="AJ161" s="365"/>
      <c r="AK161" s="365"/>
      <c r="AL161" s="365"/>
      <c r="AM161" s="365"/>
      <c r="AN161" s="365"/>
      <c r="AO161" s="365"/>
      <c r="AP161" s="365"/>
      <c r="AQ161" s="365"/>
      <c r="AR161" s="365"/>
      <c r="AS161" s="365"/>
      <c r="AT161" s="23"/>
      <c r="AU161" s="23"/>
      <c r="AV161" s="23"/>
      <c r="AW161" s="23"/>
      <c r="AX161" s="23"/>
      <c r="AY161" s="23"/>
      <c r="AZ161" s="23"/>
      <c r="BA161" s="23"/>
      <c r="BB161" s="198"/>
      <c r="BC161" s="198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</row>
    <row r="162" spans="1:140" ht="15.75" customHeight="1" x14ac:dyDescent="0.25">
      <c r="A162" s="6"/>
      <c r="B162" s="13" t="s">
        <v>351</v>
      </c>
      <c r="C162" s="38">
        <f>C142/LOAN</f>
        <v>0.1238020041696927</v>
      </c>
      <c r="D162" s="231"/>
      <c r="E162" s="169"/>
      <c r="F162" s="169"/>
      <c r="G162" s="169"/>
      <c r="H162" s="445" t="s">
        <v>328</v>
      </c>
      <c r="I162" s="446"/>
      <c r="J162" s="446"/>
      <c r="K162" s="446"/>
      <c r="L162" s="446"/>
      <c r="M162" s="446"/>
      <c r="N162" s="447"/>
      <c r="S162" s="169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370"/>
      <c r="AT162" s="6"/>
      <c r="AU162" s="6"/>
      <c r="AV162" s="6"/>
      <c r="AW162" s="6"/>
      <c r="AX162" s="6"/>
      <c r="AY162" s="6"/>
      <c r="AZ162" s="6"/>
      <c r="BA162" s="23"/>
      <c r="BB162" s="198"/>
      <c r="BC162" s="198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</row>
    <row r="163" spans="1:140" ht="15.75" customHeight="1" x14ac:dyDescent="0.25">
      <c r="A163" s="6"/>
      <c r="B163" s="473" t="s">
        <v>352</v>
      </c>
      <c r="C163" s="62">
        <f t="array" ref="C163">INDEX(H5:DX5, MATCH(TRUE, H130:DX130&gt;0,0))</f>
        <v>31</v>
      </c>
      <c r="D163" s="198"/>
      <c r="E163" s="6"/>
      <c r="F163" s="6"/>
      <c r="G163" s="6"/>
      <c r="H163" s="454">
        <f>G49</f>
        <v>0.05</v>
      </c>
      <c r="I163" s="449">
        <f>C152</f>
        <v>0.12832521796226495</v>
      </c>
      <c r="J163" s="450">
        <f>C153</f>
        <v>0.15519891381263737</v>
      </c>
      <c r="K163" s="451">
        <f>C154</f>
        <v>1.6231190273660352</v>
      </c>
      <c r="L163" s="452">
        <f>C155</f>
        <v>1.9770797192176428</v>
      </c>
      <c r="M163" s="455">
        <f>C145</f>
        <v>35008529.306466639</v>
      </c>
      <c r="N163" s="672">
        <f>C156</f>
        <v>8.0471302710300258E-2</v>
      </c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6"/>
      <c r="AU163" s="6"/>
      <c r="AV163" s="6"/>
      <c r="AW163" s="6"/>
      <c r="AX163" s="6"/>
      <c r="AY163" s="6"/>
      <c r="AZ163" s="6"/>
      <c r="BA163" s="23"/>
      <c r="BB163" s="198"/>
      <c r="BC163" s="198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</row>
    <row r="164" spans="1:140" ht="15.75" customHeight="1" x14ac:dyDescent="0.25">
      <c r="A164" s="6"/>
      <c r="B164" s="6"/>
      <c r="C164" s="6"/>
      <c r="D164" s="198"/>
      <c r="E164" s="6"/>
      <c r="F164" s="6"/>
      <c r="G164" s="6"/>
      <c r="H164" s="457">
        <v>0</v>
      </c>
      <c r="I164" s="458">
        <f t="dataTable" ref="I164:N168" dt2D="0" dtr="0" r1="G49" ca="1"/>
        <v>0.14890608191490176</v>
      </c>
      <c r="J164" s="458">
        <v>0.1896630346775055</v>
      </c>
      <c r="K164" s="459">
        <v>1.7464608477083108</v>
      </c>
      <c r="L164" s="459">
        <v>2.2695034427981846</v>
      </c>
      <c r="M164" s="326">
        <v>37732014.418544888</v>
      </c>
      <c r="N164" s="460">
        <v>8.673155983114314E-2</v>
      </c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23"/>
      <c r="BB164" s="198"/>
      <c r="BC164" s="198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</row>
    <row r="165" spans="1:140" ht="15.75" customHeight="1" x14ac:dyDescent="0.25">
      <c r="A165" s="6"/>
      <c r="B165" s="6"/>
      <c r="C165" s="6"/>
      <c r="D165" s="6"/>
      <c r="E165" s="6"/>
      <c r="F165" s="6"/>
      <c r="G165" s="6"/>
      <c r="H165" s="457">
        <v>0.03</v>
      </c>
      <c r="I165" s="458">
        <v>0.1366999328136444</v>
      </c>
      <c r="J165" s="458">
        <v>0.16942896246910097</v>
      </c>
      <c r="K165" s="459">
        <v>1.6724557555029456</v>
      </c>
      <c r="L165" s="459">
        <v>2.0940492482837532</v>
      </c>
      <c r="M165" s="326">
        <v>36097923.351297945</v>
      </c>
      <c r="N165" s="460">
        <v>8.297540555863743E-2</v>
      </c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198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</row>
    <row r="166" spans="1:140" ht="15.75" customHeight="1" x14ac:dyDescent="0.25">
      <c r="A166" s="6"/>
      <c r="B166" s="6"/>
      <c r="C166" s="6"/>
      <c r="D166" s="6"/>
      <c r="E166" s="6"/>
      <c r="F166" s="6"/>
      <c r="G166" s="6"/>
      <c r="H166" s="457">
        <v>0.08</v>
      </c>
      <c r="I166" s="458">
        <v>0.11538055539131167</v>
      </c>
      <c r="J166" s="458">
        <v>0.13258133530616759</v>
      </c>
      <c r="K166" s="459">
        <v>1.5491139351606706</v>
      </c>
      <c r="L166" s="459">
        <v>1.8016244347711321</v>
      </c>
      <c r="M166" s="326">
        <v>33374438.239219695</v>
      </c>
      <c r="N166" s="460">
        <v>7.6715148437794534E-2</v>
      </c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</row>
    <row r="167" spans="1:140" ht="15.75" customHeight="1" x14ac:dyDescent="0.25">
      <c r="A167" s="6"/>
      <c r="B167" s="23"/>
      <c r="C167" s="23"/>
      <c r="D167" s="23"/>
      <c r="E167" s="23"/>
      <c r="F167" s="23"/>
      <c r="G167" s="23"/>
      <c r="H167" s="457">
        <v>0.15</v>
      </c>
      <c r="I167" s="458">
        <v>8.3170136809349079E-2</v>
      </c>
      <c r="J167" s="458">
        <v>7.2299644351005568E-2</v>
      </c>
      <c r="K167" s="459">
        <v>1.3764353866814851</v>
      </c>
      <c r="L167" s="459">
        <v>1.3922315784634176</v>
      </c>
      <c r="M167" s="326">
        <v>29561559.082310144</v>
      </c>
      <c r="N167" s="460">
        <v>6.7950788468614479E-2</v>
      </c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</row>
    <row r="168" spans="1:140" ht="15.75" customHeight="1" x14ac:dyDescent="0.25">
      <c r="A168" s="6"/>
      <c r="B168" s="6"/>
      <c r="C168" s="6"/>
      <c r="D168" s="6"/>
      <c r="E168" s="6"/>
      <c r="F168" s="6"/>
      <c r="G168" s="6"/>
      <c r="H168" s="463">
        <v>0.25</v>
      </c>
      <c r="I168" s="464">
        <v>3.1108042597770696E-2</v>
      </c>
      <c r="J168" s="464">
        <v>-4.3855103850364688E-2</v>
      </c>
      <c r="K168" s="465">
        <v>1.1297517459969355</v>
      </c>
      <c r="L168" s="465">
        <v>0.80732844568155038</v>
      </c>
      <c r="M168" s="466">
        <v>24114588.858153671</v>
      </c>
      <c r="N168" s="467">
        <v>5.5430274226928755E-2</v>
      </c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</row>
    <row r="169" spans="1:140" ht="15.75" customHeight="1" x14ac:dyDescent="0.25">
      <c r="A169" s="6"/>
      <c r="B169" s="6"/>
      <c r="C169" s="6"/>
      <c r="D169" s="6"/>
      <c r="E169" s="6"/>
      <c r="F169" s="6"/>
      <c r="G169" s="6"/>
      <c r="N169" s="283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</row>
    <row r="170" spans="1:140" ht="15.75" customHeight="1" x14ac:dyDescent="0.25">
      <c r="A170" s="6"/>
      <c r="B170" s="6"/>
      <c r="C170" s="6"/>
      <c r="D170" s="6"/>
      <c r="E170" s="6"/>
      <c r="F170" s="6"/>
      <c r="G170" s="6"/>
      <c r="H170" s="445" t="s">
        <v>337</v>
      </c>
      <c r="I170" s="446"/>
      <c r="J170" s="446"/>
      <c r="K170" s="446"/>
      <c r="L170" s="446"/>
      <c r="M170" s="446"/>
      <c r="N170" s="447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</row>
    <row r="171" spans="1:140" ht="15.75" customHeight="1" x14ac:dyDescent="0.25">
      <c r="A171" s="6"/>
      <c r="B171" s="6"/>
      <c r="C171" s="6"/>
      <c r="D171" s="6"/>
      <c r="E171" s="6"/>
      <c r="F171" s="6"/>
      <c r="G171" s="6"/>
      <c r="H171" s="468">
        <f>G56</f>
        <v>0.03</v>
      </c>
      <c r="I171" s="449">
        <f>C152</f>
        <v>0.12832521796226495</v>
      </c>
      <c r="J171" s="450">
        <f>C153</f>
        <v>0.15519891381263737</v>
      </c>
      <c r="K171" s="451">
        <f>C154</f>
        <v>1.6231190273660352</v>
      </c>
      <c r="L171" s="452">
        <f>C155</f>
        <v>1.9770797192176428</v>
      </c>
      <c r="M171" s="455">
        <f>C145</f>
        <v>35008529.306466639</v>
      </c>
      <c r="N171" s="456">
        <f>C156</f>
        <v>8.0471302710300258E-2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</row>
    <row r="172" spans="1:140" ht="15.75" customHeight="1" x14ac:dyDescent="0.25">
      <c r="A172" s="6"/>
      <c r="B172" s="6"/>
      <c r="C172" s="6"/>
      <c r="D172" s="6"/>
      <c r="E172" s="6"/>
      <c r="F172" s="6"/>
      <c r="G172" s="6"/>
      <c r="H172" s="457">
        <v>0</v>
      </c>
      <c r="I172" s="458">
        <f t="dataTable" ref="I172:N176" dt2D="0" dtr="0" r1="G56" ca="1"/>
        <v>0.15203235745429994</v>
      </c>
      <c r="J172" s="458">
        <v>0.19470229744911191</v>
      </c>
      <c r="K172" s="459">
        <v>1.7658964885642989</v>
      </c>
      <c r="L172" s="459">
        <v>2.3158849079284831</v>
      </c>
      <c r="M172" s="326">
        <v>38210760.730892323</v>
      </c>
      <c r="N172" s="460">
        <v>8.7832015639643352E-2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</row>
    <row r="173" spans="1:140" ht="15.75" customHeight="1" x14ac:dyDescent="0.25">
      <c r="A173" s="6"/>
      <c r="B173" s="6"/>
      <c r="C173" s="6"/>
      <c r="D173" s="6"/>
      <c r="E173" s="6"/>
      <c r="F173" s="6"/>
      <c r="G173" s="6"/>
      <c r="H173" s="457">
        <v>0.02</v>
      </c>
      <c r="I173" s="458">
        <v>0.13678424954414367</v>
      </c>
      <c r="J173" s="458">
        <v>0.16955447793006898</v>
      </c>
      <c r="K173" s="459">
        <v>1.6729970825490841</v>
      </c>
      <c r="L173" s="459">
        <v>2.0954354437192761</v>
      </c>
      <c r="M173" s="326">
        <v>36128841.21344731</v>
      </c>
      <c r="N173" s="460">
        <v>8.3046473972348753E-2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</row>
    <row r="174" spans="1:140" ht="15.75" customHeight="1" x14ac:dyDescent="0.25">
      <c r="A174" s="6"/>
      <c r="B174" s="6"/>
      <c r="C174" s="6"/>
      <c r="D174" s="6"/>
      <c r="E174" s="6"/>
      <c r="F174" s="6"/>
      <c r="G174" s="6"/>
      <c r="H174" s="457">
        <v>0.04</v>
      </c>
      <c r="I174" s="458">
        <v>0.11923823952674864</v>
      </c>
      <c r="J174" s="458">
        <v>0.13941819071769712</v>
      </c>
      <c r="K174" s="459">
        <v>1.5708363647977241</v>
      </c>
      <c r="L174" s="459">
        <v>1.853020776483467</v>
      </c>
      <c r="M174" s="326">
        <v>33832493.048815683</v>
      </c>
      <c r="N174" s="460">
        <v>7.7768042345968472E-2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</row>
    <row r="175" spans="1:140" ht="15.75" customHeight="1" x14ac:dyDescent="0.25">
      <c r="A175" s="6"/>
      <c r="B175" s="6"/>
      <c r="C175" s="6"/>
      <c r="D175" s="6"/>
      <c r="E175" s="6"/>
      <c r="F175" s="6"/>
      <c r="G175" s="6"/>
      <c r="H175" s="457">
        <v>0.06</v>
      </c>
      <c r="I175" s="458">
        <v>9.8916834592819219E-2</v>
      </c>
      <c r="J175" s="458">
        <v>0.10257917046546935</v>
      </c>
      <c r="K175" s="459">
        <v>1.458684432949596</v>
      </c>
      <c r="L175" s="459">
        <v>1.5869078151300804</v>
      </c>
      <c r="M175" s="326">
        <v>31304400.553966399</v>
      </c>
      <c r="N175" s="460">
        <v>7.1956918586620025E-2</v>
      </c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</row>
    <row r="176" spans="1:140" ht="15.75" customHeight="1" x14ac:dyDescent="0.25">
      <c r="A176" s="6"/>
      <c r="B176" s="6"/>
      <c r="C176" s="6"/>
      <c r="D176" s="6"/>
      <c r="E176" s="6"/>
      <c r="F176" s="6"/>
      <c r="G176" s="6"/>
      <c r="H176" s="463">
        <v>0.08</v>
      </c>
      <c r="I176" s="464">
        <v>7.5177517533302332E-2</v>
      </c>
      <c r="J176" s="464">
        <v>5.619366466999054E-2</v>
      </c>
      <c r="K176" s="465">
        <v>1.3357687991574134</v>
      </c>
      <c r="L176" s="465">
        <v>1.2952708243413937</v>
      </c>
      <c r="M176" s="466">
        <v>28526219.848177373</v>
      </c>
      <c r="N176" s="467">
        <v>6.5570937084730191E-2</v>
      </c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</row>
    <row r="177" spans="1:140" ht="15.75" customHeight="1" x14ac:dyDescent="0.25">
      <c r="A177" s="6"/>
      <c r="B177" s="6"/>
      <c r="C177" s="6"/>
      <c r="D177" s="6"/>
      <c r="E177" s="6"/>
      <c r="F177" s="6"/>
      <c r="G177" s="6"/>
      <c r="H177" s="283"/>
      <c r="I177" s="283"/>
      <c r="J177" s="283"/>
      <c r="K177" s="283"/>
      <c r="L177" s="283"/>
      <c r="M177" s="283"/>
      <c r="N177" s="283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</row>
    <row r="178" spans="1:140" ht="15.75" customHeight="1" x14ac:dyDescent="0.25">
      <c r="A178" s="6"/>
      <c r="B178" s="6"/>
      <c r="C178" s="6"/>
      <c r="D178" s="6"/>
      <c r="E178" s="6"/>
      <c r="F178" s="6"/>
      <c r="G178" s="6"/>
      <c r="H178" s="445" t="s">
        <v>345</v>
      </c>
      <c r="I178" s="446"/>
      <c r="J178" s="446"/>
      <c r="K178" s="446"/>
      <c r="L178" s="446"/>
      <c r="M178" s="446"/>
      <c r="N178" s="447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</row>
    <row r="179" spans="1:140" ht="15.75" customHeight="1" x14ac:dyDescent="0.25">
      <c r="A179" s="6"/>
      <c r="B179" s="6"/>
      <c r="C179" s="6"/>
      <c r="D179" s="6"/>
      <c r="E179" s="6"/>
      <c r="F179" s="6"/>
      <c r="G179" s="6"/>
      <c r="H179" s="471">
        <f>G10</f>
        <v>0.03</v>
      </c>
      <c r="I179" s="449">
        <f>C152</f>
        <v>0.12832521796226495</v>
      </c>
      <c r="J179" s="450">
        <f>C153</f>
        <v>0.15519891381263737</v>
      </c>
      <c r="K179" s="451">
        <f>C154</f>
        <v>1.6231190273660352</v>
      </c>
      <c r="L179" s="452">
        <f>C154</f>
        <v>1.6231190273660352</v>
      </c>
      <c r="M179" s="455">
        <f>C145</f>
        <v>35008529.306466639</v>
      </c>
      <c r="N179" s="456">
        <f>C156</f>
        <v>8.0471302710300258E-2</v>
      </c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</row>
    <row r="180" spans="1:140" ht="15.75" customHeight="1" x14ac:dyDescent="0.25">
      <c r="A180" s="6"/>
      <c r="B180" s="6"/>
      <c r="C180" s="6"/>
      <c r="D180" s="6"/>
      <c r="E180" s="6"/>
      <c r="F180" s="6"/>
      <c r="G180" s="6"/>
      <c r="H180" s="457">
        <v>0</v>
      </c>
      <c r="I180" s="458">
        <f t="dataTable" ref="I180:N184" dt2D="0" dtr="0" r1="G10" ca="1"/>
        <v>5.4452410340309149E-2</v>
      </c>
      <c r="J180" s="458">
        <v>1.1796292662620545E-2</v>
      </c>
      <c r="K180" s="459">
        <v>1.235539509925669</v>
      </c>
      <c r="L180" s="459">
        <v>1.235539509925669</v>
      </c>
      <c r="M180" s="326">
        <v>26315782.166873019</v>
      </c>
      <c r="N180" s="460">
        <v>6.0489981006359876E-2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</row>
    <row r="181" spans="1:140" ht="15.75" customHeight="1" x14ac:dyDescent="0.25">
      <c r="A181" s="6"/>
      <c r="B181" s="6"/>
      <c r="C181" s="6"/>
      <c r="D181" s="6"/>
      <c r="E181" s="6"/>
      <c r="F181" s="6"/>
      <c r="G181" s="6"/>
      <c r="H181" s="457">
        <v>0.02</v>
      </c>
      <c r="I181" s="458">
        <v>0.10431064963340761</v>
      </c>
      <c r="J181" s="458">
        <v>0.11258613467216491</v>
      </c>
      <c r="K181" s="459">
        <v>1.4878824831272039</v>
      </c>
      <c r="L181" s="459">
        <v>1.4878824831272039</v>
      </c>
      <c r="M181" s="326">
        <v>31970956.282825343</v>
      </c>
      <c r="N181" s="460">
        <v>7.3489076860414893E-2</v>
      </c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</row>
    <row r="182" spans="1:140" ht="15.75" customHeight="1" thickBot="1" x14ac:dyDescent="0.3">
      <c r="A182" s="6"/>
      <c r="B182" s="6"/>
      <c r="C182" s="6"/>
      <c r="D182" s="6"/>
      <c r="E182" s="6"/>
      <c r="F182" s="6"/>
      <c r="G182" s="6"/>
      <c r="H182" s="457">
        <v>0.04</v>
      </c>
      <c r="I182" s="458">
        <v>0.15183057188987734</v>
      </c>
      <c r="J182" s="458">
        <v>0.19436729550361634</v>
      </c>
      <c r="K182" s="459">
        <v>1.7647054778419242</v>
      </c>
      <c r="L182" s="459">
        <v>1.7647054778419242</v>
      </c>
      <c r="M182" s="326">
        <v>38193368.366778433</v>
      </c>
      <c r="N182" s="460">
        <v>8.7792037205096582E-2</v>
      </c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389"/>
      <c r="AE182" s="389"/>
      <c r="AF182" s="389"/>
      <c r="AG182" s="389"/>
      <c r="AH182" s="389"/>
      <c r="AI182" s="389"/>
      <c r="AJ182" s="389"/>
      <c r="AK182" s="389"/>
      <c r="AL182" s="389"/>
      <c r="AM182" s="389"/>
      <c r="AN182" s="389"/>
      <c r="AO182" s="389"/>
      <c r="AP182" s="389"/>
      <c r="AQ182" s="389"/>
      <c r="AR182" s="474"/>
      <c r="AS182" s="389"/>
      <c r="AT182" s="389"/>
      <c r="AU182" s="389"/>
      <c r="AV182" s="389"/>
      <c r="AW182" s="389"/>
      <c r="AX182" s="389"/>
      <c r="AY182" s="389"/>
      <c r="AZ182" s="389"/>
      <c r="BA182" s="389"/>
      <c r="BB182" s="389"/>
      <c r="BC182" s="389"/>
      <c r="BD182" s="389"/>
      <c r="BE182" s="389"/>
      <c r="BF182" s="389"/>
      <c r="BG182" s="389"/>
      <c r="BH182" s="389"/>
      <c r="BI182" s="389"/>
      <c r="BJ182" s="389"/>
      <c r="BK182" s="389"/>
      <c r="BL182" s="389"/>
      <c r="BM182" s="389"/>
      <c r="BN182" s="389"/>
      <c r="BO182" s="389"/>
      <c r="BP182" s="389"/>
      <c r="BQ182" s="389"/>
      <c r="BR182" s="389"/>
      <c r="BS182" s="389"/>
      <c r="BT182" s="389"/>
      <c r="BU182" s="389"/>
      <c r="BV182" s="389"/>
      <c r="BW182" s="389"/>
      <c r="BX182" s="389"/>
      <c r="BY182" s="389"/>
      <c r="BZ182" s="389"/>
      <c r="CA182" s="389"/>
      <c r="CB182" s="389"/>
      <c r="CC182" s="389"/>
      <c r="CD182" s="389"/>
      <c r="CE182" s="389"/>
      <c r="CF182" s="389"/>
      <c r="CG182" s="389"/>
      <c r="CH182" s="389"/>
      <c r="CI182" s="389"/>
      <c r="CJ182" s="389"/>
      <c r="CK182" s="389"/>
      <c r="CL182" s="389"/>
      <c r="CM182" s="389"/>
      <c r="CN182" s="389"/>
      <c r="CO182" s="389"/>
      <c r="CP182" s="389"/>
      <c r="CQ182" s="389"/>
      <c r="CR182" s="389"/>
      <c r="CS182" s="389"/>
      <c r="CT182" s="389"/>
      <c r="CU182" s="389"/>
      <c r="CV182" s="389"/>
      <c r="CW182" s="389"/>
      <c r="CX182" s="389"/>
      <c r="CY182" s="389"/>
      <c r="CZ182" s="389"/>
      <c r="DA182" s="389"/>
      <c r="DB182" s="389"/>
      <c r="DC182" s="389"/>
      <c r="DD182" s="389"/>
      <c r="DE182" s="389"/>
      <c r="DF182" s="389"/>
      <c r="DG182" s="389"/>
      <c r="DH182" s="389"/>
      <c r="DI182" s="389"/>
      <c r="DJ182" s="389"/>
      <c r="DK182" s="389"/>
      <c r="DL182" s="389"/>
      <c r="DM182" s="389"/>
      <c r="DN182" s="389"/>
      <c r="DO182" s="389"/>
      <c r="DP182" s="389"/>
      <c r="DQ182" s="389"/>
      <c r="DR182" s="389"/>
      <c r="DS182" s="389"/>
      <c r="DT182" s="389"/>
      <c r="DU182" s="389"/>
      <c r="DV182" s="389"/>
      <c r="DW182" s="389"/>
      <c r="DX182" s="389"/>
      <c r="DY182" s="389"/>
      <c r="DZ182" s="389"/>
      <c r="EA182" s="389"/>
      <c r="EB182" s="389"/>
      <c r="EC182" s="389"/>
      <c r="ED182" s="389"/>
      <c r="EE182" s="389"/>
      <c r="EF182" s="389"/>
      <c r="EG182" s="389"/>
      <c r="EH182" s="389"/>
      <c r="EI182" s="389"/>
      <c r="EJ182" s="389"/>
    </row>
    <row r="183" spans="1:140" ht="15.75" customHeight="1" x14ac:dyDescent="0.25">
      <c r="A183" s="6"/>
      <c r="B183" s="6"/>
      <c r="C183" s="6"/>
      <c r="D183" s="6"/>
      <c r="E183" s="6"/>
      <c r="F183" s="6"/>
      <c r="G183" s="6"/>
      <c r="H183" s="457">
        <v>0.06</v>
      </c>
      <c r="I183" s="458">
        <v>0.1975463449954987</v>
      </c>
      <c r="J183" s="458">
        <v>0.26521328091621399</v>
      </c>
      <c r="K183" s="459">
        <v>2.0678869836909173</v>
      </c>
      <c r="L183" s="459">
        <v>2.0678869836909173</v>
      </c>
      <c r="M183" s="326">
        <v>45027619.543538302</v>
      </c>
      <c r="N183" s="460">
        <v>0.10350138307418119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475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354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</row>
    <row r="184" spans="1:140" ht="15.75" customHeight="1" x14ac:dyDescent="0.25">
      <c r="A184" s="6"/>
      <c r="B184" s="6"/>
      <c r="C184" s="6"/>
      <c r="D184" s="6"/>
      <c r="E184" s="6"/>
      <c r="F184" s="6"/>
      <c r="G184" s="6"/>
      <c r="H184" s="463">
        <v>0.08</v>
      </c>
      <c r="I184" s="464">
        <v>0.24184244275093075</v>
      </c>
      <c r="J184" s="464">
        <v>0.32893312573432931</v>
      </c>
      <c r="K184" s="465">
        <v>2.3994122151475064</v>
      </c>
      <c r="L184" s="465">
        <v>2.3994122151475064</v>
      </c>
      <c r="M184" s="466">
        <v>52520889.173559204</v>
      </c>
      <c r="N184" s="467">
        <v>0.12072556188525535</v>
      </c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475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</row>
    <row r="185" spans="1:140" ht="15.75" customHeight="1" x14ac:dyDescent="0.25">
      <c r="A185" s="6"/>
      <c r="B185" s="6"/>
      <c r="C185" s="6"/>
      <c r="D185" s="6"/>
      <c r="E185" s="6"/>
      <c r="F185" s="6"/>
      <c r="G185" s="6"/>
      <c r="H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475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</row>
    <row r="186" spans="1:140" ht="15.75" customHeight="1" x14ac:dyDescent="0.25">
      <c r="A186" s="6"/>
      <c r="B186" s="6"/>
      <c r="C186" s="6"/>
      <c r="D186" s="6"/>
      <c r="E186" s="6"/>
      <c r="F186" s="6"/>
      <c r="G186" s="6"/>
      <c r="H186" s="470"/>
      <c r="Q186" s="196"/>
      <c r="R186" s="196"/>
      <c r="S186" s="196"/>
      <c r="T186" s="19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475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</row>
    <row r="187" spans="1:14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475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</row>
    <row r="188" spans="1:14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475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</row>
    <row r="189" spans="1:14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Q189" s="196"/>
      <c r="R189" s="196"/>
      <c r="S189" s="19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475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</row>
    <row r="190" spans="1:14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475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</row>
    <row r="191" spans="1:14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475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</row>
    <row r="192" spans="1:14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475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</row>
    <row r="193" spans="1:14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475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</row>
    <row r="194" spans="1:140" ht="117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475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</row>
    <row r="195" spans="1:14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475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</row>
    <row r="196" spans="1:14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475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</row>
    <row r="197" spans="1:14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475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</row>
    <row r="198" spans="1:14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475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</row>
    <row r="199" spans="1:14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475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</row>
    <row r="200" spans="1:14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475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</row>
    <row r="201" spans="1:14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475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</row>
    <row r="202" spans="1:14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475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</row>
    <row r="203" spans="1:14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475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</row>
    <row r="204" spans="1:14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475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</row>
    <row r="205" spans="1:14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475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</row>
    <row r="206" spans="1:14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475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</row>
    <row r="207" spans="1:14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475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</row>
    <row r="208" spans="1:14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475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</row>
    <row r="209" spans="1:14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475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</row>
    <row r="210" spans="1:14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475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</row>
    <row r="211" spans="1:14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475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</row>
    <row r="212" spans="1:14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475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</row>
    <row r="213" spans="1:14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475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</row>
    <row r="214" spans="1:14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475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</row>
    <row r="215" spans="1:14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475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</row>
    <row r="216" spans="1:14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475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</row>
    <row r="217" spans="1:14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475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</row>
    <row r="218" spans="1:14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475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</row>
    <row r="219" spans="1:140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475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</row>
    <row r="220" spans="1:140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475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</row>
    <row r="221" spans="1:140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475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</row>
    <row r="222" spans="1:140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475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</row>
    <row r="223" spans="1:140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475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</row>
    <row r="224" spans="1:140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475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</row>
    <row r="225" spans="1:140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475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</row>
    <row r="226" spans="1:140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475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</row>
    <row r="227" spans="1:140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475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</row>
    <row r="228" spans="1:140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475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</row>
    <row r="229" spans="1:140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475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</row>
    <row r="230" spans="1:140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475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</row>
    <row r="231" spans="1:140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475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</row>
    <row r="232" spans="1:140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475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</row>
    <row r="233" spans="1:140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475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</row>
    <row r="234" spans="1:140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475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</row>
    <row r="235" spans="1:140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475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</row>
    <row r="236" spans="1:140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475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</row>
    <row r="237" spans="1:140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475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</row>
    <row r="238" spans="1:140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475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</row>
    <row r="239" spans="1:140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475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</row>
    <row r="240" spans="1:140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475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</row>
    <row r="241" spans="1:140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475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</row>
    <row r="242" spans="1:140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475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</row>
    <row r="243" spans="1:140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475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</row>
    <row r="244" spans="1:140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475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</row>
    <row r="245" spans="1:140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475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</row>
    <row r="246" spans="1:140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475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</row>
    <row r="247" spans="1:140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475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</row>
    <row r="248" spans="1:140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475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</row>
    <row r="249" spans="1:140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475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</row>
    <row r="250" spans="1:140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475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</row>
    <row r="251" spans="1:140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475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</row>
    <row r="252" spans="1:140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475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</row>
    <row r="253" spans="1:140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475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</row>
    <row r="254" spans="1:140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475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</row>
    <row r="255" spans="1:140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475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</row>
    <row r="256" spans="1:140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475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</row>
    <row r="257" spans="1:140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475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</row>
    <row r="258" spans="1:140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475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</row>
    <row r="259" spans="1:140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475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</row>
    <row r="260" spans="1:140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475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</row>
    <row r="261" spans="1:140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475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</row>
    <row r="262" spans="1:140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475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</row>
    <row r="263" spans="1:140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475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</row>
    <row r="264" spans="1:140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475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</row>
    <row r="265" spans="1:140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475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</row>
    <row r="266" spans="1:140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475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</row>
    <row r="267" spans="1:140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475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</row>
    <row r="268" spans="1:14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475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</row>
    <row r="269" spans="1:14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475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</row>
    <row r="270" spans="1:14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475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</row>
    <row r="271" spans="1:14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475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</row>
    <row r="272" spans="1:14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475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</row>
    <row r="273" spans="1:14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475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</row>
    <row r="274" spans="1:14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475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</row>
    <row r="275" spans="1:14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475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</row>
    <row r="276" spans="1:14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475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</row>
    <row r="277" spans="1:14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475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</row>
    <row r="278" spans="1:14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475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</row>
    <row r="279" spans="1:14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475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</row>
    <row r="280" spans="1:14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475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</row>
    <row r="281" spans="1:14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475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</row>
    <row r="282" spans="1:14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475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</row>
    <row r="283" spans="1:14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475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</row>
    <row r="284" spans="1:14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475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</row>
    <row r="285" spans="1:14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475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</row>
    <row r="286" spans="1:14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475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</row>
    <row r="287" spans="1:14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475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</row>
    <row r="288" spans="1:14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475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</row>
    <row r="289" spans="1:14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475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</row>
    <row r="290" spans="1:14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475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</row>
    <row r="291" spans="1:14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475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</row>
    <row r="292" spans="1:14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475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</row>
    <row r="293" spans="1:14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475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</row>
    <row r="294" spans="1:14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475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</row>
    <row r="295" spans="1:14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475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</row>
    <row r="296" spans="1:14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475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</row>
    <row r="297" spans="1:14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475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</row>
    <row r="298" spans="1:14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475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</row>
    <row r="299" spans="1:14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475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</row>
    <row r="300" spans="1:14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475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</row>
    <row r="301" spans="1:14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475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</row>
    <row r="302" spans="1:14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475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</row>
    <row r="303" spans="1:14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475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</row>
    <row r="304" spans="1:14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475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</row>
    <row r="305" spans="1:14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475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</row>
    <row r="306" spans="1:14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475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</row>
    <row r="307" spans="1:14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475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</row>
    <row r="308" spans="1:14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475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</row>
    <row r="309" spans="1:14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475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</row>
    <row r="310" spans="1:14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475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</row>
    <row r="311" spans="1:14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475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</row>
    <row r="312" spans="1:14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475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</row>
    <row r="313" spans="1:14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475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</row>
    <row r="314" spans="1:14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475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</row>
    <row r="315" spans="1:14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475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</row>
    <row r="316" spans="1:14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475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</row>
    <row r="317" spans="1:14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475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</row>
    <row r="318" spans="1:14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475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</row>
    <row r="319" spans="1:14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475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</row>
    <row r="320" spans="1:14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475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</row>
    <row r="321" spans="1:14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475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</row>
    <row r="322" spans="1:14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475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</row>
    <row r="323" spans="1:14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475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</row>
    <row r="324" spans="1:14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475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</row>
    <row r="325" spans="1:14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475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</row>
    <row r="326" spans="1:14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475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</row>
    <row r="327" spans="1:14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475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</row>
    <row r="328" spans="1:14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475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</row>
    <row r="329" spans="1:14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475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</row>
    <row r="330" spans="1:14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475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</row>
    <row r="331" spans="1:14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475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</row>
    <row r="332" spans="1:14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475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</row>
    <row r="333" spans="1:14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475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</row>
    <row r="334" spans="1:14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475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</row>
    <row r="335" spans="1:14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475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</row>
    <row r="336" spans="1:14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475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</row>
    <row r="337" spans="1:14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475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</row>
    <row r="338" spans="1:14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475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</row>
    <row r="339" spans="1:14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475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</row>
    <row r="340" spans="1:14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475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</row>
    <row r="341" spans="1:14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475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</row>
    <row r="342" spans="1:14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475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</row>
    <row r="343" spans="1:14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475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</row>
    <row r="344" spans="1:14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475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</row>
    <row r="345" spans="1:14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475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</row>
    <row r="346" spans="1:14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475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</row>
    <row r="347" spans="1:14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475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</row>
    <row r="348" spans="1:14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475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</row>
    <row r="349" spans="1:14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475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</row>
    <row r="350" spans="1:14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475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</row>
    <row r="351" spans="1:14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475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</row>
    <row r="352" spans="1:14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475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</row>
    <row r="353" spans="1:14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475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</row>
    <row r="354" spans="1:14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475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</row>
    <row r="355" spans="1:14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475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</row>
    <row r="356" spans="1:14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475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</row>
    <row r="357" spans="1:14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475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</row>
    <row r="358" spans="1:14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475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</row>
    <row r="359" spans="1:14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475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</row>
    <row r="360" spans="1:14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475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</row>
    <row r="361" spans="1:14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475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</row>
    <row r="362" spans="1:14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475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</row>
  </sheetData>
  <mergeCells count="1">
    <mergeCell ref="F131:G131"/>
  </mergeCells>
  <conditionalFormatting sqref="C133">
    <cfRule type="cellIs" dxfId="84" priority="1" operator="notEqual">
      <formula>$D$133</formula>
    </cfRule>
    <cfRule type="cellIs" dxfId="83" priority="2" operator="equal">
      <formula>$D$133</formula>
    </cfRule>
  </conditionalFormatting>
  <conditionalFormatting sqref="D133">
    <cfRule type="cellIs" dxfId="82" priority="3" operator="notEqual">
      <formula>$C$133</formula>
    </cfRule>
    <cfRule type="cellIs" dxfId="81" priority="4" operator="equal">
      <formula>$C$133</formula>
    </cfRule>
  </conditionalFormatting>
  <conditionalFormatting sqref="E56:E69">
    <cfRule type="containsText" dxfId="80" priority="5" operator="containsText" text="NO">
      <formula>NOT(ISERROR(SEARCH(("NO"),(E56))))</formula>
    </cfRule>
    <cfRule type="containsText" dxfId="79" priority="6" operator="containsText" text="YES">
      <formula>NOT(ISERROR(SEARCH(("YES"),(E56))))</formula>
    </cfRule>
    <cfRule type="containsText" dxfId="78" priority="7" operator="containsText" text="&quot;Yes&quot;">
      <formula>NOT(ISERROR(SEARCH(("""Yes"""),(E56))))</formula>
    </cfRule>
  </conditionalFormatting>
  <conditionalFormatting sqref="G128:EJ128">
    <cfRule type="cellIs" dxfId="77" priority="11" operator="lessThan">
      <formula>0</formula>
    </cfRule>
  </conditionalFormatting>
  <conditionalFormatting sqref="H103:H109">
    <cfRule type="cellIs" dxfId="76" priority="12" operator="lessThan">
      <formula>0</formula>
    </cfRule>
  </conditionalFormatting>
  <conditionalFormatting sqref="H162">
    <cfRule type="cellIs" dxfId="75" priority="29" operator="lessThan">
      <formula>0</formula>
    </cfRule>
  </conditionalFormatting>
  <conditionalFormatting sqref="H170">
    <cfRule type="cellIs" dxfId="74" priority="30" operator="lessThan">
      <formula>0</formula>
    </cfRule>
  </conditionalFormatting>
  <conditionalFormatting sqref="H178">
    <cfRule type="cellIs" dxfId="73" priority="31" operator="lessThan">
      <formula>0</formula>
    </cfRule>
  </conditionalFormatting>
  <conditionalFormatting sqref="H149:M159 AS157:CB165 AR157:AR181 AN158:AQ181 AM158:AM182 AD159:AL182">
    <cfRule type="cellIs" dxfId="72" priority="9" operator="lessThan">
      <formula>0</formula>
    </cfRule>
  </conditionalFormatting>
  <conditionalFormatting sqref="H9:CB9 Y51:CB55 H73:CB73 H74:EJ74 AM135:AV155">
    <cfRule type="cellIs" dxfId="71" priority="15" operator="lessThan">
      <formula>0</formula>
    </cfRule>
  </conditionalFormatting>
  <conditionalFormatting sqref="H7:EJ7">
    <cfRule type="cellIs" dxfId="70" priority="16" operator="lessThan">
      <formula>0</formula>
    </cfRule>
  </conditionalFormatting>
  <conditionalFormatting sqref="H43:EJ50">
    <cfRule type="cellIs" dxfId="69" priority="17" operator="lessThan">
      <formula>0</formula>
    </cfRule>
  </conditionalFormatting>
  <conditionalFormatting sqref="H56:EJ70 J91:AQ91 AS91:EJ91 AR91:AR93 B128">
    <cfRule type="cellIs" dxfId="68" priority="18" operator="lessThan">
      <formula>0</formula>
    </cfRule>
  </conditionalFormatting>
  <conditionalFormatting sqref="H83:EJ90 H95:EJ100 H101:AQ102 H137:H138">
    <cfRule type="cellIs" dxfId="67" priority="8" operator="lessThan">
      <formula>0</formula>
    </cfRule>
  </conditionalFormatting>
  <conditionalFormatting sqref="I138:J147">
    <cfRule type="cellIs" dxfId="66" priority="10" operator="lessThan">
      <formula>0</formula>
    </cfRule>
  </conditionalFormatting>
  <conditionalFormatting sqref="I105:EJ109">
    <cfRule type="cellIs" dxfId="65" priority="26" operator="lessThan">
      <formula>0</formula>
    </cfRule>
  </conditionalFormatting>
  <conditionalFormatting sqref="L170:M170">
    <cfRule type="cellIs" dxfId="64" priority="32" operator="lessThan">
      <formula>0</formula>
    </cfRule>
  </conditionalFormatting>
  <conditionalFormatting sqref="Y21:EJ42 H39:X42 T137:AL154 I148:K148 T156:EJ156 T157:AQ157 L162:M162 N162:N176 H163:M168 H171:M176 H177:N179 N178:N184 H179:M184 H181:N182">
    <cfRule type="cellIs" dxfId="63" priority="33" operator="lessThan">
      <formula>0</formula>
    </cfRule>
  </conditionalFormatting>
  <conditionalFormatting sqref="AS101:EJ102 AR101:AR104 H110:EJ130">
    <cfRule type="cellIs" dxfId="62" priority="14" operator="lessThan">
      <formula>0</formula>
    </cfRule>
  </conditionalFormatting>
  <conditionalFormatting sqref="BG8:CB8 I10:EJ20 H10:H38 I21:X38 H51:X53 J54:X54 H55:X55 DI80:EJ82 H85:I85 H92:AQ93 AS92:CB93 I103:AQ104 AS103:CB104 J135:AL136 T158:AL158 AS166:BB166 BD166:CB166 AS167:CB181 AN182:CB182">
    <cfRule type="cellIs" dxfId="61" priority="35" operator="lessThan">
      <formula>0</formula>
    </cfRule>
  </conditionalFormatting>
  <dataValidations disablePrompts="1" count="2">
    <dataValidation type="decimal" allowBlank="1" showErrorMessage="1" sqref="D95" xr:uid="{00000000-0002-0000-0900-000000000000}">
      <formula1>5</formula1>
      <formula2>50</formula2>
    </dataValidation>
    <dataValidation type="decimal" allowBlank="1" showErrorMessage="1" sqref="E75:E78" xr:uid="{00000000-0002-0000-0900-000001000000}">
      <formula1>1</formula1>
      <formula2>10</formula2>
    </dataValidation>
  </dataValidations>
  <pageMargins left="0.7" right="0.7" top="0.75" bottom="0.75" header="0" footer="0"/>
  <pageSetup orientation="portrait"/>
  <ignoredErrors>
    <ignoredError sqref="C148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36</vt:i4>
      </vt:variant>
    </vt:vector>
  </HeadingPairs>
  <TitlesOfParts>
    <vt:vector size="50" baseType="lpstr">
      <vt:lpstr>Summary</vt:lpstr>
      <vt:lpstr>Unit Mix</vt:lpstr>
      <vt:lpstr>Retail Rent Roll</vt:lpstr>
      <vt:lpstr>Untrended Proforma</vt:lpstr>
      <vt:lpstr>Trended Proforma</vt:lpstr>
      <vt:lpstr>Dev Costs</vt:lpstr>
      <vt:lpstr>Source &amp; Use</vt:lpstr>
      <vt:lpstr>Absorption</vt:lpstr>
      <vt:lpstr>Monthly DCF</vt:lpstr>
      <vt:lpstr>Yearly DCF</vt:lpstr>
      <vt:lpstr>Equity Waterfall</vt:lpstr>
      <vt:lpstr>Rent Comps</vt:lpstr>
      <vt:lpstr>Sale Comps</vt:lpstr>
      <vt:lpstr>Construction Spend Curve</vt:lpstr>
      <vt:lpstr>AMORT</vt:lpstr>
      <vt:lpstr>ANNPMT</vt:lpstr>
      <vt:lpstr>CAP</vt:lpstr>
      <vt:lpstr>CITY</vt:lpstr>
      <vt:lpstr>COST</vt:lpstr>
      <vt:lpstr>EGI</vt:lpstr>
      <vt:lpstr>EQUITY</vt:lpstr>
      <vt:lpstr>Equity_Share_LP</vt:lpstr>
      <vt:lpstr>Equity_Share_LP_Monthly</vt:lpstr>
      <vt:lpstr>Equity_Share_Sponsor</vt:lpstr>
      <vt:lpstr>Equity_Share_Sponsor_Monthly</vt:lpstr>
      <vt:lpstr>IRR_Type</vt:lpstr>
      <vt:lpstr>JVEQUITY</vt:lpstr>
      <vt:lpstr>K</vt:lpstr>
      <vt:lpstr>LOAN</vt:lpstr>
      <vt:lpstr>MAXLTV</vt:lpstr>
      <vt:lpstr>MEZZ</vt:lpstr>
      <vt:lpstr>MOPMT</vt:lpstr>
      <vt:lpstr>NAME</vt:lpstr>
      <vt:lpstr>NOI</vt:lpstr>
      <vt:lpstr>NRSF</vt:lpstr>
      <vt:lpstr>OPEX</vt:lpstr>
      <vt:lpstr>PREF</vt:lpstr>
      <vt:lpstr>Preferred_Return</vt:lpstr>
      <vt:lpstr>Promote_Structure_Monthly</vt:lpstr>
      <vt:lpstr>RATE</vt:lpstr>
      <vt:lpstr>STABEGI</vt:lpstr>
      <vt:lpstr>STREET</vt:lpstr>
      <vt:lpstr>TERM</vt:lpstr>
      <vt:lpstr>Total_Equity</vt:lpstr>
      <vt:lpstr>Total_Equity_Monthly</vt:lpstr>
      <vt:lpstr>UNITS</vt:lpstr>
      <vt:lpstr>VAC</vt:lpstr>
      <vt:lpstr>VALUE</vt:lpstr>
      <vt:lpstr>'Unit Mix'!Z_3B7E6FBC_CC8D_4962_8AE3_5DAB988B8D35_.wvu.Rows</vt:lpstr>
      <vt:lpstr>'Unit Mix'!Z_57C3E8B0_A7E3_47A9_BCBF_C46C113ADE09_.wvu.Rows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Robbyw Weeks</dc:creator>
  <cp:lastModifiedBy>Robert Weeks</cp:lastModifiedBy>
  <dcterms:created xsi:type="dcterms:W3CDTF">2014-08-29T20:34:26Z</dcterms:created>
  <dcterms:modified xsi:type="dcterms:W3CDTF">2026-09-06T19:27:53Z</dcterms:modified>
</cp:coreProperties>
</file>